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defaultThemeVersion="124226"/>
  <mc:AlternateContent xmlns:mc="http://schemas.openxmlformats.org/markup-compatibility/2006">
    <mc:Choice Requires="x15">
      <x15ac:absPath xmlns:x15ac="http://schemas.microsoft.com/office/spreadsheetml/2010/11/ac" url="/Users/ssripad/Box Sync/Projects/Fe-air/batpac/"/>
    </mc:Choice>
  </mc:AlternateContent>
  <xr:revisionPtr revIDLastSave="0" documentId="13_ncr:1_{6F063468-1C7F-2247-B251-4F99B1393C69}" xr6:coauthVersionLast="47" xr6:coauthVersionMax="47" xr10:uidLastSave="{00000000-0000-0000-0000-000000000000}"/>
  <bookViews>
    <workbookView xWindow="1680" yWindow="0" windowWidth="30620" windowHeight="22360" tabRatio="955" activeTab="1" xr2:uid="{00000000-000D-0000-FFFF-FFFF00000000}"/>
  </bookViews>
  <sheets>
    <sheet name="About this model" sheetId="26" r:id="rId1"/>
    <sheet name="Chem" sheetId="5" r:id="rId2"/>
    <sheet name="Iterative I-V" sheetId="22" r:id="rId3"/>
    <sheet name="IV-thickness" sheetId="25" r:id="rId4"/>
    <sheet name="Flow and System" sheetId="23" r:id="rId5"/>
    <sheet name="Components" sheetId="24" r:id="rId6"/>
    <sheet name="Battery Design" sheetId="3" r:id="rId7"/>
    <sheet name="Summary of Results" sheetId="4" r:id="rId8"/>
    <sheet name="Cost Input" sheetId="2" r:id="rId9"/>
    <sheet name="Manufacturing Cost Calculations" sheetId="1" r:id="rId10"/>
    <sheet name="Cost Breakdown" sheetId="21" r:id="rId11"/>
  </sheets>
  <definedNames>
    <definedName name="_xlnm.Print_Area" localSheetId="6">'Battery Design'!$A$1:$L$196</definedName>
    <definedName name="_xlnm.Print_Area" localSheetId="1">Chem!$A$1:$N$83</definedName>
    <definedName name="_xlnm.Print_Area" localSheetId="10">'Cost Breakdown'!$A$1:$L$346</definedName>
    <definedName name="_xlnm.Print_Area" localSheetId="8">'Cost Input'!$A$1:$J$141</definedName>
    <definedName name="_xlnm.Print_Area" localSheetId="9">'Manufacturing Cost Calculations'!$A$1:$L$265</definedName>
    <definedName name="_xlnm.Print_Area" localSheetId="7">'Summary of Results'!$A$1:$L$80</definedName>
    <definedName name="_xlnm.Print_Titles" localSheetId="6">'Battery Design'!$1:$3</definedName>
    <definedName name="_xlnm.Print_Titles" localSheetId="1">Chem!$1:$4</definedName>
    <definedName name="_xlnm.Print_Titles" localSheetId="9">'Manufacturing Cost Calculations'!$1:$3</definedName>
    <definedName name="_xlnm.Print_Titles" localSheetId="7">'Summary of Results'!$1:$3</definedName>
  </definedNames>
  <calcPr calcId="191029" iterate="1" iterateCount="1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H9" i="5" l="1"/>
  <c r="F91" i="3"/>
  <c r="C62" i="22"/>
  <c r="C28" i="23"/>
  <c r="H69" i="5"/>
  <c r="H62" i="5"/>
  <c r="H27" i="5"/>
  <c r="C62" i="25" l="1"/>
  <c r="D219" i="3" l="1"/>
  <c r="F189" i="3"/>
  <c r="F109" i="3"/>
  <c r="F107" i="3"/>
  <c r="F32" i="3"/>
  <c r="F183" i="3"/>
  <c r="A2" i="21"/>
  <c r="F160" i="3"/>
  <c r="F152" i="3"/>
  <c r="F165" i="3" s="1"/>
  <c r="F123" i="3"/>
  <c r="F118" i="3"/>
  <c r="F119" i="3" s="1"/>
  <c r="F62" i="3"/>
  <c r="F58" i="3" s="1"/>
  <c r="F56" i="3"/>
  <c r="F79" i="3" s="1"/>
  <c r="F28" i="3"/>
  <c r="F29" i="3"/>
  <c r="T71" i="5"/>
  <c r="E76" i="5"/>
  <c r="E50" i="5"/>
  <c r="E51" i="5"/>
  <c r="E6" i="5"/>
  <c r="E10" i="5"/>
  <c r="E11" i="5"/>
  <c r="E12" i="5"/>
  <c r="C9" i="3" s="1"/>
  <c r="E9" i="5"/>
  <c r="D83" i="5"/>
  <c r="D29" i="2" s="1"/>
  <c r="D65" i="1" s="1"/>
  <c r="D82" i="5"/>
  <c r="D64" i="1" s="1"/>
  <c r="D81" i="5"/>
  <c r="D27" i="2" s="1"/>
  <c r="D80" i="5"/>
  <c r="D26" i="2" s="1"/>
  <c r="D79" i="5"/>
  <c r="D78" i="5"/>
  <c r="D24" i="2" s="1"/>
  <c r="D61" i="1" s="1"/>
  <c r="D77" i="5"/>
  <c r="D23" i="2" s="1"/>
  <c r="D60" i="1" s="1"/>
  <c r="D76" i="5"/>
  <c r="D22" i="2" s="1"/>
  <c r="D59" i="1" s="1"/>
  <c r="D74" i="5"/>
  <c r="D20" i="2" s="1"/>
  <c r="D73" i="5"/>
  <c r="D19" i="2" s="1"/>
  <c r="D56" i="1" s="1"/>
  <c r="D72" i="5"/>
  <c r="D17" i="2" s="1"/>
  <c r="D55" i="1" s="1"/>
  <c r="D71" i="5"/>
  <c r="D16" i="2" s="1"/>
  <c r="D54" i="1" s="1"/>
  <c r="E83" i="5"/>
  <c r="E29" i="2" s="1"/>
  <c r="E65" i="1" s="1"/>
  <c r="E82" i="5"/>
  <c r="E81" i="5"/>
  <c r="E80" i="5"/>
  <c r="E79" i="5"/>
  <c r="E25" i="2" s="1"/>
  <c r="E78" i="5"/>
  <c r="E77" i="5"/>
  <c r="E23" i="2" s="1"/>
  <c r="E60" i="1" s="1"/>
  <c r="E74" i="5"/>
  <c r="E20" i="2" s="1"/>
  <c r="E73" i="5"/>
  <c r="E19" i="2" s="1"/>
  <c r="E72" i="5"/>
  <c r="E17" i="2" s="1"/>
  <c r="E71" i="5"/>
  <c r="E68" i="5"/>
  <c r="E67" i="5"/>
  <c r="E65" i="5" s="1"/>
  <c r="E66" i="5"/>
  <c r="E63" i="5"/>
  <c r="E60" i="5"/>
  <c r="E59" i="5"/>
  <c r="E56" i="5" s="1"/>
  <c r="E61" i="5" s="1"/>
  <c r="E58" i="5"/>
  <c r="E57" i="5"/>
  <c r="E54" i="5"/>
  <c r="E53" i="5"/>
  <c r="E52" i="5"/>
  <c r="E49" i="5"/>
  <c r="E48" i="5"/>
  <c r="E46" i="5"/>
  <c r="E44" i="5"/>
  <c r="E43" i="5"/>
  <c r="D23" i="3" s="1"/>
  <c r="E41" i="5"/>
  <c r="D22" i="3" s="1"/>
  <c r="E40" i="5"/>
  <c r="C22" i="3" s="1"/>
  <c r="E38" i="5"/>
  <c r="D21" i="3" s="1"/>
  <c r="E37" i="5"/>
  <c r="C21" i="3" s="1"/>
  <c r="E21" i="3" s="1"/>
  <c r="E35" i="5"/>
  <c r="E17" i="3" s="1"/>
  <c r="E34" i="5"/>
  <c r="E16" i="3" s="1"/>
  <c r="E33" i="5"/>
  <c r="E15" i="3" s="1"/>
  <c r="E31" i="5"/>
  <c r="C18" i="3" s="1"/>
  <c r="E30" i="5"/>
  <c r="E29" i="5"/>
  <c r="D17" i="3" s="1"/>
  <c r="E28" i="5"/>
  <c r="D16" i="3" s="1"/>
  <c r="E25" i="5"/>
  <c r="E24" i="5"/>
  <c r="C29" i="25" s="1"/>
  <c r="P29" i="25" s="1"/>
  <c r="E22" i="5"/>
  <c r="E8" i="3" s="1"/>
  <c r="E21" i="5"/>
  <c r="E7" i="3" s="1"/>
  <c r="E20" i="5"/>
  <c r="E6" i="3" s="1"/>
  <c r="E18" i="5"/>
  <c r="C10" i="3" s="1"/>
  <c r="E17" i="5"/>
  <c r="E16" i="5"/>
  <c r="E15" i="5"/>
  <c r="E8" i="5"/>
  <c r="E7" i="5"/>
  <c r="E62" i="5"/>
  <c r="E45" i="5"/>
  <c r="E23" i="3" s="1"/>
  <c r="E27" i="5"/>
  <c r="D15" i="3" s="1"/>
  <c r="E14" i="5"/>
  <c r="E12" i="2"/>
  <c r="E11" i="2"/>
  <c r="E10" i="2"/>
  <c r="E9" i="2"/>
  <c r="E8" i="2"/>
  <c r="E7" i="2"/>
  <c r="D141" i="2"/>
  <c r="D140" i="2"/>
  <c r="D139" i="2"/>
  <c r="D98" i="2"/>
  <c r="D92" i="2"/>
  <c r="D147" i="1" s="1"/>
  <c r="J49" i="2"/>
  <c r="E28" i="2"/>
  <c r="E27" i="2"/>
  <c r="E26" i="2"/>
  <c r="D25" i="2"/>
  <c r="E24" i="2"/>
  <c r="E22" i="2"/>
  <c r="E16" i="2"/>
  <c r="C96" i="23"/>
  <c r="C30" i="23"/>
  <c r="C29" i="23"/>
  <c r="C4" i="22"/>
  <c r="P20" i="22"/>
  <c r="C3" i="22"/>
  <c r="M67" i="22"/>
  <c r="C45" i="22"/>
  <c r="P45" i="22" s="1"/>
  <c r="P52" i="22"/>
  <c r="C64" i="22"/>
  <c r="P64" i="22" s="1"/>
  <c r="P63" i="22"/>
  <c r="P62" i="22"/>
  <c r="P56" i="22"/>
  <c r="P46" i="22"/>
  <c r="P39" i="22"/>
  <c r="P33" i="22"/>
  <c r="P32" i="22"/>
  <c r="P6" i="22"/>
  <c r="C56" i="25"/>
  <c r="C52" i="25"/>
  <c r="P52" i="25" s="1"/>
  <c r="C46" i="25"/>
  <c r="C32" i="25"/>
  <c r="C45" i="25" s="1"/>
  <c r="P45" i="25" s="1"/>
  <c r="C39" i="25"/>
  <c r="P39" i="25" s="1"/>
  <c r="C33" i="25"/>
  <c r="C6" i="25"/>
  <c r="P6" i="25" s="1"/>
  <c r="P63" i="25"/>
  <c r="P62" i="25"/>
  <c r="M67" i="25"/>
  <c r="C64" i="25"/>
  <c r="P64" i="25" s="1"/>
  <c r="F101" i="1"/>
  <c r="E256" i="1"/>
  <c r="D256" i="1"/>
  <c r="E255" i="1"/>
  <c r="D255" i="1"/>
  <c r="E254" i="1"/>
  <c r="D254" i="1"/>
  <c r="E251" i="1"/>
  <c r="D251" i="1"/>
  <c r="E250" i="1"/>
  <c r="D250" i="1"/>
  <c r="E249" i="1"/>
  <c r="D249" i="1"/>
  <c r="E246" i="1"/>
  <c r="D246" i="1"/>
  <c r="E245" i="1"/>
  <c r="D245" i="1"/>
  <c r="E244" i="1"/>
  <c r="D244" i="1"/>
  <c r="E243" i="1"/>
  <c r="D243" i="1"/>
  <c r="E240" i="1"/>
  <c r="D240" i="1"/>
  <c r="E239" i="1"/>
  <c r="D239" i="1"/>
  <c r="E238" i="1"/>
  <c r="D238" i="1"/>
  <c r="E235" i="1"/>
  <c r="D235" i="1"/>
  <c r="E234" i="1"/>
  <c r="D234" i="1"/>
  <c r="E233" i="1"/>
  <c r="D233" i="1"/>
  <c r="E230" i="1"/>
  <c r="D230" i="1"/>
  <c r="E229" i="1"/>
  <c r="D229" i="1"/>
  <c r="E228" i="1"/>
  <c r="D228" i="1"/>
  <c r="E225" i="1"/>
  <c r="D225" i="1"/>
  <c r="E224" i="1"/>
  <c r="D224" i="1"/>
  <c r="E223" i="1"/>
  <c r="D223" i="1"/>
  <c r="E222" i="1"/>
  <c r="D222" i="1"/>
  <c r="E219" i="1"/>
  <c r="D219" i="1"/>
  <c r="E218" i="1"/>
  <c r="D218" i="1"/>
  <c r="E217" i="1"/>
  <c r="D217" i="1"/>
  <c r="E214" i="1"/>
  <c r="D214" i="1"/>
  <c r="E213" i="1"/>
  <c r="D213" i="1"/>
  <c r="E212" i="1"/>
  <c r="D212" i="1"/>
  <c r="E209" i="1"/>
  <c r="D209" i="1"/>
  <c r="E208" i="1"/>
  <c r="D208" i="1"/>
  <c r="E207" i="1"/>
  <c r="D207" i="1"/>
  <c r="E204" i="1"/>
  <c r="D204" i="1"/>
  <c r="E203" i="1"/>
  <c r="D203" i="1"/>
  <c r="E202" i="1"/>
  <c r="D202" i="1"/>
  <c r="E199" i="1"/>
  <c r="D199" i="1"/>
  <c r="E198" i="1"/>
  <c r="D198" i="1"/>
  <c r="E197" i="1"/>
  <c r="D197" i="1"/>
  <c r="E196" i="1"/>
  <c r="D196" i="1"/>
  <c r="E192" i="1"/>
  <c r="D192" i="1"/>
  <c r="E191" i="1"/>
  <c r="D191" i="1"/>
  <c r="E190" i="1"/>
  <c r="D190" i="1"/>
  <c r="E187" i="1"/>
  <c r="D187" i="1"/>
  <c r="E186" i="1"/>
  <c r="D186" i="1"/>
  <c r="E185" i="1"/>
  <c r="D185" i="1"/>
  <c r="E182" i="1"/>
  <c r="D182" i="1"/>
  <c r="E181" i="1"/>
  <c r="D181" i="1"/>
  <c r="E180" i="1"/>
  <c r="D180" i="1"/>
  <c r="E177" i="1"/>
  <c r="D177" i="1"/>
  <c r="E176" i="1"/>
  <c r="D176" i="1"/>
  <c r="E175" i="1"/>
  <c r="D175" i="1"/>
  <c r="E172" i="1"/>
  <c r="D172" i="1"/>
  <c r="E171" i="1"/>
  <c r="D171" i="1"/>
  <c r="E170" i="1"/>
  <c r="D170" i="1"/>
  <c r="E167" i="1"/>
  <c r="D167" i="1"/>
  <c r="E166" i="1"/>
  <c r="D166" i="1"/>
  <c r="E165" i="1"/>
  <c r="D165" i="1"/>
  <c r="E161" i="1"/>
  <c r="D161" i="1"/>
  <c r="E160" i="1"/>
  <c r="D160" i="1"/>
  <c r="E159" i="1"/>
  <c r="D159" i="1"/>
  <c r="E156" i="1"/>
  <c r="D156" i="1"/>
  <c r="E155" i="1"/>
  <c r="D155" i="1"/>
  <c r="E154" i="1"/>
  <c r="D154" i="1"/>
  <c r="D153" i="1"/>
  <c r="E150" i="1"/>
  <c r="D150" i="1"/>
  <c r="E149" i="1"/>
  <c r="D149" i="1"/>
  <c r="E148" i="1"/>
  <c r="D148" i="1"/>
  <c r="E143" i="1"/>
  <c r="D143" i="1"/>
  <c r="E142" i="1"/>
  <c r="D142" i="1"/>
  <c r="E141" i="1"/>
  <c r="D141" i="1"/>
  <c r="E138" i="1"/>
  <c r="D138" i="1"/>
  <c r="E137" i="1"/>
  <c r="D137" i="1"/>
  <c r="E136" i="1"/>
  <c r="D136" i="1"/>
  <c r="E131" i="1"/>
  <c r="D131" i="1"/>
  <c r="E130" i="1"/>
  <c r="D130" i="1"/>
  <c r="E129" i="1"/>
  <c r="D129" i="1"/>
  <c r="F112" i="1"/>
  <c r="F111" i="1"/>
  <c r="F110" i="1"/>
  <c r="F108" i="1"/>
  <c r="F103" i="1"/>
  <c r="F102" i="1"/>
  <c r="E90" i="1"/>
  <c r="E86" i="1"/>
  <c r="E85" i="1"/>
  <c r="E84" i="1"/>
  <c r="E30" i="1"/>
  <c r="F5" i="1"/>
  <c r="F7" i="1" s="1"/>
  <c r="F49" i="1" s="1"/>
  <c r="E64" i="1"/>
  <c r="E63" i="1"/>
  <c r="E62" i="1"/>
  <c r="E61" i="1"/>
  <c r="E59" i="1"/>
  <c r="E57" i="1"/>
  <c r="D57" i="1"/>
  <c r="E56" i="1"/>
  <c r="E55" i="1"/>
  <c r="E54" i="1"/>
  <c r="E16" i="1"/>
  <c r="E22" i="1"/>
  <c r="E29" i="1"/>
  <c r="E31" i="1"/>
  <c r="E28" i="1"/>
  <c r="D10" i="24"/>
  <c r="C10" i="24"/>
  <c r="B10" i="24"/>
  <c r="F18" i="4"/>
  <c r="F15" i="21" s="1"/>
  <c r="F27" i="4"/>
  <c r="C42" i="4"/>
  <c r="F6" i="4"/>
  <c r="C29" i="22" l="1"/>
  <c r="C36" i="23"/>
  <c r="C53" i="25"/>
  <c r="P53" i="25" s="1"/>
  <c r="C53" i="22"/>
  <c r="C35" i="23"/>
  <c r="C8" i="22"/>
  <c r="C8" i="25" s="1"/>
  <c r="P8" i="25" s="1"/>
  <c r="D62" i="1"/>
  <c r="C35" i="2"/>
  <c r="D63" i="1"/>
  <c r="F65" i="1"/>
  <c r="C51" i="25"/>
  <c r="P51" i="25" s="1"/>
  <c r="C38" i="25"/>
  <c r="C54" i="25"/>
  <c r="C59" i="25" s="1"/>
  <c r="P59" i="25" s="1"/>
  <c r="C38" i="22"/>
  <c r="C41" i="22" s="1"/>
  <c r="C51" i="22"/>
  <c r="P51" i="22" s="1"/>
  <c r="S82" i="5"/>
  <c r="F115" i="1"/>
  <c r="F116" i="1" s="1"/>
  <c r="F72" i="4" s="1"/>
  <c r="F171" i="3"/>
  <c r="F170" i="3"/>
  <c r="A2" i="1"/>
  <c r="F8" i="1"/>
  <c r="F248" i="1" s="1"/>
  <c r="F46" i="1"/>
  <c r="F47" i="1" s="1"/>
  <c r="F48" i="1" s="1"/>
  <c r="D19" i="3"/>
  <c r="F243" i="1"/>
  <c r="F9" i="21"/>
  <c r="F109" i="1"/>
  <c r="F113" i="1" s="1"/>
  <c r="A2" i="4"/>
  <c r="P32" i="25"/>
  <c r="F48" i="3"/>
  <c r="F93" i="3" s="1"/>
  <c r="F6" i="21"/>
  <c r="F7" i="4"/>
  <c r="F66" i="3"/>
  <c r="F117" i="3"/>
  <c r="P3" i="22"/>
  <c r="C3" i="25"/>
  <c r="P33" i="25"/>
  <c r="P56" i="25"/>
  <c r="F6" i="1"/>
  <c r="P46" i="25"/>
  <c r="F45" i="3"/>
  <c r="C54" i="22"/>
  <c r="C59" i="22" s="1"/>
  <c r="C5" i="23"/>
  <c r="F46" i="3"/>
  <c r="E22" i="3"/>
  <c r="E19" i="3"/>
  <c r="F44" i="3"/>
  <c r="F184" i="3"/>
  <c r="F42" i="3"/>
  <c r="F40" i="3"/>
  <c r="R82" i="5"/>
  <c r="F38" i="3"/>
  <c r="C7" i="3"/>
  <c r="C8" i="3"/>
  <c r="C6" i="3"/>
  <c r="E10" i="3"/>
  <c r="E24" i="3"/>
  <c r="F80" i="3"/>
  <c r="C58" i="25" l="1"/>
  <c r="P58" i="25" s="1"/>
  <c r="T82" i="5"/>
  <c r="P38" i="22"/>
  <c r="P41" i="22" s="1"/>
  <c r="P8" i="22"/>
  <c r="C12" i="22"/>
  <c r="P12" i="22" s="1"/>
  <c r="P53" i="22"/>
  <c r="C58" i="22"/>
  <c r="P58" i="22" s="1"/>
  <c r="F195" i="1"/>
  <c r="F199" i="1" s="1"/>
  <c r="C41" i="25"/>
  <c r="P38" i="25"/>
  <c r="P41" i="25" s="1"/>
  <c r="P54" i="25"/>
  <c r="F32" i="21"/>
  <c r="F71" i="4"/>
  <c r="D6" i="3"/>
  <c r="F41" i="3"/>
  <c r="C123" i="22" s="1"/>
  <c r="F92" i="3"/>
  <c r="C125" i="22"/>
  <c r="F250" i="1"/>
  <c r="F251" i="1"/>
  <c r="F249" i="1"/>
  <c r="D7" i="3"/>
  <c r="D8" i="3"/>
  <c r="C124" i="22"/>
  <c r="F7" i="21"/>
  <c r="F57" i="3"/>
  <c r="P4" i="22"/>
  <c r="C4" i="25"/>
  <c r="F67" i="3"/>
  <c r="F138" i="3"/>
  <c r="F139" i="3"/>
  <c r="F8" i="4"/>
  <c r="F8" i="21" s="1"/>
  <c r="P59" i="22"/>
  <c r="P54" i="22"/>
  <c r="P3" i="25"/>
  <c r="F84" i="4"/>
  <c r="C11" i="3"/>
  <c r="F128" i="1"/>
  <c r="F201" i="1" l="1"/>
  <c r="F206" i="1" s="1"/>
  <c r="F197" i="1"/>
  <c r="F83" i="4"/>
  <c r="D11" i="3"/>
  <c r="F47" i="4"/>
  <c r="P4" i="25"/>
  <c r="E11" i="3"/>
  <c r="F17" i="4"/>
  <c r="F72" i="3"/>
  <c r="F15" i="4"/>
  <c r="F12" i="21" s="1"/>
  <c r="F253" i="1"/>
  <c r="F189" i="1"/>
  <c r="F130" i="1"/>
  <c r="F131" i="1"/>
  <c r="F129" i="1"/>
  <c r="F202" i="1" l="1"/>
  <c r="F204" i="1"/>
  <c r="F203" i="1"/>
  <c r="F211" i="1"/>
  <c r="F209" i="1"/>
  <c r="F207" i="1"/>
  <c r="F208" i="1"/>
  <c r="F192" i="1"/>
  <c r="F191" i="1"/>
  <c r="F190" i="1"/>
  <c r="F254" i="1"/>
  <c r="F48" i="4" s="1"/>
  <c r="F255" i="1"/>
  <c r="F256" i="1"/>
  <c r="F200" i="3"/>
  <c r="F14" i="21"/>
  <c r="F39" i="3"/>
  <c r="C129" i="22" l="1"/>
  <c r="C122" i="22"/>
  <c r="F221" i="1"/>
  <c r="F214" i="1"/>
  <c r="F213" i="1"/>
  <c r="F212" i="1"/>
  <c r="F49" i="4"/>
  <c r="F237" i="1" l="1"/>
  <c r="F227" i="1"/>
  <c r="F223" i="1"/>
  <c r="F94" i="3"/>
  <c r="F232" i="1" l="1"/>
  <c r="F228" i="1"/>
  <c r="F229" i="1"/>
  <c r="F230" i="1"/>
  <c r="F238" i="1"/>
  <c r="F242" i="1"/>
  <c r="F240" i="1"/>
  <c r="F239" i="1"/>
  <c r="F246" i="1" l="1"/>
  <c r="F245" i="1"/>
  <c r="F244" i="1"/>
  <c r="F234" i="1"/>
  <c r="F235" i="1"/>
  <c r="F233" i="1"/>
  <c r="F46" i="4" l="1"/>
  <c r="F45" i="4"/>
  <c r="F33" i="21" l="1"/>
  <c r="C88" i="25" l="1"/>
  <c r="C88" i="22" s="1"/>
  <c r="F116" i="3"/>
  <c r="F92" i="1"/>
  <c r="F162" i="3"/>
  <c r="F104" i="1" l="1"/>
  <c r="F6" i="3"/>
  <c r="F7" i="3"/>
  <c r="F8" i="3"/>
  <c r="F10" i="3"/>
  <c r="F11" i="3"/>
  <c r="F12" i="3"/>
  <c r="F13" i="3"/>
  <c r="F15" i="3"/>
  <c r="F16" i="3"/>
  <c r="F17" i="3"/>
  <c r="F18" i="3"/>
  <c r="F19" i="3"/>
  <c r="F21" i="3"/>
  <c r="F22" i="3"/>
  <c r="F23" i="3"/>
  <c r="F24" i="3"/>
  <c r="F25" i="3"/>
  <c r="F26" i="3"/>
  <c r="F30" i="3"/>
  <c r="F31" i="3"/>
  <c r="F33" i="3"/>
  <c r="F52" i="3"/>
  <c r="F76" i="3"/>
  <c r="F77" i="3"/>
  <c r="F81" i="3"/>
  <c r="F82" i="3"/>
  <c r="F83" i="3"/>
  <c r="F84" i="3"/>
  <c r="F85" i="3"/>
  <c r="F86" i="3"/>
  <c r="F87" i="3"/>
  <c r="F88" i="3"/>
  <c r="F89" i="3"/>
  <c r="F95" i="3"/>
  <c r="F96" i="3"/>
  <c r="F97" i="3"/>
  <c r="F98" i="3"/>
  <c r="F100" i="3"/>
  <c r="F101" i="3"/>
  <c r="F102" i="3"/>
  <c r="F104" i="3"/>
  <c r="F105" i="3"/>
  <c r="F106" i="3"/>
  <c r="F108" i="3"/>
  <c r="F110" i="3"/>
  <c r="F111" i="3"/>
  <c r="F112" i="3"/>
  <c r="F113" i="3"/>
  <c r="F115" i="3"/>
  <c r="F120" i="3"/>
  <c r="F121" i="3"/>
  <c r="F122" i="3"/>
  <c r="F125" i="3"/>
  <c r="F127" i="3"/>
  <c r="F128" i="3"/>
  <c r="F129" i="3"/>
  <c r="F130" i="3"/>
  <c r="F131" i="3"/>
  <c r="F132" i="3"/>
  <c r="F133" i="3"/>
  <c r="F135" i="3"/>
  <c r="F136" i="3"/>
  <c r="F137" i="3"/>
  <c r="F140" i="3"/>
  <c r="F141" i="3"/>
  <c r="F142" i="3"/>
  <c r="F143" i="3"/>
  <c r="F146" i="3"/>
  <c r="F147" i="3"/>
  <c r="F148" i="3"/>
  <c r="F151" i="3"/>
  <c r="F153" i="3"/>
  <c r="F154" i="3"/>
  <c r="F155" i="3"/>
  <c r="F156" i="3"/>
  <c r="F157" i="3"/>
  <c r="F158" i="3"/>
  <c r="F161" i="3"/>
  <c r="G164" i="3"/>
  <c r="F166" i="3"/>
  <c r="F167" i="3"/>
  <c r="F168" i="3"/>
  <c r="F172" i="3"/>
  <c r="F173" i="3"/>
  <c r="F185" i="3"/>
  <c r="F191" i="3"/>
  <c r="F192" i="3"/>
  <c r="F193" i="3"/>
  <c r="F194" i="3"/>
  <c r="F201" i="3"/>
  <c r="F202" i="3"/>
  <c r="F203" i="3"/>
  <c r="F204" i="3"/>
  <c r="F205" i="3"/>
  <c r="F206" i="3"/>
  <c r="F207" i="3"/>
  <c r="F208" i="3"/>
  <c r="F209" i="3"/>
  <c r="F210" i="3"/>
  <c r="F211" i="3"/>
  <c r="F212" i="3"/>
  <c r="F213" i="3"/>
  <c r="F214" i="3"/>
  <c r="F215" i="3"/>
  <c r="F216" i="3"/>
  <c r="F217" i="3"/>
  <c r="F218" i="3"/>
  <c r="F219" i="3"/>
  <c r="F5" i="21"/>
  <c r="F10" i="21"/>
  <c r="F11" i="21"/>
  <c r="F13" i="21"/>
  <c r="F16" i="21"/>
  <c r="F17" i="21"/>
  <c r="F18" i="21"/>
  <c r="F21" i="21"/>
  <c r="G21" i="21"/>
  <c r="F22" i="21"/>
  <c r="G22" i="21"/>
  <c r="F23" i="21"/>
  <c r="G23" i="21"/>
  <c r="F24" i="21"/>
  <c r="G24" i="21"/>
  <c r="F25" i="21"/>
  <c r="G25" i="21"/>
  <c r="F26" i="21"/>
  <c r="G26" i="21"/>
  <c r="F27" i="21"/>
  <c r="G27" i="21"/>
  <c r="F28" i="21"/>
  <c r="G28" i="21"/>
  <c r="F29" i="21"/>
  <c r="G29" i="21"/>
  <c r="F30" i="21"/>
  <c r="G30" i="21"/>
  <c r="F31" i="21"/>
  <c r="G31" i="21"/>
  <c r="G32" i="21"/>
  <c r="G33" i="21"/>
  <c r="C11" i="23"/>
  <c r="C22" i="23"/>
  <c r="C24" i="23"/>
  <c r="C31" i="23"/>
  <c r="C44" i="23"/>
  <c r="C45" i="23"/>
  <c r="C53" i="23"/>
  <c r="C54" i="23"/>
  <c r="C55" i="23"/>
  <c r="C56" i="23"/>
  <c r="C57" i="23"/>
  <c r="C58" i="23"/>
  <c r="C59" i="23"/>
  <c r="C60" i="23"/>
  <c r="C61" i="23"/>
  <c r="C62" i="23"/>
  <c r="C63" i="23"/>
  <c r="C64" i="23"/>
  <c r="C76" i="23"/>
  <c r="C77" i="23"/>
  <c r="C78" i="23"/>
  <c r="C79" i="23"/>
  <c r="C80" i="23"/>
  <c r="C81" i="23"/>
  <c r="C84" i="23"/>
  <c r="C85" i="23"/>
  <c r="C87" i="23"/>
  <c r="C88" i="23"/>
  <c r="C89" i="23"/>
  <c r="C98" i="23"/>
  <c r="C99" i="23"/>
  <c r="C100" i="23"/>
  <c r="C101" i="23"/>
  <c r="C102" i="23"/>
  <c r="C103" i="23"/>
  <c r="C104" i="23"/>
  <c r="C105" i="23"/>
  <c r="C106" i="23"/>
  <c r="C2" i="22"/>
  <c r="C5" i="22"/>
  <c r="C7" i="22"/>
  <c r="P7" i="22"/>
  <c r="C9" i="22"/>
  <c r="P9" i="22"/>
  <c r="C10" i="22"/>
  <c r="P10" i="22"/>
  <c r="C11" i="22"/>
  <c r="P11" i="22"/>
  <c r="C13" i="22"/>
  <c r="C14" i="22"/>
  <c r="P14" i="22"/>
  <c r="C15" i="22"/>
  <c r="P15" i="22"/>
  <c r="C16" i="22"/>
  <c r="P16" i="22"/>
  <c r="C17" i="22"/>
  <c r="P17" i="22"/>
  <c r="C18" i="22"/>
  <c r="P18" i="22"/>
  <c r="C21" i="22"/>
  <c r="P21" i="22"/>
  <c r="C30" i="22"/>
  <c r="P30" i="22"/>
  <c r="C34" i="22"/>
  <c r="P34" i="22"/>
  <c r="C35" i="22"/>
  <c r="P35" i="22"/>
  <c r="C40" i="22"/>
  <c r="P40" i="22"/>
  <c r="C47" i="22"/>
  <c r="P47" i="22"/>
  <c r="C48" i="22"/>
  <c r="P48" i="22"/>
  <c r="C55" i="22"/>
  <c r="P55" i="22"/>
  <c r="C57" i="22"/>
  <c r="P57" i="22"/>
  <c r="C60" i="22"/>
  <c r="P60" i="22"/>
  <c r="C65" i="22"/>
  <c r="P65" i="22"/>
  <c r="C66" i="22"/>
  <c r="P66" i="22"/>
  <c r="C67" i="22"/>
  <c r="P67" i="22"/>
  <c r="C68" i="22"/>
  <c r="P68" i="22"/>
  <c r="C69" i="22"/>
  <c r="P69" i="22"/>
  <c r="C70" i="22"/>
  <c r="P70" i="22"/>
  <c r="C71" i="22"/>
  <c r="P71" i="22"/>
  <c r="C73" i="22"/>
  <c r="P73" i="22"/>
  <c r="C74" i="22"/>
  <c r="P74" i="22"/>
  <c r="C75" i="22"/>
  <c r="P75" i="22"/>
  <c r="C79" i="22"/>
  <c r="P79" i="22"/>
  <c r="C80" i="22"/>
  <c r="P80" i="22"/>
  <c r="C83" i="22"/>
  <c r="P83" i="22"/>
  <c r="C84" i="22"/>
  <c r="P84" i="22"/>
  <c r="C89" i="22"/>
  <c r="C90" i="22"/>
  <c r="C91" i="22"/>
  <c r="C92" i="22"/>
  <c r="C93" i="22"/>
  <c r="C94" i="22"/>
  <c r="C130" i="22"/>
  <c r="C131" i="22"/>
  <c r="C132" i="22"/>
  <c r="C133" i="22"/>
  <c r="C134" i="22"/>
  <c r="C135" i="22"/>
  <c r="C136" i="22"/>
  <c r="C137" i="22"/>
  <c r="C138" i="22"/>
  <c r="C139" i="22"/>
  <c r="C140" i="22"/>
  <c r="C141" i="22"/>
  <c r="C142" i="22"/>
  <c r="C143" i="22"/>
  <c r="C144" i="22"/>
  <c r="C145" i="22"/>
  <c r="C2" i="25"/>
  <c r="C5" i="25"/>
  <c r="C7" i="25"/>
  <c r="P7" i="25"/>
  <c r="C9" i="25"/>
  <c r="P9" i="25"/>
  <c r="C10" i="25"/>
  <c r="P10" i="25"/>
  <c r="C11" i="25"/>
  <c r="P11" i="25"/>
  <c r="C12" i="25"/>
  <c r="P12" i="25"/>
  <c r="P13" i="25"/>
  <c r="C14" i="25"/>
  <c r="P14" i="25"/>
  <c r="C15" i="25"/>
  <c r="P15" i="25"/>
  <c r="C16" i="25"/>
  <c r="P16" i="25"/>
  <c r="C17" i="25"/>
  <c r="P17" i="25"/>
  <c r="C18" i="25"/>
  <c r="P18" i="25"/>
  <c r="C21" i="25"/>
  <c r="P21" i="25"/>
  <c r="C30" i="25"/>
  <c r="P30" i="25"/>
  <c r="C34" i="25"/>
  <c r="P34" i="25"/>
  <c r="C35" i="25"/>
  <c r="P35" i="25"/>
  <c r="C40" i="25"/>
  <c r="P40" i="25"/>
  <c r="C47" i="25"/>
  <c r="P47" i="25"/>
  <c r="C48" i="25"/>
  <c r="P48" i="25"/>
  <c r="C55" i="25"/>
  <c r="P55" i="25"/>
  <c r="C57" i="25"/>
  <c r="P57" i="25"/>
  <c r="C60" i="25"/>
  <c r="P60" i="25"/>
  <c r="C65" i="25"/>
  <c r="P65" i="25"/>
  <c r="C66" i="25"/>
  <c r="P66" i="25"/>
  <c r="C67" i="25"/>
  <c r="P67" i="25"/>
  <c r="C68" i="25"/>
  <c r="P68" i="25"/>
  <c r="C69" i="25"/>
  <c r="P69" i="25"/>
  <c r="C70" i="25"/>
  <c r="P70" i="25"/>
  <c r="C71" i="25"/>
  <c r="P71" i="25"/>
  <c r="C73" i="25"/>
  <c r="P73" i="25"/>
  <c r="C74" i="25"/>
  <c r="P74" i="25"/>
  <c r="C75" i="25"/>
  <c r="P75" i="25"/>
  <c r="C79" i="25"/>
  <c r="P79" i="25"/>
  <c r="C80" i="25"/>
  <c r="P80" i="25"/>
  <c r="C83" i="25"/>
  <c r="P83" i="25"/>
  <c r="C84" i="25"/>
  <c r="P84" i="25"/>
  <c r="C89" i="25"/>
  <c r="C90" i="25"/>
  <c r="C91" i="25"/>
  <c r="C92" i="25"/>
  <c r="C93" i="25"/>
  <c r="C94" i="25"/>
  <c r="F9" i="1"/>
  <c r="F10" i="1"/>
  <c r="F11" i="1"/>
  <c r="F12" i="1"/>
  <c r="F13" i="1"/>
  <c r="F17" i="1"/>
  <c r="F18" i="1"/>
  <c r="F19" i="1"/>
  <c r="F20" i="1"/>
  <c r="F21" i="1"/>
  <c r="F23" i="1"/>
  <c r="F24" i="1"/>
  <c r="F25" i="1"/>
  <c r="F26" i="1"/>
  <c r="F27" i="1"/>
  <c r="F28" i="1"/>
  <c r="F29" i="1"/>
  <c r="F30" i="1"/>
  <c r="F31" i="1"/>
  <c r="F34" i="1"/>
  <c r="F35" i="1"/>
  <c r="F36" i="1"/>
  <c r="F37" i="1"/>
  <c r="F39" i="1"/>
  <c r="F40" i="1"/>
  <c r="F41" i="1"/>
  <c r="F42" i="1"/>
  <c r="F43" i="1"/>
  <c r="F44" i="1"/>
  <c r="F45" i="1"/>
  <c r="F50" i="1"/>
  <c r="F51" i="1"/>
  <c r="F54" i="1"/>
  <c r="F55" i="1"/>
  <c r="F56" i="1"/>
  <c r="F57" i="1"/>
  <c r="F59" i="1"/>
  <c r="F60" i="1"/>
  <c r="F61" i="1"/>
  <c r="F62" i="1"/>
  <c r="F63" i="1"/>
  <c r="F64" i="1"/>
  <c r="F67" i="1"/>
  <c r="F68" i="1"/>
  <c r="F69" i="1"/>
  <c r="F72" i="1"/>
  <c r="F73" i="1"/>
  <c r="F74" i="1"/>
  <c r="F75" i="1"/>
  <c r="F77" i="1"/>
  <c r="F78" i="1"/>
  <c r="F79" i="1"/>
  <c r="F80" i="1"/>
  <c r="F81" i="1"/>
  <c r="F82" i="1"/>
  <c r="F83" i="1"/>
  <c r="F84" i="1"/>
  <c r="F85" i="1"/>
  <c r="F86" i="1"/>
  <c r="F87" i="1"/>
  <c r="F88" i="1"/>
  <c r="F90" i="1"/>
  <c r="F91" i="1"/>
  <c r="F93" i="1"/>
  <c r="F94" i="1"/>
  <c r="F95" i="1"/>
  <c r="F96" i="1"/>
  <c r="F98" i="1"/>
  <c r="F99" i="1"/>
  <c r="F100" i="1"/>
  <c r="F105" i="1"/>
  <c r="F106" i="1"/>
  <c r="F135" i="1"/>
  <c r="F136" i="1"/>
  <c r="F137" i="1"/>
  <c r="F138" i="1"/>
  <c r="F140" i="1"/>
  <c r="F146" i="1"/>
  <c r="F147" i="1"/>
  <c r="F148" i="1"/>
  <c r="F149" i="1"/>
  <c r="F150" i="1"/>
  <c r="F152" i="1"/>
  <c r="F153" i="1"/>
  <c r="F158" i="1"/>
  <c r="F159" i="1"/>
  <c r="F160" i="1"/>
  <c r="F161" i="1"/>
  <c r="F164" i="1"/>
  <c r="F165" i="1"/>
  <c r="F166" i="1"/>
  <c r="F167" i="1"/>
  <c r="F169" i="1"/>
  <c r="F170" i="1"/>
  <c r="F171" i="1"/>
  <c r="F172" i="1"/>
  <c r="F174" i="1"/>
  <c r="F175" i="1"/>
  <c r="F176" i="1"/>
  <c r="F177" i="1"/>
  <c r="F179" i="1"/>
  <c r="F180" i="1"/>
  <c r="F181" i="1"/>
  <c r="F182" i="1"/>
  <c r="F184" i="1"/>
  <c r="F185" i="1"/>
  <c r="F186" i="1"/>
  <c r="F187" i="1"/>
  <c r="F196" i="1"/>
  <c r="F198" i="1"/>
  <c r="F216" i="1"/>
  <c r="F217" i="1"/>
  <c r="F218" i="1"/>
  <c r="F219" i="1"/>
  <c r="F222" i="1"/>
  <c r="F224" i="1"/>
  <c r="F225" i="1"/>
  <c r="F258" i="1"/>
  <c r="F259" i="1"/>
  <c r="F260" i="1"/>
  <c r="F263" i="1"/>
  <c r="F264" i="1"/>
  <c r="F265" i="1"/>
  <c r="F5" i="4"/>
  <c r="F9" i="4"/>
  <c r="F10" i="4"/>
  <c r="F11" i="4"/>
  <c r="F12" i="4"/>
  <c r="F13" i="4"/>
  <c r="F14" i="4"/>
  <c r="F16" i="4"/>
  <c r="F19" i="4"/>
  <c r="F20" i="4"/>
  <c r="F21" i="4"/>
  <c r="F24" i="4"/>
  <c r="F26" i="4"/>
  <c r="F28" i="4"/>
  <c r="F31" i="4"/>
  <c r="F32" i="4"/>
  <c r="F33" i="4"/>
  <c r="F37" i="4"/>
  <c r="G37" i="4"/>
  <c r="F38" i="4"/>
  <c r="G38" i="4"/>
  <c r="F39" i="4"/>
  <c r="G39" i="4"/>
  <c r="F40" i="4"/>
  <c r="G40" i="4"/>
  <c r="F41" i="4"/>
  <c r="G41" i="4"/>
  <c r="G42" i="4"/>
  <c r="F43" i="4"/>
  <c r="G43" i="4"/>
  <c r="F44" i="4"/>
  <c r="G44" i="4"/>
  <c r="G45" i="4"/>
  <c r="G46" i="4"/>
  <c r="G47" i="4"/>
  <c r="G48" i="4"/>
  <c r="G49" i="4"/>
  <c r="F50" i="4"/>
  <c r="G50" i="4"/>
  <c r="F51" i="4"/>
  <c r="G51" i="4"/>
  <c r="F52" i="4"/>
  <c r="G52" i="4"/>
  <c r="G53" i="4"/>
  <c r="F54" i="4"/>
  <c r="G54" i="4"/>
  <c r="F55" i="4"/>
  <c r="G55" i="4"/>
  <c r="F56" i="4"/>
  <c r="G56" i="4"/>
  <c r="F57" i="4"/>
  <c r="G57" i="4"/>
  <c r="F58" i="4"/>
  <c r="G58" i="4"/>
  <c r="F59" i="4"/>
  <c r="G59" i="4"/>
  <c r="G60" i="4"/>
  <c r="F61" i="4"/>
  <c r="G61" i="4"/>
  <c r="F62" i="4"/>
  <c r="G62" i="4"/>
  <c r="F63" i="4"/>
  <c r="G63" i="4"/>
  <c r="F64" i="4"/>
  <c r="G64" i="4"/>
  <c r="F65" i="4"/>
  <c r="G65" i="4"/>
  <c r="F66" i="4"/>
  <c r="G66" i="4"/>
  <c r="F67" i="4"/>
  <c r="G67" i="4"/>
  <c r="F68" i="4"/>
  <c r="G68" i="4"/>
  <c r="F69" i="4"/>
  <c r="G69" i="4"/>
  <c r="F70" i="4"/>
  <c r="G70" i="4"/>
  <c r="G71" i="4"/>
  <c r="G72" i="4"/>
  <c r="F73" i="4"/>
  <c r="G73" i="4"/>
  <c r="F82" i="4"/>
  <c r="F85" i="4"/>
  <c r="F86" i="4"/>
  <c r="F87" i="4"/>
  <c r="F89" i="4"/>
  <c r="F90" i="4"/>
  <c r="F91" i="4"/>
  <c r="F92" i="4"/>
  <c r="F93" i="4"/>
  <c r="F94" i="4"/>
  <c r="F9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Kevin G. Gallagher</author>
    <author>Gallagher, Kevin G.</author>
  </authors>
  <commentList>
    <comment ref="A65" authorId="0" shapeId="0" xr:uid="{00000000-0006-0000-0300-000001000000}">
      <text>
        <r>
          <rPr>
            <b/>
            <sz val="9"/>
            <color indexed="81"/>
            <rFont val="Tahoma"/>
            <family val="2"/>
          </rPr>
          <t>Kevin G. Gallagher:</t>
        </r>
        <r>
          <rPr>
            <sz val="9"/>
            <color indexed="81"/>
            <rFont val="Tahoma"/>
            <family val="2"/>
          </rPr>
          <t xml:space="preserve">
if kappa = sigma, delta values &gt; 1 lead to nonuniform currents, &gt;10 results in significant nonuniformities</t>
        </r>
      </text>
    </comment>
    <comment ref="N65" authorId="0" shapeId="0" xr:uid="{00000000-0006-0000-0300-000002000000}">
      <text>
        <r>
          <rPr>
            <b/>
            <sz val="9"/>
            <color indexed="81"/>
            <rFont val="Tahoma"/>
            <family val="2"/>
          </rPr>
          <t>Kevin G. Gallagher:</t>
        </r>
        <r>
          <rPr>
            <sz val="9"/>
            <color indexed="81"/>
            <rFont val="Tahoma"/>
            <family val="2"/>
          </rPr>
          <t xml:space="preserve">
if kappa = sigma, delta values &gt; 1 lead to nonuniform currents, &gt;10 results in significant nonuniformities</t>
        </r>
      </text>
    </comment>
    <comment ref="C67" authorId="1" shapeId="0" xr:uid="{00000000-0006-0000-0300-000003000000}">
      <text>
        <r>
          <rPr>
            <b/>
            <sz val="9"/>
            <color indexed="81"/>
            <rFont val="Tahoma"/>
            <family val="2"/>
          </rPr>
          <t>Gallagher, Kevin G.:</t>
        </r>
        <r>
          <rPr>
            <sz val="9"/>
            <color indexed="81"/>
            <rFont val="Tahoma"/>
            <family val="2"/>
          </rPr>
          <t xml:space="preserve">
changed default setting to 1.58 from 1.8 if delta is greater than 19.2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Kevin G. Gallagher</author>
  </authors>
  <commentList>
    <comment ref="A65" authorId="0" shapeId="0" xr:uid="{00000000-0006-0000-0400-000001000000}">
      <text>
        <r>
          <rPr>
            <b/>
            <sz val="9"/>
            <color indexed="81"/>
            <rFont val="Tahoma"/>
            <family val="2"/>
          </rPr>
          <t>Kevin G. Gallagher:</t>
        </r>
        <r>
          <rPr>
            <sz val="9"/>
            <color indexed="81"/>
            <rFont val="Tahoma"/>
            <family val="2"/>
          </rPr>
          <t xml:space="preserve">
if kappa = sigma, delta values &gt; 1 lead to nonuniform currents, &gt;10 results in significant nonuniformities</t>
        </r>
      </text>
    </comment>
    <comment ref="N65" authorId="0" shapeId="0" xr:uid="{00000000-0006-0000-0400-000002000000}">
      <text>
        <r>
          <rPr>
            <b/>
            <sz val="9"/>
            <color indexed="81"/>
            <rFont val="Tahoma"/>
            <family val="2"/>
          </rPr>
          <t>Kevin G. Gallagher:</t>
        </r>
        <r>
          <rPr>
            <sz val="9"/>
            <color indexed="81"/>
            <rFont val="Tahoma"/>
            <family val="2"/>
          </rPr>
          <t xml:space="preserve">
if kappa = sigma, delta values &gt; 1 lead to nonuniform currents, &gt;10 results in significant nonuniformities</t>
        </r>
      </text>
    </comment>
  </commentList>
</comments>
</file>

<file path=xl/sharedStrings.xml><?xml version="1.0" encoding="utf-8"?>
<sst xmlns="http://schemas.openxmlformats.org/spreadsheetml/2006/main" count="1786" uniqueCount="896">
  <si>
    <t>Calculated pack power at V/U</t>
    <phoneticPr fontId="42" type="noConversion"/>
  </si>
  <si>
    <r>
      <t>Electrode system ASI for energy, ohm-cm</t>
    </r>
    <r>
      <rPr>
        <vertAlign val="superscript"/>
        <sz val="10"/>
        <rFont val="Arial"/>
        <family val="2"/>
      </rPr>
      <t>2</t>
    </r>
  </si>
  <si>
    <t>Capacity at C/3, Ah</t>
  </si>
  <si>
    <t>Positive Electrode, g</t>
  </si>
  <si>
    <r>
      <t xml:space="preserve">Thick., </t>
    </r>
    <r>
      <rPr>
        <sz val="10"/>
        <rFont val="Symbol"/>
        <family val="1"/>
        <charset val="2"/>
      </rPr>
      <t>m</t>
    </r>
    <r>
      <rPr>
        <sz val="10"/>
        <rFont val="Arial"/>
        <family val="2"/>
      </rPr>
      <t>m</t>
    </r>
  </si>
  <si>
    <r>
      <t>Positive foil, m</t>
    </r>
    <r>
      <rPr>
        <vertAlign val="superscript"/>
        <sz val="10"/>
        <rFont val="Arial"/>
        <family val="2"/>
      </rPr>
      <t>2</t>
    </r>
  </si>
  <si>
    <r>
      <t>Negative foil, m</t>
    </r>
    <r>
      <rPr>
        <vertAlign val="superscript"/>
        <sz val="10"/>
        <rFont val="Arial"/>
        <family val="2"/>
      </rPr>
      <t>2</t>
    </r>
  </si>
  <si>
    <r>
      <t>Separator, m</t>
    </r>
    <r>
      <rPr>
        <vertAlign val="superscript"/>
        <sz val="10"/>
        <rFont val="Arial"/>
        <family val="2"/>
      </rPr>
      <t>2</t>
    </r>
  </si>
  <si>
    <t>Electrolyte , L</t>
  </si>
  <si>
    <t>Positive active material capacity, mAh/g:</t>
  </si>
  <si>
    <r>
      <t>Positive electrode capacity, Ah/cm</t>
    </r>
    <r>
      <rPr>
        <vertAlign val="superscript"/>
        <sz val="10"/>
        <rFont val="Arial"/>
        <family val="2"/>
      </rPr>
      <t>3</t>
    </r>
  </si>
  <si>
    <t>Negative active material capacity, mAh/g:</t>
  </si>
  <si>
    <r>
      <t>Negative electrode capacity, Ah/cm</t>
    </r>
    <r>
      <rPr>
        <vertAlign val="superscript"/>
        <sz val="10"/>
        <rFont val="Arial"/>
        <family val="2"/>
      </rPr>
      <t>3</t>
    </r>
  </si>
  <si>
    <t>Cell Capacity Parameters</t>
  </si>
  <si>
    <t>Cell Voltage and Resistance Parameters</t>
  </si>
  <si>
    <t>Cell mass, g</t>
  </si>
  <si>
    <t>Positive terminal assembly, g</t>
  </si>
  <si>
    <t>Negative terminal assembly, g</t>
  </si>
  <si>
    <t>Battery Input Parameters</t>
  </si>
  <si>
    <t>Balance of Cell</t>
  </si>
  <si>
    <t>Calculated Battery Parameters</t>
  </si>
  <si>
    <t>Balance of module materials</t>
  </si>
  <si>
    <t>Number of batteries manufactured per year</t>
  </si>
  <si>
    <t>Cell yield, %</t>
  </si>
  <si>
    <t>Unit Cell Materials Cost</t>
  </si>
  <si>
    <t>Baseline</t>
  </si>
  <si>
    <t>Positive Electrode, $/kg</t>
  </si>
  <si>
    <t>p</t>
  </si>
  <si>
    <t>Cost per</t>
  </si>
  <si>
    <t>Plus Cost</t>
  </si>
  <si>
    <t xml:space="preserve">     Active Material</t>
  </si>
  <si>
    <t>Mass, $/kg</t>
  </si>
  <si>
    <t>per Cell, $</t>
  </si>
  <si>
    <t>Positive terminal</t>
  </si>
  <si>
    <t xml:space="preserve">     Carbon Black</t>
  </si>
  <si>
    <t>Negative terminal</t>
  </si>
  <si>
    <t xml:space="preserve">     Binder PVDF</t>
  </si>
  <si>
    <t>Cell Container</t>
  </si>
  <si>
    <t xml:space="preserve">     Binder Solvent (NMP)</t>
  </si>
  <si>
    <t>Negative electrode material, $/kg</t>
  </si>
  <si>
    <t>Module state-of-charge regulator</t>
  </si>
  <si>
    <t xml:space="preserve">     Cost per cell, $</t>
  </si>
  <si>
    <t xml:space="preserve">     Plus cost per module, $</t>
  </si>
  <si>
    <r>
      <t>Separators, $/m</t>
    </r>
    <r>
      <rPr>
        <vertAlign val="superscript"/>
        <sz val="10"/>
        <rFont val="Arial"/>
        <family val="2"/>
      </rPr>
      <t>2</t>
    </r>
  </si>
  <si>
    <t>Electrolyte, $/L</t>
  </si>
  <si>
    <t xml:space="preserve">     Plus cost per battery, $</t>
  </si>
  <si>
    <t>Battery Assembly Costs</t>
  </si>
  <si>
    <t>Operation</t>
  </si>
  <si>
    <t>Plant</t>
  </si>
  <si>
    <t>Receiving</t>
  </si>
  <si>
    <t xml:space="preserve">     Pertinent volume: energy/year</t>
  </si>
  <si>
    <t xml:space="preserve">        Direct Labor, hours/year</t>
  </si>
  <si>
    <t xml:space="preserve">     Pertinent volume: cell area/year</t>
  </si>
  <si>
    <t xml:space="preserve">        Capital Equipment, million$</t>
  </si>
  <si>
    <t xml:space="preserve">        Plant Area, square meters</t>
  </si>
  <si>
    <t>Electrode Processing</t>
  </si>
  <si>
    <t>Materials preparation</t>
  </si>
  <si>
    <t xml:space="preserve">     Positive materials</t>
  </si>
  <si>
    <t>Formation Cycling</t>
  </si>
  <si>
    <t>Module Assembly</t>
  </si>
  <si>
    <t>Rejected Cell and Scrap Recycle</t>
  </si>
  <si>
    <t>Shipping</t>
  </si>
  <si>
    <t>Investment Costs</t>
  </si>
  <si>
    <t>Launch Cost rates</t>
  </si>
  <si>
    <t xml:space="preserve">     Percent of direct labor plus variable overhead, %</t>
  </si>
  <si>
    <t>Working capital, percent of annual variable cost, %</t>
  </si>
  <si>
    <t>Unit Cost of Battery Pack</t>
  </si>
  <si>
    <t>Direct labor rate, $/hr</t>
  </si>
  <si>
    <t>Fixed Expenses</t>
  </si>
  <si>
    <t>General, Sales, Administration rates</t>
  </si>
  <si>
    <t xml:space="preserve">     Percent of depreciation, %</t>
  </si>
  <si>
    <t>Research and Development rate, % of depreciation</t>
  </si>
  <si>
    <t>Depreciation rates</t>
  </si>
  <si>
    <r>
      <t xml:space="preserve">Profits After Taxes, </t>
    </r>
    <r>
      <rPr>
        <sz val="10"/>
        <rFont val="Arial"/>
        <family val="2"/>
      </rPr>
      <t>% of investment</t>
    </r>
  </si>
  <si>
    <t>Annual Processing Rates</t>
  </si>
  <si>
    <t>Number of accepted cells per year</t>
  </si>
  <si>
    <t>Number of cells adjusted for yield</t>
  </si>
  <si>
    <t>Direct Materials Costs</t>
  </si>
  <si>
    <t>Yield, %</t>
  </si>
  <si>
    <t xml:space="preserve">     Total</t>
  </si>
  <si>
    <r>
      <t>Positive current collector (aluminum foil), m</t>
    </r>
    <r>
      <rPr>
        <vertAlign val="superscript"/>
        <sz val="10"/>
        <rFont val="Arial"/>
        <family val="2"/>
      </rPr>
      <t>2</t>
    </r>
  </si>
  <si>
    <r>
      <t>Negative current collector (copper foil), m</t>
    </r>
    <r>
      <rPr>
        <vertAlign val="superscript"/>
        <sz val="10"/>
        <rFont val="Arial"/>
        <family val="2"/>
      </rPr>
      <t>2</t>
    </r>
  </si>
  <si>
    <r>
      <t>Separators, m</t>
    </r>
    <r>
      <rPr>
        <vertAlign val="superscript"/>
        <sz val="10"/>
        <rFont val="Arial"/>
        <family val="2"/>
      </rPr>
      <t>2</t>
    </r>
  </si>
  <si>
    <t>Electrolyte, L</t>
  </si>
  <si>
    <t>Annual Cell Materials Rates</t>
  </si>
  <si>
    <t xml:space="preserve">     Active Material, kg</t>
  </si>
  <si>
    <t xml:space="preserve">     Carbon Black, kg</t>
  </si>
  <si>
    <t xml:space="preserve">     Binder PVDF, kg</t>
  </si>
  <si>
    <t>Negative Electrode Material, kg</t>
  </si>
  <si>
    <t xml:space="preserve">     Active Material (graphite), kg</t>
  </si>
  <si>
    <t>Positive terminal assemblies</t>
  </si>
  <si>
    <t>Negative terminal assemblies</t>
  </si>
  <si>
    <t>Cell Containers</t>
  </si>
  <si>
    <t>Unit Cell Materials Costs</t>
  </si>
  <si>
    <t xml:space="preserve">     Positive terminal assembly</t>
  </si>
  <si>
    <t xml:space="preserve">     Negative terminal assembly</t>
  </si>
  <si>
    <t>Positive Electrode (dry)</t>
  </si>
  <si>
    <t>Negative electrode material (dry)</t>
  </si>
  <si>
    <t>Positive current collector (aluminum foil)</t>
  </si>
  <si>
    <t>Negative current collector (copper foil)</t>
  </si>
  <si>
    <t>Separators</t>
  </si>
  <si>
    <t>Electrolyte</t>
  </si>
  <si>
    <t>Positive terminal assembly, $/unit</t>
  </si>
  <si>
    <t>Negative terminal assembly, $/unit</t>
  </si>
  <si>
    <t>Total cost of cell winding materials, $</t>
  </si>
  <si>
    <t>Total cost of cell materials, $</t>
  </si>
  <si>
    <t>Battery 1</t>
  </si>
  <si>
    <t>Positive Electrode</t>
  </si>
  <si>
    <t>Active material</t>
  </si>
  <si>
    <t>Density</t>
  </si>
  <si>
    <t>Weight %</t>
  </si>
  <si>
    <t>Vol. %</t>
  </si>
  <si>
    <t>Carbon</t>
  </si>
  <si>
    <t>Binder</t>
  </si>
  <si>
    <t>Void</t>
  </si>
  <si>
    <t>Total</t>
  </si>
  <si>
    <r>
      <t>Electrode system ASI for power, ohm-cm</t>
    </r>
    <r>
      <rPr>
        <vertAlign val="superscript"/>
        <sz val="10"/>
        <rFont val="Arial"/>
        <family val="2"/>
      </rPr>
      <t>2</t>
    </r>
  </si>
  <si>
    <t>Excess negative area, %</t>
  </si>
  <si>
    <t>Current collector welding (number of cells/yr)</t>
  </si>
  <si>
    <t>Electrolyte filling, and cell sealing (number of cells/yr)</t>
  </si>
  <si>
    <t>Formation Cycling (number of cells/yr)</t>
  </si>
  <si>
    <t>Module Assembly (number of cells/yr)</t>
  </si>
  <si>
    <t xml:space="preserve">Rejected Cell and Scrap Recycle (number of cells/yr) </t>
  </si>
  <si>
    <t>Shipping (energy/yr)</t>
  </si>
  <si>
    <t>Launch Costs</t>
  </si>
  <si>
    <t xml:space="preserve">     Rate: 5% of direct annual materials + 10% of other annual costs</t>
  </si>
  <si>
    <t xml:space="preserve">     Total, million$</t>
  </si>
  <si>
    <t xml:space="preserve">Materials and Purchased Items </t>
  </si>
  <si>
    <t xml:space="preserve">     Cell materials</t>
  </si>
  <si>
    <t xml:space="preserve">     Cell purchased Items</t>
  </si>
  <si>
    <t xml:space="preserve">     Electrode processing</t>
  </si>
  <si>
    <t xml:space="preserve">     Cell assembly</t>
  </si>
  <si>
    <t xml:space="preserve">     Module and battery assembly</t>
  </si>
  <si>
    <t xml:space="preserve">     Receiving and shipping</t>
  </si>
  <si>
    <t xml:space="preserve">    Total</t>
  </si>
  <si>
    <t>Variable Overhead</t>
  </si>
  <si>
    <t>Total Variable Cost</t>
  </si>
  <si>
    <t>General, Sales, Administration</t>
  </si>
  <si>
    <t>Research and Development</t>
  </si>
  <si>
    <t>Depreciation</t>
  </si>
  <si>
    <t>Total Fixed Expenses</t>
  </si>
  <si>
    <t>Profits after taxes</t>
  </si>
  <si>
    <t xml:space="preserve">Direct Labor                     </t>
  </si>
  <si>
    <t xml:space="preserve">Variable Overhead  </t>
  </si>
  <si>
    <t xml:space="preserve">Profit     </t>
  </si>
  <si>
    <r>
      <t>Positive current collector foil, $/m</t>
    </r>
    <r>
      <rPr>
        <vertAlign val="superscript"/>
        <sz val="10"/>
        <rFont val="Arial"/>
        <family val="2"/>
      </rPr>
      <t>2</t>
    </r>
  </si>
  <si>
    <r>
      <t>Negative current collector foil, $/m</t>
    </r>
    <r>
      <rPr>
        <vertAlign val="superscript"/>
        <sz val="10"/>
        <rFont val="Arial"/>
        <family val="2"/>
      </rPr>
      <t>2</t>
    </r>
  </si>
  <si>
    <t>Negative Electrode, g</t>
  </si>
  <si>
    <t>Unit Cell Hardware Costs</t>
  </si>
  <si>
    <r>
      <t xml:space="preserve">     Cost, $/m</t>
    </r>
    <r>
      <rPr>
        <vertAlign val="superscript"/>
        <sz val="10"/>
        <rFont val="Arial"/>
        <family val="2"/>
      </rPr>
      <t>2</t>
    </r>
  </si>
  <si>
    <t>Capital equipment cost including installation, mil$</t>
  </si>
  <si>
    <t>Unit Cost of Battery Pack, $</t>
  </si>
  <si>
    <t>Summary of Unit Costs, $</t>
  </si>
  <si>
    <t>Negative-to-positive capacity ratio after formation</t>
  </si>
  <si>
    <t>Summary of Results</t>
  </si>
  <si>
    <t>Manufacturing Cost Calculations</t>
  </si>
  <si>
    <t>Cost Rates for Manufacturing</t>
  </si>
  <si>
    <t>Building, Land and Utilities</t>
  </si>
  <si>
    <t xml:space="preserve">     Building investment, mil$</t>
  </si>
  <si>
    <r>
      <t>Cost of building (including land and utilities), $/m</t>
    </r>
    <r>
      <rPr>
        <vertAlign val="superscript"/>
        <sz val="10"/>
        <rFont val="Arial"/>
        <family val="2"/>
      </rPr>
      <t>2</t>
    </r>
  </si>
  <si>
    <t>Total investment, mil$</t>
  </si>
  <si>
    <t>Nominal battery voltage (OCV at 50% SOC)</t>
  </si>
  <si>
    <t xml:space="preserve">     Pertinent volume: positive active mass/year</t>
  </si>
  <si>
    <t xml:space="preserve">     Pertinent volume: number of cells/year</t>
  </si>
  <si>
    <t xml:space="preserve">     Negative materials</t>
  </si>
  <si>
    <t xml:space="preserve">     Pertinent volume: negative active mass/year</t>
  </si>
  <si>
    <t>Current collector welding</t>
  </si>
  <si>
    <t>Electrode coating</t>
  </si>
  <si>
    <t>Electrolyte filling, and cell sealing</t>
  </si>
  <si>
    <r>
      <t xml:space="preserve">Negative electrode thickness at adjusted % OCV, </t>
    </r>
    <r>
      <rPr>
        <sz val="10"/>
        <rFont val="Symbol"/>
        <family val="1"/>
        <charset val="2"/>
      </rPr>
      <t>m</t>
    </r>
    <r>
      <rPr>
        <sz val="10"/>
        <rFont val="Arial"/>
        <family val="2"/>
      </rPr>
      <t>m</t>
    </r>
  </si>
  <si>
    <t>Calculated Cell Parameters</t>
  </si>
  <si>
    <t>Baseline Manufacturing Rates</t>
  </si>
  <si>
    <t>Balance of module materials, g</t>
  </si>
  <si>
    <t>Cost inputs that vary with cell chemistry</t>
  </si>
  <si>
    <t>Cost inputs that are do not vary with chemistry</t>
  </si>
  <si>
    <t>Area determined at target % OCV</t>
  </si>
  <si>
    <t>Variable Cost</t>
  </si>
  <si>
    <t xml:space="preserve">Area limited by max. allowed electrode thickness, </t>
  </si>
  <si>
    <t>Cell Chemistry Input</t>
  </si>
  <si>
    <t>Battery Performance and Design Input</t>
  </si>
  <si>
    <t>Capacity, Ah</t>
  </si>
  <si>
    <t>Vehicle Electric Range</t>
  </si>
  <si>
    <t>Available battery energy, % of total</t>
  </si>
  <si>
    <t>Vehicle electric range, miles</t>
  </si>
  <si>
    <t>Cell Chemistry</t>
  </si>
  <si>
    <r>
      <t>Density, g/cm</t>
    </r>
    <r>
      <rPr>
        <u/>
        <vertAlign val="superscript"/>
        <sz val="10"/>
        <rFont val="Arial"/>
        <family val="2"/>
      </rPr>
      <t>3</t>
    </r>
  </si>
  <si>
    <t>Negative Electrode</t>
  </si>
  <si>
    <t>Positive Foil</t>
  </si>
  <si>
    <t>Material</t>
  </si>
  <si>
    <t>Negative Foil</t>
  </si>
  <si>
    <r>
      <t xml:space="preserve">Thickness, </t>
    </r>
    <r>
      <rPr>
        <sz val="10"/>
        <rFont val="Symbol"/>
        <family val="1"/>
        <charset val="2"/>
      </rPr>
      <t>m</t>
    </r>
    <r>
      <rPr>
        <sz val="10"/>
        <rFont val="Arial"/>
        <family val="2"/>
      </rPr>
      <t>m</t>
    </r>
  </si>
  <si>
    <t>Separator</t>
  </si>
  <si>
    <t>Aluminum</t>
  </si>
  <si>
    <t>N/P capacity ratio after formation</t>
  </si>
  <si>
    <t>Active material capacity, mAh/g:</t>
  </si>
  <si>
    <r>
      <t xml:space="preserve">Maximum electrode coating thickness, </t>
    </r>
    <r>
      <rPr>
        <sz val="10"/>
        <rFont val="Symbol"/>
        <family val="1"/>
        <charset val="2"/>
      </rPr>
      <t>m</t>
    </r>
    <r>
      <rPr>
        <sz val="10"/>
        <rFont val="Arial"/>
        <family val="2"/>
      </rPr>
      <t>m</t>
    </r>
  </si>
  <si>
    <t>Default Values</t>
  </si>
  <si>
    <t>Other</t>
  </si>
  <si>
    <t>Values</t>
  </si>
  <si>
    <t>Cell Materials Costs</t>
  </si>
  <si>
    <t>Copper</t>
  </si>
  <si>
    <t xml:space="preserve">     Active material</t>
  </si>
  <si>
    <t>Override</t>
  </si>
  <si>
    <t>Override Values</t>
  </si>
  <si>
    <t>Positive Electrode Materials (dry), g</t>
  </si>
  <si>
    <t>Negative Electrode Materials (dry), g</t>
  </si>
  <si>
    <t>Binder solvent recovery, %</t>
  </si>
  <si>
    <t>Effective full days of operation per year</t>
  </si>
  <si>
    <t>Receiving (Energy/yr)</t>
  </si>
  <si>
    <t>Number of annual 8-h shifts</t>
  </si>
  <si>
    <t xml:space="preserve">     Binder Solvent (NMP) makeup, kg</t>
  </si>
  <si>
    <t>Materials</t>
  </si>
  <si>
    <t>Calendering</t>
  </si>
  <si>
    <t>Slitting</t>
  </si>
  <si>
    <t>Materials preparation and delivery to coating</t>
  </si>
  <si>
    <t>Inserting cell in container</t>
  </si>
  <si>
    <t>Battery Pack Assembly and Testing</t>
  </si>
  <si>
    <t>Inter-process materials handling (area/yr)</t>
  </si>
  <si>
    <t>Inserting cell in container (number of cell/yr)</t>
  </si>
  <si>
    <t xml:space="preserve">        Cell Capacity, Ah</t>
  </si>
  <si>
    <t xml:space="preserve">        Baseline Cell Capacity, Ah</t>
  </si>
  <si>
    <t>Energy, kWh per year</t>
  </si>
  <si>
    <r>
      <t>Electrode area, m</t>
    </r>
    <r>
      <rPr>
        <vertAlign val="superscript"/>
        <sz val="10"/>
        <rFont val="Arial"/>
        <family val="2"/>
      </rPr>
      <t>2</t>
    </r>
    <r>
      <rPr>
        <sz val="10"/>
        <rFont val="Arial"/>
        <family val="2"/>
      </rPr>
      <t xml:space="preserve"> per year</t>
    </r>
  </si>
  <si>
    <t>Operation (Pertinent rate)</t>
  </si>
  <si>
    <t xml:space="preserve">     Volume ratio (volume/baseline volume)</t>
  </si>
  <si>
    <t xml:space="preserve">     Positive materials (positive mass/yr)</t>
  </si>
  <si>
    <t xml:space="preserve">     Negative materials (negative mass/yr)</t>
  </si>
  <si>
    <t xml:space="preserve">     Positive materials (area/yr)</t>
  </si>
  <si>
    <t xml:space="preserve">     Negative materials area/yr)</t>
  </si>
  <si>
    <t>Electrode Slitting (area/yr)</t>
  </si>
  <si>
    <t>Total Cell Materials per Accepted Cell</t>
  </si>
  <si>
    <t>Positive electrode material (dry)</t>
  </si>
  <si>
    <t>Materials yield per accepted cell, %</t>
  </si>
  <si>
    <t>Cost Input</t>
  </si>
  <si>
    <t>Open circuit voltage average for discharge, V</t>
  </si>
  <si>
    <t>Cell thickness, mm</t>
  </si>
  <si>
    <t>Cell Dimensions</t>
  </si>
  <si>
    <t>Width of cell, mm</t>
  </si>
  <si>
    <t>Length of cell, mm</t>
  </si>
  <si>
    <r>
      <t xml:space="preserve">     Area, m</t>
    </r>
    <r>
      <rPr>
        <vertAlign val="superscript"/>
        <sz val="10"/>
        <rFont val="Arial"/>
        <family val="2"/>
      </rPr>
      <t>2</t>
    </r>
  </si>
  <si>
    <r>
      <t>Limiting current density, mA/cm</t>
    </r>
    <r>
      <rPr>
        <vertAlign val="superscript"/>
        <sz val="10"/>
        <rFont val="Arial"/>
        <family val="2"/>
      </rPr>
      <t>2</t>
    </r>
  </si>
  <si>
    <t>Limiting C-rate, A/Ah</t>
  </si>
  <si>
    <t>C-rate at full power, A/Ah</t>
  </si>
  <si>
    <r>
      <t>Volume of cell, cm</t>
    </r>
    <r>
      <rPr>
        <vertAlign val="superscript"/>
        <sz val="10"/>
        <rFont val="Arial"/>
        <family val="2"/>
      </rPr>
      <t>3</t>
    </r>
  </si>
  <si>
    <t>Capacity holding</t>
  </si>
  <si>
    <t>Convergence parameter</t>
  </si>
  <si>
    <t>Positive electrode thickness</t>
  </si>
  <si>
    <r>
      <t>Negative electrode cm</t>
    </r>
    <r>
      <rPr>
        <vertAlign val="superscript"/>
        <sz val="10"/>
        <rFont val="Arial"/>
        <family val="2"/>
      </rPr>
      <t>2</t>
    </r>
    <r>
      <rPr>
        <sz val="10"/>
        <rFont val="Arial"/>
        <family val="2"/>
      </rPr>
      <t>/cm</t>
    </r>
    <r>
      <rPr>
        <vertAlign val="superscript"/>
        <sz val="10"/>
        <rFont val="Arial"/>
        <family val="2"/>
      </rPr>
      <t>3</t>
    </r>
  </si>
  <si>
    <r>
      <t>Positive electrode cm</t>
    </r>
    <r>
      <rPr>
        <vertAlign val="superscript"/>
        <sz val="10"/>
        <rFont val="Arial"/>
        <family val="2"/>
      </rPr>
      <t>2</t>
    </r>
    <r>
      <rPr>
        <sz val="10"/>
        <rFont val="Arial"/>
        <family val="2"/>
      </rPr>
      <t>/cm</t>
    </r>
    <r>
      <rPr>
        <vertAlign val="superscript"/>
        <sz val="10"/>
        <rFont val="Arial"/>
        <family val="2"/>
      </rPr>
      <t>3</t>
    </r>
  </si>
  <si>
    <t>Width of terminals, mm</t>
  </si>
  <si>
    <t>Open circuit voltage at 50% SOC, V</t>
  </si>
  <si>
    <t>Solid state diffusion limiting C-rate (10-s), A/Ah</t>
  </si>
  <si>
    <t>Duration of power burst (10 or 2), s</t>
  </si>
  <si>
    <t xml:space="preserve">     At 50% SOC, 2-sec burst</t>
  </si>
  <si>
    <t xml:space="preserve">     At 50% SOC, 10-sec burst</t>
  </si>
  <si>
    <r>
      <t>Density, g/cm</t>
    </r>
    <r>
      <rPr>
        <vertAlign val="superscript"/>
        <sz val="10"/>
        <rFont val="Arial"/>
        <family val="2"/>
      </rPr>
      <t>3</t>
    </r>
  </si>
  <si>
    <t>Module length, mm</t>
  </si>
  <si>
    <t>Module width, mm</t>
  </si>
  <si>
    <t>Module height, mm</t>
  </si>
  <si>
    <t xml:space="preserve">     Carbon</t>
  </si>
  <si>
    <t xml:space="preserve">     Carbon, kg</t>
  </si>
  <si>
    <t xml:space="preserve">Number of cells per module </t>
  </si>
  <si>
    <t>Number of modules in row</t>
  </si>
  <si>
    <t>Battery pack insulation thickness, mm</t>
  </si>
  <si>
    <t>Battery jacket total thickness, mm</t>
  </si>
  <si>
    <t>Solvent recovery</t>
  </si>
  <si>
    <t>Binder solvent (NMP) recovery (kg/yr)</t>
  </si>
  <si>
    <t>Binder solvent</t>
  </si>
  <si>
    <t>NMP</t>
  </si>
  <si>
    <t>Cell stacking (number of cells)</t>
  </si>
  <si>
    <t xml:space="preserve">     Binder Solvent</t>
  </si>
  <si>
    <t>Cell stacking</t>
  </si>
  <si>
    <t>Positive Active  Material</t>
  </si>
  <si>
    <t>Negative Active  Material</t>
  </si>
  <si>
    <t>Carbon and Binders</t>
  </si>
  <si>
    <t>Positive Current Collector</t>
  </si>
  <si>
    <t>Negative Current Collector</t>
  </si>
  <si>
    <t>Cell Hardware</t>
  </si>
  <si>
    <t>Module Hardware</t>
  </si>
  <si>
    <t xml:space="preserve">     Binder Solvent (water)</t>
  </si>
  <si>
    <r>
      <t>Positive current collector, $/m</t>
    </r>
    <r>
      <rPr>
        <vertAlign val="superscript"/>
        <sz val="10"/>
        <rFont val="Arial"/>
        <family val="2"/>
      </rPr>
      <t>2</t>
    </r>
  </si>
  <si>
    <t>Target % OCV at full power</t>
  </si>
  <si>
    <t>Maximum current at full power, A</t>
  </si>
  <si>
    <t>% OCV at full power adjusted for thickness limit</t>
  </si>
  <si>
    <t>ASI Calculation</t>
  </si>
  <si>
    <r>
      <t>Cell area based on total ASI for power, cm</t>
    </r>
    <r>
      <rPr>
        <vertAlign val="superscript"/>
        <sz val="10"/>
        <rFont val="Arial"/>
        <family val="2"/>
      </rPr>
      <t>2</t>
    </r>
  </si>
  <si>
    <r>
      <t xml:space="preserve">Positive electrode thickness at adjusted % OCV, </t>
    </r>
    <r>
      <rPr>
        <sz val="10"/>
        <rFont val="Symbol"/>
        <family val="1"/>
        <charset val="2"/>
      </rPr>
      <t>m</t>
    </r>
    <r>
      <rPr>
        <sz val="10"/>
        <rFont val="Arial"/>
        <family val="2"/>
      </rPr>
      <t>m</t>
    </r>
  </si>
  <si>
    <t>Inter-process Materials Handling</t>
  </si>
  <si>
    <t>Electrode Slitting (positive and negative)</t>
  </si>
  <si>
    <t>Vacuum Drying of Electrodes</t>
  </si>
  <si>
    <t>Control Laboratory</t>
  </si>
  <si>
    <r>
      <t>Dry room operating area, m</t>
    </r>
    <r>
      <rPr>
        <vertAlign val="superscript"/>
        <sz val="10"/>
        <rFont val="Arial"/>
        <family val="2"/>
      </rPr>
      <t>2</t>
    </r>
  </si>
  <si>
    <t xml:space="preserve">     Binder</t>
  </si>
  <si>
    <t>Dry Room Control (operating area, sq. meters)</t>
  </si>
  <si>
    <t>Warranty Cost, % added to price</t>
  </si>
  <si>
    <t>Dry room airlocks and management</t>
  </si>
  <si>
    <t>Length of terminal material, mm</t>
  </si>
  <si>
    <t>Thickness of terminal material, mm</t>
  </si>
  <si>
    <t>Length-to-width ratio for positive electrode</t>
  </si>
  <si>
    <r>
      <t>Total cell ASI for power, ohm-cm</t>
    </r>
    <r>
      <rPr>
        <vertAlign val="superscript"/>
        <sz val="10"/>
        <rFont val="Arial"/>
        <family val="2"/>
      </rPr>
      <t>2</t>
    </r>
  </si>
  <si>
    <t>Current collector resistance parameter, ohms</t>
  </si>
  <si>
    <t>Length of current collector tabs, mm</t>
  </si>
  <si>
    <r>
      <t>Current collector ASI, ohms-cm</t>
    </r>
    <r>
      <rPr>
        <vertAlign val="superscript"/>
        <sz val="10"/>
        <rFont val="Arial"/>
        <family val="2"/>
      </rPr>
      <t>2</t>
    </r>
  </si>
  <si>
    <t>Number of bicell layers (97% packing density)</t>
  </si>
  <si>
    <t>Module state-of-charge regulator assembly, g</t>
  </si>
  <si>
    <t>Module volume, L</t>
  </si>
  <si>
    <t>Top of positive electrode to top of terminal, mm</t>
  </si>
  <si>
    <t xml:space="preserve">     Selected ASI value</t>
  </si>
  <si>
    <t>Select capacity, battery energy, or vehicle range, but only one.</t>
  </si>
  <si>
    <t>Module Parameters</t>
  </si>
  <si>
    <t>Module terminals, if more than one module (each 2.0-cm long), g</t>
  </si>
  <si>
    <t>Cell terminal contact voltage loss, % of cell OCV</t>
  </si>
  <si>
    <r>
      <t xml:space="preserve">Rate of terminal temperature rise at full power, </t>
    </r>
    <r>
      <rPr>
        <vertAlign val="superscript"/>
        <sz val="10"/>
        <rFont val="Arial"/>
        <family val="2"/>
      </rPr>
      <t>o</t>
    </r>
    <r>
      <rPr>
        <sz val="10"/>
        <rFont val="Arial"/>
        <family val="2"/>
      </rPr>
      <t>C/sec</t>
    </r>
  </si>
  <si>
    <t>Module terminal resistance both terminals, ohms</t>
  </si>
  <si>
    <t>Resistance of module interconnects if more than one module, ohms</t>
  </si>
  <si>
    <t xml:space="preserve">Terminal heating factor, W/g </t>
  </si>
  <si>
    <t xml:space="preserve">   Vehicle range (miles)</t>
  </si>
  <si>
    <t>Program for Calculating Performance and Materials Requirements</t>
  </si>
  <si>
    <t>Restart (0/1)</t>
  </si>
  <si>
    <r>
      <t>Maximum current density at full power, mA/cm</t>
    </r>
    <r>
      <rPr>
        <vertAlign val="superscript"/>
        <sz val="10"/>
        <rFont val="Arial"/>
        <family val="2"/>
      </rPr>
      <t>2</t>
    </r>
  </si>
  <si>
    <r>
      <t>Dry room, enclosed operating area, m</t>
    </r>
    <r>
      <rPr>
        <vertAlign val="subscript"/>
        <sz val="10"/>
        <rFont val="Arial"/>
        <family val="2"/>
      </rPr>
      <t>2</t>
    </r>
  </si>
  <si>
    <t xml:space="preserve">     Formation cycling, testing and sealing</t>
  </si>
  <si>
    <t xml:space="preserve">     Control laboratory</t>
  </si>
  <si>
    <t>Void, Vol% %</t>
  </si>
  <si>
    <t xml:space="preserve">     EV</t>
  </si>
  <si>
    <t xml:space="preserve">     Selected % energy</t>
  </si>
  <si>
    <t>Positive active material, kg per year</t>
  </si>
  <si>
    <t>Negative active material, kg per year</t>
  </si>
  <si>
    <t>Binder solvent, kg per year</t>
  </si>
  <si>
    <t xml:space="preserve">     Pertinent volume: NMP mass/year</t>
  </si>
  <si>
    <t>Mixing</t>
  </si>
  <si>
    <t>Coating</t>
  </si>
  <si>
    <t>Electrode</t>
  </si>
  <si>
    <t>Filling</t>
  </si>
  <si>
    <t>Materials Yields During Processing</t>
  </si>
  <si>
    <t>Thickness of module compression plates (steel), mm</t>
  </si>
  <si>
    <t>Positive binder solvent evaporated, kg</t>
  </si>
  <si>
    <t>Negative binder solvent evaporated, kg</t>
  </si>
  <si>
    <t>Positive binder solvent evaporated, kg per year</t>
  </si>
  <si>
    <t>Negative binder solvent evaporated, kg per year</t>
  </si>
  <si>
    <t xml:space="preserve">     Module</t>
  </si>
  <si>
    <t>Width of positive electrode, mm</t>
  </si>
  <si>
    <t>Length of positive electrode, mm</t>
  </si>
  <si>
    <t>Battery Pack Assembly and Testing, 100,000 Battery Packs per year</t>
  </si>
  <si>
    <t>Summary for Battery Pack</t>
  </si>
  <si>
    <t>Total Direct Labor, hours/year</t>
  </si>
  <si>
    <t>Total Plant Area, square meters</t>
  </si>
  <si>
    <t>Total Capital Equipment, million$</t>
  </si>
  <si>
    <t>Summary for Cost of Modules Only</t>
  </si>
  <si>
    <t xml:space="preserve">     microHEV and HEV-HP</t>
  </si>
  <si>
    <t>Useable battery energy storage, kWh</t>
  </si>
  <si>
    <t>Thickness of cell edge from positive electrode to outside of fold, mm</t>
  </si>
  <si>
    <r>
      <t>Negative current collector, $/m</t>
    </r>
    <r>
      <rPr>
        <vertAlign val="superscript"/>
        <sz val="10"/>
        <rFont val="Arial"/>
        <family val="2"/>
      </rPr>
      <t>2</t>
    </r>
  </si>
  <si>
    <t>Positive current collector</t>
  </si>
  <si>
    <t>Negative current collector</t>
  </si>
  <si>
    <t xml:space="preserve">     Total (dry)</t>
  </si>
  <si>
    <t>Cell Assembly in Dry Room</t>
  </si>
  <si>
    <t xml:space="preserve">     Pertinent volume: dry room operating area, sq. meters</t>
  </si>
  <si>
    <t>Final Cell sealing</t>
  </si>
  <si>
    <t>Charge-Retention Testing</t>
  </si>
  <si>
    <t>Cell container (PET-Al-PP), g</t>
  </si>
  <si>
    <t>Density of cell container, g/cm3</t>
  </si>
  <si>
    <t>Thickness of cell container aluminum layer, µm</t>
  </si>
  <si>
    <t>Thickness of cell container (PET-Al-PP), µm</t>
  </si>
  <si>
    <t>Cell container, $/unit</t>
  </si>
  <si>
    <t xml:space="preserve">     Cell container</t>
  </si>
  <si>
    <t xml:space="preserve">Aluminum thermal conductor </t>
  </si>
  <si>
    <t>$/kWh</t>
  </si>
  <si>
    <t>PHEV</t>
  </si>
  <si>
    <t xml:space="preserve">     Cost per battery, $</t>
  </si>
  <si>
    <t>Power of battery heaters, kW</t>
  </si>
  <si>
    <t xml:space="preserve">Aluminum thermal conductors (each) </t>
  </si>
  <si>
    <t xml:space="preserve">Aluminum thermal conductors/module </t>
  </si>
  <si>
    <t>Cell group interconnects (copper)</t>
  </si>
  <si>
    <t>Total cost per module</t>
  </si>
  <si>
    <t>Cost of Battery Pack Materials and Purchased Items, $</t>
  </si>
  <si>
    <t>Battery Jacket</t>
  </si>
  <si>
    <t>Battery jacket</t>
  </si>
  <si>
    <t>Number of cells in parallel</t>
  </si>
  <si>
    <t>OCV at full power, V</t>
  </si>
  <si>
    <t>Cell capacity</t>
  </si>
  <si>
    <t>Module terminals</t>
  </si>
  <si>
    <t>Terminal resistance factor, A-ohms/cm</t>
  </si>
  <si>
    <t xml:space="preserve">        Number of modules per pack</t>
  </si>
  <si>
    <t>Cell</t>
  </si>
  <si>
    <t>Stacking</t>
  </si>
  <si>
    <t xml:space="preserve">     Cost per battery jacket weight, $/kg</t>
  </si>
  <si>
    <t xml:space="preserve">        Number of modules per Pack</t>
  </si>
  <si>
    <t xml:space="preserve">     Percent of capital equipment investment (6-year rate), %</t>
  </si>
  <si>
    <t xml:space="preserve">     Percent of building investment (20-year rate), % </t>
  </si>
  <si>
    <t>State-of-charge regulator and safety monitors</t>
  </si>
  <si>
    <t>Module Purchased Materials Cost</t>
  </si>
  <si>
    <t>Alum. heat conductor</t>
  </si>
  <si>
    <t>MicroHEV</t>
  </si>
  <si>
    <t>HEV-HP</t>
  </si>
  <si>
    <t>and EV</t>
  </si>
  <si>
    <t>Battery Management System</t>
  </si>
  <si>
    <t>Thermal Controls</t>
  </si>
  <si>
    <t>Module controls, $/module</t>
  </si>
  <si>
    <t>Current and voltage sensing, $</t>
  </si>
  <si>
    <t>Battery terminals</t>
  </si>
  <si>
    <t>Module compression plates and steel straps</t>
  </si>
  <si>
    <t>Electrode Coating Thickness Calculation</t>
  </si>
  <si>
    <t>Auto. battery disconnect, $</t>
  </si>
  <si>
    <t>Manual disconnect, $</t>
  </si>
  <si>
    <t xml:space="preserve">     Plus cost per interconnect, $</t>
  </si>
  <si>
    <t>Battery current and voltage sensing, $</t>
  </si>
  <si>
    <t>Module controls</t>
  </si>
  <si>
    <t>Automatic battery disconnect, $</t>
  </si>
  <si>
    <t>Total cost of battery management system</t>
  </si>
  <si>
    <t xml:space="preserve">     Battery pack</t>
  </si>
  <si>
    <t>Price to OEM for battery pack, $</t>
  </si>
  <si>
    <t xml:space="preserve">Carbon </t>
  </si>
  <si>
    <t xml:space="preserve">     % of direct labor</t>
  </si>
  <si>
    <t>Variable overhead rate</t>
  </si>
  <si>
    <t>Battery Pack Total</t>
  </si>
  <si>
    <t>Volume, L</t>
  </si>
  <si>
    <t>System</t>
  </si>
  <si>
    <t>Cost of Pack Integration (BMS &amp; Disconnects)</t>
  </si>
  <si>
    <t>Battery power at target % OCV and SOC, kW</t>
  </si>
  <si>
    <t>Voltage drop for bus bar for packs with one row of modules, V</t>
  </si>
  <si>
    <t>Thermal Management System</t>
  </si>
  <si>
    <t>Hardware Costs, $/unit</t>
  </si>
  <si>
    <t>Module wall material</t>
  </si>
  <si>
    <t>Battery Purchased Materials Cost</t>
  </si>
  <si>
    <t>Module compression plates and steel straps, $,kg</t>
  </si>
  <si>
    <t xml:space="preserve">     Plus cost per capacity, $/A (rounded up)</t>
  </si>
  <si>
    <t>Module Inter-connectors and signal wiring</t>
  </si>
  <si>
    <t>Coolant space above and below modules, mm</t>
  </si>
  <si>
    <t xml:space="preserve">     Plus cost per capacity, $/Ah</t>
  </si>
  <si>
    <t xml:space="preserve">     Cost per mass, $/kg</t>
  </si>
  <si>
    <t xml:space="preserve">   (or thermal group enclosure)</t>
  </si>
  <si>
    <t xml:space="preserve">     Cell and materials rejection and recycling</t>
  </si>
  <si>
    <t xml:space="preserve">     % of depreciation</t>
  </si>
  <si>
    <r>
      <t xml:space="preserve">Positive electrode thickness parameter, </t>
    </r>
    <r>
      <rPr>
        <sz val="10"/>
        <rFont val="Symbol"/>
        <family val="1"/>
        <charset val="2"/>
      </rPr>
      <t>m</t>
    </r>
    <r>
      <rPr>
        <sz val="10"/>
        <rFont val="Arial"/>
        <family val="2"/>
      </rPr>
      <t>m</t>
    </r>
  </si>
  <si>
    <r>
      <t xml:space="preserve">Negative electrode thickness parameter, </t>
    </r>
    <r>
      <rPr>
        <sz val="10"/>
        <rFont val="Symbol"/>
        <family val="1"/>
        <charset val="2"/>
      </rPr>
      <t>m</t>
    </r>
    <r>
      <rPr>
        <sz val="10"/>
        <rFont val="Arial"/>
        <family val="2"/>
      </rPr>
      <t>m</t>
    </r>
  </si>
  <si>
    <t>Final Cell Sealing (number of cells/yr)</t>
  </si>
  <si>
    <t>Maximum allowable ASI for limiting capacity</t>
  </si>
  <si>
    <r>
      <t xml:space="preserve">Default maximum allowable electrode coating thickness, </t>
    </r>
    <r>
      <rPr>
        <sz val="10"/>
        <rFont val="Symbol"/>
        <family val="1"/>
        <charset val="2"/>
      </rPr>
      <t>m</t>
    </r>
    <r>
      <rPr>
        <sz val="10"/>
        <rFont val="Arial"/>
        <family val="2"/>
      </rPr>
      <t>m</t>
    </r>
  </si>
  <si>
    <t>Capacity estimating parameter</t>
  </si>
  <si>
    <t>Wh/kg</t>
  </si>
  <si>
    <t>Module wall thickness, mm</t>
  </si>
  <si>
    <t>Thickness of pack extensions for air-cooled packs, mm</t>
  </si>
  <si>
    <t>Total volume of pack extensions for air-cooled packs, L</t>
  </si>
  <si>
    <t>Battery pack length (A dimension), mm</t>
  </si>
  <si>
    <t>Battery pack width (B dimension), mm</t>
  </si>
  <si>
    <t>Battery pack height (C dimension), mm</t>
  </si>
  <si>
    <t>Number of modules in parallel</t>
  </si>
  <si>
    <t>Number of battery packs manufactured per year</t>
  </si>
  <si>
    <t>Total unit cost per pack not including warranty, $</t>
  </si>
  <si>
    <t>Bus bar for packs with one row of modules or</t>
  </si>
  <si>
    <t xml:space="preserve">     multiple modules or packs in parallel, $ each</t>
  </si>
  <si>
    <t>Bus bar for battery packs with one row of modules</t>
  </si>
  <si>
    <t>Bus bars for interconnecting multiple battery packs</t>
  </si>
  <si>
    <t>Bus bars for battery packs with parallel modules</t>
  </si>
  <si>
    <t>Additional for parallel modules and packs, $ per string</t>
  </si>
  <si>
    <t>Charge Retention Testing (number of cells/yr)</t>
  </si>
  <si>
    <t>Cell capacity, Ah</t>
  </si>
  <si>
    <t>Energy requirement of battery pack, Wh/mile</t>
  </si>
  <si>
    <t>Calculated Battery Pack Parameters</t>
  </si>
  <si>
    <t>Total battery pack energy storage, kWh</t>
  </si>
  <si>
    <t>Number of battery packs</t>
  </si>
  <si>
    <t>Battery system total energy storage, kWh</t>
  </si>
  <si>
    <t>Battery system power at target % OCV, kW</t>
  </si>
  <si>
    <t>Required battery system power, kW</t>
  </si>
  <si>
    <t>Number of rows of modules per pack</t>
  </si>
  <si>
    <t>Number of modules per battery pack</t>
  </si>
  <si>
    <t>Cells per battery pack</t>
  </si>
  <si>
    <t>Total cells per battery system</t>
  </si>
  <si>
    <t>Battery pack power, kW</t>
  </si>
  <si>
    <t>Module capacity, Ah</t>
  </si>
  <si>
    <t>Additions to AC system**, $/kW</t>
  </si>
  <si>
    <t>**No charge for cabin air cooling</t>
  </si>
  <si>
    <t>Baseline thermal system*, $</t>
  </si>
  <si>
    <t>Total cost of materials for cells and battery pack, $</t>
  </si>
  <si>
    <t>Manual disconnect per pack, $</t>
  </si>
  <si>
    <r>
      <t>Cell terminal and connection ASI, ohms-cm</t>
    </r>
    <r>
      <rPr>
        <vertAlign val="superscript"/>
        <sz val="10"/>
        <rFont val="Arial"/>
        <family val="2"/>
      </rPr>
      <t>2</t>
    </r>
  </si>
  <si>
    <t>Resistance of module and pack hardware per cell, ohms</t>
  </si>
  <si>
    <t>Resistance of module and pack per module, ohms</t>
  </si>
  <si>
    <t>Pack Capacity Calculation</t>
  </si>
  <si>
    <t xml:space="preserve">   Pack capacity (Ah)</t>
  </si>
  <si>
    <t xml:space="preserve">   Pack energy (kWh)</t>
  </si>
  <si>
    <r>
      <t xml:space="preserve">Positive electrode thickness, if at maximum , </t>
    </r>
    <r>
      <rPr>
        <sz val="10"/>
        <rFont val="Symbol"/>
        <family val="1"/>
        <charset val="2"/>
      </rPr>
      <t>m</t>
    </r>
    <r>
      <rPr>
        <sz val="10"/>
        <rFont val="Arial"/>
        <family val="2"/>
      </rPr>
      <t>m</t>
    </r>
  </si>
  <si>
    <r>
      <t xml:space="preserve">     Solvent evaporated, kg/m</t>
    </r>
    <r>
      <rPr>
        <vertAlign val="superscript"/>
        <sz val="10"/>
        <rFont val="Arial"/>
        <family val="2"/>
      </rPr>
      <t>2</t>
    </r>
    <r>
      <rPr>
        <sz val="10"/>
        <rFont val="Arial"/>
        <family val="2"/>
      </rPr>
      <t>yr</t>
    </r>
  </si>
  <si>
    <t>Working capital (15% of annual variable costs), mil$</t>
  </si>
  <si>
    <t>Direct Labor at</t>
  </si>
  <si>
    <t>$/hour</t>
  </si>
  <si>
    <t>Basic Cost Factors</t>
  </si>
  <si>
    <t>Total cost per battery pack</t>
  </si>
  <si>
    <t>Additional for multiple packs, $/additional pack</t>
  </si>
  <si>
    <t>Number of packs per vehicle (parallel or series)</t>
  </si>
  <si>
    <t xml:space="preserve">     Packs in series or parallel</t>
  </si>
  <si>
    <t>Nominal battery system voltage (OCV at 50% SOC),V</t>
  </si>
  <si>
    <t xml:space="preserve">     At 20% SOC range, 10-sec burst</t>
  </si>
  <si>
    <t>ASI correction factor</t>
  </si>
  <si>
    <r>
      <t>Electrode system ASI for power at SOC for vehicle type, ohm-cm</t>
    </r>
    <r>
      <rPr>
        <vertAlign val="superscript"/>
        <sz val="10"/>
        <rFont val="Arial"/>
        <family val="2"/>
      </rPr>
      <t>2</t>
    </r>
  </si>
  <si>
    <t>Cell Materials Cost, $/cell</t>
  </si>
  <si>
    <t>Cost of Module Materials and Purchased Items, $/module</t>
  </si>
  <si>
    <t>Pack heat transfer fluid (EG-W, CA, CoolA )</t>
  </si>
  <si>
    <t>Battery system capacity, Ah</t>
  </si>
  <si>
    <t xml:space="preserve">Cell group capacity </t>
  </si>
  <si>
    <t>Pack capacity, Ah</t>
  </si>
  <si>
    <t>Baseeline Plant Summary</t>
  </si>
  <si>
    <t>Total battery cost to OEM, $</t>
  </si>
  <si>
    <t>Pack integration (BMS &amp; Disconnects), $/pack</t>
  </si>
  <si>
    <t xml:space="preserve">Selected </t>
  </si>
  <si>
    <t>Cost</t>
  </si>
  <si>
    <t>Battery system volume (all packs), L</t>
  </si>
  <si>
    <t xml:space="preserve">Purchased Items </t>
  </si>
  <si>
    <t>Cell group capacity, Ah</t>
  </si>
  <si>
    <t>Battery pack capacity, Ah</t>
  </si>
  <si>
    <t>Number of cells per pack</t>
  </si>
  <si>
    <t>Mass of each cell group interconnect (copper), g</t>
  </si>
  <si>
    <t>Module mass, kg</t>
  </si>
  <si>
    <t>Mass of each module inter-connect (5-cm long), g</t>
  </si>
  <si>
    <t>Mass of module compression plates and steel straps, g</t>
  </si>
  <si>
    <t>Warranty (includes battery pack(s) only)</t>
  </si>
  <si>
    <t>Resistance of battery pack terminals</t>
  </si>
  <si>
    <t xml:space="preserve">     Potential positive error, %</t>
  </si>
  <si>
    <t xml:space="preserve">     Potential negative error, %</t>
  </si>
  <si>
    <t>Negative-to-positive electrode thickness ratio</t>
  </si>
  <si>
    <t>Module resistance , ohms</t>
  </si>
  <si>
    <r>
      <t>Total cell hardware and battery ASI, ohm-cm</t>
    </r>
    <r>
      <rPr>
        <vertAlign val="superscript"/>
        <sz val="10"/>
        <rFont val="Arial"/>
        <family val="2"/>
      </rPr>
      <t>2</t>
    </r>
  </si>
  <si>
    <t>Mass of battery pack and integration unit, kg</t>
  </si>
  <si>
    <t>Battery system mass (all packs), kg</t>
  </si>
  <si>
    <t>Energy requirement of vehicle on UDDS cycle (default = 250), Wh/mile</t>
  </si>
  <si>
    <t>Estimated Total Battery Cost to OEM, US$</t>
  </si>
  <si>
    <r>
      <t xml:space="preserve">Negative electrode thickness, if at maximum , </t>
    </r>
    <r>
      <rPr>
        <sz val="10"/>
        <rFont val="Symbol"/>
        <family val="1"/>
        <charset val="2"/>
      </rPr>
      <t>m</t>
    </r>
    <r>
      <rPr>
        <sz val="10"/>
        <rFont val="Arial"/>
        <family val="2"/>
      </rPr>
      <t>m</t>
    </r>
  </si>
  <si>
    <r>
      <t xml:space="preserve">Thickest electrode, </t>
    </r>
    <r>
      <rPr>
        <sz val="10"/>
        <rFont val="Symbol"/>
        <family val="1"/>
        <charset val="2"/>
      </rPr>
      <t>m</t>
    </r>
    <r>
      <rPr>
        <sz val="10"/>
        <rFont val="Arial"/>
        <family val="2"/>
      </rPr>
      <t>m</t>
    </r>
  </si>
  <si>
    <t>Length of pack extensions for air cooled packs, mm</t>
  </si>
  <si>
    <t>*$60 additional for each added pack</t>
  </si>
  <si>
    <t>Battery System Values</t>
  </si>
  <si>
    <t>Power, kW</t>
  </si>
  <si>
    <t>Wh/L</t>
  </si>
  <si>
    <t>Power - net, average</t>
  </si>
  <si>
    <t>(kPa)</t>
  </si>
  <si>
    <t>Additional for parallel modules and multiple packs, $</t>
  </si>
  <si>
    <t>Error bars on price to OEM for battery pack, %</t>
  </si>
  <si>
    <t xml:space="preserve">     Parallel packs (P) or series (S)</t>
  </si>
  <si>
    <t>Materials and Purchased Items Summary, $/Pack</t>
  </si>
  <si>
    <t>Power - max gross</t>
  </si>
  <si>
    <t>Power - ave gross</t>
  </si>
  <si>
    <t>Building, land, utilities (100K packs/yr*)</t>
  </si>
  <si>
    <t>Materials and purchased items, $/pack</t>
  </si>
  <si>
    <t>Direct labor, $/pack</t>
  </si>
  <si>
    <t>Cost Breakdown Analysis</t>
  </si>
  <si>
    <t>OCV at  20% SOC , V</t>
  </si>
  <si>
    <t>(m2)</t>
  </si>
  <si>
    <r>
      <t>Electrolyte density, g/cm</t>
    </r>
    <r>
      <rPr>
        <b/>
        <vertAlign val="superscript"/>
        <sz val="11"/>
        <rFont val="Arial"/>
        <family val="2"/>
      </rPr>
      <t>3</t>
    </r>
  </si>
  <si>
    <t>Parameters for Finished Cell</t>
  </si>
  <si>
    <r>
      <t>Cell Area Calculation, cm</t>
    </r>
    <r>
      <rPr>
        <b/>
        <vertAlign val="superscript"/>
        <sz val="11"/>
        <rFont val="Arial"/>
        <family val="2"/>
      </rPr>
      <t>2</t>
    </r>
  </si>
  <si>
    <t>Multipliers for Overhead to Basic Costs</t>
  </si>
  <si>
    <t>Multiplier</t>
  </si>
  <si>
    <t>Number of 8-hr shifts per day (2 for shipping and receiving)</t>
  </si>
  <si>
    <t>Iterate (1 = yes, 0 = reset)</t>
  </si>
  <si>
    <t>Target pressure drop</t>
  </si>
  <si>
    <t>(cm2)</t>
  </si>
  <si>
    <t>Aspect Ratio</t>
  </si>
  <si>
    <t>(length/width)</t>
  </si>
  <si>
    <t>(um) - 1/2 stamping depth or DM thickness</t>
  </si>
  <si>
    <t>DM Darcy</t>
  </si>
  <si>
    <t>(10^-12 m2)</t>
  </si>
  <si>
    <t>DM Aerial weight</t>
  </si>
  <si>
    <t>(g/m2)</t>
  </si>
  <si>
    <t>Pack integration unit (BMS &amp; disconnects), L</t>
  </si>
  <si>
    <t>Pack integration unit (BMS &amp; disconnects, ave. density = 1.0), kg</t>
  </si>
  <si>
    <t>Volume of battery pack and integration unit, L</t>
  </si>
  <si>
    <t>Battery system weight (all packs), kg</t>
  </si>
  <si>
    <t>Battery  Pack Integration System</t>
  </si>
  <si>
    <t xml:space="preserve">     Percent of direct annual materials and purch.items cost, %</t>
  </si>
  <si>
    <t>Heating system**, $/kW/pack</t>
  </si>
  <si>
    <t>Mass, kg</t>
  </si>
  <si>
    <t>Packaging</t>
  </si>
  <si>
    <t>Seal</t>
  </si>
  <si>
    <t>(mm)</t>
  </si>
  <si>
    <t>Mass of bus bar for packs with one row of modules, g</t>
  </si>
  <si>
    <t>Mass of battery pack heaters (0.1 kg/kW), kg</t>
  </si>
  <si>
    <t>Battery coolant mass within jacket, kg</t>
  </si>
  <si>
    <r>
      <t>Battery jacket mass parameter, g/cm</t>
    </r>
    <r>
      <rPr>
        <vertAlign val="superscript"/>
        <sz val="10"/>
        <rFont val="Arial"/>
        <family val="2"/>
      </rPr>
      <t>2</t>
    </r>
  </si>
  <si>
    <t>Total mass of pack extensions for air-cooled packs, kg</t>
  </si>
  <si>
    <t>Battery jacket mass, kg</t>
  </si>
  <si>
    <t>layer thickness</t>
  </si>
  <si>
    <t>Total Volume Flow</t>
  </si>
  <si>
    <t>(kg/m3)</t>
  </si>
  <si>
    <t>Area</t>
  </si>
  <si>
    <t>Header Velocity</t>
  </si>
  <si>
    <t>(m/s)</t>
  </si>
  <si>
    <t>Header Dynamic</t>
  </si>
  <si>
    <t>Ratio to Flow Field</t>
  </si>
  <si>
    <t>Air delivery manifold</t>
  </si>
  <si>
    <t>H</t>
  </si>
  <si>
    <t>Constants</t>
  </si>
  <si>
    <t>Ru</t>
  </si>
  <si>
    <t>(J/molK)</t>
  </si>
  <si>
    <t>F</t>
  </si>
  <si>
    <t>(A-s/e-mol)</t>
  </si>
  <si>
    <t>n</t>
  </si>
  <si>
    <t>(e-mol/O2-mol)</t>
  </si>
  <si>
    <t>XO2</t>
  </si>
  <si>
    <t>(O2/air mol)</t>
  </si>
  <si>
    <t>Inputs</t>
  </si>
  <si>
    <t>Power - net</t>
  </si>
  <si>
    <t>(kW)</t>
  </si>
  <si>
    <t>(kWhr)</t>
  </si>
  <si>
    <t>delta SOC</t>
  </si>
  <si>
    <t>(%)</t>
  </si>
  <si>
    <t>Compressor ave power</t>
  </si>
  <si>
    <t>Design cell to meet rated gross power at 80% of OCV at end of discharge</t>
  </si>
  <si>
    <t>Total pack energy</t>
  </si>
  <si>
    <t>kWh</t>
  </si>
  <si>
    <t>Total pack power</t>
  </si>
  <si>
    <t>kW</t>
  </si>
  <si>
    <t>T amb</t>
  </si>
  <si>
    <t>(C)</t>
  </si>
  <si>
    <t>T battery</t>
  </si>
  <si>
    <t>Stoich</t>
  </si>
  <si>
    <t>input</t>
  </si>
  <si>
    <t>Pack</t>
  </si>
  <si>
    <t>Iterate positive (1 = yes, 0 = reset)</t>
  </si>
  <si>
    <t>Warning</t>
  </si>
  <si>
    <t>Impedance source</t>
  </si>
  <si>
    <t>units</t>
  </si>
  <si>
    <t>Current collector</t>
  </si>
  <si>
    <t>Capital equipment (100K packs/yr*)</t>
  </si>
  <si>
    <t>*For other production rates multiply by 100,000/rate</t>
  </si>
  <si>
    <t>Outputs (for other sections)</t>
  </si>
  <si>
    <t>Energy - EC</t>
  </si>
  <si>
    <r>
      <t>Conduction of Li</t>
    </r>
    <r>
      <rPr>
        <vertAlign val="superscript"/>
        <sz val="11"/>
        <color theme="1"/>
        <rFont val="Calibri"/>
        <family val="2"/>
        <scheme val="minor"/>
      </rPr>
      <t>+</t>
    </r>
    <r>
      <rPr>
        <sz val="10"/>
        <rFont val="Arial"/>
        <family val="2"/>
      </rPr>
      <t xml:space="preserve"> through ceramic</t>
    </r>
  </si>
  <si>
    <t xml:space="preserve">  Thickness</t>
  </si>
  <si>
    <r>
      <t xml:space="preserve">  Bulk ionic conductivity, </t>
    </r>
    <r>
      <rPr>
        <sz val="11"/>
        <color indexed="8"/>
        <rFont val="Symbol"/>
        <family val="1"/>
        <charset val="2"/>
      </rPr>
      <t>k</t>
    </r>
  </si>
  <si>
    <t>S/cm</t>
  </si>
  <si>
    <t>Ceramic intercalation kinetics</t>
  </si>
  <si>
    <t>Charge transfer between liquid electroltye and solid ceramic electrolyte</t>
  </si>
  <si>
    <t>Positive porous electrode</t>
  </si>
  <si>
    <t>Compression resiliant carbon felt-like composite electrode material</t>
  </si>
  <si>
    <r>
      <t xml:space="preserve">  Discharged volume fraction, </t>
    </r>
    <r>
      <rPr>
        <sz val="11"/>
        <color indexed="8"/>
        <rFont val="Symbol"/>
        <family val="1"/>
        <charset val="2"/>
      </rPr>
      <t>e</t>
    </r>
  </si>
  <si>
    <t>Current Collectors</t>
  </si>
  <si>
    <t>(-) thickness</t>
  </si>
  <si>
    <t>(um)</t>
  </si>
  <si>
    <t>(+) thickness</t>
  </si>
  <si>
    <t>calcs</t>
  </si>
  <si>
    <t>Flow Field</t>
  </si>
  <si>
    <t xml:space="preserve"> Test for Tafel applicability</t>
  </si>
  <si>
    <t xml:space="preserve"> Newman and Tobias expression</t>
  </si>
  <si>
    <t>Tafel kinetics</t>
  </si>
  <si>
    <r>
      <t xml:space="preserve">    Exchange current, i</t>
    </r>
    <r>
      <rPr>
        <vertAlign val="subscript"/>
        <sz val="11"/>
        <color theme="1"/>
        <rFont val="Calibri"/>
        <family val="2"/>
        <scheme val="minor"/>
      </rPr>
      <t>0</t>
    </r>
  </si>
  <si>
    <r>
      <t xml:space="preserve">    Transfer coefficent, </t>
    </r>
    <r>
      <rPr>
        <sz val="11"/>
        <color indexed="8"/>
        <rFont val="Symbol"/>
        <family val="1"/>
        <charset val="2"/>
      </rPr>
      <t>a</t>
    </r>
  </si>
  <si>
    <r>
      <t xml:space="preserve">    (1-</t>
    </r>
    <r>
      <rPr>
        <sz val="11"/>
        <color indexed="8"/>
        <rFont val="Symbol"/>
        <family val="1"/>
        <charset val="2"/>
      </rPr>
      <t>a</t>
    </r>
    <r>
      <rPr>
        <sz val="10"/>
        <rFont val="Arial"/>
        <family val="2"/>
      </rPr>
      <t xml:space="preserve">)F/RT, </t>
    </r>
    <r>
      <rPr>
        <sz val="11"/>
        <color indexed="8"/>
        <rFont val="Symbol"/>
        <family val="1"/>
        <charset val="2"/>
      </rPr>
      <t>b</t>
    </r>
  </si>
  <si>
    <t>1/V</t>
  </si>
  <si>
    <r>
      <t xml:space="preserve">    Dimensionless current, </t>
    </r>
    <r>
      <rPr>
        <sz val="11"/>
        <color indexed="8"/>
        <rFont val="Symbol"/>
        <family val="1"/>
        <charset val="2"/>
      </rPr>
      <t>d</t>
    </r>
  </si>
  <si>
    <t>N/A</t>
  </si>
  <si>
    <r>
      <t xml:space="preserve">    Epsilon, </t>
    </r>
    <r>
      <rPr>
        <sz val="11"/>
        <color indexed="8"/>
        <rFont val="Symbol"/>
        <family val="1"/>
        <charset val="2"/>
      </rPr>
      <t>e</t>
    </r>
  </si>
  <si>
    <t>DM cost</t>
  </si>
  <si>
    <t>($/m2)</t>
  </si>
  <si>
    <t>Flow Field type</t>
  </si>
  <si>
    <t>(stamped or DM)</t>
  </si>
  <si>
    <t>stamped</t>
  </si>
  <si>
    <t>air viscosity</t>
  </si>
  <si>
    <t>(Pa-s)</t>
  </si>
  <si>
    <t>O2 in</t>
  </si>
  <si>
    <t>(mol/s/footprint)</t>
  </si>
  <si>
    <t>Number of modules per pack</t>
  </si>
  <si>
    <t>dP stamped</t>
  </si>
  <si>
    <t>dP DM</t>
  </si>
  <si>
    <t>Overpotential as function of cell region</t>
  </si>
  <si>
    <t>LEAVE</t>
  </si>
  <si>
    <t>BLANK</t>
  </si>
  <si>
    <t>Total DM area</t>
  </si>
  <si>
    <t>W</t>
  </si>
  <si>
    <t>(cm)</t>
  </si>
  <si>
    <t>L</t>
  </si>
  <si>
    <t>Wcc/W</t>
  </si>
  <si>
    <t>Air Headers (and gap)</t>
  </si>
  <si>
    <t>Coolant Headers (and gap)</t>
  </si>
  <si>
    <t>Battery Gas Delivery System</t>
  </si>
  <si>
    <t>Calculated pack power at V/U</t>
  </si>
  <si>
    <t>Compressor</t>
  </si>
  <si>
    <t>Compressor efficiency</t>
  </si>
  <si>
    <t>cp (J/gK)</t>
  </si>
  <si>
    <t>(J/gK)</t>
  </si>
  <si>
    <t>gama</t>
  </si>
  <si>
    <t>O2 max</t>
  </si>
  <si>
    <t>(mol/s)</t>
  </si>
  <si>
    <t>N2 max</t>
  </si>
  <si>
    <t>Flow max</t>
  </si>
  <si>
    <t>(g/s)</t>
  </si>
  <si>
    <t>Compressor max power</t>
  </si>
  <si>
    <t>O2 ave</t>
  </si>
  <si>
    <t>N2 ave</t>
  </si>
  <si>
    <t>Flow ave</t>
  </si>
  <si>
    <t>Battery volume (all packs), L</t>
  </si>
  <si>
    <t>Battery mass (all packs), kg</t>
  </si>
  <si>
    <t>Total system, kg</t>
  </si>
  <si>
    <t>Total system, L</t>
  </si>
  <si>
    <t>Total cost for gas delivery</t>
  </si>
  <si>
    <t>Loading, mAh/cm2</t>
  </si>
  <si>
    <t>Total system price</t>
  </si>
  <si>
    <t>$/kg</t>
  </si>
  <si>
    <t>g/cm3</t>
  </si>
  <si>
    <t>t (um)</t>
  </si>
  <si>
    <t>$/m2</t>
  </si>
  <si>
    <t>Number of cells</t>
  </si>
  <si>
    <t>Pack area required</t>
  </si>
  <si>
    <r>
      <t>m</t>
    </r>
    <r>
      <rPr>
        <vertAlign val="superscript"/>
        <sz val="11"/>
        <color theme="1"/>
        <rFont val="Calibri"/>
        <family val="2"/>
        <scheme val="minor"/>
      </rPr>
      <t>2</t>
    </r>
  </si>
  <si>
    <t>Thermodynamic cell voltage, U</t>
  </si>
  <si>
    <t>V</t>
  </si>
  <si>
    <t>Cell area</t>
  </si>
  <si>
    <r>
      <t>cm</t>
    </r>
    <r>
      <rPr>
        <vertAlign val="superscript"/>
        <sz val="11"/>
        <color theme="1"/>
        <rFont val="Calibri"/>
        <family val="2"/>
        <scheme val="minor"/>
      </rPr>
      <t>2</t>
    </r>
  </si>
  <si>
    <t>Parasitic Power - peak</t>
  </si>
  <si>
    <t>match</t>
  </si>
  <si>
    <t>Parasitic Power - average</t>
  </si>
  <si>
    <r>
      <t>A/cm</t>
    </r>
    <r>
      <rPr>
        <vertAlign val="superscript"/>
        <sz val="11"/>
        <color theme="1"/>
        <rFont val="Calibri"/>
        <family val="2"/>
        <scheme val="minor"/>
      </rPr>
      <t>2</t>
    </r>
  </si>
  <si>
    <t>V/U</t>
  </si>
  <si>
    <t xml:space="preserve">  Calc current at rated power</t>
  </si>
  <si>
    <t xml:space="preserve">  Calc cell voltage for energy</t>
  </si>
  <si>
    <t>Capacity, C</t>
  </si>
  <si>
    <r>
      <t>mAh/cm</t>
    </r>
    <r>
      <rPr>
        <vertAlign val="superscript"/>
        <sz val="11"/>
        <color theme="1"/>
        <rFont val="Calibri"/>
        <family val="2"/>
        <scheme val="minor"/>
      </rPr>
      <t>2</t>
    </r>
  </si>
  <si>
    <t>Iterate current (1 = yes, 0 = reset)</t>
  </si>
  <si>
    <t>check</t>
  </si>
  <si>
    <r>
      <t xml:space="preserve">  Overpotential, </t>
    </r>
    <r>
      <rPr>
        <sz val="11"/>
        <color indexed="8"/>
        <rFont val="Symbol"/>
        <family val="1"/>
        <charset val="2"/>
      </rPr>
      <t>h</t>
    </r>
  </si>
  <si>
    <t xml:space="preserve">    ASI</t>
  </si>
  <si>
    <r>
      <t>Ohm cm</t>
    </r>
    <r>
      <rPr>
        <vertAlign val="superscript"/>
        <sz val="11"/>
        <color theme="1"/>
        <rFont val="Calibri"/>
        <family val="2"/>
        <scheme val="minor"/>
      </rPr>
      <t>2</t>
    </r>
  </si>
  <si>
    <t>Lithium metal electrode</t>
  </si>
  <si>
    <t>Energy - provided</t>
  </si>
  <si>
    <t xml:space="preserve">  Thickness, L</t>
  </si>
  <si>
    <t>cm</t>
  </si>
  <si>
    <t xml:space="preserve">  Kinetic model</t>
  </si>
  <si>
    <t>Butler-Volmer</t>
  </si>
  <si>
    <r>
      <t xml:space="preserve">  Exchange current, i</t>
    </r>
    <r>
      <rPr>
        <vertAlign val="subscript"/>
        <sz val="11"/>
        <color theme="1"/>
        <rFont val="Calibri"/>
        <family val="2"/>
        <scheme val="minor"/>
      </rPr>
      <t>0</t>
    </r>
  </si>
  <si>
    <r>
      <t xml:space="preserve">  Transfer coefficent, </t>
    </r>
    <r>
      <rPr>
        <sz val="11"/>
        <color indexed="8"/>
        <rFont val="Symbol"/>
        <family val="1"/>
        <charset val="2"/>
      </rPr>
      <t>a</t>
    </r>
  </si>
  <si>
    <r>
      <t xml:space="preserve">  Surface overpotential, </t>
    </r>
    <r>
      <rPr>
        <sz val="11"/>
        <color indexed="8"/>
        <rFont val="Symbol"/>
        <family val="1"/>
        <charset val="2"/>
      </rPr>
      <t>h</t>
    </r>
  </si>
  <si>
    <t>Ceramic electrolyte</t>
  </si>
  <si>
    <r>
      <t>mAh/cm</t>
    </r>
    <r>
      <rPr>
        <vertAlign val="superscript"/>
        <sz val="11"/>
        <color theme="1"/>
        <rFont val="Calibri"/>
        <family val="2"/>
        <scheme val="minor"/>
      </rPr>
      <t>3</t>
    </r>
  </si>
  <si>
    <t xml:space="preserve">    Active material (product)</t>
  </si>
  <si>
    <r>
      <t>cm</t>
    </r>
    <r>
      <rPr>
        <vertAlign val="superscript"/>
        <sz val="11"/>
        <color theme="1"/>
        <rFont val="Calibri"/>
        <family val="2"/>
        <scheme val="minor"/>
      </rPr>
      <t>3</t>
    </r>
    <r>
      <rPr>
        <sz val="10"/>
        <rFont val="Arial"/>
        <family val="2"/>
      </rPr>
      <t>/cm</t>
    </r>
    <r>
      <rPr>
        <vertAlign val="superscript"/>
        <sz val="11"/>
        <color theme="1"/>
        <rFont val="Calibri"/>
        <family val="2"/>
        <scheme val="minor"/>
      </rPr>
      <t>3</t>
    </r>
  </si>
  <si>
    <t xml:space="preserve">    Electrolyte</t>
  </si>
  <si>
    <t xml:space="preserve">    Carbon felt/matrix</t>
  </si>
  <si>
    <t xml:space="preserve">  Specific interfacial area, a</t>
  </si>
  <si>
    <r>
      <t>cm</t>
    </r>
    <r>
      <rPr>
        <vertAlign val="superscript"/>
        <sz val="11"/>
        <color theme="1"/>
        <rFont val="Calibri"/>
        <family val="2"/>
        <scheme val="minor"/>
      </rPr>
      <t>2</t>
    </r>
    <r>
      <rPr>
        <sz val="10"/>
        <rFont val="Arial"/>
        <family val="2"/>
      </rPr>
      <t>/cm</t>
    </r>
    <r>
      <rPr>
        <vertAlign val="superscript"/>
        <sz val="11"/>
        <color theme="1"/>
        <rFont val="Calibri"/>
        <family val="2"/>
        <scheme val="minor"/>
      </rPr>
      <t>3</t>
    </r>
  </si>
  <si>
    <t xml:space="preserve">     Roughness factor</t>
  </si>
  <si>
    <r>
      <t>cm</t>
    </r>
    <r>
      <rPr>
        <vertAlign val="superscript"/>
        <sz val="11"/>
        <color theme="1"/>
        <rFont val="Calibri"/>
        <family val="2"/>
        <scheme val="minor"/>
      </rPr>
      <t>2</t>
    </r>
    <r>
      <rPr>
        <sz val="10"/>
        <rFont val="Arial"/>
        <family val="2"/>
      </rPr>
      <t>/cm</t>
    </r>
    <r>
      <rPr>
        <vertAlign val="superscript"/>
        <sz val="11"/>
        <color theme="1"/>
        <rFont val="Calibri"/>
        <family val="2"/>
        <scheme val="minor"/>
      </rPr>
      <t>2</t>
    </r>
  </si>
  <si>
    <r>
      <t xml:space="preserve">  Electrolyte conductivity, </t>
    </r>
    <r>
      <rPr>
        <sz val="11"/>
        <color indexed="8"/>
        <rFont val="Symbol"/>
        <family val="1"/>
        <charset val="2"/>
      </rPr>
      <t>k</t>
    </r>
    <r>
      <rPr>
        <vertAlign val="subscript"/>
        <sz val="11"/>
        <color theme="1"/>
        <rFont val="Calibri"/>
        <family val="2"/>
        <scheme val="minor"/>
      </rPr>
      <t>eff</t>
    </r>
  </si>
  <si>
    <r>
      <t xml:space="preserve">  Matrix conductivity, </t>
    </r>
    <r>
      <rPr>
        <sz val="11"/>
        <color indexed="8"/>
        <rFont val="Symbol"/>
        <family val="1"/>
        <charset val="2"/>
      </rPr>
      <t>s</t>
    </r>
    <r>
      <rPr>
        <vertAlign val="subscript"/>
        <sz val="11"/>
        <color theme="1"/>
        <rFont val="Calibri"/>
        <family val="2"/>
        <scheme val="minor"/>
      </rPr>
      <t>eff</t>
    </r>
  </si>
  <si>
    <r>
      <t xml:space="preserve">    theta iterate, </t>
    </r>
    <r>
      <rPr>
        <sz val="11"/>
        <color indexed="8"/>
        <rFont val="Symbol"/>
        <family val="1"/>
        <charset val="2"/>
      </rPr>
      <t>q</t>
    </r>
  </si>
  <si>
    <t>radians</t>
  </si>
  <si>
    <r>
      <t xml:space="preserve">    placeholder, tan( </t>
    </r>
    <r>
      <rPr>
        <sz val="11"/>
        <color indexed="8"/>
        <rFont val="Symbol"/>
        <family val="1"/>
        <charset val="2"/>
      </rPr>
      <t xml:space="preserve">q </t>
    </r>
    <r>
      <rPr>
        <sz val="10"/>
        <rFont val="Arial"/>
        <family val="2"/>
      </rPr>
      <t>)</t>
    </r>
  </si>
  <si>
    <r>
      <t xml:space="preserve">    tan( </t>
    </r>
    <r>
      <rPr>
        <sz val="11"/>
        <color indexed="8"/>
        <rFont val="Symbol"/>
        <family val="1"/>
        <charset val="2"/>
      </rPr>
      <t xml:space="preserve">q </t>
    </r>
    <r>
      <rPr>
        <sz val="10"/>
        <rFont val="Arial"/>
        <family val="2"/>
      </rPr>
      <t>)</t>
    </r>
  </si>
  <si>
    <r>
      <t xml:space="preserve">    Si, </t>
    </r>
    <r>
      <rPr>
        <sz val="11"/>
        <color indexed="8"/>
        <rFont val="Symbol"/>
        <family val="1"/>
        <charset val="2"/>
      </rPr>
      <t>y</t>
    </r>
  </si>
  <si>
    <t>O2 out</t>
  </si>
  <si>
    <t>N2</t>
  </si>
  <si>
    <t>mol flow average</t>
  </si>
  <si>
    <t>vol flow</t>
  </si>
  <si>
    <t>(m3/s)</t>
  </si>
  <si>
    <t>Dh</t>
  </si>
  <si>
    <t>(m)</t>
  </si>
  <si>
    <t>Linear kinetics</t>
  </si>
  <si>
    <r>
      <t xml:space="preserve">   Dimnsnlss. current density,</t>
    </r>
    <r>
      <rPr>
        <sz val="11"/>
        <color indexed="8"/>
        <rFont val="Symbol"/>
        <family val="1"/>
        <charset val="2"/>
      </rPr>
      <t>u</t>
    </r>
  </si>
  <si>
    <t xml:space="preserve">  ASI for porous electrode</t>
  </si>
  <si>
    <t>Rated Power, 2C pulse</t>
  </si>
  <si>
    <t>Rated Energy, C/3 discharge</t>
  </si>
  <si>
    <t>Total cell ASI</t>
  </si>
  <si>
    <t>Total overpotential</t>
  </si>
  <si>
    <t>Cell Capacity Parameters Inputs From Battery Design</t>
    <phoneticPr fontId="42" type="noConversion"/>
  </si>
  <si>
    <r>
      <t>Positive electrode capacity, Ah/cm</t>
    </r>
    <r>
      <rPr>
        <vertAlign val="superscript"/>
        <sz val="11"/>
        <rFont val="Arial"/>
        <family val="2"/>
      </rPr>
      <t>3</t>
    </r>
  </si>
  <si>
    <t>Volume %</t>
  </si>
  <si>
    <t>Electrode type</t>
  </si>
  <si>
    <t>Open</t>
  </si>
  <si>
    <t>Open porosity</t>
  </si>
  <si>
    <t>Electrolyte, Vol% %</t>
  </si>
  <si>
    <t>Pouch</t>
  </si>
  <si>
    <r>
      <t>moles of e- / mole of O</t>
    </r>
    <r>
      <rPr>
        <vertAlign val="subscript"/>
        <sz val="10"/>
        <rFont val="Arial"/>
        <family val="2"/>
      </rPr>
      <t>2</t>
    </r>
  </si>
  <si>
    <t>Electrolyte conductivity prefactor</t>
  </si>
  <si>
    <t>ORR kinetic prefactor</t>
  </si>
  <si>
    <t>Cell capacity, Q</t>
  </si>
  <si>
    <t>Ah</t>
  </si>
  <si>
    <t>Specific capacity, C</t>
  </si>
  <si>
    <t>Negative electrode thickness</t>
    <phoneticPr fontId="42" type="noConversion"/>
  </si>
  <si>
    <t>Positive electrode thickness at adjusted % OCV</t>
    <phoneticPr fontId="42" type="noConversion"/>
  </si>
  <si>
    <r>
      <t xml:space="preserve"> m</t>
    </r>
    <r>
      <rPr>
        <sz val="10"/>
        <rFont val="Arial"/>
        <family val="2"/>
      </rPr>
      <t>m</t>
    </r>
    <phoneticPr fontId="42" type="noConversion"/>
  </si>
  <si>
    <t>Negative electrode thickness at adjusted % OCV</t>
    <phoneticPr fontId="42" type="noConversion"/>
  </si>
  <si>
    <r>
      <t xml:space="preserve"> m</t>
    </r>
    <r>
      <rPr>
        <sz val="10"/>
        <rFont val="Arial"/>
        <family val="2"/>
      </rPr>
      <t>m</t>
    </r>
    <phoneticPr fontId="42" type="noConversion"/>
  </si>
  <si>
    <r>
      <t>Cell area, cm</t>
    </r>
    <r>
      <rPr>
        <b/>
        <vertAlign val="superscript"/>
        <sz val="11"/>
        <rFont val="Arial"/>
        <family val="2"/>
      </rPr>
      <t>2</t>
    </r>
    <phoneticPr fontId="42" type="noConversion"/>
  </si>
  <si>
    <t>cm2</t>
    <phoneticPr fontId="42" type="noConversion"/>
  </si>
  <si>
    <t>Layer area, Alayer</t>
    <phoneticPr fontId="42" type="noConversion"/>
  </si>
  <si>
    <t>cm2</t>
    <phoneticPr fontId="42" type="noConversion"/>
  </si>
  <si>
    <t>Cost of Gas Delivery (Compressor &amp; Ducting)</t>
  </si>
  <si>
    <t>Gas delivery, $</t>
  </si>
  <si>
    <t>Current at rated power</t>
  </si>
  <si>
    <t>Tabs</t>
  </si>
  <si>
    <t>Thickness of cell, mm</t>
  </si>
  <si>
    <t>Area, m2</t>
  </si>
  <si>
    <t>Gas cleanup, L</t>
  </si>
  <si>
    <t>Gas cleanup, kg</t>
  </si>
  <si>
    <t>Number of layers per cell, Nlayer</t>
    <phoneticPr fontId="42" type="noConversion"/>
  </si>
  <si>
    <t>Ip</t>
    <phoneticPr fontId="42" type="noConversion"/>
  </si>
  <si>
    <t>A/cm2</t>
    <phoneticPr fontId="42" type="noConversion"/>
  </si>
  <si>
    <t>V</t>
    <phoneticPr fontId="42" type="noConversion"/>
  </si>
  <si>
    <t>V</t>
    <phoneticPr fontId="42" type="noConversion"/>
  </si>
  <si>
    <t>ASIp</t>
    <phoneticPr fontId="42" type="noConversion"/>
  </si>
  <si>
    <t>Ohm cm2</t>
    <phoneticPr fontId="42" type="noConversion"/>
  </si>
  <si>
    <t>ASIe</t>
    <phoneticPr fontId="42" type="noConversion"/>
  </si>
  <si>
    <t>Vp/U</t>
    <phoneticPr fontId="42" type="noConversion"/>
  </si>
  <si>
    <t>Pack integration</t>
  </si>
  <si>
    <t>Gas delivery</t>
  </si>
  <si>
    <t>Non-materials</t>
  </si>
  <si>
    <t>ceramic</t>
  </si>
  <si>
    <t>carbon felt</t>
  </si>
  <si>
    <t>volume fraction</t>
  </si>
  <si>
    <t>Number of layers per cell</t>
  </si>
  <si>
    <t>Layer area</t>
  </si>
  <si>
    <t>Cell voltage at rated power</t>
  </si>
  <si>
    <t xml:space="preserve">  Calc cell voltage at rated power</t>
  </si>
  <si>
    <t>fan for O2 dilution</t>
  </si>
  <si>
    <t>Sum (optimistic)</t>
  </si>
  <si>
    <t>Current for energy, C/5</t>
  </si>
  <si>
    <t xml:space="preserve">  Fraction of OCV at C/5</t>
  </si>
  <si>
    <t>Compressor ave energy 5 hours</t>
  </si>
  <si>
    <t>(kWh)</t>
  </si>
  <si>
    <t>Energy Total</t>
  </si>
  <si>
    <t>Energy Useable</t>
  </si>
  <si>
    <t>Electrodissolution/deposition between ceramic-buffer-layer and metal interface</t>
  </si>
  <si>
    <t xml:space="preserve">  N:P ratio</t>
  </si>
  <si>
    <t>mAh/mAh</t>
  </si>
  <si>
    <t>Thickness of cooling fin, mm</t>
  </si>
  <si>
    <t>Total mass of cooling fin, g</t>
  </si>
  <si>
    <t>Length of cooling fin mm</t>
  </si>
  <si>
    <t>with catalyst</t>
  </si>
  <si>
    <t>A/mg cat</t>
  </si>
  <si>
    <t>g_cat total</t>
  </si>
  <si>
    <t>Cathode</t>
  </si>
  <si>
    <t>Anode</t>
  </si>
  <si>
    <t>Inactive materials</t>
  </si>
  <si>
    <t>Gas utilization</t>
  </si>
  <si>
    <r>
      <t xml:space="preserve"> m</t>
    </r>
    <r>
      <rPr>
        <sz val="10"/>
        <rFont val="Arial"/>
        <family val="2"/>
      </rPr>
      <t>m</t>
    </r>
  </si>
  <si>
    <t>Pack area, m2</t>
    <phoneticPr fontId="42" type="noConversion"/>
  </si>
  <si>
    <t>m2</t>
    <phoneticPr fontId="42" type="noConversion"/>
  </si>
  <si>
    <t>Vp</t>
    <phoneticPr fontId="42" type="noConversion"/>
  </si>
  <si>
    <t>Ve</t>
    <phoneticPr fontId="42" type="noConversion"/>
  </si>
  <si>
    <t>Depth per layer (iterated)</t>
  </si>
  <si>
    <t xml:space="preserve">   Depth per layer hold</t>
  </si>
  <si>
    <t>Cell voltage fo energy</t>
    <phoneticPr fontId="42" type="noConversion"/>
  </si>
  <si>
    <t>Total minus lithium from active material</t>
  </si>
  <si>
    <t>Total energy, kWh</t>
  </si>
  <si>
    <t>Useable energy, kWh</t>
  </si>
  <si>
    <t>Wh/kg_charge</t>
  </si>
  <si>
    <t>kg_charge</t>
  </si>
  <si>
    <t>kg</t>
  </si>
  <si>
    <t>$</t>
  </si>
  <si>
    <t>Filter</t>
  </si>
  <si>
    <r>
      <t xml:space="preserve">  Overpotential, </t>
    </r>
    <r>
      <rPr>
        <sz val="11"/>
        <color indexed="8"/>
        <rFont val="Symbol"/>
        <family val="1"/>
        <charset val="2"/>
      </rPr>
      <t>h=</t>
    </r>
    <r>
      <rPr>
        <sz val="10"/>
        <rFont val="Arial"/>
        <family val="2"/>
      </rPr>
      <t xml:space="preserve"> </t>
    </r>
    <r>
      <rPr>
        <sz val="11"/>
        <color indexed="8"/>
        <rFont val="Symbol"/>
        <family val="1"/>
        <charset val="2"/>
      </rPr>
      <t>f</t>
    </r>
    <r>
      <rPr>
        <vertAlign val="subscript"/>
        <sz val="11"/>
        <color indexed="8"/>
        <rFont val="Symbol"/>
        <family val="1"/>
        <charset val="2"/>
      </rPr>
      <t>1</t>
    </r>
    <r>
      <rPr>
        <sz val="10"/>
        <rFont val="Arial"/>
        <family val="2"/>
      </rPr>
      <t>(L)-</t>
    </r>
    <r>
      <rPr>
        <sz val="11"/>
        <color indexed="8"/>
        <rFont val="Symbol"/>
        <family val="1"/>
        <charset val="2"/>
      </rPr>
      <t>f</t>
    </r>
    <r>
      <rPr>
        <vertAlign val="subscript"/>
        <sz val="11"/>
        <color theme="1"/>
        <rFont val="Calibri"/>
        <family val="2"/>
        <scheme val="minor"/>
      </rPr>
      <t>2</t>
    </r>
    <r>
      <rPr>
        <sz val="10"/>
        <rFont val="Arial"/>
        <family val="2"/>
      </rPr>
      <t>(0)</t>
    </r>
  </si>
  <si>
    <t xml:space="preserve"> Euler and Nonnenmacher expression</t>
  </si>
  <si>
    <r>
      <t>Negative electrode capacity, Ah/cm</t>
    </r>
    <r>
      <rPr>
        <vertAlign val="superscript"/>
        <sz val="11"/>
        <rFont val="Arial"/>
        <family val="2"/>
      </rPr>
      <t>3</t>
    </r>
  </si>
  <si>
    <t>Maximum allowable positive electrode coating thickness</t>
    <phoneticPr fontId="42" type="noConversion"/>
  </si>
  <si>
    <t>Electrode Thickness and Area Results</t>
    <phoneticPr fontId="42" type="noConversion"/>
  </si>
  <si>
    <t>Positive electrode thickness</t>
    <phoneticPr fontId="42" type="noConversion"/>
  </si>
  <si>
    <t>Total minus product (active material)</t>
  </si>
  <si>
    <t>max tpe</t>
  </si>
  <si>
    <t xml:space="preserve">  Fraction of OCV at C/5 (Ve/U)</t>
  </si>
  <si>
    <t>Check</t>
  </si>
  <si>
    <t>Calculate efficiency of C/5 discharge from cell design on left</t>
  </si>
  <si>
    <t>Design cell to meet rated gross power at defined cell area</t>
  </si>
  <si>
    <r>
      <t>Total cell ASI for energy (C/5 rate), ohm-cm</t>
    </r>
    <r>
      <rPr>
        <vertAlign val="superscript"/>
        <sz val="10"/>
        <rFont val="Arial"/>
        <family val="2"/>
      </rPr>
      <t>2</t>
    </r>
  </si>
  <si>
    <t>solvent addition</t>
  </si>
  <si>
    <t xml:space="preserve">3 bar </t>
  </si>
  <si>
    <t>Compressor, motor, heat tx</t>
  </si>
  <si>
    <t>Gas utilization componentry</t>
  </si>
  <si>
    <t>7 bar</t>
  </si>
  <si>
    <t>P battery</t>
  </si>
  <si>
    <t>P compressor/PSA</t>
  </si>
  <si>
    <t>solvent capture</t>
  </si>
  <si>
    <t>PSA, valves, piping, plc</t>
  </si>
  <si>
    <t>10 L beds, 15 L system; monolith adsorbent ~$60, balance is tanks, valves, system, and controls</t>
  </si>
  <si>
    <t>23 L beds, 15 L system; monolith adsorbent ~$60, balance is tanks, valves, system, and controls</t>
  </si>
  <si>
    <t>Carbon felt-like composite electrode material</t>
  </si>
  <si>
    <t>w/o catalyst</t>
  </si>
  <si>
    <t>3 bar</t>
  </si>
  <si>
    <t>Fe3O4-Fe</t>
  </si>
  <si>
    <t xml:space="preserve">     GRID</t>
  </si>
  <si>
    <t>GRID</t>
  </si>
  <si>
    <t>CoolA</t>
  </si>
  <si>
    <t>Vehicle type (microHEV, HEV-HP, GRID, EV)</t>
  </si>
  <si>
    <t>Fe/O2 open architecture system</t>
  </si>
  <si>
    <t>Alkaline electrolyte</t>
  </si>
  <si>
    <t>Alkaline electrolyte intercalation kinetics</t>
  </si>
  <si>
    <r>
      <t>Conduction of ion</t>
    </r>
    <r>
      <rPr>
        <sz val="10"/>
        <rFont val="Arial"/>
        <family val="2"/>
      </rPr>
      <t xml:space="preserve"> through alkaline electrolyte</t>
    </r>
  </si>
  <si>
    <t>Grid Scale!</t>
  </si>
  <si>
    <t>Gas utilization componentry for open architecture Fe/O2</t>
  </si>
  <si>
    <t>Iron electrode</t>
  </si>
  <si>
    <t>10.1016/0378-7753(91)80093-D</t>
  </si>
  <si>
    <t>This model was adapted from Gallagher et al., https://doi.org/10.1039/C3EE43870H and repurposed to estimate the cost of Fe-air batteries. The original disclaimer was as follows:----------------------------------------------------------------------------------------------------------------------------------------------------------------------------------------------------------------------------------------------------------------------------------------------------------------This model is a modified version of BatPaC v2.2. The major modifications to BatPaC is the impedance calculation and sizing of components for oxygen or air utilization.                                                                                                                    This is an iterative model and thus requires the user to enable the iteration function within Excel. If one wishes to run the model for different cases (e.g. pack energy), we suggest changing the input in small increments until the desired final value is reached. If the model crashes, the safe guesses may be used to reinitialize the model by changing the "1" to "0" to "1". However there are multiple places where this is required on the Iterative I-V, IV-thickness, Flow and System sheets. To the uninitiated this will be cumbersome. This model has not been developed with much effort placed on "ease of use." However, the equations and parameter values used are documented in this format and allow for a complete understanding of how the results were obtained.</t>
  </si>
  <si>
    <t>assuming this is the 1e rate limited step</t>
  </si>
  <si>
    <t>aqueous solvent in Fe-air, so costs are assumed to be minimal</t>
  </si>
  <si>
    <t>-</t>
  </si>
  <si>
    <t>costing down from online estimates of 3bar compressors</t>
  </si>
  <si>
    <t>Iron ore spot price of $1.8/t</t>
  </si>
  <si>
    <t>aqueous KOH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</si>
</sst>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0.0"/>
    <numFmt numFmtId="165" formatCode="0.0"/>
    <numFmt numFmtId="166" formatCode="0.000"/>
    <numFmt numFmtId="167" formatCode="0.0000"/>
    <numFmt numFmtId="168" formatCode="0.00000"/>
    <numFmt numFmtId="169" formatCode="_(* #,##0.0_);_(* \(#,##0.0\);_(* &quot;-&quot;??_);_(@_)"/>
    <numFmt numFmtId="170" formatCode="_(* #,##0_);_(* \(#,##0\);_(* &quot;-&quot;??_);_(@_)"/>
    <numFmt numFmtId="171" formatCode="#,##0.000_);[Red]\(#,##0.000\)"/>
    <numFmt numFmtId="172" formatCode="_(* #,##0.000_);_(* \(#,##0.000\);_(* &quot;-&quot;??_);_(@_)"/>
    <numFmt numFmtId="173" formatCode="_(* #,##0.0000_);_(* \(#,##0.0000\);_(* &quot;-&quot;??_);_(@_)"/>
    <numFmt numFmtId="174" formatCode="#,##0.0_);[Red]\(#,##0.0\)"/>
    <numFmt numFmtId="175" formatCode="0.0000000"/>
    <numFmt numFmtId="176" formatCode="0.000000"/>
    <numFmt numFmtId="177" formatCode="0.0E+00"/>
    <numFmt numFmtId="178" formatCode="#,##0.000"/>
    <numFmt numFmtId="179" formatCode="#,##0.0000000"/>
    <numFmt numFmtId="180" formatCode="#,##0.000000_);[Red]\(#,##0.000000\)"/>
    <numFmt numFmtId="181" formatCode="#,##0.0000_);[Red]\(#,##0.0000\)"/>
    <numFmt numFmtId="182" formatCode="#,##0.000_);\(#,##0.000\)"/>
    <numFmt numFmtId="183" formatCode="0E+00"/>
    <numFmt numFmtId="184" formatCode="_(* #,##0.0000000_);_(* \(#,##0.0000000\);_(* &quot;-&quot;??_);_(@_)"/>
  </numFmts>
  <fonts count="51" x14ac:knownFonts="1">
    <font>
      <sz val="10"/>
      <name val="Arial"/>
    </font>
    <font>
      <b/>
      <sz val="10"/>
      <name val="Verdana"/>
      <family val="2"/>
    </font>
    <font>
      <sz val="10"/>
      <name val="Arial"/>
      <family val="2"/>
    </font>
    <font>
      <b/>
      <sz val="12"/>
      <name val="Arial"/>
      <family val="2"/>
    </font>
    <font>
      <vertAlign val="superscript"/>
      <sz val="10"/>
      <name val="Arial"/>
      <family val="2"/>
    </font>
    <font>
      <sz val="10"/>
      <name val="Arial"/>
      <family val="2"/>
    </font>
    <font>
      <sz val="8"/>
      <name val="Arial"/>
      <family val="2"/>
    </font>
    <font>
      <b/>
      <sz val="10"/>
      <name val="Arial"/>
      <family val="2"/>
    </font>
    <font>
      <sz val="10"/>
      <name val="Symbol"/>
      <family val="1"/>
      <charset val="2"/>
    </font>
    <font>
      <sz val="9"/>
      <name val="Arial"/>
      <family val="2"/>
    </font>
    <font>
      <sz val="12"/>
      <name val="Arial"/>
      <family val="2"/>
    </font>
    <font>
      <u/>
      <sz val="10"/>
      <name val="Arial"/>
      <family val="2"/>
    </font>
    <font>
      <u/>
      <vertAlign val="superscript"/>
      <sz val="10"/>
      <name val="Arial"/>
      <family val="2"/>
    </font>
    <font>
      <b/>
      <sz val="14"/>
      <name val="Arial"/>
      <family val="2"/>
    </font>
    <font>
      <u/>
      <sz val="10"/>
      <name val="Arial"/>
      <family val="2"/>
    </font>
    <font>
      <b/>
      <sz val="10"/>
      <color indexed="10"/>
      <name val="Arial"/>
      <family val="2"/>
    </font>
    <font>
      <b/>
      <sz val="10"/>
      <color indexed="12"/>
      <name val="Arial"/>
      <family val="2"/>
    </font>
    <font>
      <b/>
      <sz val="10"/>
      <color indexed="21"/>
      <name val="Arial"/>
      <family val="2"/>
    </font>
    <font>
      <vertAlign val="subscript"/>
      <sz val="10"/>
      <name val="Arial"/>
      <family val="2"/>
    </font>
    <font>
      <b/>
      <sz val="10"/>
      <color indexed="17"/>
      <name val="Arial"/>
      <family val="2"/>
    </font>
    <font>
      <b/>
      <sz val="10"/>
      <color indexed="48"/>
      <name val="Arial"/>
      <family val="2"/>
    </font>
    <font>
      <sz val="10"/>
      <name val="Arial"/>
      <family val="2"/>
    </font>
    <font>
      <b/>
      <sz val="10"/>
      <color indexed="10"/>
      <name val="Arial"/>
      <family val="2"/>
    </font>
    <font>
      <b/>
      <sz val="11"/>
      <name val="Arial"/>
      <family val="2"/>
    </font>
    <font>
      <b/>
      <sz val="10"/>
      <color indexed="10"/>
      <name val="Arial"/>
      <family val="2"/>
    </font>
    <font>
      <sz val="11"/>
      <name val="Arial"/>
      <family val="2"/>
    </font>
    <font>
      <sz val="10"/>
      <color indexed="8"/>
      <name val="Arial"/>
      <family val="2"/>
    </font>
    <font>
      <sz val="10"/>
      <color indexed="10"/>
      <name val="Arial"/>
      <family val="2"/>
    </font>
    <font>
      <b/>
      <vertAlign val="superscript"/>
      <sz val="11"/>
      <name val="Arial"/>
      <family val="2"/>
    </font>
    <font>
      <b/>
      <sz val="16"/>
      <name val="Arial"/>
      <family val="2"/>
    </font>
    <font>
      <b/>
      <sz val="11"/>
      <color theme="1"/>
      <name val="Calibri"/>
      <family val="2"/>
      <scheme val="minor"/>
    </font>
    <font>
      <b/>
      <sz val="14"/>
      <color theme="1"/>
      <name val="Calibri"/>
      <family val="2"/>
      <scheme val="minor"/>
    </font>
    <font>
      <b/>
      <u/>
      <sz val="11"/>
      <color theme="1"/>
      <name val="Calibri"/>
      <family val="2"/>
      <scheme val="minor"/>
    </font>
    <font>
      <i/>
      <u/>
      <sz val="11"/>
      <color theme="1"/>
      <name val="Calibri"/>
      <family val="2"/>
      <scheme val="minor"/>
    </font>
    <font>
      <i/>
      <sz val="11"/>
      <color theme="1"/>
      <name val="Calibri"/>
      <family val="2"/>
      <scheme val="minor"/>
    </font>
    <font>
      <vertAlign val="superscript"/>
      <sz val="11"/>
      <color theme="1"/>
      <name val="Calibri"/>
      <family val="2"/>
      <scheme val="minor"/>
    </font>
    <font>
      <b/>
      <sz val="11"/>
      <color rgb="FFFF0000"/>
      <name val="Calibri"/>
      <family val="2"/>
      <scheme val="minor"/>
    </font>
    <font>
      <sz val="11"/>
      <color indexed="8"/>
      <name val="Symbol"/>
      <family val="1"/>
      <charset val="2"/>
    </font>
    <font>
      <vertAlign val="subscript"/>
      <sz val="11"/>
      <color theme="1"/>
      <name val="Calibri"/>
      <family val="2"/>
      <scheme val="minor"/>
    </font>
    <font>
      <vertAlign val="subscript"/>
      <sz val="11"/>
      <color indexed="8"/>
      <name val="Symbol"/>
      <family val="1"/>
      <charset val="2"/>
    </font>
    <font>
      <b/>
      <sz val="9"/>
      <color indexed="81"/>
      <name val="Tahoma"/>
      <family val="2"/>
    </font>
    <font>
      <sz val="9"/>
      <color indexed="81"/>
      <name val="Tahoma"/>
      <family val="2"/>
    </font>
    <font>
      <sz val="8"/>
      <name val="Verdana"/>
      <family val="2"/>
    </font>
    <font>
      <b/>
      <sz val="11"/>
      <name val="Verdana"/>
      <family val="2"/>
    </font>
    <font>
      <vertAlign val="superscript"/>
      <sz val="11"/>
      <name val="Arial"/>
      <family val="2"/>
    </font>
    <font>
      <sz val="11"/>
      <color indexed="10"/>
      <name val="Arial"/>
      <family val="2"/>
    </font>
    <font>
      <sz val="10"/>
      <color indexed="10"/>
      <name val="Verdana"/>
      <family val="2"/>
    </font>
    <font>
      <b/>
      <sz val="10"/>
      <color rgb="FFFF0000"/>
      <name val="Arial"/>
      <family val="2"/>
    </font>
    <font>
      <b/>
      <i/>
      <sz val="11"/>
      <color theme="1"/>
      <name val="Calibri"/>
      <family val="2"/>
      <scheme val="minor"/>
    </font>
    <font>
      <b/>
      <sz val="11"/>
      <name val="Verdana"/>
      <family val="2"/>
    </font>
    <font>
      <sz val="10"/>
      <name val="Arial"/>
      <family val="2"/>
    </font>
  </fonts>
  <fills count="16">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gray0625">
        <bgColor indexed="42"/>
      </patternFill>
    </fill>
    <fill>
      <patternFill patternType="solid">
        <fgColor indexed="41"/>
        <bgColor indexed="64"/>
      </patternFill>
    </fill>
    <fill>
      <patternFill patternType="solid">
        <fgColor indexed="40"/>
        <bgColor indexed="64"/>
      </patternFill>
    </fill>
    <fill>
      <patternFill patternType="solid">
        <fgColor indexed="46"/>
        <bgColor indexed="64"/>
      </patternFill>
    </fill>
    <fill>
      <patternFill patternType="solid">
        <fgColor rgb="FF66FFFF"/>
        <bgColor indexed="64"/>
      </patternFill>
    </fill>
    <fill>
      <patternFill patternType="solid">
        <fgColor rgb="FFFFFF00"/>
        <bgColor indexed="64"/>
      </patternFill>
    </fill>
    <fill>
      <patternFill patternType="solid">
        <fgColor rgb="FFFFFF99"/>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3">
    <border>
      <left/>
      <right/>
      <top/>
      <bottom/>
      <diagonal/>
    </border>
    <border>
      <left/>
      <right/>
      <top/>
      <bottom style="thin">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2" fillId="0" borderId="0"/>
  </cellStyleXfs>
  <cellXfs count="489">
    <xf numFmtId="0" fontId="0" fillId="0" borderId="0" xfId="0"/>
    <xf numFmtId="0" fontId="3" fillId="0" borderId="0" xfId="0" applyFont="1" applyAlignment="1">
      <alignment horizontal="center"/>
    </xf>
    <xf numFmtId="0" fontId="0" fillId="0" borderId="0" xfId="0" applyAlignment="1">
      <alignment horizontal="left"/>
    </xf>
    <xf numFmtId="0" fontId="0" fillId="0" borderId="0" xfId="0" applyAlignment="1">
      <alignment horizontal="center"/>
    </xf>
    <xf numFmtId="1" fontId="0" fillId="0" borderId="0" xfId="0" applyNumberFormat="1" applyAlignment="1">
      <alignment horizontal="center"/>
    </xf>
    <xf numFmtId="0" fontId="7" fillId="0" borderId="0" xfId="0" applyFont="1"/>
    <xf numFmtId="165" fontId="0" fillId="0" borderId="0" xfId="0" applyNumberFormat="1" applyAlignment="1">
      <alignment horizontal="center"/>
    </xf>
    <xf numFmtId="0" fontId="5" fillId="0" borderId="0" xfId="0" applyFont="1"/>
    <xf numFmtId="0" fontId="7"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2" fontId="9" fillId="0" borderId="0" xfId="0" applyNumberFormat="1" applyFont="1" applyBorder="1" applyAlignment="1">
      <alignment horizontal="center"/>
    </xf>
    <xf numFmtId="2" fontId="5" fillId="0" borderId="0" xfId="0" applyNumberFormat="1" applyFont="1" applyBorder="1" applyAlignment="1">
      <alignment horizontal="left"/>
    </xf>
    <xf numFmtId="0" fontId="5" fillId="0" borderId="1" xfId="0" applyFont="1" applyBorder="1" applyAlignment="1">
      <alignment horizontal="center"/>
    </xf>
    <xf numFmtId="166" fontId="5" fillId="0" borderId="0" xfId="0" applyNumberFormat="1" applyFont="1" applyAlignment="1">
      <alignment horizontal="center"/>
    </xf>
    <xf numFmtId="1" fontId="5" fillId="0" borderId="0" xfId="2" applyNumberFormat="1" applyFont="1" applyAlignment="1">
      <alignment horizontal="right"/>
    </xf>
    <xf numFmtId="0" fontId="3" fillId="0" borderId="0" xfId="0" applyFont="1" applyAlignment="1">
      <alignment horizontal="left"/>
    </xf>
    <xf numFmtId="0" fontId="0" fillId="0" borderId="0" xfId="0" applyBorder="1"/>
    <xf numFmtId="0" fontId="3" fillId="0" borderId="0" xfId="0" applyFont="1"/>
    <xf numFmtId="0" fontId="10" fillId="0" borderId="0" xfId="0" applyFont="1"/>
    <xf numFmtId="2" fontId="0" fillId="0" borderId="0" xfId="0" applyNumberFormat="1" applyAlignment="1">
      <alignment horizontal="center"/>
    </xf>
    <xf numFmtId="166" fontId="0" fillId="0" borderId="0" xfId="0" applyNumberFormat="1" applyBorder="1" applyAlignment="1">
      <alignment horizontal="center"/>
    </xf>
    <xf numFmtId="0" fontId="5" fillId="0" borderId="0" xfId="0" applyFont="1" applyBorder="1" applyAlignment="1">
      <alignment horizontal="left"/>
    </xf>
    <xf numFmtId="0" fontId="5" fillId="0" borderId="0" xfId="0" applyFont="1" applyFill="1" applyBorder="1" applyAlignment="1">
      <alignment horizontal="left"/>
    </xf>
    <xf numFmtId="0" fontId="5" fillId="0" borderId="0" xfId="0" applyFont="1" applyAlignment="1">
      <alignment horizontal="right"/>
    </xf>
    <xf numFmtId="3" fontId="0" fillId="0" borderId="0" xfId="0" applyNumberFormat="1" applyAlignment="1">
      <alignment horizontal="center"/>
    </xf>
    <xf numFmtId="0" fontId="2" fillId="0" borderId="0" xfId="0" applyFont="1" applyBorder="1"/>
    <xf numFmtId="0" fontId="2" fillId="0" borderId="0" xfId="0" applyFont="1" applyBorder="1" applyAlignment="1">
      <alignment horizontal="center"/>
    </xf>
    <xf numFmtId="0" fontId="2" fillId="0" borderId="0" xfId="0" applyFont="1" applyBorder="1" applyAlignment="1">
      <alignment horizontal="left"/>
    </xf>
    <xf numFmtId="166" fontId="2" fillId="0" borderId="0" xfId="0" applyNumberFormat="1" applyFont="1" applyBorder="1" applyAlignment="1">
      <alignment horizontal="center"/>
    </xf>
    <xf numFmtId="1" fontId="2" fillId="0" borderId="0" xfId="0" applyNumberFormat="1" applyFont="1" applyBorder="1" applyAlignment="1">
      <alignment horizontal="center"/>
    </xf>
    <xf numFmtId="1" fontId="2" fillId="0" borderId="0" xfId="2" applyNumberFormat="1" applyFont="1" applyBorder="1" applyAlignment="1">
      <alignment horizontal="right"/>
    </xf>
    <xf numFmtId="1" fontId="2" fillId="0" borderId="1" xfId="0" applyNumberFormat="1" applyFont="1" applyBorder="1" applyAlignment="1">
      <alignment horizontal="center"/>
    </xf>
    <xf numFmtId="0" fontId="2" fillId="0" borderId="1" xfId="0" applyFont="1" applyBorder="1" applyAlignment="1">
      <alignment horizontal="center"/>
    </xf>
    <xf numFmtId="2" fontId="2" fillId="0" borderId="0" xfId="0" applyNumberFormat="1" applyFont="1" applyBorder="1" applyAlignment="1">
      <alignment horizontal="center"/>
    </xf>
    <xf numFmtId="0" fontId="7" fillId="0" borderId="0" xfId="0" applyFont="1" applyAlignment="1">
      <alignment horizontal="left"/>
    </xf>
    <xf numFmtId="2" fontId="9" fillId="0" borderId="0" xfId="0" applyNumberFormat="1" applyFont="1" applyBorder="1" applyAlignment="1">
      <alignment horizontal="left"/>
    </xf>
    <xf numFmtId="43" fontId="0" fillId="0" borderId="0" xfId="1" applyFont="1"/>
    <xf numFmtId="43" fontId="0" fillId="0" borderId="0" xfId="1" applyFont="1" applyAlignment="1">
      <alignment horizontal="center"/>
    </xf>
    <xf numFmtId="43" fontId="0" fillId="0" borderId="0" xfId="0" applyNumberFormat="1"/>
    <xf numFmtId="43" fontId="0" fillId="0" borderId="1" xfId="0" applyNumberFormat="1" applyBorder="1"/>
    <xf numFmtId="43" fontId="2" fillId="0" borderId="0" xfId="1" applyFont="1" applyBorder="1" applyAlignment="1">
      <alignment horizontal="left"/>
    </xf>
    <xf numFmtId="43" fontId="2" fillId="0" borderId="0" xfId="0" applyNumberFormat="1" applyFont="1" applyBorder="1" applyAlignment="1">
      <alignment horizontal="left"/>
    </xf>
    <xf numFmtId="43" fontId="2" fillId="0" borderId="1" xfId="0" applyNumberFormat="1" applyFont="1" applyBorder="1" applyAlignment="1">
      <alignment horizontal="left"/>
    </xf>
    <xf numFmtId="0" fontId="2" fillId="0" borderId="1" xfId="0" applyFont="1" applyBorder="1"/>
    <xf numFmtId="0" fontId="5" fillId="0" borderId="0" xfId="0" applyFont="1" applyBorder="1"/>
    <xf numFmtId="172" fontId="2" fillId="0" borderId="0" xfId="0" applyNumberFormat="1" applyFont="1" applyBorder="1" applyAlignment="1">
      <alignment horizontal="left"/>
    </xf>
    <xf numFmtId="173" fontId="2" fillId="0" borderId="0" xfId="0" applyNumberFormat="1" applyFont="1" applyBorder="1" applyAlignment="1">
      <alignment horizontal="left"/>
    </xf>
    <xf numFmtId="0" fontId="5" fillId="0" borderId="0" xfId="0" applyFont="1" applyFill="1" applyBorder="1"/>
    <xf numFmtId="169" fontId="2" fillId="0" borderId="0" xfId="0" applyNumberFormat="1" applyFont="1" applyBorder="1" applyAlignment="1">
      <alignment horizontal="left"/>
    </xf>
    <xf numFmtId="170" fontId="2" fillId="0" borderId="0" xfId="0" applyNumberFormat="1" applyFont="1" applyBorder="1" applyAlignment="1">
      <alignment horizontal="left"/>
    </xf>
    <xf numFmtId="2" fontId="2" fillId="0" borderId="0" xfId="0" applyNumberFormat="1" applyFont="1" applyBorder="1" applyAlignment="1">
      <alignment horizontal="left"/>
    </xf>
    <xf numFmtId="0" fontId="0" fillId="0" borderId="0" xfId="0" applyBorder="1" applyAlignment="1">
      <alignment horizontal="center"/>
    </xf>
    <xf numFmtId="2" fontId="0" fillId="0" borderId="0" xfId="0" applyNumberFormat="1" applyBorder="1" applyAlignment="1">
      <alignment horizontal="center"/>
    </xf>
    <xf numFmtId="171" fontId="0" fillId="0" borderId="0" xfId="1" applyNumberFormat="1" applyFont="1"/>
    <xf numFmtId="0" fontId="7" fillId="0" borderId="1" xfId="0" applyFont="1" applyBorder="1"/>
    <xf numFmtId="0" fontId="7" fillId="0" borderId="1" xfId="0" applyFont="1" applyBorder="1" applyAlignment="1">
      <alignment horizontal="center"/>
    </xf>
    <xf numFmtId="0" fontId="3" fillId="0" borderId="0" xfId="0" applyFont="1" applyBorder="1"/>
    <xf numFmtId="0" fontId="7" fillId="0" borderId="0" xfId="0" applyFont="1" applyBorder="1"/>
    <xf numFmtId="0" fontId="7" fillId="0" borderId="0" xfId="0" applyFont="1" applyBorder="1" applyAlignment="1">
      <alignment horizontal="center"/>
    </xf>
    <xf numFmtId="0" fontId="5" fillId="0" borderId="0" xfId="0" applyFont="1" applyBorder="1" applyAlignment="1">
      <alignment horizontal="center"/>
    </xf>
    <xf numFmtId="38" fontId="5" fillId="0" borderId="0" xfId="1" applyNumberFormat="1" applyFont="1" applyBorder="1" applyAlignment="1">
      <alignment horizontal="center"/>
    </xf>
    <xf numFmtId="38" fontId="5" fillId="0" borderId="0" xfId="1" applyNumberFormat="1" applyFont="1" applyBorder="1" applyAlignment="1">
      <alignment horizontal="right"/>
    </xf>
    <xf numFmtId="0" fontId="7" fillId="0" borderId="0" xfId="0" applyFont="1" applyFill="1" applyBorder="1" applyAlignment="1">
      <alignment horizontal="center"/>
    </xf>
    <xf numFmtId="2" fontId="0" fillId="0" borderId="0" xfId="0" applyNumberFormat="1" applyAlignment="1"/>
    <xf numFmtId="0" fontId="10" fillId="0" borderId="0" xfId="0" applyFont="1" applyAlignment="1">
      <alignment horizontal="center"/>
    </xf>
    <xf numFmtId="166" fontId="0" fillId="0" borderId="0" xfId="0" applyNumberFormat="1" applyAlignment="1">
      <alignment horizontal="center"/>
    </xf>
    <xf numFmtId="170" fontId="7" fillId="0" borderId="0" xfId="1" applyNumberFormat="1" applyFont="1" applyAlignment="1">
      <alignment horizontal="center"/>
    </xf>
    <xf numFmtId="0" fontId="7" fillId="0" borderId="0" xfId="0" applyFont="1" applyBorder="1" applyAlignment="1"/>
    <xf numFmtId="0" fontId="7" fillId="0" borderId="1" xfId="0" applyFont="1" applyBorder="1" applyAlignment="1">
      <alignment horizontal="left"/>
    </xf>
    <xf numFmtId="170" fontId="7" fillId="0" borderId="1" xfId="1" applyNumberFormat="1" applyFont="1" applyBorder="1" applyAlignment="1">
      <alignment horizontal="center"/>
    </xf>
    <xf numFmtId="170" fontId="5" fillId="0" borderId="0" xfId="1" applyNumberFormat="1" applyFont="1" applyBorder="1" applyAlignment="1">
      <alignment horizontal="center"/>
    </xf>
    <xf numFmtId="170" fontId="5" fillId="0" borderId="0" xfId="1" applyNumberFormat="1" applyFont="1" applyAlignment="1">
      <alignment horizontal="center"/>
    </xf>
    <xf numFmtId="38" fontId="5" fillId="0" borderId="0" xfId="1" applyNumberFormat="1" applyFont="1" applyAlignment="1">
      <alignment horizontal="right"/>
    </xf>
    <xf numFmtId="174" fontId="5" fillId="0" borderId="0" xfId="1" applyNumberFormat="1" applyFont="1" applyAlignment="1">
      <alignment horizontal="right"/>
    </xf>
    <xf numFmtId="0" fontId="11" fillId="0" borderId="0" xfId="0" applyFont="1"/>
    <xf numFmtId="0" fontId="7" fillId="0" borderId="0" xfId="0" applyFont="1" applyFill="1" applyBorder="1"/>
    <xf numFmtId="174" fontId="0" fillId="0" borderId="0" xfId="1" applyNumberFormat="1" applyFont="1"/>
    <xf numFmtId="166" fontId="0" fillId="0" borderId="0" xfId="0" applyNumberFormat="1"/>
    <xf numFmtId="38" fontId="0" fillId="0" borderId="0" xfId="1" applyNumberFormat="1" applyFont="1" applyAlignment="1">
      <alignment horizontal="right"/>
    </xf>
    <xf numFmtId="38" fontId="0" fillId="0" borderId="0" xfId="1" applyNumberFormat="1" applyFont="1" applyAlignment="1">
      <alignment horizontal="center"/>
    </xf>
    <xf numFmtId="40" fontId="0" fillId="0" borderId="0" xfId="1" applyNumberFormat="1" applyFont="1" applyAlignment="1">
      <alignment horizontal="right"/>
    </xf>
    <xf numFmtId="40" fontId="0" fillId="0" borderId="0" xfId="1" applyNumberFormat="1" applyFont="1" applyAlignment="1">
      <alignment horizontal="center"/>
    </xf>
    <xf numFmtId="2" fontId="7" fillId="0" borderId="0" xfId="0" applyNumberFormat="1" applyFont="1" applyBorder="1" applyAlignment="1">
      <alignment horizontal="center"/>
    </xf>
    <xf numFmtId="174" fontId="5" fillId="2" borderId="0" xfId="1" applyNumberFormat="1" applyFont="1" applyFill="1" applyAlignment="1">
      <alignment horizontal="right"/>
    </xf>
    <xf numFmtId="169" fontId="5" fillId="0" borderId="0" xfId="1" applyNumberFormat="1" applyFont="1" applyBorder="1" applyAlignment="1">
      <alignment horizontal="center"/>
    </xf>
    <xf numFmtId="172" fontId="5" fillId="0" borderId="0" xfId="1" applyNumberFormat="1" applyFont="1" applyBorder="1" applyAlignment="1">
      <alignment horizontal="center"/>
    </xf>
    <xf numFmtId="172" fontId="0" fillId="0" borderId="0" xfId="0" applyNumberFormat="1"/>
    <xf numFmtId="172" fontId="5" fillId="0" borderId="0" xfId="1" applyNumberFormat="1" applyFont="1" applyAlignment="1">
      <alignment horizontal="center"/>
    </xf>
    <xf numFmtId="2" fontId="0" fillId="0" borderId="0" xfId="0" applyNumberFormat="1"/>
    <xf numFmtId="170" fontId="5" fillId="0" borderId="0" xfId="1" applyNumberFormat="1" applyFont="1" applyBorder="1" applyAlignment="1">
      <alignment horizontal="left"/>
    </xf>
    <xf numFmtId="0" fontId="5" fillId="0" borderId="0" xfId="1" applyNumberFormat="1" applyFont="1" applyBorder="1" applyAlignment="1">
      <alignment horizontal="center"/>
    </xf>
    <xf numFmtId="38" fontId="0" fillId="0" borderId="0" xfId="0" applyNumberFormat="1"/>
    <xf numFmtId="170" fontId="0" fillId="0" borderId="0" xfId="0" applyNumberFormat="1"/>
    <xf numFmtId="170" fontId="0" fillId="0" borderId="1" xfId="0" applyNumberFormat="1" applyBorder="1"/>
    <xf numFmtId="40" fontId="0" fillId="0" borderId="0" xfId="0" applyNumberFormat="1"/>
    <xf numFmtId="1" fontId="5" fillId="2" borderId="0" xfId="0" applyNumberFormat="1" applyFont="1" applyFill="1" applyBorder="1" applyAlignment="1">
      <alignment horizontal="center"/>
    </xf>
    <xf numFmtId="2" fontId="0" fillId="2" borderId="0" xfId="0" applyNumberFormat="1" applyFill="1" applyAlignment="1">
      <alignment horizontal="center"/>
    </xf>
    <xf numFmtId="166" fontId="0" fillId="2" borderId="0" xfId="0" applyNumberFormat="1" applyFill="1" applyAlignment="1">
      <alignment horizontal="center"/>
    </xf>
    <xf numFmtId="0" fontId="0" fillId="2" borderId="0" xfId="0" applyFill="1" applyAlignment="1">
      <alignment horizontal="center"/>
    </xf>
    <xf numFmtId="38" fontId="5" fillId="2" borderId="0" xfId="1" applyNumberFormat="1" applyFont="1" applyFill="1" applyAlignment="1">
      <alignment horizontal="right"/>
    </xf>
    <xf numFmtId="170" fontId="5" fillId="2" borderId="0" xfId="1" applyNumberFormat="1" applyFont="1" applyFill="1" applyBorder="1" applyAlignment="1">
      <alignment horizontal="center"/>
    </xf>
    <xf numFmtId="2" fontId="0" fillId="0" borderId="0" xfId="0" applyNumberFormat="1" applyFill="1" applyAlignment="1">
      <alignment horizontal="center"/>
    </xf>
    <xf numFmtId="165" fontId="5" fillId="0" borderId="0" xfId="0" applyNumberFormat="1" applyFont="1" applyAlignment="1">
      <alignment horizontal="center"/>
    </xf>
    <xf numFmtId="0" fontId="0" fillId="3" borderId="0" xfId="0" applyFill="1" applyAlignment="1">
      <alignment horizontal="center"/>
    </xf>
    <xf numFmtId="0" fontId="5" fillId="3" borderId="0" xfId="0" applyFont="1" applyFill="1" applyAlignment="1">
      <alignment horizontal="center"/>
    </xf>
    <xf numFmtId="0" fontId="0" fillId="0" borderId="0" xfId="0" applyFill="1"/>
    <xf numFmtId="1" fontId="5" fillId="3" borderId="0" xfId="2" applyNumberFormat="1" applyFont="1" applyFill="1" applyAlignment="1">
      <alignment horizontal="center"/>
    </xf>
    <xf numFmtId="1" fontId="2" fillId="3" borderId="0" xfId="0" applyNumberFormat="1" applyFont="1" applyFill="1" applyBorder="1" applyAlignment="1">
      <alignment horizontal="center"/>
    </xf>
    <xf numFmtId="0" fontId="2" fillId="3" borderId="0" xfId="0" applyFont="1" applyFill="1" applyBorder="1" applyAlignment="1">
      <alignment horizontal="center"/>
    </xf>
    <xf numFmtId="2" fontId="2" fillId="3" borderId="0" xfId="0" applyNumberFormat="1" applyFont="1" applyFill="1" applyBorder="1" applyAlignment="1">
      <alignment horizontal="center"/>
    </xf>
    <xf numFmtId="2" fontId="2" fillId="3" borderId="0" xfId="2" applyNumberFormat="1" applyFont="1" applyFill="1" applyBorder="1" applyAlignment="1">
      <alignment horizontal="center"/>
    </xf>
    <xf numFmtId="165" fontId="0" fillId="3" borderId="0" xfId="0" applyNumberFormat="1" applyFill="1" applyAlignment="1">
      <alignment horizontal="center"/>
    </xf>
    <xf numFmtId="0" fontId="5" fillId="0" borderId="2" xfId="0" applyFont="1" applyFill="1" applyBorder="1"/>
    <xf numFmtId="0" fontId="0" fillId="0" borderId="2" xfId="0" applyFill="1" applyBorder="1"/>
    <xf numFmtId="0" fontId="5" fillId="0" borderId="3" xfId="0" applyFont="1" applyBorder="1"/>
    <xf numFmtId="0" fontId="0" fillId="0" borderId="3" xfId="0" applyBorder="1"/>
    <xf numFmtId="0" fontId="0" fillId="2" borderId="4" xfId="0" applyFill="1" applyBorder="1"/>
    <xf numFmtId="0" fontId="7" fillId="0" borderId="5" xfId="0" applyFont="1" applyFill="1" applyBorder="1"/>
    <xf numFmtId="0" fontId="7" fillId="0" borderId="6" xfId="0" applyFont="1" applyFill="1" applyBorder="1"/>
    <xf numFmtId="2" fontId="2" fillId="0" borderId="0" xfId="0" applyNumberFormat="1" applyFont="1" applyFill="1" applyBorder="1" applyAlignment="1">
      <alignment horizontal="center"/>
    </xf>
    <xf numFmtId="172" fontId="5" fillId="0" borderId="0" xfId="1" applyNumberFormat="1" applyFont="1" applyAlignment="1">
      <alignment horizontal="right"/>
    </xf>
    <xf numFmtId="2" fontId="0" fillId="4" borderId="0" xfId="0" applyNumberFormat="1" applyFill="1" applyAlignment="1"/>
    <xf numFmtId="2" fontId="0" fillId="4" borderId="0" xfId="0" applyNumberFormat="1" applyFill="1" applyAlignment="1">
      <alignment horizontal="center"/>
    </xf>
    <xf numFmtId="0" fontId="0" fillId="4" borderId="7" xfId="0" applyFill="1" applyBorder="1"/>
    <xf numFmtId="170" fontId="0" fillId="0" borderId="0" xfId="1" applyNumberFormat="1" applyFont="1"/>
    <xf numFmtId="40" fontId="5" fillId="0" borderId="0" xfId="1" applyNumberFormat="1" applyFont="1" applyAlignment="1">
      <alignment horizontal="right"/>
    </xf>
    <xf numFmtId="169" fontId="0" fillId="0" borderId="0" xfId="1" applyNumberFormat="1" applyFont="1" applyAlignment="1">
      <alignment horizontal="right"/>
    </xf>
    <xf numFmtId="170" fontId="0" fillId="0" borderId="0" xfId="1" applyNumberFormat="1" applyFont="1" applyAlignment="1">
      <alignment horizontal="right"/>
    </xf>
    <xf numFmtId="169" fontId="0" fillId="0" borderId="0" xfId="0" applyNumberFormat="1"/>
    <xf numFmtId="171" fontId="0" fillId="0" borderId="0" xfId="0" applyNumberFormat="1"/>
    <xf numFmtId="3" fontId="0" fillId="0" borderId="0" xfId="0" applyNumberFormat="1"/>
    <xf numFmtId="169" fontId="5" fillId="2" borderId="0" xfId="1" applyNumberFormat="1" applyFont="1" applyFill="1" applyBorder="1" applyAlignment="1">
      <alignment horizontal="center"/>
    </xf>
    <xf numFmtId="0" fontId="0" fillId="0" borderId="0" xfId="0" applyFill="1" applyAlignment="1">
      <alignment horizontal="center"/>
    </xf>
    <xf numFmtId="0" fontId="2" fillId="0" borderId="0" xfId="0" applyFont="1" applyFill="1" applyBorder="1" applyAlignment="1">
      <alignment horizontal="center"/>
    </xf>
    <xf numFmtId="165" fontId="0" fillId="0" borderId="0" xfId="0" applyNumberFormat="1" applyFill="1" applyAlignment="1">
      <alignment horizontal="center"/>
    </xf>
    <xf numFmtId="165" fontId="0" fillId="0" borderId="0" xfId="0" applyNumberFormat="1"/>
    <xf numFmtId="1" fontId="0" fillId="0" borderId="0" xfId="0" applyNumberFormat="1" applyFill="1" applyAlignment="1">
      <alignment horizontal="center"/>
    </xf>
    <xf numFmtId="3" fontId="5" fillId="0" borderId="0" xfId="0" applyNumberFormat="1" applyFont="1" applyFill="1" applyBorder="1" applyAlignment="1">
      <alignment horizontal="center"/>
    </xf>
    <xf numFmtId="1" fontId="7" fillId="0" borderId="0" xfId="0" applyNumberFormat="1" applyFont="1" applyAlignment="1">
      <alignment horizontal="center"/>
    </xf>
    <xf numFmtId="0" fontId="0" fillId="5" borderId="0" xfId="0" applyFill="1" applyAlignment="1">
      <alignment horizontal="center"/>
    </xf>
    <xf numFmtId="0" fontId="7" fillId="0" borderId="6" xfId="0" applyFont="1" applyBorder="1"/>
    <xf numFmtId="0" fontId="0" fillId="5" borderId="4" xfId="0" applyFill="1" applyBorder="1"/>
    <xf numFmtId="0" fontId="7" fillId="0" borderId="5" xfId="0" applyFont="1" applyBorder="1"/>
    <xf numFmtId="0" fontId="0" fillId="0" borderId="2" xfId="0" applyBorder="1"/>
    <xf numFmtId="0" fontId="0" fillId="0" borderId="3" xfId="0" applyFill="1" applyBorder="1"/>
    <xf numFmtId="0" fontId="7" fillId="0" borderId="0" xfId="0" applyFont="1" applyBorder="1" applyAlignment="1">
      <alignment horizontal="left"/>
    </xf>
    <xf numFmtId="0" fontId="11" fillId="0" borderId="0" xfId="0" applyFont="1" applyAlignment="1">
      <alignment horizontal="left"/>
    </xf>
    <xf numFmtId="0" fontId="2" fillId="0" borderId="0" xfId="0" applyFont="1" applyFill="1" applyBorder="1" applyAlignment="1">
      <alignment horizontal="left"/>
    </xf>
    <xf numFmtId="0" fontId="7" fillId="0" borderId="0" xfId="0" applyFont="1" applyFill="1" applyBorder="1" applyAlignment="1">
      <alignment horizontal="left"/>
    </xf>
    <xf numFmtId="0" fontId="3" fillId="0" borderId="0" xfId="0" applyFont="1" applyAlignment="1">
      <alignment horizontal="right"/>
    </xf>
    <xf numFmtId="0" fontId="5" fillId="0" borderId="0" xfId="0" applyFont="1" applyFill="1" applyAlignment="1">
      <alignment horizontal="left"/>
    </xf>
    <xf numFmtId="0" fontId="5" fillId="0" borderId="0" xfId="0" applyFont="1" applyFill="1" applyAlignment="1">
      <alignment horizontal="center"/>
    </xf>
    <xf numFmtId="1" fontId="5" fillId="0" borderId="0" xfId="2" applyNumberFormat="1" applyFont="1" applyFill="1" applyAlignment="1">
      <alignment horizontal="center"/>
    </xf>
    <xf numFmtId="0" fontId="2" fillId="0" borderId="0" xfId="0" applyFont="1" applyFill="1" applyBorder="1"/>
    <xf numFmtId="2" fontId="5"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0" fontId="0" fillId="0" borderId="0" xfId="0" applyFill="1" applyBorder="1"/>
    <xf numFmtId="2" fontId="0" fillId="0" borderId="0" xfId="0" applyNumberFormat="1" applyFill="1" applyAlignment="1"/>
    <xf numFmtId="2" fontId="0" fillId="0" borderId="0" xfId="1" applyNumberFormat="1" applyFont="1" applyFill="1" applyAlignment="1"/>
    <xf numFmtId="2" fontId="5" fillId="0" borderId="0" xfId="0" applyNumberFormat="1" applyFont="1" applyFill="1" applyAlignment="1"/>
    <xf numFmtId="1" fontId="5" fillId="3" borderId="0" xfId="0" applyNumberFormat="1" applyFont="1" applyFill="1" applyAlignment="1">
      <alignment horizontal="center"/>
    </xf>
    <xf numFmtId="0" fontId="11" fillId="0" borderId="0" xfId="0" applyFont="1" applyBorder="1" applyAlignment="1">
      <alignment horizontal="right"/>
    </xf>
    <xf numFmtId="0" fontId="14" fillId="0" borderId="0" xfId="0" applyFont="1" applyBorder="1" applyAlignment="1">
      <alignment horizontal="center"/>
    </xf>
    <xf numFmtId="170" fontId="5" fillId="2" borderId="0" xfId="1" applyNumberFormat="1" applyFont="1" applyFill="1" applyAlignment="1">
      <alignment horizontal="left"/>
    </xf>
    <xf numFmtId="2" fontId="5" fillId="2" borderId="0" xfId="1" applyNumberFormat="1" applyFont="1" applyFill="1" applyBorder="1" applyAlignment="1">
      <alignment horizontal="center"/>
    </xf>
    <xf numFmtId="170" fontId="5" fillId="0" borderId="0" xfId="1" applyNumberFormat="1" applyFont="1" applyFill="1" applyBorder="1" applyAlignment="1">
      <alignment horizontal="center"/>
    </xf>
    <xf numFmtId="38" fontId="7" fillId="0" borderId="0" xfId="1" applyNumberFormat="1" applyFont="1" applyBorder="1" applyAlignment="1">
      <alignment horizontal="center"/>
    </xf>
    <xf numFmtId="0" fontId="5" fillId="0" borderId="0" xfId="0" applyFont="1" applyFill="1" applyBorder="1" applyAlignment="1">
      <alignment horizontal="center"/>
    </xf>
    <xf numFmtId="1" fontId="5" fillId="0" borderId="0" xfId="1" applyNumberFormat="1" applyFont="1" applyBorder="1" applyAlignment="1">
      <alignment horizontal="center"/>
    </xf>
    <xf numFmtId="165" fontId="0" fillId="2" borderId="0" xfId="0" applyNumberFormat="1" applyFill="1" applyAlignment="1">
      <alignment horizontal="center"/>
    </xf>
    <xf numFmtId="165" fontId="5" fillId="0" borderId="0" xfId="1" applyNumberFormat="1" applyFont="1" applyBorder="1" applyAlignment="1">
      <alignment horizontal="center"/>
    </xf>
    <xf numFmtId="166" fontId="0" fillId="0" borderId="0" xfId="0" applyNumberFormat="1" applyFill="1" applyAlignment="1">
      <alignment horizontal="center"/>
    </xf>
    <xf numFmtId="166" fontId="0" fillId="3" borderId="0" xfId="0" applyNumberFormat="1" applyFill="1" applyAlignment="1">
      <alignment horizontal="center"/>
    </xf>
    <xf numFmtId="0" fontId="0" fillId="0" borderId="0" xfId="0" applyFill="1" applyAlignment="1">
      <alignment horizontal="right"/>
    </xf>
    <xf numFmtId="1" fontId="15" fillId="0" borderId="0" xfId="0" applyNumberFormat="1" applyFont="1" applyBorder="1" applyAlignment="1">
      <alignment horizontal="center"/>
    </xf>
    <xf numFmtId="1" fontId="0" fillId="5" borderId="0" xfId="0" applyNumberFormat="1" applyFill="1" applyAlignment="1">
      <alignment horizontal="center"/>
    </xf>
    <xf numFmtId="1" fontId="0" fillId="0" borderId="0" xfId="1" applyNumberFormat="1" applyFont="1" applyAlignment="1">
      <alignment horizontal="center"/>
    </xf>
    <xf numFmtId="1" fontId="0" fillId="0" borderId="0" xfId="0" applyNumberFormat="1"/>
    <xf numFmtId="165" fontId="15" fillId="0" borderId="0" xfId="0" applyNumberFormat="1" applyFont="1" applyAlignment="1">
      <alignment horizontal="center"/>
    </xf>
    <xf numFmtId="177" fontId="0" fillId="0" borderId="0" xfId="0" applyNumberFormat="1"/>
    <xf numFmtId="4" fontId="0" fillId="0" borderId="0" xfId="0" applyNumberFormat="1" applyAlignment="1">
      <alignment horizontal="center"/>
    </xf>
    <xf numFmtId="1" fontId="0" fillId="0" borderId="0" xfId="0" applyNumberFormat="1" applyFill="1" applyBorder="1" applyAlignment="1">
      <alignment horizontal="center"/>
    </xf>
    <xf numFmtId="43" fontId="5" fillId="0" borderId="0" xfId="1" applyNumberFormat="1" applyFont="1" applyBorder="1" applyAlignment="1">
      <alignment horizontal="center"/>
    </xf>
    <xf numFmtId="40" fontId="5" fillId="2" borderId="0" xfId="1" applyNumberFormat="1" applyFont="1" applyFill="1" applyAlignment="1">
      <alignment horizontal="center"/>
    </xf>
    <xf numFmtId="43" fontId="5" fillId="2" borderId="0" xfId="1" applyNumberFormat="1" applyFont="1" applyFill="1" applyBorder="1" applyAlignment="1">
      <alignment horizontal="center"/>
    </xf>
    <xf numFmtId="169" fontId="2" fillId="5" borderId="0" xfId="1" applyNumberFormat="1" applyFont="1" applyFill="1" applyBorder="1" applyAlignment="1">
      <alignment horizontal="right"/>
    </xf>
    <xf numFmtId="43" fontId="2" fillId="5" borderId="0" xfId="1" applyFont="1" applyFill="1" applyBorder="1" applyAlignment="1">
      <alignment horizontal="left"/>
    </xf>
    <xf numFmtId="43" fontId="0" fillId="5" borderId="0" xfId="1" applyFont="1" applyFill="1" applyAlignment="1">
      <alignment horizontal="center"/>
    </xf>
    <xf numFmtId="176" fontId="5" fillId="0" borderId="0" xfId="0" applyNumberFormat="1" applyFont="1" applyAlignment="1">
      <alignment horizontal="center"/>
    </xf>
    <xf numFmtId="166" fontId="5" fillId="0" borderId="0" xfId="1" applyNumberFormat="1" applyFont="1" applyAlignment="1">
      <alignment horizontal="center"/>
    </xf>
    <xf numFmtId="0" fontId="15" fillId="0" borderId="0" xfId="0" applyFont="1"/>
    <xf numFmtId="170" fontId="0" fillId="5" borderId="0" xfId="1" applyNumberFormat="1" applyFont="1" applyFill="1" applyAlignment="1">
      <alignment horizontal="center"/>
    </xf>
    <xf numFmtId="170" fontId="0" fillId="0" borderId="0" xfId="0" applyNumberFormat="1" applyBorder="1"/>
    <xf numFmtId="1" fontId="5" fillId="0" borderId="0" xfId="0" applyNumberFormat="1" applyFont="1" applyAlignment="1">
      <alignment horizontal="center"/>
    </xf>
    <xf numFmtId="178" fontId="0" fillId="0" borderId="0" xfId="0" applyNumberFormat="1" applyAlignment="1">
      <alignment horizontal="center"/>
    </xf>
    <xf numFmtId="179" fontId="0" fillId="0" borderId="0" xfId="0" applyNumberFormat="1" applyAlignment="1">
      <alignment horizontal="center"/>
    </xf>
    <xf numFmtId="175" fontId="0" fillId="0" borderId="0" xfId="0" applyNumberFormat="1" applyAlignment="1">
      <alignment horizontal="center"/>
    </xf>
    <xf numFmtId="168" fontId="0" fillId="0" borderId="0" xfId="0" applyNumberFormat="1" applyAlignment="1">
      <alignment horizontal="center"/>
    </xf>
    <xf numFmtId="165" fontId="17" fillId="5" borderId="0" xfId="0" applyNumberFormat="1" applyFont="1" applyFill="1" applyAlignment="1">
      <alignment horizontal="center"/>
    </xf>
    <xf numFmtId="165" fontId="16" fillId="5" borderId="0" xfId="0" applyNumberFormat="1" applyFont="1" applyFill="1" applyAlignment="1">
      <alignment horizontal="center"/>
    </xf>
    <xf numFmtId="165" fontId="15" fillId="5" borderId="0" xfId="0" applyNumberFormat="1" applyFont="1" applyFill="1" applyAlignment="1">
      <alignment horizontal="center"/>
    </xf>
    <xf numFmtId="38" fontId="0" fillId="0" borderId="0" xfId="0" applyNumberFormat="1" applyAlignment="1">
      <alignment horizontal="center"/>
    </xf>
    <xf numFmtId="0" fontId="15" fillId="0" borderId="0" xfId="0" applyFont="1" applyBorder="1"/>
    <xf numFmtId="170" fontId="0" fillId="2" borderId="0" xfId="0" applyNumberFormat="1" applyFill="1"/>
    <xf numFmtId="38" fontId="15" fillId="0" borderId="0" xfId="1" applyNumberFormat="1" applyFont="1" applyAlignment="1">
      <alignment horizontal="right"/>
    </xf>
    <xf numFmtId="0" fontId="19" fillId="0" borderId="0" xfId="0" applyFont="1"/>
    <xf numFmtId="38" fontId="19" fillId="0" borderId="0" xfId="0" applyNumberFormat="1" applyFont="1"/>
    <xf numFmtId="38" fontId="7" fillId="0" borderId="0" xfId="0" applyNumberFormat="1" applyFont="1"/>
    <xf numFmtId="40" fontId="7" fillId="0" borderId="0" xfId="0" applyNumberFormat="1" applyFont="1"/>
    <xf numFmtId="167" fontId="0" fillId="0" borderId="0" xfId="0" applyNumberFormat="1" applyAlignment="1">
      <alignment horizontal="center"/>
    </xf>
    <xf numFmtId="165" fontId="0" fillId="5" borderId="0" xfId="0" applyNumberFormat="1" applyFill="1" applyAlignment="1">
      <alignment horizontal="center"/>
    </xf>
    <xf numFmtId="170" fontId="2" fillId="5" borderId="0" xfId="0" applyNumberFormat="1" applyFont="1" applyFill="1" applyBorder="1" applyAlignment="1">
      <alignment horizontal="left"/>
    </xf>
    <xf numFmtId="170" fontId="2" fillId="0" borderId="0" xfId="0" applyNumberFormat="1" applyFont="1" applyFill="1" applyBorder="1" applyAlignment="1">
      <alignment horizontal="left"/>
    </xf>
    <xf numFmtId="0" fontId="3" fillId="0" borderId="0" xfId="0" applyFont="1" applyFill="1" applyBorder="1"/>
    <xf numFmtId="2" fontId="0" fillId="0" borderId="0" xfId="0" applyNumberFormat="1" applyFill="1" applyBorder="1" applyAlignment="1">
      <alignment horizontal="center"/>
    </xf>
    <xf numFmtId="0" fontId="10" fillId="0" borderId="0" xfId="0" applyFont="1" applyFill="1" applyBorder="1" applyAlignment="1">
      <alignment horizontal="center"/>
    </xf>
    <xf numFmtId="43" fontId="0" fillId="0" borderId="1" xfId="1" applyFont="1" applyBorder="1" applyAlignment="1">
      <alignment horizontal="center"/>
    </xf>
    <xf numFmtId="43" fontId="0" fillId="0" borderId="1" xfId="1" applyFont="1" applyBorder="1"/>
    <xf numFmtId="40" fontId="0" fillId="2" borderId="0" xfId="0" applyNumberFormat="1" applyFill="1" applyAlignment="1">
      <alignment horizontal="center"/>
    </xf>
    <xf numFmtId="170" fontId="0" fillId="0" borderId="0" xfId="1" applyNumberFormat="1" applyFont="1" applyAlignment="1">
      <alignment horizontal="center"/>
    </xf>
    <xf numFmtId="170" fontId="0" fillId="0" borderId="0" xfId="0" applyNumberFormat="1" applyAlignment="1">
      <alignment horizontal="center"/>
    </xf>
    <xf numFmtId="0" fontId="7" fillId="0" borderId="0" xfId="0" applyFont="1" applyFill="1"/>
    <xf numFmtId="0" fontId="5" fillId="0" borderId="0" xfId="0" applyFont="1" applyFill="1"/>
    <xf numFmtId="0" fontId="3" fillId="0" borderId="0" xfId="0" applyFont="1" applyFill="1" applyAlignment="1">
      <alignment horizontal="center"/>
    </xf>
    <xf numFmtId="0" fontId="11" fillId="0" borderId="0" xfId="0" applyFont="1" applyFill="1"/>
    <xf numFmtId="40" fontId="0" fillId="0" borderId="0" xfId="0" applyNumberFormat="1" applyFill="1"/>
    <xf numFmtId="170" fontId="0" fillId="0" borderId="0" xfId="0" applyNumberFormat="1" applyFill="1"/>
    <xf numFmtId="165" fontId="0" fillId="0" borderId="0" xfId="0" applyNumberFormat="1" applyFill="1"/>
    <xf numFmtId="180" fontId="7" fillId="0" borderId="0" xfId="0" applyNumberFormat="1" applyFont="1" applyBorder="1"/>
    <xf numFmtId="2" fontId="15" fillId="0" borderId="0" xfId="0" applyNumberFormat="1" applyFont="1" applyAlignment="1">
      <alignment horizontal="center"/>
    </xf>
    <xf numFmtId="1" fontId="20" fillId="0" borderId="0" xfId="0" applyNumberFormat="1" applyFont="1" applyAlignment="1">
      <alignment horizontal="center"/>
    </xf>
    <xf numFmtId="164" fontId="0" fillId="5" borderId="0" xfId="0" applyNumberFormat="1" applyFill="1" applyAlignment="1">
      <alignment horizontal="center"/>
    </xf>
    <xf numFmtId="170" fontId="7" fillId="6" borderId="0" xfId="1" applyNumberFormat="1" applyFont="1" applyFill="1" applyBorder="1" applyAlignment="1">
      <alignment horizontal="right"/>
    </xf>
    <xf numFmtId="0" fontId="2" fillId="0" borderId="0" xfId="0" applyFont="1" applyAlignment="1">
      <alignment horizontal="center"/>
    </xf>
    <xf numFmtId="0" fontId="21" fillId="0" borderId="0" xfId="0" applyFont="1" applyAlignment="1">
      <alignment horizontal="center"/>
    </xf>
    <xf numFmtId="166" fontId="21" fillId="0" borderId="0" xfId="0" applyNumberFormat="1" applyFont="1" applyFill="1" applyAlignment="1">
      <alignment horizontal="center"/>
    </xf>
    <xf numFmtId="2" fontId="21" fillId="0" borderId="0" xfId="0" applyNumberFormat="1" applyFont="1" applyAlignment="1">
      <alignment horizontal="center"/>
    </xf>
    <xf numFmtId="0" fontId="7" fillId="0" borderId="0" xfId="0" applyFont="1" applyFill="1" applyAlignment="1">
      <alignment horizontal="center"/>
    </xf>
    <xf numFmtId="0" fontId="22" fillId="0" borderId="0" xfId="0" applyFont="1" applyAlignment="1">
      <alignment horizontal="center"/>
    </xf>
    <xf numFmtId="0" fontId="2" fillId="0" borderId="0" xfId="0" applyFont="1"/>
    <xf numFmtId="0" fontId="0" fillId="7" borderId="7" xfId="0" applyFill="1" applyBorder="1"/>
    <xf numFmtId="1" fontId="0" fillId="8" borderId="0" xfId="0" applyNumberFormat="1" applyFill="1" applyAlignment="1">
      <alignment horizontal="center"/>
    </xf>
    <xf numFmtId="165" fontId="2" fillId="0" borderId="0" xfId="0" applyNumberFormat="1" applyFont="1" applyAlignment="1">
      <alignment horizontal="center"/>
    </xf>
    <xf numFmtId="0" fontId="0" fillId="0" borderId="0" xfId="0" applyAlignment="1">
      <alignment horizontal="center"/>
    </xf>
    <xf numFmtId="0" fontId="2" fillId="0" borderId="0" xfId="0" applyFont="1" applyAlignment="1">
      <alignment horizontal="right"/>
    </xf>
    <xf numFmtId="0" fontId="23" fillId="0" borderId="0" xfId="0" applyFont="1"/>
    <xf numFmtId="1" fontId="2" fillId="0" borderId="0" xfId="0" applyNumberFormat="1" applyFont="1" applyAlignment="1">
      <alignment horizontal="center"/>
    </xf>
    <xf numFmtId="0" fontId="2" fillId="0" borderId="0" xfId="0" applyFont="1" applyAlignment="1">
      <alignment horizontal="left"/>
    </xf>
    <xf numFmtId="0" fontId="0" fillId="9" borderId="0" xfId="0" applyFill="1" applyAlignment="1">
      <alignment horizontal="center"/>
    </xf>
    <xf numFmtId="40" fontId="7" fillId="0" borderId="0" xfId="0" applyNumberFormat="1" applyFont="1" applyAlignment="1"/>
    <xf numFmtId="0" fontId="24" fillId="0" borderId="0" xfId="0" applyFont="1"/>
    <xf numFmtId="0" fontId="24" fillId="0" borderId="0" xfId="0" applyFont="1" applyAlignment="1">
      <alignment horizontal="center"/>
    </xf>
    <xf numFmtId="165" fontId="2" fillId="0" borderId="0" xfId="0" applyNumberFormat="1" applyFont="1" applyFill="1" applyAlignment="1">
      <alignment horizontal="center"/>
    </xf>
    <xf numFmtId="170" fontId="24" fillId="0" borderId="0" xfId="0" applyNumberFormat="1" applyFont="1" applyAlignment="1">
      <alignment horizontal="center"/>
    </xf>
    <xf numFmtId="0" fontId="2" fillId="0" borderId="0" xfId="0" applyFont="1" applyFill="1"/>
    <xf numFmtId="0" fontId="2" fillId="8" borderId="0" xfId="0" applyFont="1" applyFill="1" applyAlignment="1">
      <alignment horizontal="center"/>
    </xf>
    <xf numFmtId="165" fontId="0" fillId="8" borderId="0" xfId="0" applyNumberFormat="1" applyFill="1" applyAlignment="1">
      <alignment horizontal="center"/>
    </xf>
    <xf numFmtId="37" fontId="0" fillId="0" borderId="0" xfId="0" applyNumberFormat="1" applyAlignment="1">
      <alignment horizontal="right"/>
    </xf>
    <xf numFmtId="167" fontId="0" fillId="10" borderId="0" xfId="0" applyNumberFormat="1" applyFill="1" applyAlignment="1">
      <alignment horizontal="center"/>
    </xf>
    <xf numFmtId="0" fontId="2" fillId="8" borderId="0" xfId="0" applyFont="1" applyFill="1" applyBorder="1" applyAlignment="1">
      <alignment horizontal="center"/>
    </xf>
    <xf numFmtId="0" fontId="2" fillId="0" borderId="0" xfId="0" applyFont="1" applyFill="1" applyAlignment="1">
      <alignment horizontal="center"/>
    </xf>
    <xf numFmtId="43" fontId="0" fillId="0" borderId="0" xfId="1" applyFont="1" applyBorder="1" applyAlignment="1">
      <alignment horizontal="center"/>
    </xf>
    <xf numFmtId="43" fontId="0" fillId="0" borderId="0" xfId="1" applyFont="1" applyAlignment="1">
      <alignment horizontal="right"/>
    </xf>
    <xf numFmtId="0" fontId="0" fillId="10" borderId="0" xfId="0" applyFill="1"/>
    <xf numFmtId="0" fontId="2" fillId="10" borderId="0" xfId="0" applyFont="1" applyFill="1" applyAlignment="1">
      <alignment horizontal="left"/>
    </xf>
    <xf numFmtId="0" fontId="2" fillId="0" borderId="0" xfId="0" applyFont="1" applyFill="1" applyAlignment="1">
      <alignment horizontal="left"/>
    </xf>
    <xf numFmtId="181" fontId="5" fillId="2" borderId="0" xfId="1" applyNumberFormat="1" applyFont="1" applyFill="1" applyAlignment="1">
      <alignment horizontal="right"/>
    </xf>
    <xf numFmtId="181" fontId="5" fillId="0" borderId="0" xfId="1" applyNumberFormat="1" applyFont="1" applyAlignment="1">
      <alignment horizontal="right"/>
    </xf>
    <xf numFmtId="173" fontId="5" fillId="0" borderId="0" xfId="1" applyNumberFormat="1" applyFont="1" applyBorder="1" applyAlignment="1">
      <alignment horizontal="center"/>
    </xf>
    <xf numFmtId="175" fontId="5" fillId="0" borderId="0" xfId="0" applyNumberFormat="1" applyFont="1" applyAlignment="1">
      <alignment horizontal="center"/>
    </xf>
    <xf numFmtId="170" fontId="2" fillId="0" borderId="0" xfId="0" applyNumberFormat="1" applyFont="1"/>
    <xf numFmtId="170" fontId="0" fillId="0" borderId="0" xfId="1" applyNumberFormat="1" applyFont="1" applyBorder="1" applyAlignment="1">
      <alignment horizontal="center"/>
    </xf>
    <xf numFmtId="0" fontId="7" fillId="0" borderId="0" xfId="0" applyFont="1" applyAlignment="1">
      <alignment horizontal="center"/>
    </xf>
    <xf numFmtId="167" fontId="2" fillId="0" borderId="0" xfId="3" applyNumberFormat="1" applyAlignment="1">
      <alignment horizontal="center"/>
    </xf>
    <xf numFmtId="167" fontId="7" fillId="0" borderId="0" xfId="3" applyNumberFormat="1" applyFont="1" applyAlignment="1">
      <alignment horizontal="center"/>
    </xf>
    <xf numFmtId="0" fontId="7" fillId="0" borderId="0" xfId="0" applyFont="1" applyFill="1" applyBorder="1" applyAlignment="1">
      <alignment horizontal="center"/>
    </xf>
    <xf numFmtId="0" fontId="7" fillId="0" borderId="0" xfId="0" applyFont="1" applyAlignment="1">
      <alignment horizontal="center"/>
    </xf>
    <xf numFmtId="0" fontId="0" fillId="0" borderId="0" xfId="0" applyFont="1" applyFill="1" applyBorder="1" applyAlignment="1">
      <alignment horizontal="center"/>
    </xf>
    <xf numFmtId="168" fontId="0" fillId="0" borderId="0" xfId="0" applyNumberFormat="1" applyFont="1" applyFill="1" applyBorder="1" applyAlignment="1">
      <alignment horizontal="center"/>
    </xf>
    <xf numFmtId="168" fontId="7" fillId="0" borderId="0" xfId="0" applyNumberFormat="1" applyFont="1" applyFill="1" applyBorder="1" applyAlignment="1">
      <alignment horizontal="center"/>
    </xf>
    <xf numFmtId="0" fontId="0" fillId="0" borderId="0" xfId="0" applyAlignment="1"/>
    <xf numFmtId="0" fontId="2" fillId="0" borderId="0" xfId="0" applyFont="1" applyAlignment="1"/>
    <xf numFmtId="0" fontId="2" fillId="0" borderId="0" xfId="0" applyFont="1" applyAlignment="1">
      <alignment vertical="center"/>
    </xf>
    <xf numFmtId="2" fontId="2" fillId="0" borderId="0" xfId="0" applyNumberFormat="1" applyFont="1"/>
    <xf numFmtId="166" fontId="26" fillId="0" borderId="0" xfId="0" applyNumberFormat="1" applyFont="1" applyFill="1" applyBorder="1" applyAlignment="1">
      <alignment horizontal="center"/>
    </xf>
    <xf numFmtId="0" fontId="7" fillId="0" borderId="1" xfId="0" applyFont="1" applyBorder="1" applyAlignment="1">
      <alignment horizontal="center"/>
    </xf>
    <xf numFmtId="165" fontId="5" fillId="0" borderId="0" xfId="0" applyNumberFormat="1" applyFont="1" applyFill="1" applyAlignment="1">
      <alignment horizontal="center"/>
    </xf>
    <xf numFmtId="166" fontId="7" fillId="0" borderId="0" xfId="0" applyNumberFormat="1" applyFont="1" applyAlignment="1">
      <alignment horizontal="center"/>
    </xf>
    <xf numFmtId="1" fontId="0" fillId="0" borderId="0" xfId="0" applyNumberFormat="1" applyFont="1" applyAlignment="1">
      <alignment horizontal="center"/>
    </xf>
    <xf numFmtId="0" fontId="27" fillId="0" borderId="0" xfId="0" applyFont="1" applyAlignment="1">
      <alignment horizontal="left"/>
    </xf>
    <xf numFmtId="2" fontId="27" fillId="0" borderId="0" xfId="0" applyNumberFormat="1" applyFont="1" applyAlignment="1">
      <alignment horizontal="left"/>
    </xf>
    <xf numFmtId="1" fontId="2" fillId="0" borderId="0" xfId="0" applyNumberFormat="1" applyFont="1" applyFill="1" applyAlignment="1">
      <alignment horizontal="center"/>
    </xf>
    <xf numFmtId="182" fontId="0" fillId="0" borderId="0" xfId="0" applyNumberFormat="1" applyFill="1" applyAlignment="1">
      <alignment horizontal="center"/>
    </xf>
    <xf numFmtId="166" fontId="2" fillId="0" borderId="0" xfId="0" applyNumberFormat="1" applyFont="1" applyFill="1" applyAlignment="1">
      <alignment horizontal="center"/>
    </xf>
    <xf numFmtId="2" fontId="2" fillId="0" borderId="0" xfId="0" applyNumberFormat="1" applyFont="1" applyFill="1" applyAlignment="1">
      <alignment horizontal="center"/>
    </xf>
    <xf numFmtId="39" fontId="0" fillId="0" borderId="0" xfId="0" applyNumberFormat="1" applyFill="1" applyAlignment="1">
      <alignment horizontal="center"/>
    </xf>
    <xf numFmtId="3" fontId="2" fillId="0" borderId="0" xfId="0" applyNumberFormat="1" applyFont="1" applyFill="1" applyAlignment="1">
      <alignment horizontal="center"/>
    </xf>
    <xf numFmtId="37" fontId="0" fillId="0" borderId="0" xfId="0" applyNumberFormat="1" applyFill="1" applyAlignment="1">
      <alignment horizontal="center"/>
    </xf>
    <xf numFmtId="0" fontId="7" fillId="0" borderId="0" xfId="0" applyFont="1" applyFill="1" applyAlignment="1"/>
    <xf numFmtId="165" fontId="7" fillId="0" borderId="0" xfId="0" applyNumberFormat="1" applyFont="1" applyFill="1" applyAlignment="1">
      <alignment horizontal="center"/>
    </xf>
    <xf numFmtId="0" fontId="24" fillId="0" borderId="0" xfId="0" applyFont="1" applyAlignment="1">
      <alignment horizontal="right"/>
    </xf>
    <xf numFmtId="169" fontId="0" fillId="0" borderId="0" xfId="1" applyNumberFormat="1" applyFont="1" applyFill="1" applyAlignment="1">
      <alignment horizontal="right"/>
    </xf>
    <xf numFmtId="0" fontId="7" fillId="0" borderId="0" xfId="0" applyFont="1" applyFill="1" applyBorder="1" applyAlignment="1">
      <alignment horizontal="center"/>
    </xf>
    <xf numFmtId="0" fontId="23" fillId="0" borderId="0" xfId="0" applyFont="1" applyBorder="1"/>
    <xf numFmtId="0" fontId="23" fillId="0" borderId="0" xfId="0" applyFont="1" applyBorder="1" applyAlignment="1">
      <alignment horizontal="left"/>
    </xf>
    <xf numFmtId="0" fontId="23" fillId="0" borderId="0" xfId="0" applyFont="1" applyFill="1" applyBorder="1" applyAlignment="1">
      <alignment horizontal="left"/>
    </xf>
    <xf numFmtId="0" fontId="23" fillId="0" borderId="0" xfId="0" applyFont="1" applyAlignment="1">
      <alignment horizontal="center"/>
    </xf>
    <xf numFmtId="166" fontId="23" fillId="0" borderId="0" xfId="0" applyNumberFormat="1" applyFont="1" applyBorder="1" applyAlignment="1">
      <alignment horizontal="center"/>
    </xf>
    <xf numFmtId="0" fontId="23" fillId="0" borderId="0" xfId="0" applyFont="1" applyFill="1" applyBorder="1"/>
    <xf numFmtId="0" fontId="23" fillId="0" borderId="1" xfId="0" applyFont="1" applyBorder="1" applyAlignment="1">
      <alignment horizontal="center"/>
    </xf>
    <xf numFmtId="0" fontId="23" fillId="0" borderId="1" xfId="0" applyFont="1" applyBorder="1" applyAlignment="1">
      <alignment horizontal="left"/>
    </xf>
    <xf numFmtId="170" fontId="23" fillId="0" borderId="0" xfId="1" applyNumberFormat="1" applyFont="1" applyAlignment="1">
      <alignment horizontal="center"/>
    </xf>
    <xf numFmtId="170" fontId="23" fillId="0" borderId="1" xfId="1" applyNumberFormat="1" applyFont="1" applyBorder="1" applyAlignment="1">
      <alignment horizontal="center"/>
    </xf>
    <xf numFmtId="0" fontId="23" fillId="0" borderId="0" xfId="0" applyFont="1" applyBorder="1" applyAlignment="1">
      <alignment horizontal="center"/>
    </xf>
    <xf numFmtId="0" fontId="3" fillId="0" borderId="0" xfId="0" applyFont="1" applyBorder="1" applyAlignment="1"/>
    <xf numFmtId="165" fontId="5" fillId="10" borderId="0" xfId="1" applyNumberFormat="1" applyFont="1" applyFill="1" applyBorder="1" applyAlignment="1">
      <alignment horizontal="center"/>
    </xf>
    <xf numFmtId="164" fontId="5" fillId="10" borderId="0" xfId="0" applyNumberFormat="1" applyFont="1" applyFill="1" applyBorder="1" applyAlignment="1">
      <alignment horizontal="center"/>
    </xf>
    <xf numFmtId="0" fontId="3" fillId="0" borderId="3" xfId="0" applyFont="1" applyBorder="1" applyAlignment="1">
      <alignment horizontal="center"/>
    </xf>
    <xf numFmtId="0" fontId="3" fillId="0" borderId="0" xfId="0" applyFont="1" applyAlignment="1">
      <alignment horizontal="center"/>
    </xf>
    <xf numFmtId="0" fontId="7" fillId="0" borderId="0" xfId="0" applyFont="1" applyAlignment="1">
      <alignment horizontal="center"/>
    </xf>
    <xf numFmtId="167" fontId="2" fillId="10" borderId="0" xfId="0" applyNumberFormat="1" applyFont="1" applyFill="1" applyAlignment="1">
      <alignment horizontal="center"/>
    </xf>
    <xf numFmtId="0" fontId="0" fillId="0" borderId="0" xfId="0" applyFill="1" applyProtection="1">
      <protection locked="0"/>
    </xf>
    <xf numFmtId="0" fontId="0" fillId="0" borderId="0" xfId="0" applyProtection="1">
      <protection locked="0"/>
    </xf>
    <xf numFmtId="0" fontId="3" fillId="0" borderId="0" xfId="0" applyNumberFormat="1" applyFont="1" applyFill="1" applyAlignment="1"/>
    <xf numFmtId="170" fontId="2" fillId="10" borderId="0" xfId="0" applyNumberFormat="1" applyFont="1" applyFill="1"/>
    <xf numFmtId="0" fontId="29" fillId="0" borderId="0" xfId="0" applyFont="1" applyBorder="1" applyAlignment="1">
      <alignment horizontal="center"/>
    </xf>
    <xf numFmtId="0" fontId="29" fillId="0" borderId="0" xfId="0" applyFont="1" applyBorder="1" applyAlignment="1">
      <alignment horizontal="left"/>
    </xf>
    <xf numFmtId="0" fontId="23" fillId="0" borderId="1" xfId="0" applyFont="1" applyFill="1" applyBorder="1" applyAlignment="1">
      <alignment horizontal="center"/>
    </xf>
    <xf numFmtId="0" fontId="23" fillId="0" borderId="8" xfId="0" applyFont="1" applyBorder="1" applyAlignment="1">
      <alignment horizontal="center"/>
    </xf>
    <xf numFmtId="0" fontId="3" fillId="0" borderId="1" xfId="0" applyFont="1" applyBorder="1" applyAlignment="1">
      <alignment horizontal="center"/>
    </xf>
    <xf numFmtId="0" fontId="23" fillId="0" borderId="0" xfId="0" applyFont="1" applyAlignment="1">
      <alignment horizontal="left"/>
    </xf>
    <xf numFmtId="40" fontId="3" fillId="0" borderId="0" xfId="0" applyNumberFormat="1" applyFont="1" applyAlignment="1"/>
    <xf numFmtId="0" fontId="23" fillId="0" borderId="0" xfId="1" applyNumberFormat="1" applyFont="1" applyBorder="1" applyAlignment="1">
      <alignment horizontal="left"/>
    </xf>
    <xf numFmtId="165" fontId="2" fillId="0" borderId="0" xfId="0" applyNumberFormat="1" applyFont="1" applyBorder="1" applyAlignment="1">
      <alignment horizontal="center"/>
    </xf>
    <xf numFmtId="1" fontId="0" fillId="0" borderId="0" xfId="0" applyNumberFormat="1" applyBorder="1"/>
    <xf numFmtId="0" fontId="31" fillId="0" borderId="0" xfId="0" applyFont="1"/>
    <xf numFmtId="0" fontId="32" fillId="0" borderId="0" xfId="0" applyFont="1"/>
    <xf numFmtId="0" fontId="0" fillId="0" borderId="0" xfId="0" applyFont="1"/>
    <xf numFmtId="0" fontId="0" fillId="0" borderId="0" xfId="0" applyAlignment="1">
      <alignment horizontal="right"/>
    </xf>
    <xf numFmtId="0" fontId="30" fillId="0" borderId="0" xfId="0" applyFont="1"/>
    <xf numFmtId="0" fontId="33" fillId="0" borderId="0" xfId="0" applyFont="1"/>
    <xf numFmtId="0" fontId="30" fillId="0" borderId="0" xfId="0" applyFont="1" applyFill="1" applyBorder="1"/>
    <xf numFmtId="0" fontId="30" fillId="0" borderId="0" xfId="0" applyFont="1" applyAlignment="1">
      <alignment horizontal="center"/>
    </xf>
    <xf numFmtId="11" fontId="0" fillId="0" borderId="0" xfId="0" applyNumberFormat="1" applyAlignment="1">
      <alignment horizontal="center"/>
    </xf>
    <xf numFmtId="177" fontId="0" fillId="0" borderId="0" xfId="0" applyNumberFormat="1" applyAlignment="1">
      <alignment horizontal="center"/>
    </xf>
    <xf numFmtId="11" fontId="0" fillId="0" borderId="0" xfId="0" applyNumberFormat="1"/>
    <xf numFmtId="0" fontId="0" fillId="11" borderId="0" xfId="0" applyFill="1"/>
    <xf numFmtId="2" fontId="0" fillId="11" borderId="0" xfId="0" applyNumberFormat="1" applyFill="1" applyAlignment="1">
      <alignment horizontal="center"/>
    </xf>
    <xf numFmtId="165" fontId="0" fillId="11" borderId="0" xfId="0" applyNumberFormat="1" applyFill="1" applyAlignment="1">
      <alignment horizontal="center"/>
    </xf>
    <xf numFmtId="0" fontId="0" fillId="0" borderId="0" xfId="0" applyNumberFormat="1" applyAlignment="1">
      <alignment horizontal="center"/>
    </xf>
    <xf numFmtId="0" fontId="0" fillId="0" borderId="0" xfId="0" applyFont="1" applyBorder="1" applyAlignment="1">
      <alignment horizontal="left"/>
    </xf>
    <xf numFmtId="1" fontId="0" fillId="0" borderId="0" xfId="0" applyNumberFormat="1" applyBorder="1" applyAlignment="1">
      <alignment horizontal="center"/>
    </xf>
    <xf numFmtId="1" fontId="30" fillId="0" borderId="0" xfId="0" applyNumberFormat="1" applyFont="1" applyBorder="1" applyAlignment="1">
      <alignment horizontal="center"/>
    </xf>
    <xf numFmtId="1" fontId="30" fillId="0" borderId="0" xfId="0" applyNumberFormat="1" applyFont="1" applyAlignment="1">
      <alignment horizontal="center"/>
    </xf>
    <xf numFmtId="12" fontId="36" fillId="0" borderId="0" xfId="0" applyNumberFormat="1" applyFont="1" applyBorder="1" applyAlignment="1">
      <alignment horizontal="center"/>
    </xf>
    <xf numFmtId="0" fontId="30" fillId="0" borderId="9" xfId="0" applyFont="1" applyBorder="1"/>
    <xf numFmtId="0" fontId="30" fillId="0" borderId="9" xfId="0" applyFont="1" applyBorder="1" applyAlignment="1">
      <alignment horizontal="center"/>
    </xf>
    <xf numFmtId="0" fontId="34" fillId="0" borderId="0" xfId="0" applyFont="1"/>
    <xf numFmtId="0" fontId="30" fillId="0" borderId="0" xfId="0" applyFont="1" applyBorder="1"/>
    <xf numFmtId="0" fontId="30" fillId="0" borderId="0" xfId="0" applyFont="1" applyBorder="1" applyAlignment="1">
      <alignment horizontal="center"/>
    </xf>
    <xf numFmtId="0" fontId="34" fillId="0" borderId="0" xfId="0" applyFont="1" applyAlignment="1">
      <alignment horizontal="center"/>
    </xf>
    <xf numFmtId="166" fontId="0" fillId="12" borderId="0" xfId="0" applyNumberFormat="1" applyFill="1" applyAlignment="1">
      <alignment horizontal="center"/>
    </xf>
    <xf numFmtId="166" fontId="30" fillId="0" borderId="0" xfId="0" applyNumberFormat="1" applyFont="1" applyAlignment="1">
      <alignment horizontal="center"/>
    </xf>
    <xf numFmtId="0" fontId="34" fillId="12" borderId="0" xfId="0" applyFont="1" applyFill="1"/>
    <xf numFmtId="0" fontId="0" fillId="12" borderId="0" xfId="0" applyFill="1"/>
    <xf numFmtId="2" fontId="0" fillId="12" borderId="0" xfId="0" applyNumberFormat="1" applyFill="1" applyAlignment="1">
      <alignment horizontal="center"/>
    </xf>
    <xf numFmtId="165" fontId="0" fillId="0" borderId="0" xfId="0" applyNumberFormat="1" applyBorder="1" applyAlignment="1">
      <alignment horizontal="center"/>
    </xf>
    <xf numFmtId="0" fontId="23" fillId="0" borderId="3" xfId="0" applyFont="1" applyBorder="1" applyAlignment="1"/>
    <xf numFmtId="2" fontId="0" fillId="13" borderId="0" xfId="0" applyNumberFormat="1" applyFill="1" applyAlignment="1">
      <alignment horizontal="center"/>
    </xf>
    <xf numFmtId="0" fontId="3" fillId="12" borderId="0" xfId="0" applyFont="1" applyFill="1" applyAlignment="1">
      <alignment horizontal="left"/>
    </xf>
    <xf numFmtId="0" fontId="7" fillId="12" borderId="0" xfId="0" applyFont="1" applyFill="1" applyBorder="1"/>
    <xf numFmtId="0" fontId="11" fillId="12" borderId="0" xfId="0" applyFont="1" applyFill="1" applyBorder="1" applyAlignment="1">
      <alignment horizontal="right"/>
    </xf>
    <xf numFmtId="2" fontId="5" fillId="12" borderId="0" xfId="0" applyNumberFormat="1" applyFont="1" applyFill="1" applyBorder="1" applyAlignment="1">
      <alignment horizontal="left"/>
    </xf>
    <xf numFmtId="0" fontId="5" fillId="12" borderId="0" xfId="0" applyFont="1" applyFill="1" applyAlignment="1">
      <alignment horizontal="left"/>
    </xf>
    <xf numFmtId="0" fontId="11" fillId="12" borderId="0" xfId="0" applyFont="1" applyFill="1" applyAlignment="1">
      <alignment horizontal="left"/>
    </xf>
    <xf numFmtId="0" fontId="7" fillId="12" borderId="0" xfId="0" applyFont="1" applyFill="1" applyBorder="1" applyAlignment="1">
      <alignment horizontal="left"/>
    </xf>
    <xf numFmtId="0" fontId="2" fillId="12" borderId="0" xfId="0" applyFont="1" applyFill="1" applyBorder="1" applyAlignment="1">
      <alignment horizontal="left"/>
    </xf>
    <xf numFmtId="0" fontId="14" fillId="12" borderId="0" xfId="0" applyFont="1" applyFill="1" applyBorder="1" applyAlignment="1">
      <alignment horizontal="center"/>
    </xf>
    <xf numFmtId="2" fontId="2" fillId="12" borderId="0" xfId="0" applyNumberFormat="1" applyFont="1" applyFill="1" applyBorder="1" applyAlignment="1">
      <alignment horizontal="left"/>
    </xf>
    <xf numFmtId="166" fontId="2" fillId="12" borderId="0" xfId="0" applyNumberFormat="1" applyFont="1" applyFill="1"/>
    <xf numFmtId="0" fontId="23" fillId="12" borderId="3" xfId="0" applyFont="1" applyFill="1" applyBorder="1" applyAlignment="1"/>
    <xf numFmtId="0" fontId="23" fillId="12" borderId="8" xfId="0" applyFont="1" applyFill="1" applyBorder="1" applyAlignment="1">
      <alignment horizontal="center"/>
    </xf>
    <xf numFmtId="0" fontId="0" fillId="12" borderId="0" xfId="0" applyFill="1" applyAlignment="1">
      <alignment horizontal="center"/>
    </xf>
    <xf numFmtId="0" fontId="2" fillId="12" borderId="0" xfId="0" applyFont="1" applyFill="1" applyAlignment="1">
      <alignment horizontal="center"/>
    </xf>
    <xf numFmtId="2" fontId="5" fillId="0" borderId="0" xfId="0" applyNumberFormat="1" applyFont="1" applyFill="1" applyAlignment="1">
      <alignment horizontal="center"/>
    </xf>
    <xf numFmtId="2" fontId="0" fillId="0" borderId="0" xfId="1" applyNumberFormat="1" applyFont="1" applyFill="1" applyAlignment="1">
      <alignment horizontal="center"/>
    </xf>
    <xf numFmtId="0" fontId="2" fillId="0" borderId="0" xfId="0" applyFont="1" applyBorder="1" applyAlignment="1">
      <alignment horizontal="right"/>
    </xf>
    <xf numFmtId="1" fontId="0" fillId="3" borderId="0" xfId="0" applyNumberFormat="1" applyFill="1" applyAlignment="1">
      <alignment horizontal="center"/>
    </xf>
    <xf numFmtId="2" fontId="5" fillId="3" borderId="0" xfId="0" applyNumberFormat="1" applyFont="1" applyFill="1" applyAlignment="1">
      <alignment horizontal="center"/>
    </xf>
    <xf numFmtId="0" fontId="0" fillId="14" borderId="0" xfId="0" applyFill="1" applyAlignment="1">
      <alignment horizontal="center"/>
    </xf>
    <xf numFmtId="167" fontId="0" fillId="14" borderId="0" xfId="0" applyNumberFormat="1" applyFill="1" applyAlignment="1">
      <alignment horizontal="center"/>
    </xf>
    <xf numFmtId="1" fontId="0" fillId="14" borderId="0" xfId="0" applyNumberFormat="1" applyFill="1" applyAlignment="1">
      <alignment horizontal="center"/>
    </xf>
    <xf numFmtId="2" fontId="0" fillId="14" borderId="0" xfId="0" applyNumberFormat="1" applyFill="1" applyAlignment="1">
      <alignment horizontal="center"/>
    </xf>
    <xf numFmtId="2" fontId="0" fillId="3" borderId="0" xfId="0" applyNumberFormat="1" applyFill="1" applyAlignment="1">
      <alignment horizontal="center"/>
    </xf>
    <xf numFmtId="166" fontId="0" fillId="14" borderId="0" xfId="0" applyNumberFormat="1" applyFill="1" applyAlignment="1">
      <alignment horizontal="center"/>
    </xf>
    <xf numFmtId="177" fontId="2" fillId="0" borderId="0" xfId="0" applyNumberFormat="1" applyFont="1" applyAlignment="1">
      <alignment horizontal="center"/>
    </xf>
    <xf numFmtId="0" fontId="0" fillId="0" borderId="0" xfId="0" applyFont="1" applyFill="1" applyBorder="1"/>
    <xf numFmtId="0" fontId="7" fillId="15" borderId="0" xfId="0" applyFont="1" applyFill="1" applyAlignment="1">
      <alignment horizontal="center"/>
    </xf>
    <xf numFmtId="0" fontId="24" fillId="0" borderId="0" xfId="0" applyFont="1" applyFill="1"/>
    <xf numFmtId="183" fontId="0" fillId="0" borderId="0" xfId="0" applyNumberFormat="1"/>
    <xf numFmtId="166" fontId="0" fillId="9" borderId="0" xfId="0" applyNumberFormat="1" applyFill="1" applyAlignment="1">
      <alignment horizontal="center"/>
    </xf>
    <xf numFmtId="165" fontId="0" fillId="0" borderId="0" xfId="1" applyNumberFormat="1" applyFont="1" applyAlignment="1">
      <alignment horizontal="center"/>
    </xf>
    <xf numFmtId="43" fontId="2" fillId="0" borderId="0" xfId="1" applyFont="1" applyFill="1" applyAlignment="1">
      <alignment horizontal="center"/>
    </xf>
    <xf numFmtId="2" fontId="27" fillId="0" borderId="0" xfId="0" applyNumberFormat="1" applyFont="1" applyAlignment="1"/>
    <xf numFmtId="2" fontId="2" fillId="0" borderId="0" xfId="0" applyNumberFormat="1" applyFont="1" applyFill="1" applyAlignment="1">
      <alignment horizontal="left"/>
    </xf>
    <xf numFmtId="166" fontId="2" fillId="0" borderId="0" xfId="0" applyNumberFormat="1" applyFont="1" applyFill="1" applyBorder="1" applyAlignment="1">
      <alignment horizontal="center"/>
    </xf>
    <xf numFmtId="167" fontId="30" fillId="0" borderId="0" xfId="0" applyNumberFormat="1" applyFont="1" applyAlignment="1">
      <alignment horizontal="center"/>
    </xf>
    <xf numFmtId="165" fontId="24" fillId="0" borderId="0" xfId="0" applyNumberFormat="1" applyFont="1" applyAlignment="1">
      <alignment horizontal="center"/>
    </xf>
    <xf numFmtId="2" fontId="0" fillId="0" borderId="0" xfId="0" applyNumberFormat="1" applyBorder="1"/>
    <xf numFmtId="43" fontId="0" fillId="0" borderId="0" xfId="0" applyNumberFormat="1" applyBorder="1"/>
    <xf numFmtId="0" fontId="2" fillId="0" borderId="0" xfId="0" applyFont="1" applyFill="1" applyBorder="1" applyAlignment="1">
      <alignment horizontal="right"/>
    </xf>
    <xf numFmtId="43" fontId="0" fillId="0" borderId="0" xfId="0" applyNumberFormat="1" applyAlignment="1">
      <alignment horizontal="left"/>
    </xf>
    <xf numFmtId="0" fontId="7" fillId="0" borderId="0" xfId="0" applyFont="1" applyFill="1" applyBorder="1" applyAlignment="1">
      <alignment horizontal="right"/>
    </xf>
    <xf numFmtId="43" fontId="0" fillId="0" borderId="0" xfId="0" applyNumberFormat="1" applyAlignment="1">
      <alignment horizontal="right"/>
    </xf>
    <xf numFmtId="184" fontId="7" fillId="0" borderId="0" xfId="0" applyNumberFormat="1" applyFont="1" applyAlignment="1">
      <alignment horizontal="center"/>
    </xf>
    <xf numFmtId="0" fontId="0" fillId="0" borderId="0" xfId="0" applyFont="1" applyAlignment="1">
      <alignment horizontal="right"/>
    </xf>
    <xf numFmtId="165" fontId="2" fillId="0" borderId="0" xfId="0" applyNumberFormat="1" applyFont="1"/>
    <xf numFmtId="4" fontId="0" fillId="8" borderId="0" xfId="0" applyNumberFormat="1" applyFill="1" applyAlignment="1">
      <alignment horizontal="center"/>
    </xf>
    <xf numFmtId="173" fontId="0" fillId="0" borderId="0" xfId="0" applyNumberFormat="1"/>
    <xf numFmtId="1" fontId="0" fillId="9" borderId="0" xfId="0" applyNumberFormat="1" applyFill="1" applyAlignment="1">
      <alignment horizontal="center"/>
    </xf>
    <xf numFmtId="0" fontId="7" fillId="0" borderId="0" xfId="0" applyFont="1" applyBorder="1" applyAlignment="1">
      <alignment horizontal="right"/>
    </xf>
    <xf numFmtId="0" fontId="25" fillId="0" borderId="0" xfId="0" applyFont="1" applyAlignment="1">
      <alignment horizontal="left"/>
    </xf>
    <xf numFmtId="0" fontId="8" fillId="0" borderId="0" xfId="0" applyFont="1"/>
    <xf numFmtId="0" fontId="1" fillId="0" borderId="0" xfId="0" applyFont="1"/>
    <xf numFmtId="0" fontId="43" fillId="0" borderId="0" xfId="0" applyFont="1" applyAlignment="1">
      <alignment horizontal="left"/>
    </xf>
    <xf numFmtId="0" fontId="25" fillId="0" borderId="0" xfId="0" applyFont="1" applyBorder="1" applyAlignment="1">
      <alignment horizontal="left"/>
    </xf>
    <xf numFmtId="0" fontId="45" fillId="0" borderId="0" xfId="0" applyFont="1" applyFill="1" applyBorder="1" applyAlignment="1">
      <alignment horizontal="left"/>
    </xf>
    <xf numFmtId="0" fontId="46" fillId="0" borderId="0" xfId="0" applyFont="1"/>
    <xf numFmtId="166" fontId="24" fillId="0" borderId="0" xfId="0" applyNumberFormat="1" applyFont="1" applyAlignment="1">
      <alignment horizontal="center"/>
    </xf>
    <xf numFmtId="166" fontId="0" fillId="0" borderId="0" xfId="0" applyNumberFormat="1" applyAlignment="1">
      <alignment horizontal="center"/>
    </xf>
    <xf numFmtId="166" fontId="36" fillId="0" borderId="0" xfId="0" applyNumberFormat="1" applyFont="1" applyBorder="1" applyAlignment="1">
      <alignment horizontal="center"/>
    </xf>
    <xf numFmtId="1" fontId="0" fillId="0" borderId="0" xfId="0" applyNumberFormat="1" applyAlignment="1">
      <alignment horizontal="center"/>
    </xf>
    <xf numFmtId="165" fontId="0" fillId="0" borderId="0" xfId="0" applyNumberForma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1" fontId="30" fillId="0" borderId="0" xfId="0" applyNumberFormat="1" applyFont="1" applyBorder="1" applyAlignment="1">
      <alignment horizontal="center"/>
    </xf>
    <xf numFmtId="1" fontId="30" fillId="0" borderId="0" xfId="0" applyNumberFormat="1" applyFont="1" applyAlignment="1">
      <alignment horizontal="center"/>
    </xf>
    <xf numFmtId="2" fontId="1" fillId="0" borderId="0" xfId="0" applyNumberFormat="1" applyFont="1"/>
    <xf numFmtId="166" fontId="0" fillId="0" borderId="0" xfId="0" applyNumberFormat="1" applyAlignment="1">
      <alignment horizontal="center"/>
    </xf>
    <xf numFmtId="165" fontId="0" fillId="0" borderId="0" xfId="0" applyNumberFormat="1" applyAlignment="1">
      <alignment horizontal="center"/>
    </xf>
    <xf numFmtId="167" fontId="0" fillId="0" borderId="0" xfId="0" applyNumberFormat="1" applyAlignment="1">
      <alignment horizontal="center"/>
    </xf>
    <xf numFmtId="166" fontId="0" fillId="0" borderId="0" xfId="0" applyNumberFormat="1" applyAlignment="1">
      <alignment horizontal="center"/>
    </xf>
    <xf numFmtId="1" fontId="1" fillId="0" borderId="0" xfId="0" applyNumberFormat="1" applyFont="1"/>
    <xf numFmtId="1" fontId="1" fillId="0" borderId="0" xfId="0" applyNumberFormat="1" applyFont="1"/>
    <xf numFmtId="166" fontId="1" fillId="0" borderId="0" xfId="0" applyNumberFormat="1" applyFont="1"/>
    <xf numFmtId="166" fontId="1" fillId="0" borderId="0" xfId="0" applyNumberFormat="1" applyFont="1"/>
    <xf numFmtId="2" fontId="1" fillId="0" borderId="0" xfId="0" applyNumberFormat="1" applyFont="1"/>
    <xf numFmtId="0" fontId="7" fillId="0" borderId="0" xfId="0" applyFont="1" applyAlignment="1">
      <alignment horizontal="center"/>
    </xf>
    <xf numFmtId="0" fontId="47" fillId="0" borderId="0" xfId="0" applyFont="1"/>
    <xf numFmtId="0" fontId="1" fillId="9" borderId="0" xfId="0" applyNumberFormat="1" applyFont="1" applyFill="1"/>
    <xf numFmtId="167" fontId="0" fillId="9" borderId="0" xfId="0" applyNumberFormat="1" applyFill="1" applyAlignment="1">
      <alignment horizontal="center"/>
    </xf>
    <xf numFmtId="177" fontId="0" fillId="0" borderId="0" xfId="0" applyNumberFormat="1" applyFont="1" applyAlignment="1">
      <alignment horizontal="center"/>
    </xf>
    <xf numFmtId="0" fontId="48" fillId="0" borderId="0" xfId="0" applyFont="1"/>
    <xf numFmtId="2" fontId="7" fillId="0" borderId="0" xfId="0" applyNumberFormat="1" applyFont="1"/>
    <xf numFmtId="0" fontId="49" fillId="0" borderId="0" xfId="0" applyFont="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0" borderId="0" xfId="0" applyFont="1" applyBorder="1" applyAlignment="1">
      <alignment horizontal="right"/>
    </xf>
    <xf numFmtId="0" fontId="0" fillId="0" borderId="0" xfId="0" applyBorder="1" applyAlignment="1">
      <alignment horizontal="right"/>
    </xf>
    <xf numFmtId="0" fontId="50" fillId="0" borderId="0" xfId="0" applyFont="1"/>
    <xf numFmtId="0" fontId="0" fillId="0" borderId="0" xfId="1" applyNumberFormat="1" applyFont="1" applyBorder="1" applyAlignment="1">
      <alignment horizontal="center"/>
    </xf>
    <xf numFmtId="43" fontId="0" fillId="0" borderId="0" xfId="1" applyNumberFormat="1" applyFont="1" applyBorder="1" applyAlignment="1">
      <alignment horizontal="center"/>
    </xf>
    <xf numFmtId="170" fontId="0" fillId="0" borderId="0" xfId="1" applyNumberFormat="1" applyFont="1" applyBorder="1"/>
    <xf numFmtId="43" fontId="0" fillId="0" borderId="0" xfId="1" applyFont="1" applyBorder="1"/>
    <xf numFmtId="0" fontId="0" fillId="0" borderId="0" xfId="0" applyNumberFormat="1" applyAlignment="1">
      <alignment horizontal="right"/>
    </xf>
    <xf numFmtId="170" fontId="0" fillId="0" borderId="0" xfId="0" applyNumberFormat="1" applyAlignment="1">
      <alignment horizontal="right"/>
    </xf>
    <xf numFmtId="0" fontId="3" fillId="0" borderId="0" xfId="0" applyFont="1" applyAlignment="1">
      <alignment horizontal="center"/>
    </xf>
    <xf numFmtId="2" fontId="3" fillId="0" borderId="0" xfId="0" applyNumberFormat="1" applyFont="1" applyAlignment="1">
      <alignment horizontal="center"/>
    </xf>
    <xf numFmtId="0" fontId="2" fillId="0" borderId="0" xfId="3"/>
    <xf numFmtId="1" fontId="2" fillId="0" borderId="0" xfId="2" applyNumberFormat="1" applyFont="1" applyFill="1" applyAlignment="1">
      <alignment horizontal="center"/>
    </xf>
    <xf numFmtId="2" fontId="2" fillId="0" borderId="0" xfId="0" applyNumberFormat="1" applyFont="1" applyAlignment="1">
      <alignment horizontal="center"/>
    </xf>
    <xf numFmtId="166" fontId="26" fillId="0" borderId="0" xfId="0" applyNumberFormat="1" applyFont="1" applyAlignment="1">
      <alignment horizontal="center"/>
    </xf>
    <xf numFmtId="170" fontId="2" fillId="10" borderId="0" xfId="1" applyNumberFormat="1" applyFont="1" applyFill="1"/>
    <xf numFmtId="38" fontId="2" fillId="10" borderId="0" xfId="1" applyNumberFormat="1" applyFont="1" applyFill="1" applyBorder="1" applyAlignment="1">
      <alignment horizontal="right"/>
    </xf>
    <xf numFmtId="38" fontId="2" fillId="10" borderId="0" xfId="1" applyNumberFormat="1" applyFont="1" applyFill="1" applyAlignment="1">
      <alignment horizontal="right"/>
    </xf>
    <xf numFmtId="49" fontId="2" fillId="0" borderId="0" xfId="0" applyNumberFormat="1" applyFont="1" applyAlignment="1">
      <alignment horizontal="left" vertical="top" wrapText="1"/>
    </xf>
    <xf numFmtId="49" fontId="0" fillId="0" borderId="0" xfId="0" applyNumberFormat="1" applyAlignment="1">
      <alignment horizontal="left" vertical="top" wrapText="1"/>
    </xf>
    <xf numFmtId="0" fontId="3" fillId="0" borderId="3" xfId="0" applyFont="1" applyBorder="1" applyAlignment="1">
      <alignment horizontal="center"/>
    </xf>
    <xf numFmtId="0" fontId="0" fillId="0" borderId="0" xfId="0" applyFont="1" applyFill="1" applyBorder="1" applyAlignment="1">
      <alignment horizontal="center"/>
    </xf>
    <xf numFmtId="0" fontId="13" fillId="0" borderId="0" xfId="0" applyFont="1" applyAlignment="1">
      <alignment horizontal="center"/>
    </xf>
    <xf numFmtId="0" fontId="3" fillId="0" borderId="0" xfId="0" applyFont="1" applyAlignment="1">
      <alignment horizontal="center"/>
    </xf>
    <xf numFmtId="2" fontId="3" fillId="3" borderId="0" xfId="0" applyNumberFormat="1" applyFont="1" applyFill="1" applyBorder="1" applyAlignment="1">
      <alignment horizontal="center"/>
    </xf>
    <xf numFmtId="2" fontId="3" fillId="0" borderId="0" xfId="0" applyNumberFormat="1" applyFont="1" applyAlignment="1">
      <alignment horizontal="center"/>
    </xf>
    <xf numFmtId="0" fontId="7" fillId="0" borderId="1" xfId="0" applyFont="1" applyBorder="1" applyAlignment="1">
      <alignment horizontal="center"/>
    </xf>
    <xf numFmtId="0" fontId="7" fillId="0" borderId="0" xfId="0" applyFont="1" applyFill="1" applyBorder="1" applyAlignment="1">
      <alignment horizontal="center"/>
    </xf>
    <xf numFmtId="170" fontId="7" fillId="0" borderId="0" xfId="0" applyNumberFormat="1" applyFont="1" applyAlignment="1">
      <alignment horizontal="center"/>
    </xf>
    <xf numFmtId="43" fontId="2" fillId="0" borderId="0" xfId="3" applyNumberFormat="1"/>
  </cellXfs>
  <cellStyles count="4">
    <cellStyle name="Comma" xfId="1" builtinId="3"/>
    <cellStyle name="Normal" xfId="0" builtinId="0"/>
    <cellStyle name="Normal 2" xfId="3" xr:uid="{00000000-0005-0000-0000-000002000000}"/>
    <cellStyle name="Percent" xfId="2" builtinId="5"/>
  </cellStyles>
  <dxfs count="0"/>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6FFFF"/>
      <color rgb="FFCC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53018372703401"/>
          <c:y val="4.2477352511535699E-2"/>
          <c:w val="0.78228237095363096"/>
          <c:h val="0.81612646537913502"/>
        </c:manualLayout>
      </c:layout>
      <c:scatterChart>
        <c:scatterStyle val="lineMarker"/>
        <c:varyColors val="0"/>
        <c:ser>
          <c:idx val="1"/>
          <c:order val="0"/>
          <c:tx>
            <c:strRef>
              <c:f>'Iterative I-V'!$C$22</c:f>
              <c:strCache>
                <c:ptCount val="1"/>
              </c:strCache>
            </c:strRef>
          </c:tx>
          <c:spPr>
            <a:ln>
              <a:solidFill>
                <a:schemeClr val="accent1"/>
              </a:solidFill>
            </a:ln>
          </c:spPr>
          <c:marker>
            <c:spPr>
              <a:solidFill>
                <a:schemeClr val="accent1"/>
              </a:solidFill>
              <a:ln>
                <a:solidFill>
                  <a:schemeClr val="accent1"/>
                </a:solidFill>
              </a:ln>
            </c:spPr>
          </c:marker>
          <c:xVal>
            <c:numRef>
              <c:f>'Iterative I-V'!$B$87:$B$94</c:f>
              <c:numCache>
                <c:formatCode>General</c:formatCode>
                <c:ptCount val="8"/>
                <c:pt idx="1">
                  <c:v>1</c:v>
                </c:pt>
                <c:pt idx="2">
                  <c:v>1</c:v>
                </c:pt>
                <c:pt idx="3">
                  <c:v>2</c:v>
                </c:pt>
                <c:pt idx="4">
                  <c:v>2</c:v>
                </c:pt>
                <c:pt idx="5">
                  <c:v>2</c:v>
                </c:pt>
                <c:pt idx="6">
                  <c:v>3</c:v>
                </c:pt>
                <c:pt idx="7">
                  <c:v>3</c:v>
                </c:pt>
              </c:numCache>
            </c:numRef>
          </c:xVal>
          <c:yVal>
            <c:numRef>
              <c:f>'Iterative I-V'!$C$87:$C$94</c:f>
              <c:numCache>
                <c:formatCode>0.000</c:formatCode>
                <c:ptCount val="8"/>
                <c:pt idx="1">
                  <c:v>0</c:v>
                </c:pt>
                <c:pt idx="2">
                  <c:v>0.10872330538466829</c:v>
                </c:pt>
                <c:pt idx="3">
                  <c:v>0.10872810599089872</c:v>
                </c:pt>
                <c:pt idx="4">
                  <c:v>0.21745141137556701</c:v>
                </c:pt>
                <c:pt idx="5">
                  <c:v>0.24491537506582162</c:v>
                </c:pt>
                <c:pt idx="6">
                  <c:v>0.24491537506582162</c:v>
                </c:pt>
                <c:pt idx="7">
                  <c:v>0.27258774883899217</c:v>
                </c:pt>
              </c:numCache>
            </c:numRef>
          </c:yVal>
          <c:smooth val="0"/>
          <c:extLst>
            <c:ext xmlns:c16="http://schemas.microsoft.com/office/drawing/2014/chart" uri="{C3380CC4-5D6E-409C-BE32-E72D297353CC}">
              <c16:uniqueId val="{00000000-F852-2646-B77F-A0EB98348CC8}"/>
            </c:ext>
          </c:extLst>
        </c:ser>
        <c:ser>
          <c:idx val="0"/>
          <c:order val="1"/>
          <c:tx>
            <c:strRef>
              <c:f>'Iterative I-V'!$D$22</c:f>
              <c:strCache>
                <c:ptCount val="1"/>
              </c:strCache>
            </c:strRef>
          </c:tx>
          <c:spPr>
            <a:ln>
              <a:solidFill>
                <a:schemeClr val="accent2"/>
              </a:solidFill>
            </a:ln>
          </c:spPr>
          <c:marker>
            <c:spPr>
              <a:solidFill>
                <a:schemeClr val="accent2"/>
              </a:solidFill>
              <a:ln>
                <a:solidFill>
                  <a:schemeClr val="accent2"/>
                </a:solidFill>
              </a:ln>
            </c:spPr>
          </c:marker>
          <c:xVal>
            <c:numRef>
              <c:f>'Iterative I-V'!$B$87:$B$94</c:f>
              <c:numCache>
                <c:formatCode>General</c:formatCode>
                <c:ptCount val="8"/>
                <c:pt idx="1">
                  <c:v>1</c:v>
                </c:pt>
                <c:pt idx="2">
                  <c:v>1</c:v>
                </c:pt>
                <c:pt idx="3">
                  <c:v>2</c:v>
                </c:pt>
                <c:pt idx="4">
                  <c:v>2</c:v>
                </c:pt>
                <c:pt idx="5">
                  <c:v>2</c:v>
                </c:pt>
                <c:pt idx="6">
                  <c:v>3</c:v>
                </c:pt>
                <c:pt idx="7">
                  <c:v>3</c:v>
                </c:pt>
              </c:numCache>
            </c:numRef>
          </c:xVal>
          <c:yVal>
            <c:numRef>
              <c:f>'Iterative I-V'!$L$87:$L$94</c:f>
              <c:numCache>
                <c:formatCode>General</c:formatCode>
                <c:ptCount val="8"/>
              </c:numCache>
            </c:numRef>
          </c:yVal>
          <c:smooth val="0"/>
          <c:extLst>
            <c:ext xmlns:c16="http://schemas.microsoft.com/office/drawing/2014/chart" uri="{C3380CC4-5D6E-409C-BE32-E72D297353CC}">
              <c16:uniqueId val="{00000001-F852-2646-B77F-A0EB98348CC8}"/>
            </c:ext>
          </c:extLst>
        </c:ser>
        <c:ser>
          <c:idx val="2"/>
          <c:order val="2"/>
          <c:tx>
            <c:strRef>
              <c:f>'Iterative I-V'!$E$22</c:f>
              <c:strCache>
                <c:ptCount val="1"/>
              </c:strCache>
            </c:strRef>
          </c:tx>
          <c:xVal>
            <c:numRef>
              <c:f>'Iterative I-V'!$B$87:$B$94</c:f>
              <c:numCache>
                <c:formatCode>General</c:formatCode>
                <c:ptCount val="8"/>
                <c:pt idx="1">
                  <c:v>1</c:v>
                </c:pt>
                <c:pt idx="2">
                  <c:v>1</c:v>
                </c:pt>
                <c:pt idx="3">
                  <c:v>2</c:v>
                </c:pt>
                <c:pt idx="4">
                  <c:v>2</c:v>
                </c:pt>
                <c:pt idx="5">
                  <c:v>2</c:v>
                </c:pt>
                <c:pt idx="6">
                  <c:v>3</c:v>
                </c:pt>
                <c:pt idx="7">
                  <c:v>3</c:v>
                </c:pt>
              </c:numCache>
            </c:numRef>
          </c:xVal>
          <c:yVal>
            <c:numRef>
              <c:f>'Iterative I-V'!$G$87:$G$94</c:f>
              <c:numCache>
                <c:formatCode>General</c:formatCode>
                <c:ptCount val="8"/>
              </c:numCache>
            </c:numRef>
          </c:yVal>
          <c:smooth val="0"/>
          <c:extLst>
            <c:ext xmlns:c16="http://schemas.microsoft.com/office/drawing/2014/chart" uri="{C3380CC4-5D6E-409C-BE32-E72D297353CC}">
              <c16:uniqueId val="{00000002-F852-2646-B77F-A0EB98348CC8}"/>
            </c:ext>
          </c:extLst>
        </c:ser>
        <c:dLbls>
          <c:showLegendKey val="0"/>
          <c:showVal val="0"/>
          <c:showCatName val="0"/>
          <c:showSerName val="0"/>
          <c:showPercent val="0"/>
          <c:showBubbleSize val="0"/>
        </c:dLbls>
        <c:axId val="78894592"/>
        <c:axId val="78896512"/>
      </c:scatterChart>
      <c:valAx>
        <c:axId val="78894592"/>
        <c:scaling>
          <c:orientation val="minMax"/>
          <c:max val="3"/>
          <c:min val="0"/>
        </c:scaling>
        <c:delete val="0"/>
        <c:axPos val="b"/>
        <c:title>
          <c:tx>
            <c:rich>
              <a:bodyPr/>
              <a:lstStyle/>
              <a:p>
                <a:pPr>
                  <a:defRPr sz="1400"/>
                </a:pPr>
                <a:r>
                  <a:rPr lang="en-US" sz="1400"/>
                  <a:t>Region</a:t>
                </a:r>
              </a:p>
            </c:rich>
          </c:tx>
          <c:overlay val="0"/>
        </c:title>
        <c:numFmt formatCode="General" sourceLinked="1"/>
        <c:majorTickMark val="in"/>
        <c:minorTickMark val="none"/>
        <c:tickLblPos val="nextTo"/>
        <c:txPr>
          <a:bodyPr/>
          <a:lstStyle/>
          <a:p>
            <a:pPr>
              <a:defRPr sz="1200"/>
            </a:pPr>
            <a:endParaRPr lang="en-US"/>
          </a:p>
        </c:txPr>
        <c:crossAx val="78896512"/>
        <c:crosses val="autoZero"/>
        <c:crossBetween val="midCat"/>
        <c:majorUnit val="1"/>
      </c:valAx>
      <c:valAx>
        <c:axId val="78896512"/>
        <c:scaling>
          <c:orientation val="minMax"/>
        </c:scaling>
        <c:delete val="0"/>
        <c:axPos val="l"/>
        <c:title>
          <c:tx>
            <c:rich>
              <a:bodyPr rot="-5400000" vert="horz"/>
              <a:lstStyle/>
              <a:p>
                <a:pPr>
                  <a:defRPr sz="1400"/>
                </a:pPr>
                <a:r>
                  <a:rPr lang="en-US" sz="1400"/>
                  <a:t>Overpotential, V</a:t>
                </a:r>
              </a:p>
            </c:rich>
          </c:tx>
          <c:layout>
            <c:manualLayout>
              <c:xMode val="edge"/>
              <c:yMode val="edge"/>
              <c:x val="1.0861111111111099E-2"/>
              <c:y val="0.27531476407494099"/>
            </c:manualLayout>
          </c:layout>
          <c:overlay val="0"/>
        </c:title>
        <c:numFmt formatCode="0.000" sourceLinked="1"/>
        <c:majorTickMark val="in"/>
        <c:minorTickMark val="none"/>
        <c:tickLblPos val="nextTo"/>
        <c:txPr>
          <a:bodyPr/>
          <a:lstStyle/>
          <a:p>
            <a:pPr>
              <a:defRPr sz="1200"/>
            </a:pPr>
            <a:endParaRPr lang="en-US"/>
          </a:p>
        </c:txPr>
        <c:crossAx val="78894592"/>
        <c:crosses val="autoZero"/>
        <c:crossBetween val="midCat"/>
      </c:valAx>
    </c:plotArea>
    <c:legend>
      <c:legendPos val="r"/>
      <c:layout>
        <c:manualLayout>
          <c:xMode val="edge"/>
          <c:yMode val="edge"/>
          <c:x val="0.201421112974597"/>
          <c:y val="0.156088337928011"/>
          <c:w val="0.42370909886264202"/>
          <c:h val="0.22880844142913201"/>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numFmt formatCode="0.0000" sourceLinked="0"/>
              <c:spPr>
                <a:noFill/>
                <a:ln w="25400">
                  <a:noFill/>
                </a:ln>
              </c:spPr>
              <c:txPr>
                <a:bodyPr/>
                <a:lstStyle/>
                <a:p>
                  <a:pPr>
                    <a:defRPr sz="100" b="0" i="0" u="none" strike="noStrike" baseline="0">
                      <a:solidFill>
                        <a:srgbClr val="000000"/>
                      </a:solidFill>
                      <a:latin typeface="Arial"/>
                      <a:ea typeface="Arial"/>
                      <a:cs typeface="Arial"/>
                    </a:defRPr>
                  </a:pPr>
                  <a:endParaRPr lang="en-US"/>
                </a:p>
              </c:txPr>
            </c:trendlineLbl>
          </c:trendline>
          <c:smooth val="0"/>
          <c:extLst>
            <c:ext xmlns:c16="http://schemas.microsoft.com/office/drawing/2014/chart" uri="{C3380CC4-5D6E-409C-BE32-E72D297353CC}">
              <c16:uniqueId val="{00000001-65DD-3F43-926D-46D858B89A96}"/>
            </c:ext>
          </c:extLst>
        </c:ser>
        <c:ser>
          <c:idx val="1"/>
          <c:order val="1"/>
          <c:spPr>
            <a:ln w="28575">
              <a:noFill/>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linear"/>
            <c:dispRSqr val="0"/>
            <c:dispEq val="1"/>
            <c:trendlineLbl>
              <c:numFmt formatCode="General" sourceLinked="0"/>
              <c:spPr>
                <a:noFill/>
                <a:ln w="25400">
                  <a:noFill/>
                </a:ln>
              </c:spPr>
              <c:txPr>
                <a:bodyPr/>
                <a:lstStyle/>
                <a:p>
                  <a:pPr>
                    <a:defRPr sz="100" b="0" i="0" u="none" strike="noStrike" baseline="0">
                      <a:solidFill>
                        <a:srgbClr val="000000"/>
                      </a:solidFill>
                      <a:latin typeface="Arial"/>
                      <a:ea typeface="Arial"/>
                      <a:cs typeface="Arial"/>
                    </a:defRPr>
                  </a:pPr>
                  <a:endParaRPr lang="en-US"/>
                </a:p>
              </c:txPr>
            </c:trendlineLbl>
          </c:trendline>
          <c:smooth val="0"/>
          <c:extLst>
            <c:ext xmlns:c16="http://schemas.microsoft.com/office/drawing/2014/chart" uri="{C3380CC4-5D6E-409C-BE32-E72D297353CC}">
              <c16:uniqueId val="{00000003-65DD-3F43-926D-46D858B89A96}"/>
            </c:ext>
          </c:extLst>
        </c:ser>
        <c:dLbls>
          <c:showLegendKey val="0"/>
          <c:showVal val="0"/>
          <c:showCatName val="0"/>
          <c:showSerName val="0"/>
          <c:showPercent val="0"/>
          <c:showBubbleSize val="0"/>
        </c:dLbls>
        <c:axId val="112294144"/>
        <c:axId val="112295936"/>
      </c:scatterChart>
      <c:valAx>
        <c:axId val="112294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12295936"/>
        <c:crosses val="autoZero"/>
        <c:crossBetween val="midCat"/>
      </c:valAx>
      <c:valAx>
        <c:axId val="112295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1229414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1228725</xdr:colOff>
      <xdr:row>94</xdr:row>
      <xdr:rowOff>123825</xdr:rowOff>
    </xdr:from>
    <xdr:to>
      <xdr:col>4</xdr:col>
      <xdr:colOff>1247775</xdr:colOff>
      <xdr:row>116</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0</xdr:colOff>
      <xdr:row>0</xdr:row>
      <xdr:rowOff>0</xdr:rowOff>
    </xdr:to>
    <xdr:graphicFrame macro="">
      <xdr:nvGraphicFramePr>
        <xdr:cNvPr id="6145" name="Chart 1">
          <a:extLst>
            <a:ext uri="{FF2B5EF4-FFF2-40B4-BE49-F238E27FC236}">
              <a16:creationId xmlns:a16="http://schemas.microsoft.com/office/drawing/2014/main" id="{00000000-0008-0000-0A00-00000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workbookViewId="0">
      <selection activeCell="P31" sqref="P31"/>
    </sheetView>
  </sheetViews>
  <sheetFormatPr baseColWidth="10" defaultColWidth="8.83203125" defaultRowHeight="13" x14ac:dyDescent="0.15"/>
  <sheetData>
    <row r="1" spans="1:9" x14ac:dyDescent="0.15">
      <c r="A1" s="477" t="s">
        <v>889</v>
      </c>
      <c r="B1" s="478"/>
      <c r="C1" s="478"/>
      <c r="D1" s="478"/>
      <c r="E1" s="478"/>
      <c r="F1" s="478"/>
      <c r="G1" s="478"/>
      <c r="H1" s="478"/>
      <c r="I1" s="478"/>
    </row>
    <row r="2" spans="1:9" x14ac:dyDescent="0.15">
      <c r="A2" s="478"/>
      <c r="B2" s="478"/>
      <c r="C2" s="478"/>
      <c r="D2" s="478"/>
      <c r="E2" s="478"/>
      <c r="F2" s="478"/>
      <c r="G2" s="478"/>
      <c r="H2" s="478"/>
      <c r="I2" s="478"/>
    </row>
    <row r="3" spans="1:9" x14ac:dyDescent="0.15">
      <c r="A3" s="478"/>
      <c r="B3" s="478"/>
      <c r="C3" s="478"/>
      <c r="D3" s="478"/>
      <c r="E3" s="478"/>
      <c r="F3" s="478"/>
      <c r="G3" s="478"/>
      <c r="H3" s="478"/>
      <c r="I3" s="478"/>
    </row>
    <row r="4" spans="1:9" x14ac:dyDescent="0.15">
      <c r="A4" s="478"/>
      <c r="B4" s="478"/>
      <c r="C4" s="478"/>
      <c r="D4" s="478"/>
      <c r="E4" s="478"/>
      <c r="F4" s="478"/>
      <c r="G4" s="478"/>
      <c r="H4" s="478"/>
      <c r="I4" s="478"/>
    </row>
    <row r="5" spans="1:9" x14ac:dyDescent="0.15">
      <c r="A5" s="478"/>
      <c r="B5" s="478"/>
      <c r="C5" s="478"/>
      <c r="D5" s="478"/>
      <c r="E5" s="478"/>
      <c r="F5" s="478"/>
      <c r="G5" s="478"/>
      <c r="H5" s="478"/>
      <c r="I5" s="478"/>
    </row>
    <row r="6" spans="1:9" x14ac:dyDescent="0.15">
      <c r="A6" s="478"/>
      <c r="B6" s="478"/>
      <c r="C6" s="478"/>
      <c r="D6" s="478"/>
      <c r="E6" s="478"/>
      <c r="F6" s="478"/>
      <c r="G6" s="478"/>
      <c r="H6" s="478"/>
      <c r="I6" s="478"/>
    </row>
    <row r="7" spans="1:9" x14ac:dyDescent="0.15">
      <c r="A7" s="478"/>
      <c r="B7" s="478"/>
      <c r="C7" s="478"/>
      <c r="D7" s="478"/>
      <c r="E7" s="478"/>
      <c r="F7" s="478"/>
      <c r="G7" s="478"/>
      <c r="H7" s="478"/>
      <c r="I7" s="478"/>
    </row>
    <row r="8" spans="1:9" x14ac:dyDescent="0.15">
      <c r="A8" s="478"/>
      <c r="B8" s="478"/>
      <c r="C8" s="478"/>
      <c r="D8" s="478"/>
      <c r="E8" s="478"/>
      <c r="F8" s="478"/>
      <c r="G8" s="478"/>
      <c r="H8" s="478"/>
      <c r="I8" s="478"/>
    </row>
    <row r="9" spans="1:9" x14ac:dyDescent="0.15">
      <c r="A9" s="478"/>
      <c r="B9" s="478"/>
      <c r="C9" s="478"/>
      <c r="D9" s="478"/>
      <c r="E9" s="478"/>
      <c r="F9" s="478"/>
      <c r="G9" s="478"/>
      <c r="H9" s="478"/>
      <c r="I9" s="478"/>
    </row>
    <row r="10" spans="1:9" x14ac:dyDescent="0.15">
      <c r="A10" s="478"/>
      <c r="B10" s="478"/>
      <c r="C10" s="478"/>
      <c r="D10" s="478"/>
      <c r="E10" s="478"/>
      <c r="F10" s="478"/>
      <c r="G10" s="478"/>
      <c r="H10" s="478"/>
      <c r="I10" s="478"/>
    </row>
    <row r="11" spans="1:9" x14ac:dyDescent="0.15">
      <c r="A11" s="478"/>
      <c r="B11" s="478"/>
      <c r="C11" s="478"/>
      <c r="D11" s="478"/>
      <c r="E11" s="478"/>
      <c r="F11" s="478"/>
      <c r="G11" s="478"/>
      <c r="H11" s="478"/>
      <c r="I11" s="478"/>
    </row>
    <row r="12" spans="1:9" x14ac:dyDescent="0.15">
      <c r="A12" s="478"/>
      <c r="B12" s="478"/>
      <c r="C12" s="478"/>
      <c r="D12" s="478"/>
      <c r="E12" s="478"/>
      <c r="F12" s="478"/>
      <c r="G12" s="478"/>
      <c r="H12" s="478"/>
      <c r="I12" s="478"/>
    </row>
    <row r="13" spans="1:9" x14ac:dyDescent="0.15">
      <c r="A13" s="478"/>
      <c r="B13" s="478"/>
      <c r="C13" s="478"/>
      <c r="D13" s="478"/>
      <c r="E13" s="478"/>
      <c r="F13" s="478"/>
      <c r="G13" s="478"/>
      <c r="H13" s="478"/>
      <c r="I13" s="478"/>
    </row>
    <row r="14" spans="1:9" x14ac:dyDescent="0.15">
      <c r="A14" s="478"/>
      <c r="B14" s="478"/>
      <c r="C14" s="478"/>
      <c r="D14" s="478"/>
      <c r="E14" s="478"/>
      <c r="F14" s="478"/>
      <c r="G14" s="478"/>
      <c r="H14" s="478"/>
      <c r="I14" s="478"/>
    </row>
    <row r="15" spans="1:9" x14ac:dyDescent="0.15">
      <c r="A15" s="478"/>
      <c r="B15" s="478"/>
      <c r="C15" s="478"/>
      <c r="D15" s="478"/>
      <c r="E15" s="478"/>
      <c r="F15" s="478"/>
      <c r="G15" s="478"/>
      <c r="H15" s="478"/>
      <c r="I15" s="478"/>
    </row>
    <row r="16" spans="1:9" x14ac:dyDescent="0.15">
      <c r="A16" s="478"/>
      <c r="B16" s="478"/>
      <c r="C16" s="478"/>
      <c r="D16" s="478"/>
      <c r="E16" s="478"/>
      <c r="F16" s="478"/>
      <c r="G16" s="478"/>
      <c r="H16" s="478"/>
      <c r="I16" s="478"/>
    </row>
    <row r="17" spans="1:9" x14ac:dyDescent="0.15">
      <c r="A17" s="478"/>
      <c r="B17" s="478"/>
      <c r="C17" s="478"/>
      <c r="D17" s="478"/>
      <c r="E17" s="478"/>
      <c r="F17" s="478"/>
      <c r="G17" s="478"/>
      <c r="H17" s="478"/>
      <c r="I17" s="478"/>
    </row>
    <row r="18" spans="1:9" x14ac:dyDescent="0.15">
      <c r="A18" s="478"/>
      <c r="B18" s="478"/>
      <c r="C18" s="478"/>
      <c r="D18" s="478"/>
      <c r="E18" s="478"/>
      <c r="F18" s="478"/>
      <c r="G18" s="478"/>
      <c r="H18" s="478"/>
      <c r="I18" s="478"/>
    </row>
    <row r="19" spans="1:9" x14ac:dyDescent="0.15">
      <c r="A19" s="478"/>
      <c r="B19" s="478"/>
      <c r="C19" s="478"/>
      <c r="D19" s="478"/>
      <c r="E19" s="478"/>
      <c r="F19" s="478"/>
      <c r="G19" s="478"/>
      <c r="H19" s="478"/>
      <c r="I19" s="478"/>
    </row>
    <row r="20" spans="1:9" x14ac:dyDescent="0.15">
      <c r="A20" s="478"/>
      <c r="B20" s="478"/>
      <c r="C20" s="478"/>
      <c r="D20" s="478"/>
      <c r="E20" s="478"/>
      <c r="F20" s="478"/>
      <c r="G20" s="478"/>
      <c r="H20" s="478"/>
      <c r="I20" s="478"/>
    </row>
    <row r="21" spans="1:9" x14ac:dyDescent="0.15">
      <c r="A21" s="478"/>
      <c r="B21" s="478"/>
      <c r="C21" s="478"/>
      <c r="D21" s="478"/>
      <c r="E21" s="478"/>
      <c r="F21" s="478"/>
      <c r="G21" s="478"/>
      <c r="H21" s="478"/>
      <c r="I21" s="478"/>
    </row>
    <row r="22" spans="1:9" x14ac:dyDescent="0.15">
      <c r="A22" s="478"/>
      <c r="B22" s="478"/>
      <c r="C22" s="478"/>
      <c r="D22" s="478"/>
      <c r="E22" s="478"/>
      <c r="F22" s="478"/>
      <c r="G22" s="478"/>
      <c r="H22" s="478"/>
      <c r="I22" s="478"/>
    </row>
    <row r="23" spans="1:9" x14ac:dyDescent="0.15">
      <c r="A23" s="478"/>
      <c r="B23" s="478"/>
      <c r="C23" s="478"/>
      <c r="D23" s="478"/>
      <c r="E23" s="478"/>
      <c r="F23" s="478"/>
      <c r="G23" s="478"/>
      <c r="H23" s="478"/>
      <c r="I23" s="478"/>
    </row>
    <row r="24" spans="1:9" x14ac:dyDescent="0.15">
      <c r="A24" s="478"/>
      <c r="B24" s="478"/>
      <c r="C24" s="478"/>
      <c r="D24" s="478"/>
      <c r="E24" s="478"/>
      <c r="F24" s="478"/>
      <c r="G24" s="478"/>
      <c r="H24" s="478"/>
      <c r="I24" s="478"/>
    </row>
  </sheetData>
  <mergeCells count="1">
    <mergeCell ref="A1:I2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1"/>
  </sheetPr>
  <dimension ref="A1:Q265"/>
  <sheetViews>
    <sheetView topLeftCell="A62" workbookViewId="0">
      <selection activeCell="F93" sqref="F93"/>
    </sheetView>
  </sheetViews>
  <sheetFormatPr baseColWidth="10" defaultColWidth="8.83203125" defaultRowHeight="13" x14ac:dyDescent="0.15"/>
  <cols>
    <col min="1" max="1" width="9" customWidth="1"/>
    <col min="2" max="2" width="8.5" customWidth="1"/>
    <col min="3" max="3" width="12.1640625" customWidth="1"/>
    <col min="4" max="4" width="9.6640625" customWidth="1"/>
    <col min="6" max="6" width="11.5" customWidth="1"/>
    <col min="7" max="10" width="10.6640625" style="470" customWidth="1"/>
    <col min="11" max="15" width="10.83203125" style="470" customWidth="1"/>
    <col min="16" max="17" width="11.5" customWidth="1"/>
    <col min="18" max="20" width="10.6640625" customWidth="1"/>
  </cols>
  <sheetData>
    <row r="1" spans="1:17" ht="16" x14ac:dyDescent="0.2">
      <c r="A1" s="482" t="s">
        <v>155</v>
      </c>
      <c r="B1" s="482"/>
      <c r="C1" s="482"/>
      <c r="D1" s="482"/>
      <c r="E1" s="482"/>
      <c r="F1" s="482"/>
      <c r="G1" s="468"/>
      <c r="H1" s="468"/>
      <c r="I1" s="468"/>
      <c r="J1" s="468"/>
      <c r="K1" s="468"/>
      <c r="L1" s="468"/>
      <c r="M1"/>
      <c r="N1"/>
      <c r="O1"/>
    </row>
    <row r="2" spans="1:17" ht="16" x14ac:dyDescent="0.2">
      <c r="A2" s="484" t="str">
        <f>'Battery Design'!A2:L2</f>
        <v>Fe/O2 open architecture system</v>
      </c>
      <c r="B2" s="484"/>
      <c r="C2" s="484"/>
      <c r="D2" s="484"/>
      <c r="E2" s="484"/>
      <c r="F2" s="484"/>
      <c r="G2" s="468"/>
      <c r="H2" s="468"/>
      <c r="I2" s="468"/>
      <c r="J2" s="468"/>
      <c r="K2" s="468"/>
      <c r="L2" s="468"/>
      <c r="M2"/>
      <c r="N2"/>
      <c r="O2"/>
    </row>
    <row r="3" spans="1:17" x14ac:dyDescent="0.15">
      <c r="A3" s="55"/>
      <c r="B3" s="55"/>
      <c r="C3" s="55"/>
      <c r="D3" s="55"/>
      <c r="E3" s="55"/>
      <c r="F3" s="56" t="s">
        <v>106</v>
      </c>
    </row>
    <row r="4" spans="1:17" ht="16" x14ac:dyDescent="0.2">
      <c r="A4" s="214" t="s">
        <v>74</v>
      </c>
      <c r="B4" s="76"/>
      <c r="C4" s="76"/>
      <c r="D4" s="58"/>
      <c r="E4" s="58"/>
      <c r="F4" s="60"/>
    </row>
    <row r="5" spans="1:17" x14ac:dyDescent="0.15">
      <c r="A5" s="26" t="s">
        <v>448</v>
      </c>
      <c r="B5" s="45"/>
      <c r="C5" s="45"/>
      <c r="D5" s="58"/>
      <c r="E5" s="60"/>
      <c r="F5" s="62">
        <f>'Battery Design'!F71*'Battery Design'!F64</f>
        <v>100000</v>
      </c>
    </row>
    <row r="6" spans="1:17" x14ac:dyDescent="0.15">
      <c r="A6" s="48" t="s">
        <v>221</v>
      </c>
      <c r="B6" s="48"/>
      <c r="C6" s="48"/>
      <c r="D6" s="58"/>
      <c r="E6" s="58"/>
      <c r="F6" s="62">
        <f>F5*'Iterative I-V'!C3</f>
        <v>11000000</v>
      </c>
    </row>
    <row r="7" spans="1:17" x14ac:dyDescent="0.15">
      <c r="A7" s="45" t="s">
        <v>75</v>
      </c>
      <c r="B7" s="45"/>
      <c r="C7" s="45"/>
      <c r="D7" s="58"/>
      <c r="E7" s="58"/>
      <c r="F7" s="62">
        <f>F5*'Iterative I-V'!C6</f>
        <v>500000</v>
      </c>
    </row>
    <row r="8" spans="1:17" x14ac:dyDescent="0.15">
      <c r="A8" s="48" t="s">
        <v>76</v>
      </c>
      <c r="B8" s="48"/>
      <c r="C8" s="48"/>
      <c r="D8" s="58"/>
      <c r="E8" s="58"/>
      <c r="F8" s="62">
        <f>F7/'Cost Input'!$E4*100</f>
        <v>526315.78947368427</v>
      </c>
    </row>
    <row r="9" spans="1:17" ht="15" x14ac:dyDescent="0.15">
      <c r="A9" s="48" t="s">
        <v>222</v>
      </c>
      <c r="B9" s="48"/>
      <c r="C9" s="48"/>
      <c r="D9" s="58"/>
      <c r="E9" s="58"/>
      <c r="F9" s="62">
        <f ca="1">F8*'Iterative I-V'!C134/10000</f>
        <v>18229987.149897717</v>
      </c>
      <c r="P9" s="448"/>
    </row>
    <row r="10" spans="1:17" x14ac:dyDescent="0.15">
      <c r="A10" s="48" t="s">
        <v>326</v>
      </c>
      <c r="B10" s="48"/>
      <c r="C10" s="48"/>
      <c r="D10" s="58"/>
      <c r="E10" s="58"/>
      <c r="F10" s="62">
        <f ca="1">'Battery Design'!F6*F7/1000/'Cost Input'!$E4*100/'Cost Input'!$E7*100</f>
        <v>14704431.692366503</v>
      </c>
    </row>
    <row r="11" spans="1:17" x14ac:dyDescent="0.15">
      <c r="A11" s="48" t="s">
        <v>327</v>
      </c>
      <c r="B11" s="48"/>
      <c r="C11" s="48"/>
      <c r="D11" s="58"/>
      <c r="E11" s="58"/>
      <c r="F11" s="62">
        <f ca="1">'Battery Design'!F15*F7/1000/'Cost Input'!$E4*100/'Cost Input'!$E8*100</f>
        <v>31151347.430503171</v>
      </c>
    </row>
    <row r="12" spans="1:17" x14ac:dyDescent="0.15">
      <c r="A12" s="48" t="s">
        <v>328</v>
      </c>
      <c r="B12" s="48"/>
      <c r="C12" s="48"/>
      <c r="D12" s="58"/>
      <c r="E12" s="58"/>
      <c r="F12" s="62">
        <f t="shared" ref="F12" ca="1" si="0">F50</f>
        <v>10793461.844869936</v>
      </c>
    </row>
    <row r="13" spans="1:17" ht="15" x14ac:dyDescent="0.15">
      <c r="A13" s="48" t="s">
        <v>291</v>
      </c>
      <c r="B13" s="48"/>
      <c r="C13" s="48"/>
      <c r="D13" s="58"/>
      <c r="E13" s="58"/>
      <c r="F13" s="62">
        <f ca="1">F199+F204+F209+F214+F177/3+F172+F182/2</f>
        <v>544.37802451804589</v>
      </c>
      <c r="Q13" s="449"/>
    </row>
    <row r="14" spans="1:17" ht="16" x14ac:dyDescent="0.2">
      <c r="A14" s="18" t="s">
        <v>77</v>
      </c>
      <c r="B14" s="18"/>
      <c r="C14" s="18"/>
      <c r="D14" s="58"/>
      <c r="E14" s="58"/>
      <c r="F14" s="60"/>
    </row>
    <row r="15" spans="1:17" ht="14" x14ac:dyDescent="0.15">
      <c r="A15" s="246" t="s">
        <v>230</v>
      </c>
      <c r="B15" s="5"/>
      <c r="C15" s="5"/>
      <c r="E15" s="310" t="s">
        <v>78</v>
      </c>
    </row>
    <row r="16" spans="1:17" x14ac:dyDescent="0.15">
      <c r="A16" s="7" t="s">
        <v>204</v>
      </c>
      <c r="B16" s="7"/>
      <c r="C16" s="7"/>
      <c r="E16" s="6">
        <f>'Cost Input'!E7</f>
        <v>92.2</v>
      </c>
    </row>
    <row r="17" spans="1:6" x14ac:dyDescent="0.15">
      <c r="A17" s="7" t="s">
        <v>30</v>
      </c>
      <c r="B17" s="7"/>
      <c r="C17" s="7"/>
      <c r="E17" s="6"/>
      <c r="F17" s="77">
        <f ca="1">'Battery Design'!F6/'Cost Input'!$E$4*100/$E$16*100</f>
        <v>29408.863384733006</v>
      </c>
    </row>
    <row r="18" spans="1:6" x14ac:dyDescent="0.15">
      <c r="A18" s="7" t="s">
        <v>259</v>
      </c>
      <c r="B18" s="7"/>
      <c r="C18" s="7"/>
      <c r="E18" s="6"/>
      <c r="F18" s="77">
        <f ca="1">'Battery Design'!F7/'Cost Input'!$E$4*100/$E$16*100</f>
        <v>3026.0862760999639</v>
      </c>
    </row>
    <row r="19" spans="1:6" x14ac:dyDescent="0.15">
      <c r="A19" s="7" t="s">
        <v>36</v>
      </c>
      <c r="B19" s="7"/>
      <c r="C19" s="7"/>
      <c r="E19" s="6"/>
      <c r="F19" s="77">
        <f ca="1">'Battery Design'!F8/'Cost Input'!$E$4*100/$E$16*100</f>
        <v>733.72228886259393</v>
      </c>
    </row>
    <row r="20" spans="1:6" x14ac:dyDescent="0.15">
      <c r="A20" s="7" t="s">
        <v>38</v>
      </c>
      <c r="B20" s="7"/>
      <c r="C20" s="7"/>
      <c r="E20" s="6"/>
      <c r="F20" s="77">
        <f t="shared" ref="F20" ca="1" si="1">96/4*F19</f>
        <v>17609.334932702255</v>
      </c>
    </row>
    <row r="21" spans="1:6" x14ac:dyDescent="0.15">
      <c r="A21" s="7" t="s">
        <v>355</v>
      </c>
      <c r="B21" s="7"/>
      <c r="C21" s="7"/>
      <c r="E21" s="6"/>
      <c r="F21" s="77">
        <f t="shared" ref="F21" ca="1" si="2">SUM(F17:F19)</f>
        <v>33168.671949695563</v>
      </c>
    </row>
    <row r="22" spans="1:6" x14ac:dyDescent="0.15">
      <c r="A22" s="7" t="s">
        <v>205</v>
      </c>
      <c r="B22" s="7"/>
      <c r="C22" s="7"/>
      <c r="E22" s="6">
        <f>'Cost Input'!E8</f>
        <v>92.2</v>
      </c>
      <c r="F22" s="77"/>
    </row>
    <row r="23" spans="1:6" x14ac:dyDescent="0.15">
      <c r="A23" s="7" t="s">
        <v>30</v>
      </c>
      <c r="B23" s="7"/>
      <c r="C23" s="7"/>
      <c r="E23" s="136"/>
      <c r="F23" s="77">
        <f ca="1">'Battery Design'!F15/$E$22*100/'Cost Input'!$E$4*100</f>
        <v>62302.694861006326</v>
      </c>
    </row>
    <row r="24" spans="1:6" x14ac:dyDescent="0.15">
      <c r="A24" s="7" t="s">
        <v>34</v>
      </c>
      <c r="B24" s="7"/>
      <c r="C24" s="7"/>
      <c r="E24" s="136"/>
      <c r="F24" s="77">
        <f ca="1">'Battery Design'!F16/$E$22*100/'Cost Input'!$E$4*100</f>
        <v>0</v>
      </c>
    </row>
    <row r="25" spans="1:6" x14ac:dyDescent="0.15">
      <c r="A25" s="7" t="s">
        <v>292</v>
      </c>
      <c r="B25" s="7"/>
      <c r="C25" s="7"/>
      <c r="E25" s="136"/>
      <c r="F25" s="77">
        <f ca="1">'Battery Design'!F17/$E$22*100/'Cost Input'!$E$4*100</f>
        <v>0</v>
      </c>
    </row>
    <row r="26" spans="1:6" x14ac:dyDescent="0.15">
      <c r="A26" s="7" t="s">
        <v>279</v>
      </c>
      <c r="B26" s="7"/>
      <c r="C26" s="7"/>
      <c r="E26" s="136"/>
      <c r="F26" s="77">
        <f t="shared" ref="F26" ca="1" si="3">96/4*F25</f>
        <v>0</v>
      </c>
    </row>
    <row r="27" spans="1:6" x14ac:dyDescent="0.15">
      <c r="A27" s="7" t="s">
        <v>355</v>
      </c>
      <c r="B27" s="7"/>
      <c r="C27" s="7"/>
      <c r="E27" s="136"/>
      <c r="F27" s="77">
        <f t="shared" ref="F27" ca="1" si="4">SUM(F23:F25)</f>
        <v>62302.694861006326</v>
      </c>
    </row>
    <row r="28" spans="1:6" ht="15" x14ac:dyDescent="0.15">
      <c r="A28" s="7" t="s">
        <v>80</v>
      </c>
      <c r="B28" s="7"/>
      <c r="C28" s="7"/>
      <c r="E28" s="6">
        <f>'Cost Input'!E9</f>
        <v>90.2</v>
      </c>
      <c r="F28" s="54">
        <f ca="1">'Battery Design'!F21/$E28*100/'Cost Input'!$E$4*100</f>
        <v>37.256358920431431</v>
      </c>
    </row>
    <row r="29" spans="1:6" ht="15" x14ac:dyDescent="0.15">
      <c r="A29" s="7" t="s">
        <v>81</v>
      </c>
      <c r="B29" s="7"/>
      <c r="C29" s="7"/>
      <c r="E29" s="6">
        <f>'Cost Input'!E10</f>
        <v>90.2</v>
      </c>
      <c r="F29" s="54">
        <f ca="1">'Battery Design'!F22/$E29*100/'Cost Input'!$E$4*100</f>
        <v>20.15549367547553</v>
      </c>
    </row>
    <row r="30" spans="1:6" ht="15" x14ac:dyDescent="0.15">
      <c r="A30" s="7" t="s">
        <v>82</v>
      </c>
      <c r="B30" s="7"/>
      <c r="C30" s="7"/>
      <c r="E30" s="6">
        <f>'Cost Input'!E11</f>
        <v>98</v>
      </c>
      <c r="F30" s="54">
        <f ca="1">'Battery Design'!F23/$E30*100/'Cost Input'!$E$4*100</f>
        <v>32.314336622721441</v>
      </c>
    </row>
    <row r="31" spans="1:6" x14ac:dyDescent="0.15">
      <c r="A31" s="7" t="s">
        <v>83</v>
      </c>
      <c r="B31" s="7"/>
      <c r="C31" s="7"/>
      <c r="E31" s="6">
        <f>'Cost Input'!E12</f>
        <v>94</v>
      </c>
      <c r="F31" s="54">
        <f ca="1">'Battery Design'!F24/$E31*100/'Cost Input'!$E$4*100</f>
        <v>5.8456399269715229</v>
      </c>
    </row>
    <row r="32" spans="1:6" ht="14" x14ac:dyDescent="0.15">
      <c r="A32" s="246" t="s">
        <v>84</v>
      </c>
      <c r="B32" s="5"/>
      <c r="C32" s="5"/>
      <c r="D32" s="3"/>
      <c r="F32" s="78"/>
    </row>
    <row r="33" spans="1:6" x14ac:dyDescent="0.15">
      <c r="A33" s="7" t="s">
        <v>107</v>
      </c>
      <c r="B33" s="7"/>
      <c r="C33" s="7"/>
      <c r="D33" s="3"/>
      <c r="F33" s="78"/>
    </row>
    <row r="34" spans="1:6" x14ac:dyDescent="0.15">
      <c r="A34" s="7" t="s">
        <v>85</v>
      </c>
      <c r="B34" s="7"/>
      <c r="C34" s="7"/>
      <c r="F34" s="79">
        <f t="shared" ref="F34:F36" ca="1" si="5">F17*F$7/1000</f>
        <v>14704431.692366503</v>
      </c>
    </row>
    <row r="35" spans="1:6" x14ac:dyDescent="0.15">
      <c r="A35" s="7" t="s">
        <v>260</v>
      </c>
      <c r="B35" s="7"/>
      <c r="C35" s="7"/>
      <c r="F35" s="79">
        <f t="shared" ca="1" si="5"/>
        <v>1513043.138049982</v>
      </c>
    </row>
    <row r="36" spans="1:6" x14ac:dyDescent="0.15">
      <c r="A36" s="7" t="s">
        <v>87</v>
      </c>
      <c r="B36" s="7"/>
      <c r="C36" s="7"/>
      <c r="F36" s="79">
        <f t="shared" ca="1" si="5"/>
        <v>366861.14443129697</v>
      </c>
    </row>
    <row r="37" spans="1:6" x14ac:dyDescent="0.15">
      <c r="A37" s="7" t="s">
        <v>210</v>
      </c>
      <c r="B37" s="7"/>
      <c r="C37" s="7"/>
      <c r="F37" s="79">
        <f ca="1">F20*F$7/1000*(1-'Cost Input'!$E13/100)</f>
        <v>44023.337331755676</v>
      </c>
    </row>
    <row r="38" spans="1:6" x14ac:dyDescent="0.15">
      <c r="A38" s="7" t="s">
        <v>88</v>
      </c>
      <c r="B38" s="7"/>
      <c r="C38" s="7"/>
      <c r="F38" s="79"/>
    </row>
    <row r="39" spans="1:6" x14ac:dyDescent="0.15">
      <c r="A39" s="7" t="s">
        <v>89</v>
      </c>
      <c r="B39" s="7"/>
      <c r="C39" s="7"/>
      <c r="F39" s="79">
        <f t="shared" ref="F39:F41" ca="1" si="6">F23*F$7/1000</f>
        <v>31151347.430503163</v>
      </c>
    </row>
    <row r="40" spans="1:6" x14ac:dyDescent="0.15">
      <c r="A40" s="7" t="s">
        <v>86</v>
      </c>
      <c r="B40" s="7"/>
      <c r="C40" s="7"/>
      <c r="F40" s="79">
        <f t="shared" ca="1" si="6"/>
        <v>0</v>
      </c>
    </row>
    <row r="41" spans="1:6" x14ac:dyDescent="0.15">
      <c r="A41" s="7" t="s">
        <v>87</v>
      </c>
      <c r="B41" s="7"/>
      <c r="C41" s="7"/>
      <c r="F41" s="79">
        <f t="shared" ca="1" si="6"/>
        <v>0</v>
      </c>
    </row>
    <row r="42" spans="1:6" ht="15" x14ac:dyDescent="0.15">
      <c r="A42" s="7" t="s">
        <v>80</v>
      </c>
      <c r="B42" s="7"/>
      <c r="C42" s="7"/>
      <c r="F42" s="79">
        <f t="shared" ref="F42:F45" ca="1" si="7">F28*F$7</f>
        <v>18628179.460215714</v>
      </c>
    </row>
    <row r="43" spans="1:6" ht="15" x14ac:dyDescent="0.15">
      <c r="A43" s="7" t="s">
        <v>81</v>
      </c>
      <c r="B43" s="7"/>
      <c r="C43" s="7"/>
      <c r="F43" s="79">
        <f t="shared" ca="1" si="7"/>
        <v>10077746.837737765</v>
      </c>
    </row>
    <row r="44" spans="1:6" ht="15" x14ac:dyDescent="0.15">
      <c r="A44" s="7" t="s">
        <v>82</v>
      </c>
      <c r="B44" s="7"/>
      <c r="C44" s="7"/>
      <c r="F44" s="79">
        <f t="shared" ca="1" si="7"/>
        <v>16157168.311360721</v>
      </c>
    </row>
    <row r="45" spans="1:6" x14ac:dyDescent="0.15">
      <c r="A45" s="7" t="s">
        <v>83</v>
      </c>
      <c r="B45" s="7"/>
      <c r="C45" s="7"/>
      <c r="F45" s="79">
        <f t="shared" ca="1" si="7"/>
        <v>2922819.9634857615</v>
      </c>
    </row>
    <row r="46" spans="1:6" x14ac:dyDescent="0.15">
      <c r="A46" s="45" t="s">
        <v>90</v>
      </c>
      <c r="B46" s="45"/>
      <c r="C46" s="45"/>
      <c r="F46" s="79">
        <f>F$7/'Cost Input'!$E4*100</f>
        <v>526315.78947368427</v>
      </c>
    </row>
    <row r="47" spans="1:6" x14ac:dyDescent="0.15">
      <c r="A47" s="45" t="s">
        <v>91</v>
      </c>
      <c r="B47" s="45"/>
      <c r="C47" s="45"/>
      <c r="F47" s="79">
        <f t="shared" ref="F47:F48" si="8">F46</f>
        <v>526315.78947368427</v>
      </c>
    </row>
    <row r="48" spans="1:6" x14ac:dyDescent="0.15">
      <c r="A48" s="45" t="s">
        <v>92</v>
      </c>
      <c r="B48" s="45"/>
      <c r="C48" s="45"/>
      <c r="F48" s="79">
        <f t="shared" si="8"/>
        <v>526315.78947368427</v>
      </c>
    </row>
    <row r="49" spans="1:6" x14ac:dyDescent="0.15">
      <c r="A49" s="48" t="s">
        <v>366</v>
      </c>
      <c r="B49" s="45"/>
      <c r="C49" s="45"/>
      <c r="F49" s="79">
        <f t="shared" ref="F49" si="9">F7</f>
        <v>500000</v>
      </c>
    </row>
    <row r="50" spans="1:6" x14ac:dyDescent="0.15">
      <c r="A50" s="48" t="s">
        <v>336</v>
      </c>
      <c r="B50" s="45"/>
      <c r="C50" s="45"/>
      <c r="F50" s="79">
        <f t="shared" ref="F50" ca="1" si="10">(F20)*F7/1000</f>
        <v>8804667.4663511273</v>
      </c>
    </row>
    <row r="51" spans="1:6" x14ac:dyDescent="0.15">
      <c r="A51" s="48" t="s">
        <v>337</v>
      </c>
      <c r="B51" s="45"/>
      <c r="C51" s="45"/>
      <c r="F51" s="79">
        <f t="shared" ref="F51" ca="1" si="11">F26*F7/1000</f>
        <v>0</v>
      </c>
    </row>
    <row r="52" spans="1:6" ht="14" x14ac:dyDescent="0.15">
      <c r="A52" s="309" t="s">
        <v>93</v>
      </c>
      <c r="B52" s="76"/>
      <c r="C52" s="76"/>
      <c r="D52" s="307" t="s">
        <v>25</v>
      </c>
      <c r="E52" s="307" t="s">
        <v>27</v>
      </c>
      <c r="F52" s="80"/>
    </row>
    <row r="53" spans="1:6" x14ac:dyDescent="0.15">
      <c r="A53" s="7" t="s">
        <v>26</v>
      </c>
      <c r="B53" s="7"/>
      <c r="C53" s="7"/>
      <c r="D53" s="3"/>
      <c r="F53" s="80"/>
    </row>
    <row r="54" spans="1:6" x14ac:dyDescent="0.15">
      <c r="A54" s="7" t="s">
        <v>30</v>
      </c>
      <c r="B54" s="7"/>
      <c r="C54" s="7"/>
      <c r="D54" s="64">
        <f>'Cost Input'!D16</f>
        <v>0</v>
      </c>
      <c r="E54" s="64">
        <f>'Cost Input'!E16</f>
        <v>0.95</v>
      </c>
      <c r="F54" s="81">
        <f ca="1">$D54*('Cost Input'!$J$23/F$34)^(1-$E54)</f>
        <v>0</v>
      </c>
    </row>
    <row r="55" spans="1:6" x14ac:dyDescent="0.15">
      <c r="A55" s="7" t="s">
        <v>259</v>
      </c>
      <c r="B55" s="7"/>
      <c r="C55" s="7"/>
      <c r="D55" s="64">
        <f>'Cost Input'!D17</f>
        <v>3</v>
      </c>
      <c r="E55" s="64">
        <f>'Cost Input'!E17</f>
        <v>1</v>
      </c>
      <c r="F55" s="81">
        <f ca="1">$D55*('Cost Input'!$J$23/F$34)^(1-$E55)</f>
        <v>3</v>
      </c>
    </row>
    <row r="56" spans="1:6" x14ac:dyDescent="0.15">
      <c r="A56" s="7" t="s">
        <v>36</v>
      </c>
      <c r="B56" s="7"/>
      <c r="C56" s="7"/>
      <c r="D56" s="64">
        <f>'Cost Input'!D19</f>
        <v>5</v>
      </c>
      <c r="E56" s="64">
        <f>'Cost Input'!E19</f>
        <v>1</v>
      </c>
      <c r="F56" s="81">
        <f ca="1">$D56*('Cost Input'!$J$23/F$34)^(1-$E56)</f>
        <v>5</v>
      </c>
    </row>
    <row r="57" spans="1:6" x14ac:dyDescent="0.15">
      <c r="A57" s="7" t="s">
        <v>38</v>
      </c>
      <c r="B57" s="7"/>
      <c r="C57" s="7"/>
      <c r="D57" s="64">
        <f>'Cost Input'!D20</f>
        <v>3.1</v>
      </c>
      <c r="E57" s="64">
        <f>'Cost Input'!E20</f>
        <v>1</v>
      </c>
      <c r="F57" s="81">
        <f ca="1">$D57*('Cost Input'!$J$23/F$34)^(1-$E57)</f>
        <v>3.1</v>
      </c>
    </row>
    <row r="58" spans="1:6" x14ac:dyDescent="0.15">
      <c r="A58" s="7" t="s">
        <v>39</v>
      </c>
      <c r="B58" s="7"/>
      <c r="C58" s="7"/>
      <c r="D58" s="64"/>
      <c r="E58" s="64"/>
      <c r="F58" s="82"/>
    </row>
    <row r="59" spans="1:6" x14ac:dyDescent="0.15">
      <c r="A59" s="7" t="s">
        <v>30</v>
      </c>
      <c r="B59" s="7"/>
      <c r="C59" s="7"/>
      <c r="D59" s="64">
        <f>'Cost Input'!D22</f>
        <v>0.5</v>
      </c>
      <c r="E59" s="64">
        <f>'Cost Input'!E22</f>
        <v>0.95</v>
      </c>
      <c r="F59" s="81">
        <f ca="1">$D59*('Cost Input'!$J$24/F$39)^(1-$E59)</f>
        <v>0.46254592843156866</v>
      </c>
    </row>
    <row r="60" spans="1:6" x14ac:dyDescent="0.15">
      <c r="A60" s="7" t="s">
        <v>34</v>
      </c>
      <c r="B60" s="7"/>
      <c r="C60" s="7"/>
      <c r="D60" s="64">
        <f>'Cost Input'!D23</f>
        <v>3</v>
      </c>
      <c r="E60" s="64">
        <f>'Cost Input'!E23</f>
        <v>1</v>
      </c>
      <c r="F60" s="81">
        <f ca="1">$D60*('Cost Input'!$J$24/F$39)^(1-$E60)</f>
        <v>3</v>
      </c>
    </row>
    <row r="61" spans="1:6" x14ac:dyDescent="0.15">
      <c r="A61" s="7" t="s">
        <v>292</v>
      </c>
      <c r="B61" s="7"/>
      <c r="C61" s="7"/>
      <c r="D61" s="64">
        <f>'Cost Input'!D24</f>
        <v>5</v>
      </c>
      <c r="E61" s="64">
        <f>'Cost Input'!E24</f>
        <v>1</v>
      </c>
      <c r="F61" s="81">
        <f ca="1">$D61*('Cost Input'!$J$24/F$39)^(1-$E61)</f>
        <v>5</v>
      </c>
    </row>
    <row r="62" spans="1:6" ht="15" x14ac:dyDescent="0.15">
      <c r="A62" s="7" t="s">
        <v>280</v>
      </c>
      <c r="B62" s="7"/>
      <c r="C62" s="7"/>
      <c r="D62" s="404">
        <f>'Cost Input'!D26*Chem!E38/20</f>
        <v>7.4999999999999997E-2</v>
      </c>
      <c r="E62" s="64">
        <f>'Cost Input'!E26</f>
        <v>1</v>
      </c>
      <c r="F62" s="81">
        <f ca="1">$D62*('Cost Input'!$J$22/F$9)^(1-$E62)</f>
        <v>7.4999999999999997E-2</v>
      </c>
    </row>
    <row r="63" spans="1:6" ht="15" x14ac:dyDescent="0.15">
      <c r="A63" s="7" t="s">
        <v>352</v>
      </c>
      <c r="B63" s="7"/>
      <c r="C63" s="7"/>
      <c r="D63" s="404">
        <f>'Cost Input'!D27*Chem!E41/12</f>
        <v>0.20833333333333334</v>
      </c>
      <c r="E63" s="64">
        <f>'Cost Input'!E27</f>
        <v>1</v>
      </c>
      <c r="F63" s="81">
        <f ca="1">$D63*('Cost Input'!$J$22/F$9)^(1-$E63)</f>
        <v>0.20833333333333334</v>
      </c>
    </row>
    <row r="64" spans="1:6" ht="15" x14ac:dyDescent="0.15">
      <c r="A64" s="7" t="s">
        <v>43</v>
      </c>
      <c r="B64" s="7"/>
      <c r="C64" s="7"/>
      <c r="D64" s="64">
        <f>'Cost Input'!D28</f>
        <v>0.3</v>
      </c>
      <c r="E64" s="64">
        <f>'Cost Input'!E28</f>
        <v>1</v>
      </c>
      <c r="F64" s="81">
        <f ca="1">$D64*('Cost Input'!$J$22/F$9)^(1-$E64)</f>
        <v>0.3</v>
      </c>
    </row>
    <row r="65" spans="1:6" x14ac:dyDescent="0.15">
      <c r="A65" s="7" t="s">
        <v>44</v>
      </c>
      <c r="B65" s="7"/>
      <c r="C65" s="7"/>
      <c r="D65" s="64">
        <f>'Cost Input'!D29</f>
        <v>3</v>
      </c>
      <c r="E65" s="64">
        <f>'Cost Input'!E29</f>
        <v>1</v>
      </c>
      <c r="F65" s="81">
        <f t="shared" ref="F65" si="12">IF($E65=1,$D65)</f>
        <v>3</v>
      </c>
    </row>
    <row r="66" spans="1:6" x14ac:dyDescent="0.15">
      <c r="A66" s="7" t="s">
        <v>422</v>
      </c>
      <c r="B66" s="7"/>
      <c r="C66" s="7"/>
      <c r="D66" s="64"/>
      <c r="E66" s="20"/>
      <c r="F66" s="82"/>
    </row>
    <row r="67" spans="1:6" x14ac:dyDescent="0.15">
      <c r="A67" s="45" t="s">
        <v>94</v>
      </c>
      <c r="B67" s="45"/>
      <c r="C67" s="45"/>
      <c r="D67" s="2"/>
      <c r="E67" s="20"/>
      <c r="F67" s="81">
        <f ca="1">'Battery Design'!F25/1000*'Cost Input'!$C34+'Cost Input'!$D34</f>
        <v>0.25815502944469121</v>
      </c>
    </row>
    <row r="68" spans="1:6" x14ac:dyDescent="0.15">
      <c r="A68" s="45" t="s">
        <v>95</v>
      </c>
      <c r="B68" s="45"/>
      <c r="C68" s="45"/>
      <c r="D68" s="2"/>
      <c r="E68" s="20"/>
      <c r="F68" s="81">
        <f ca="1">'Battery Design'!F26/1000*'Cost Input'!$C35+'Cost Input'!$D35</f>
        <v>0.29041270147035853</v>
      </c>
    </row>
    <row r="69" spans="1:6" x14ac:dyDescent="0.15">
      <c r="A69" s="45" t="s">
        <v>365</v>
      </c>
      <c r="B69" s="45"/>
      <c r="C69" s="45"/>
      <c r="D69" s="2"/>
      <c r="E69" s="20"/>
      <c r="F69" s="81">
        <f ca="1">'Battery Design'!F30/1000*'Cost Input'!$C36+'Cost Input'!$D36</f>
        <v>0.75893495202637218</v>
      </c>
    </row>
    <row r="70" spans="1:6" ht="14" x14ac:dyDescent="0.15">
      <c r="A70" s="246" t="s">
        <v>496</v>
      </c>
      <c r="B70" s="5"/>
      <c r="C70" s="5"/>
      <c r="D70" s="64"/>
      <c r="E70" s="20"/>
      <c r="F70" s="82"/>
    </row>
    <row r="71" spans="1:6" x14ac:dyDescent="0.15">
      <c r="A71" s="7" t="s">
        <v>96</v>
      </c>
      <c r="B71" s="7"/>
      <c r="C71" s="7"/>
      <c r="D71" s="64"/>
      <c r="E71" s="20"/>
      <c r="F71" s="82"/>
    </row>
    <row r="72" spans="1:6" x14ac:dyDescent="0.15">
      <c r="A72" s="7" t="s">
        <v>30</v>
      </c>
      <c r="B72" s="7"/>
      <c r="C72" s="7"/>
      <c r="D72" s="64"/>
      <c r="E72" s="20"/>
      <c r="F72" s="38">
        <f t="shared" ref="F72:F74" ca="1" si="13">F54*F17/1000</f>
        <v>0</v>
      </c>
    </row>
    <row r="73" spans="1:6" x14ac:dyDescent="0.15">
      <c r="A73" s="7" t="s">
        <v>259</v>
      </c>
      <c r="B73" s="7"/>
      <c r="C73" s="7"/>
      <c r="D73" s="64"/>
      <c r="E73" s="20"/>
      <c r="F73" s="38">
        <f ca="1">F55*F18/1000</f>
        <v>9.0782588282998908</v>
      </c>
    </row>
    <row r="74" spans="1:6" x14ac:dyDescent="0.15">
      <c r="A74" s="7" t="s">
        <v>36</v>
      </c>
      <c r="B74" s="7"/>
      <c r="C74" s="7"/>
      <c r="D74" s="64"/>
      <c r="E74" s="20"/>
      <c r="F74" s="38">
        <f t="shared" ca="1" si="13"/>
        <v>3.6686114443129694</v>
      </c>
    </row>
    <row r="75" spans="1:6" x14ac:dyDescent="0.15">
      <c r="A75" s="7" t="s">
        <v>38</v>
      </c>
      <c r="B75" s="7"/>
      <c r="C75" s="7"/>
      <c r="D75" s="64"/>
      <c r="E75" s="20"/>
      <c r="F75" s="38">
        <f ca="1">F57*F20/1000*(1-'Cost Input'!$E13/100)</f>
        <v>0.27294469145688521</v>
      </c>
    </row>
    <row r="76" spans="1:6" x14ac:dyDescent="0.15">
      <c r="A76" s="7" t="s">
        <v>97</v>
      </c>
      <c r="B76" s="7"/>
      <c r="C76" s="7"/>
      <c r="D76" s="64"/>
      <c r="E76" s="20"/>
      <c r="F76" s="38"/>
    </row>
    <row r="77" spans="1:6" x14ac:dyDescent="0.15">
      <c r="A77" s="7" t="s">
        <v>30</v>
      </c>
      <c r="B77" s="7"/>
      <c r="C77" s="7"/>
      <c r="D77" s="64"/>
      <c r="E77" s="20"/>
      <c r="F77" s="38">
        <f t="shared" ref="F77:F79" ca="1" si="14">F59*F23/1000</f>
        <v>28.817857838272893</v>
      </c>
    </row>
    <row r="78" spans="1:6" x14ac:dyDescent="0.15">
      <c r="A78" s="7" t="s">
        <v>34</v>
      </c>
      <c r="B78" s="7"/>
      <c r="C78" s="7"/>
      <c r="D78" s="64"/>
      <c r="E78" s="20"/>
      <c r="F78" s="38">
        <f t="shared" ca="1" si="14"/>
        <v>0</v>
      </c>
    </row>
    <row r="79" spans="1:6" x14ac:dyDescent="0.15">
      <c r="A79" s="7" t="s">
        <v>292</v>
      </c>
      <c r="B79" s="7"/>
      <c r="C79" s="7"/>
      <c r="D79" s="64"/>
      <c r="E79" s="20"/>
      <c r="F79" s="38">
        <f t="shared" ca="1" si="14"/>
        <v>0</v>
      </c>
    </row>
    <row r="80" spans="1:6" x14ac:dyDescent="0.15">
      <c r="A80" s="7" t="s">
        <v>353</v>
      </c>
      <c r="B80" s="7"/>
      <c r="C80" s="7"/>
      <c r="D80" s="64"/>
      <c r="E80" s="20"/>
      <c r="F80" s="38">
        <f ca="1">F62*F28</f>
        <v>2.7942269190323574</v>
      </c>
    </row>
    <row r="81" spans="1:6" x14ac:dyDescent="0.15">
      <c r="A81" s="7" t="s">
        <v>354</v>
      </c>
      <c r="B81" s="7"/>
      <c r="C81" s="7"/>
      <c r="D81" s="64"/>
      <c r="E81" s="20"/>
      <c r="F81" s="38">
        <f t="shared" ref="F81:F83" ca="1" si="15">F63*F29</f>
        <v>4.1990611823907358</v>
      </c>
    </row>
    <row r="82" spans="1:6" x14ac:dyDescent="0.15">
      <c r="A82" s="7" t="s">
        <v>100</v>
      </c>
      <c r="B82" s="7"/>
      <c r="C82" s="7"/>
      <c r="D82" s="64"/>
      <c r="E82" s="20"/>
      <c r="F82" s="38">
        <f t="shared" ca="1" si="15"/>
        <v>9.6943009868164314</v>
      </c>
    </row>
    <row r="83" spans="1:6" x14ac:dyDescent="0.15">
      <c r="A83" s="7" t="s">
        <v>101</v>
      </c>
      <c r="B83" s="7"/>
      <c r="C83" s="7"/>
      <c r="D83" s="64"/>
      <c r="E83" s="83"/>
      <c r="F83" s="38">
        <f t="shared" ca="1" si="15"/>
        <v>17.53691978091457</v>
      </c>
    </row>
    <row r="84" spans="1:6" x14ac:dyDescent="0.15">
      <c r="A84" s="45" t="s">
        <v>102</v>
      </c>
      <c r="B84" s="45"/>
      <c r="C84" s="45"/>
      <c r="D84" s="64"/>
      <c r="E84" s="53">
        <f>'Cost Input'!E34</f>
        <v>0.8</v>
      </c>
      <c r="F84" s="38">
        <f ca="1">F67*('Cost Input'!$J21/F46)^(1-$E84)</f>
        <v>0.55992368451755947</v>
      </c>
    </row>
    <row r="85" spans="1:6" x14ac:dyDescent="0.15">
      <c r="A85" s="45" t="s">
        <v>103</v>
      </c>
      <c r="B85" s="45"/>
      <c r="C85" s="45"/>
      <c r="D85" s="64"/>
      <c r="E85" s="53">
        <f>'Cost Input'!E35</f>
        <v>0.8</v>
      </c>
      <c r="F85" s="38">
        <f ca="1">F68*('Cost Input'!$J21/F47)^(1-$E85)</f>
        <v>0.62988875400864353</v>
      </c>
    </row>
    <row r="86" spans="1:6" x14ac:dyDescent="0.15">
      <c r="A86" s="45" t="s">
        <v>364</v>
      </c>
      <c r="B86" s="45"/>
      <c r="C86" s="45"/>
      <c r="D86" s="64"/>
      <c r="E86" s="53">
        <f>'Cost Input'!E36</f>
        <v>0.8</v>
      </c>
      <c r="F86" s="38">
        <f ca="1">F69*('Cost Input'!$J21/F48)^(1-$E86)</f>
        <v>1.6460870646674992</v>
      </c>
    </row>
    <row r="87" spans="1:6" x14ac:dyDescent="0.15">
      <c r="A87" s="7" t="s">
        <v>104</v>
      </c>
      <c r="B87" s="7"/>
      <c r="C87" s="7"/>
      <c r="D87" s="3"/>
      <c r="F87" s="38">
        <f t="shared" ref="F87" ca="1" si="16">SUM(F72:F83)</f>
        <v>76.062181671496731</v>
      </c>
    </row>
    <row r="88" spans="1:6" x14ac:dyDescent="0.15">
      <c r="A88" s="45" t="s">
        <v>105</v>
      </c>
      <c r="B88" s="45"/>
      <c r="C88" s="45"/>
      <c r="D88" s="3"/>
      <c r="F88" s="38">
        <f t="shared" ref="F88" ca="1" si="17">SUM(F84:F87)</f>
        <v>78.898081174690432</v>
      </c>
    </row>
    <row r="89" spans="1:6" ht="14" x14ac:dyDescent="0.15">
      <c r="A89" s="246" t="s">
        <v>497</v>
      </c>
      <c r="B89" s="5"/>
      <c r="C89" s="5"/>
      <c r="D89" s="3"/>
      <c r="F89" s="38"/>
    </row>
    <row r="90" spans="1:6" x14ac:dyDescent="0.15">
      <c r="A90" s="48" t="s">
        <v>371</v>
      </c>
      <c r="B90" s="45"/>
      <c r="C90" s="45"/>
      <c r="D90" s="2"/>
      <c r="E90" s="53">
        <f>'Cost Input'!E37</f>
        <v>0.8</v>
      </c>
      <c r="F90" s="403">
        <f ca="1">('Cost Input'!$J20/F49)^(1-$E90)*('Battery Design'!F127/'Battery Design'!F58*'Cost Input'!$C37/1000+'Cost Input'!$D37)</f>
        <v>0.21689435423953973</v>
      </c>
    </row>
    <row r="91" spans="1:6" x14ac:dyDescent="0.15">
      <c r="A91" s="48" t="s">
        <v>372</v>
      </c>
      <c r="B91" s="45"/>
      <c r="C91" s="45"/>
      <c r="D91" s="64"/>
      <c r="E91" s="39"/>
      <c r="F91" s="403">
        <f ca="1">F90*'Battery Design'!F58</f>
        <v>1.0844717711976988</v>
      </c>
    </row>
    <row r="92" spans="1:6" x14ac:dyDescent="0.15">
      <c r="A92" s="7" t="s">
        <v>373</v>
      </c>
      <c r="B92" s="45"/>
      <c r="C92" s="45"/>
      <c r="F92" s="38">
        <f>IF('Battery Design'!F59=1,0,'Battery Design'!F58/'Battery Design'!F59*2*('Cost Input'!$D35+'Battery Design'!F116/1000*'Cost Input'!$C35))</f>
        <v>0</v>
      </c>
    </row>
    <row r="93" spans="1:6" x14ac:dyDescent="0.15">
      <c r="A93" s="7" t="s">
        <v>40</v>
      </c>
      <c r="B93" s="7"/>
      <c r="C93" s="7"/>
      <c r="F93" s="38">
        <f ca="1">'Battery Design'!F58/'Battery Design'!F59*('Cost Input'!$E$41+'Cost Input'!$E$42*'Battery Design'!F76)</f>
        <v>877.36202244647313</v>
      </c>
    </row>
    <row r="94" spans="1:6" x14ac:dyDescent="0.15">
      <c r="A94" s="7" t="s">
        <v>381</v>
      </c>
      <c r="B94" s="7"/>
      <c r="C94" s="7"/>
      <c r="F94" s="38">
        <f ca="1">'Cost Input'!$E$44*'Battery Design'!F120/1000+'Cost Input'!$E$45</f>
        <v>0.75</v>
      </c>
    </row>
    <row r="95" spans="1:6" x14ac:dyDescent="0.15">
      <c r="A95" s="7" t="s">
        <v>21</v>
      </c>
      <c r="B95" s="7"/>
      <c r="C95" s="7"/>
      <c r="F95" s="217">
        <f ca="1">'Cost Input'!$E$47*'Battery Design'!F128/1000+'Cost Input'!$E$48</f>
        <v>1</v>
      </c>
    </row>
    <row r="96" spans="1:6" x14ac:dyDescent="0.15">
      <c r="A96" s="7" t="s">
        <v>374</v>
      </c>
      <c r="B96" s="7"/>
      <c r="C96" s="7"/>
      <c r="F96" s="38">
        <f ca="1">SUM(F91:F95)</f>
        <v>880.19649421767087</v>
      </c>
    </row>
    <row r="97" spans="1:16" ht="14" x14ac:dyDescent="0.15">
      <c r="A97" s="246" t="s">
        <v>375</v>
      </c>
      <c r="B97" s="7"/>
      <c r="C97" s="7"/>
      <c r="F97" s="38"/>
    </row>
    <row r="98" spans="1:16" x14ac:dyDescent="0.15">
      <c r="A98" s="7" t="s">
        <v>427</v>
      </c>
      <c r="B98" s="7"/>
      <c r="C98" s="7"/>
      <c r="F98" s="38">
        <f ca="1">('Battery Design'!F62+1)*('Cost Input'!$E51*'Battery Design'!F154/1000*'Cost Input'!$E51+'Cost Input'!$E52)</f>
        <v>12.323992866395033</v>
      </c>
      <c r="P98" s="399"/>
    </row>
    <row r="99" spans="1:16" x14ac:dyDescent="0.15">
      <c r="A99" t="s">
        <v>401</v>
      </c>
      <c r="B99" s="7"/>
      <c r="C99" s="7"/>
      <c r="F99" s="38">
        <f ca="1">'Battery Design'!F155/1000*'Cost Input'!$E53</f>
        <v>0</v>
      </c>
    </row>
    <row r="100" spans="1:16" x14ac:dyDescent="0.15">
      <c r="A100" t="s">
        <v>400</v>
      </c>
      <c r="B100" s="7"/>
      <c r="C100" s="7"/>
      <c r="F100" s="38">
        <f ca="1">'Cost Input'!$E55+'Cost Input'!$E56*ROUNDUP('Battery Design'!F141,-2)</f>
        <v>41</v>
      </c>
    </row>
    <row r="101" spans="1:16" x14ac:dyDescent="0.15">
      <c r="A101" t="s">
        <v>452</v>
      </c>
      <c r="B101" s="7"/>
      <c r="C101" s="7"/>
      <c r="F101" s="38">
        <f>IF(AND('Battery Design'!F61=1,'Battery Design'!F60&gt;1),'Cost Input'!$E58,0)</f>
        <v>0</v>
      </c>
      <c r="P101" s="399"/>
    </row>
    <row r="102" spans="1:16" x14ac:dyDescent="0.15">
      <c r="A102" t="s">
        <v>454</v>
      </c>
      <c r="B102" s="7"/>
      <c r="C102" s="7"/>
      <c r="F102" s="38">
        <f>IF('Battery Design'!F63&gt;1,'Cost Input'!$E58*'Battery Design'!F63,0)</f>
        <v>0</v>
      </c>
    </row>
    <row r="103" spans="1:16" x14ac:dyDescent="0.15">
      <c r="A103" t="s">
        <v>453</v>
      </c>
      <c r="B103" s="7"/>
      <c r="C103" s="7"/>
      <c r="F103" s="38">
        <f>IF('Battery Design'!F64&gt;1,'Cost Input'!$E58*'Battery Design'!F64,0)</f>
        <v>0</v>
      </c>
    </row>
    <row r="104" spans="1:16" x14ac:dyDescent="0.15">
      <c r="A104" s="7" t="s">
        <v>377</v>
      </c>
      <c r="B104" s="7"/>
      <c r="C104" s="7"/>
      <c r="F104" s="38">
        <f>'Cost Input'!$E60*'Battery Design'!F164+'Cost Input'!$E61</f>
        <v>30</v>
      </c>
    </row>
    <row r="105" spans="1:16" x14ac:dyDescent="0.15">
      <c r="A105" s="240" t="s">
        <v>488</v>
      </c>
      <c r="B105" s="7"/>
      <c r="C105" s="7"/>
      <c r="F105" s="38">
        <f ca="1">SUM(F98:F104)</f>
        <v>83.323992866395031</v>
      </c>
    </row>
    <row r="106" spans="1:16" x14ac:dyDescent="0.15">
      <c r="A106" s="240" t="s">
        <v>474</v>
      </c>
      <c r="B106" s="7"/>
      <c r="C106" s="7"/>
      <c r="F106" s="38">
        <f ca="1">F88*'Battery Design'!F66+F96*'Battery Design'!F62+F105</f>
        <v>1358.0108929575181</v>
      </c>
    </row>
    <row r="107" spans="1:16" ht="14" x14ac:dyDescent="0.15">
      <c r="A107" s="246" t="s">
        <v>418</v>
      </c>
      <c r="B107" s="7"/>
      <c r="C107" s="7"/>
      <c r="F107" s="38"/>
    </row>
    <row r="108" spans="1:16" x14ac:dyDescent="0.15">
      <c r="A108" t="s">
        <v>406</v>
      </c>
      <c r="B108" s="7"/>
      <c r="C108" s="7"/>
      <c r="F108" s="38">
        <f>IF('Battery Design'!F54="microHEV",'Cost Input'!$H56,IF('Battery Design'!F54="HEV-HP",'Cost Input'!$I56,'Cost Input'!$J56))</f>
        <v>100</v>
      </c>
    </row>
    <row r="109" spans="1:16" x14ac:dyDescent="0.15">
      <c r="A109" t="s">
        <v>407</v>
      </c>
      <c r="B109" s="7"/>
      <c r="C109" s="7"/>
      <c r="F109" s="38">
        <f>'Battery Design'!F62*'Battery Design'!F64*IF('Battery Design'!F54="microHEV",'Cost Input'!$H57,IF('Battery Design'!F54="HEV-HP",'Cost Input'!$I57,'Cost Input'!$J57))</f>
        <v>20</v>
      </c>
      <c r="P109" s="399"/>
    </row>
    <row r="110" spans="1:16" x14ac:dyDescent="0.15">
      <c r="A110" t="s">
        <v>408</v>
      </c>
      <c r="B110" s="7"/>
      <c r="C110" s="7"/>
      <c r="F110" s="38">
        <f>IF('Battery Design'!F54="microHEV",'Cost Input'!$H58,IF('Battery Design'!F54="HEV-HP",'Cost Input'!$I58,'Cost Input'!$J58))</f>
        <v>200</v>
      </c>
    </row>
    <row r="111" spans="1:16" x14ac:dyDescent="0.15">
      <c r="A111" t="s">
        <v>404</v>
      </c>
      <c r="B111" s="7"/>
      <c r="C111" s="7"/>
      <c r="F111" s="262">
        <f>IF('Battery Design'!F54="microHEV",'Cost Input'!$H59,IF('Battery Design'!F54="HEV-HP",'Cost Input'!$I59,'Cost Input'!$J59)*'Battery Design'!F64)</f>
        <v>15</v>
      </c>
    </row>
    <row r="112" spans="1:16" x14ac:dyDescent="0.15">
      <c r="A112" t="s">
        <v>536</v>
      </c>
      <c r="B112" s="7"/>
      <c r="C112" s="7"/>
      <c r="F112" s="217">
        <f>'Cost Input'!$J60*('Battery Design'!F63*'Battery Design'!F64-1)</f>
        <v>0</v>
      </c>
    </row>
    <row r="113" spans="1:16" x14ac:dyDescent="0.15">
      <c r="A113" s="7" t="s">
        <v>409</v>
      </c>
      <c r="B113" s="7"/>
      <c r="C113" s="7"/>
      <c r="F113" s="38">
        <f t="shared" ref="F113" si="18">SUM(F108:F112)</f>
        <v>335</v>
      </c>
    </row>
    <row r="114" spans="1:16" ht="14" x14ac:dyDescent="0.15">
      <c r="A114" s="246" t="s">
        <v>785</v>
      </c>
      <c r="B114" s="7"/>
      <c r="C114" s="7"/>
      <c r="F114" s="38"/>
    </row>
    <row r="115" spans="1:16" x14ac:dyDescent="0.15">
      <c r="A115" s="338" t="s">
        <v>865</v>
      </c>
      <c r="B115" s="7"/>
      <c r="C115" s="7"/>
      <c r="F115" s="38">
        <f>Components!$D$10</f>
        <v>650</v>
      </c>
      <c r="P115" s="399"/>
    </row>
    <row r="116" spans="1:16" x14ac:dyDescent="0.15">
      <c r="A116" s="240" t="s">
        <v>694</v>
      </c>
      <c r="B116" s="7"/>
      <c r="C116" s="7"/>
      <c r="F116" s="38">
        <f t="shared" ref="F116" si="19">SUM(F115:F115)</f>
        <v>650</v>
      </c>
    </row>
    <row r="117" spans="1:16" ht="16" x14ac:dyDescent="0.2">
      <c r="A117" s="18"/>
      <c r="B117" s="7"/>
      <c r="C117" s="7"/>
      <c r="F117" s="38"/>
    </row>
    <row r="118" spans="1:16" x14ac:dyDescent="0.15">
      <c r="B118" s="7"/>
      <c r="C118" s="7"/>
      <c r="F118" s="38"/>
    </row>
    <row r="119" spans="1:16" x14ac:dyDescent="0.15">
      <c r="A119" s="10"/>
      <c r="B119" s="7"/>
      <c r="C119" s="7"/>
      <c r="F119" s="38"/>
      <c r="P119" s="399"/>
    </row>
    <row r="120" spans="1:16" x14ac:dyDescent="0.15">
      <c r="B120" s="7"/>
      <c r="C120" s="7"/>
      <c r="F120" s="38"/>
      <c r="P120" s="38"/>
    </row>
    <row r="121" spans="1:16" x14ac:dyDescent="0.15">
      <c r="B121" s="7"/>
      <c r="C121" s="7"/>
      <c r="F121" s="38"/>
    </row>
    <row r="122" spans="1:16" x14ac:dyDescent="0.15">
      <c r="A122" s="7"/>
      <c r="B122" s="7"/>
      <c r="C122" s="7"/>
      <c r="F122" s="38"/>
    </row>
    <row r="123" spans="1:16" x14ac:dyDescent="0.15">
      <c r="A123" s="7"/>
      <c r="B123" s="7"/>
      <c r="C123" s="7"/>
      <c r="F123" s="38"/>
    </row>
    <row r="124" spans="1:16" ht="16" x14ac:dyDescent="0.2">
      <c r="A124" s="18" t="s">
        <v>46</v>
      </c>
      <c r="B124" s="18"/>
      <c r="C124" s="18"/>
      <c r="F124" s="78"/>
    </row>
    <row r="125" spans="1:16" ht="14" x14ac:dyDescent="0.15">
      <c r="A125" s="10"/>
      <c r="B125" s="10"/>
      <c r="C125" s="10"/>
      <c r="D125" s="312" t="s">
        <v>25</v>
      </c>
      <c r="E125" s="68"/>
      <c r="F125" s="8"/>
    </row>
    <row r="126" spans="1:16" ht="14" x14ac:dyDescent="0.15">
      <c r="A126" s="311" t="s">
        <v>223</v>
      </c>
      <c r="B126" s="56"/>
      <c r="C126" s="56"/>
      <c r="D126" s="313" t="s">
        <v>48</v>
      </c>
      <c r="E126" s="314" t="s">
        <v>27</v>
      </c>
      <c r="F126" s="63"/>
    </row>
    <row r="127" spans="1:16" x14ac:dyDescent="0.15">
      <c r="A127" s="5" t="s">
        <v>208</v>
      </c>
      <c r="B127" s="5"/>
      <c r="C127" s="5"/>
      <c r="E127" s="71"/>
    </row>
    <row r="128" spans="1:16" x14ac:dyDescent="0.15">
      <c r="A128" s="7" t="s">
        <v>224</v>
      </c>
      <c r="B128" s="7"/>
      <c r="C128" s="7"/>
      <c r="D128" s="14"/>
      <c r="E128" s="71"/>
      <c r="F128" s="121">
        <f>F6/'Cost Input'!$J19</f>
        <v>1.8333333333333333</v>
      </c>
    </row>
    <row r="129" spans="1:17" x14ac:dyDescent="0.15">
      <c r="A129" s="7" t="s">
        <v>51</v>
      </c>
      <c r="B129" s="7"/>
      <c r="C129" s="7"/>
      <c r="D129" s="73">
        <f>'Cost Input'!D74</f>
        <v>14400</v>
      </c>
      <c r="E129" s="126">
        <f>'Cost Input'!E74</f>
        <v>0.4</v>
      </c>
      <c r="F129" s="71">
        <f t="shared" ref="F129:F131" si="20">$D129*F$128^$E129</f>
        <v>18350.971722627193</v>
      </c>
    </row>
    <row r="130" spans="1:17" x14ac:dyDescent="0.15">
      <c r="A130" s="7" t="s">
        <v>53</v>
      </c>
      <c r="B130" s="7"/>
      <c r="C130" s="7"/>
      <c r="D130" s="74">
        <f>'Cost Input'!D75</f>
        <v>3.6</v>
      </c>
      <c r="E130" s="126">
        <f>'Cost Input'!E75</f>
        <v>0.6</v>
      </c>
      <c r="F130" s="85">
        <f t="shared" si="20"/>
        <v>5.1790172987304732</v>
      </c>
    </row>
    <row r="131" spans="1:17" x14ac:dyDescent="0.15">
      <c r="A131" s="7" t="s">
        <v>54</v>
      </c>
      <c r="B131" s="7"/>
      <c r="C131" s="7"/>
      <c r="D131" s="73">
        <f>'Cost Input'!D76</f>
        <v>900</v>
      </c>
      <c r="E131" s="126">
        <f>'Cost Input'!E76</f>
        <v>0.5</v>
      </c>
      <c r="F131" s="71">
        <f t="shared" si="20"/>
        <v>1218.6057606953939</v>
      </c>
    </row>
    <row r="132" spans="1:17" x14ac:dyDescent="0.15">
      <c r="A132" s="5" t="s">
        <v>55</v>
      </c>
      <c r="B132" s="5"/>
      <c r="C132" s="5"/>
      <c r="D132" s="73"/>
      <c r="E132" s="126"/>
      <c r="F132" s="66"/>
    </row>
    <row r="133" spans="1:17" x14ac:dyDescent="0.15">
      <c r="A133" s="7" t="s">
        <v>56</v>
      </c>
      <c r="B133" s="7"/>
      <c r="C133" s="7"/>
      <c r="D133" s="73"/>
      <c r="E133" s="126"/>
      <c r="F133" s="66"/>
    </row>
    <row r="134" spans="1:17" x14ac:dyDescent="0.15">
      <c r="A134" s="7" t="s">
        <v>225</v>
      </c>
      <c r="B134" s="7"/>
      <c r="C134" s="7"/>
      <c r="D134" s="73"/>
      <c r="E134" s="126"/>
      <c r="F134" s="66"/>
    </row>
    <row r="135" spans="1:17" x14ac:dyDescent="0.15">
      <c r="A135" s="7" t="s">
        <v>224</v>
      </c>
      <c r="B135" s="7"/>
      <c r="C135" s="7"/>
      <c r="D135" s="73"/>
      <c r="E135" s="126"/>
      <c r="F135" s="86">
        <f ca="1">F10/'Cost Input'!$J23</f>
        <v>1.4425131710132184</v>
      </c>
    </row>
    <row r="136" spans="1:17" x14ac:dyDescent="0.15">
      <c r="A136" s="7" t="s">
        <v>51</v>
      </c>
      <c r="B136" s="7"/>
      <c r="C136" s="7"/>
      <c r="D136" s="73">
        <f>'Cost Input'!D81</f>
        <v>14400</v>
      </c>
      <c r="E136" s="126">
        <f>'Cost Input'!E81</f>
        <v>0.5</v>
      </c>
      <c r="F136" s="71">
        <f t="shared" ref="F136:F138" ca="1" si="21">$D136*F$135^$E136</f>
        <v>17295.072452617856</v>
      </c>
    </row>
    <row r="137" spans="1:17" x14ac:dyDescent="0.15">
      <c r="A137" s="7" t="s">
        <v>53</v>
      </c>
      <c r="B137" s="7"/>
      <c r="C137" s="7"/>
      <c r="D137" s="74">
        <f>'Cost Input'!D82</f>
        <v>2</v>
      </c>
      <c r="E137" s="126">
        <f>'Cost Input'!E82</f>
        <v>0.7</v>
      </c>
      <c r="F137" s="85">
        <f t="shared" ca="1" si="21"/>
        <v>2.5847220437684832</v>
      </c>
    </row>
    <row r="138" spans="1:17" x14ac:dyDescent="0.15">
      <c r="A138" s="7" t="s">
        <v>54</v>
      </c>
      <c r="B138" s="7"/>
      <c r="C138" s="7"/>
      <c r="D138" s="73">
        <f>'Cost Input'!D83</f>
        <v>600</v>
      </c>
      <c r="E138" s="126">
        <f>'Cost Input'!E83</f>
        <v>0.6</v>
      </c>
      <c r="F138" s="71">
        <f t="shared" ca="1" si="21"/>
        <v>747.5205266149419</v>
      </c>
    </row>
    <row r="139" spans="1:17" x14ac:dyDescent="0.15">
      <c r="A139" s="7" t="s">
        <v>226</v>
      </c>
      <c r="B139" s="7"/>
      <c r="C139" s="7"/>
      <c r="D139" s="73"/>
      <c r="E139" s="126"/>
      <c r="F139" s="66"/>
    </row>
    <row r="140" spans="1:17" x14ac:dyDescent="0.15">
      <c r="A140" s="7" t="s">
        <v>224</v>
      </c>
      <c r="B140" s="7"/>
      <c r="C140" s="7"/>
      <c r="D140" s="73"/>
      <c r="E140" s="126"/>
      <c r="F140" s="86">
        <f ca="1">F11/'Cost Input'!$J24</f>
        <v>4.7457279464340418</v>
      </c>
    </row>
    <row r="141" spans="1:17" x14ac:dyDescent="0.15">
      <c r="A141" s="7" t="s">
        <v>51</v>
      </c>
      <c r="B141" s="7"/>
      <c r="C141" s="7"/>
      <c r="D141" s="73">
        <f>'Cost Input'!D86</f>
        <v>14400</v>
      </c>
      <c r="E141" s="126">
        <f>'Cost Input'!E86</f>
        <v>0.5</v>
      </c>
      <c r="F141" s="71"/>
      <c r="Q141" s="449"/>
    </row>
    <row r="142" spans="1:17" x14ac:dyDescent="0.15">
      <c r="A142" s="7" t="s">
        <v>53</v>
      </c>
      <c r="B142" s="7"/>
      <c r="C142" s="7"/>
      <c r="D142" s="74">
        <f>'Cost Input'!D87</f>
        <v>2</v>
      </c>
      <c r="E142" s="126">
        <f>'Cost Input'!E87</f>
        <v>0.7</v>
      </c>
      <c r="F142" s="85"/>
      <c r="Q142" s="449"/>
    </row>
    <row r="143" spans="1:17" x14ac:dyDescent="0.15">
      <c r="A143" s="7" t="s">
        <v>54</v>
      </c>
      <c r="B143" s="7"/>
      <c r="C143" s="7"/>
      <c r="D143" s="73">
        <f>'Cost Input'!D88</f>
        <v>600</v>
      </c>
      <c r="E143" s="126">
        <f>'Cost Input'!E88</f>
        <v>0.6</v>
      </c>
      <c r="F143" s="71"/>
      <c r="Q143" s="449"/>
    </row>
    <row r="144" spans="1:17" x14ac:dyDescent="0.15">
      <c r="A144" s="7" t="s">
        <v>167</v>
      </c>
      <c r="B144" s="7"/>
      <c r="C144" s="7"/>
      <c r="D144" s="73"/>
      <c r="E144" s="126"/>
      <c r="F144" s="66"/>
    </row>
    <row r="145" spans="1:17" x14ac:dyDescent="0.15">
      <c r="A145" s="7" t="s">
        <v>227</v>
      </c>
      <c r="B145" s="7"/>
      <c r="C145" s="7"/>
      <c r="D145" s="73"/>
      <c r="E145" s="126"/>
      <c r="F145" s="66"/>
    </row>
    <row r="146" spans="1:17" x14ac:dyDescent="0.15">
      <c r="A146" s="7" t="s">
        <v>224</v>
      </c>
      <c r="B146" s="7"/>
      <c r="C146" s="7"/>
      <c r="D146" s="73"/>
      <c r="E146" s="126"/>
      <c r="F146" s="86">
        <f ca="1">F9/'Cost Input'!$J22</f>
        <v>0.26939807493760942</v>
      </c>
    </row>
    <row r="147" spans="1:17" ht="15" x14ac:dyDescent="0.15">
      <c r="A147" s="240" t="s">
        <v>483</v>
      </c>
      <c r="B147" s="7"/>
      <c r="C147" s="7"/>
      <c r="D147" s="268">
        <f>'Cost Input'!D92</f>
        <v>0.20310837050216513</v>
      </c>
      <c r="E147" s="74"/>
      <c r="F147" s="86">
        <f t="shared" ref="F147" ca="1" si="22">F50/F9</f>
        <v>0.48297716251547262</v>
      </c>
    </row>
    <row r="148" spans="1:17" x14ac:dyDescent="0.15">
      <c r="A148" s="7" t="s">
        <v>51</v>
      </c>
      <c r="B148" s="7"/>
      <c r="C148" s="7"/>
      <c r="D148" s="73">
        <f>'Cost Input'!D93</f>
        <v>28800</v>
      </c>
      <c r="E148" s="126">
        <f>'Cost Input'!E93</f>
        <v>0.5</v>
      </c>
      <c r="F148" s="71">
        <f t="shared" ref="F148" ca="1" si="23">$D148*F$146^$E148</f>
        <v>14948.22863339502</v>
      </c>
    </row>
    <row r="149" spans="1:17" x14ac:dyDescent="0.15">
      <c r="A149" s="7" t="s">
        <v>53</v>
      </c>
      <c r="B149" s="7"/>
      <c r="C149" s="7"/>
      <c r="D149" s="74">
        <f>'Cost Input'!D94</f>
        <v>8</v>
      </c>
      <c r="E149" s="126">
        <f>'Cost Input'!E94</f>
        <v>0.8</v>
      </c>
      <c r="F149" s="85">
        <f t="shared" ref="F149" ca="1" si="24">$D149*F$146^$E149*(F147/$D147)^0.2</f>
        <v>3.3315423028115414</v>
      </c>
    </row>
    <row r="150" spans="1:17" x14ac:dyDescent="0.15">
      <c r="A150" s="7" t="s">
        <v>54</v>
      </c>
      <c r="B150" s="7"/>
      <c r="C150" s="7"/>
      <c r="D150" s="73">
        <f>'Cost Input'!D95</f>
        <v>750</v>
      </c>
      <c r="E150" s="126">
        <f>'Cost Input'!E95</f>
        <v>0.8</v>
      </c>
      <c r="F150" s="71">
        <f t="shared" ref="F150" ca="1" si="25">$D150*F$146^$E150</f>
        <v>262.64966656949298</v>
      </c>
    </row>
    <row r="151" spans="1:17" x14ac:dyDescent="0.15">
      <c r="A151" s="7" t="s">
        <v>228</v>
      </c>
      <c r="B151" s="7"/>
      <c r="C151" s="7"/>
      <c r="D151" s="73"/>
      <c r="E151" s="126"/>
      <c r="F151" s="66"/>
    </row>
    <row r="152" spans="1:17" x14ac:dyDescent="0.15">
      <c r="A152" s="7" t="s">
        <v>224</v>
      </c>
      <c r="B152" s="7"/>
      <c r="C152" s="7"/>
      <c r="D152" s="73"/>
      <c r="E152" s="126"/>
      <c r="F152" s="86">
        <f t="shared" ref="F152" ca="1" si="26">F146</f>
        <v>0.26939807493760942</v>
      </c>
    </row>
    <row r="153" spans="1:17" ht="15" x14ac:dyDescent="0.15">
      <c r="A153" s="240" t="s">
        <v>483</v>
      </c>
      <c r="B153" s="7"/>
      <c r="C153" s="7"/>
      <c r="D153" s="268">
        <f>'Cost Input'!D98</f>
        <v>0.12252924698906503</v>
      </c>
      <c r="E153" s="74"/>
      <c r="F153" s="269">
        <f t="shared" ref="F153" ca="1" si="27">F51/F9</f>
        <v>0</v>
      </c>
    </row>
    <row r="154" spans="1:17" x14ac:dyDescent="0.15">
      <c r="A154" s="7" t="s">
        <v>51</v>
      </c>
      <c r="B154" s="7"/>
      <c r="C154" s="7"/>
      <c r="D154" s="73">
        <f>'Cost Input'!D99</f>
        <v>28800</v>
      </c>
      <c r="E154" s="126">
        <f>'Cost Input'!E99</f>
        <v>0.5</v>
      </c>
      <c r="F154" s="71"/>
      <c r="Q154" s="449"/>
    </row>
    <row r="155" spans="1:17" x14ac:dyDescent="0.15">
      <c r="A155" s="7" t="s">
        <v>53</v>
      </c>
      <c r="B155" s="7"/>
      <c r="C155" s="7"/>
      <c r="D155" s="74">
        <f>'Cost Input'!D100</f>
        <v>8</v>
      </c>
      <c r="E155" s="126">
        <f>'Cost Input'!E100</f>
        <v>0.8</v>
      </c>
      <c r="F155" s="85"/>
      <c r="Q155" s="449"/>
    </row>
    <row r="156" spans="1:17" x14ac:dyDescent="0.15">
      <c r="A156" s="7" t="s">
        <v>54</v>
      </c>
      <c r="B156" s="7"/>
      <c r="C156" s="7"/>
      <c r="D156" s="73">
        <f>'Cost Input'!D101</f>
        <v>750</v>
      </c>
      <c r="E156" s="126">
        <f>'Cost Input'!E101</f>
        <v>0.8</v>
      </c>
      <c r="F156" s="71"/>
      <c r="Q156" s="449"/>
    </row>
    <row r="157" spans="1:17" x14ac:dyDescent="0.15">
      <c r="A157" t="s">
        <v>266</v>
      </c>
      <c r="B157" s="7"/>
      <c r="C157" s="7"/>
      <c r="D157" s="73"/>
      <c r="E157" s="126"/>
      <c r="F157" s="71"/>
    </row>
    <row r="158" spans="1:17" x14ac:dyDescent="0.15">
      <c r="A158" s="7" t="s">
        <v>224</v>
      </c>
      <c r="B158" s="7"/>
      <c r="C158" s="7"/>
      <c r="D158" s="73"/>
      <c r="E158" s="126"/>
      <c r="F158" s="86">
        <f ca="1">F12/'Cost Input'!$J25</f>
        <v>0.7853098851439696</v>
      </c>
    </row>
    <row r="159" spans="1:17" x14ac:dyDescent="0.15">
      <c r="A159" s="7" t="s">
        <v>51</v>
      </c>
      <c r="B159" s="7"/>
      <c r="C159" s="7"/>
      <c r="D159" s="73">
        <f>'Cost Input'!D104</f>
        <v>14400</v>
      </c>
      <c r="E159" s="126">
        <f>'Cost Input'!E104</f>
        <v>0.4</v>
      </c>
      <c r="F159" s="71">
        <f t="shared" ref="F159:F161" ca="1" si="28">$D159*F$158^$E159</f>
        <v>13073.110070179366</v>
      </c>
    </row>
    <row r="160" spans="1:17" x14ac:dyDescent="0.15">
      <c r="A160" s="7" t="s">
        <v>53</v>
      </c>
      <c r="B160" s="7"/>
      <c r="C160" s="7"/>
      <c r="D160" s="73">
        <f>'Cost Input'!D105</f>
        <v>3</v>
      </c>
      <c r="E160" s="126">
        <f>'Cost Input'!E105</f>
        <v>0.6</v>
      </c>
      <c r="F160" s="85">
        <f t="shared" ca="1" si="28"/>
        <v>2.5950509753303121</v>
      </c>
    </row>
    <row r="161" spans="1:6" x14ac:dyDescent="0.15">
      <c r="A161" s="7" t="s">
        <v>54</v>
      </c>
      <c r="B161" s="7"/>
      <c r="C161" s="7"/>
      <c r="D161" s="73">
        <f>'Cost Input'!D106</f>
        <v>225</v>
      </c>
      <c r="E161" s="126">
        <f>'Cost Input'!E106</f>
        <v>0.6</v>
      </c>
      <c r="F161" s="71">
        <f t="shared" ca="1" si="28"/>
        <v>194.62882314977341</v>
      </c>
    </row>
    <row r="162" spans="1:6" x14ac:dyDescent="0.15">
      <c r="A162" s="7" t="s">
        <v>212</v>
      </c>
      <c r="B162" s="7"/>
      <c r="C162" s="7"/>
      <c r="D162" s="73"/>
      <c r="E162" s="126"/>
      <c r="F162" s="66"/>
    </row>
    <row r="163" spans="1:6" x14ac:dyDescent="0.15">
      <c r="A163" s="7" t="s">
        <v>227</v>
      </c>
      <c r="B163" s="7"/>
      <c r="C163" s="7"/>
      <c r="D163" s="73"/>
      <c r="E163" s="126"/>
      <c r="F163" s="66"/>
    </row>
    <row r="164" spans="1:6" x14ac:dyDescent="0.15">
      <c r="A164" s="7" t="s">
        <v>224</v>
      </c>
      <c r="B164" s="7"/>
      <c r="C164" s="7"/>
      <c r="D164" s="73"/>
      <c r="E164" s="126"/>
      <c r="F164" s="86">
        <f t="shared" ref="F164" ca="1" si="29">F146</f>
        <v>0.26939807493760942</v>
      </c>
    </row>
    <row r="165" spans="1:6" x14ac:dyDescent="0.15">
      <c r="A165" s="7" t="s">
        <v>51</v>
      </c>
      <c r="B165" s="7"/>
      <c r="C165" s="7"/>
      <c r="D165" s="73">
        <f>'Cost Input'!D110</f>
        <v>14400</v>
      </c>
      <c r="E165" s="126">
        <f>'Cost Input'!E110</f>
        <v>0.5</v>
      </c>
      <c r="F165" s="71">
        <f t="shared" ref="F165:F167" ca="1" si="30">$D165*F$164^$E165</f>
        <v>7474.1143166975098</v>
      </c>
    </row>
    <row r="166" spans="1:6" x14ac:dyDescent="0.15">
      <c r="A166" s="7" t="s">
        <v>53</v>
      </c>
      <c r="B166" s="7"/>
      <c r="C166" s="7"/>
      <c r="D166" s="74">
        <f>'Cost Input'!D111</f>
        <v>1</v>
      </c>
      <c r="E166" s="126">
        <f>'Cost Input'!E111</f>
        <v>0.7</v>
      </c>
      <c r="F166" s="85">
        <f t="shared" ca="1" si="30"/>
        <v>0.39927869886068212</v>
      </c>
    </row>
    <row r="167" spans="1:6" x14ac:dyDescent="0.15">
      <c r="A167" s="7" t="s">
        <v>54</v>
      </c>
      <c r="B167" s="7"/>
      <c r="C167" s="7"/>
      <c r="D167" s="73">
        <f>'Cost Input'!D112</f>
        <v>225</v>
      </c>
      <c r="E167" s="126">
        <f>'Cost Input'!E112</f>
        <v>0.6</v>
      </c>
      <c r="F167" s="71">
        <f t="shared" ca="1" si="30"/>
        <v>102.42812219804051</v>
      </c>
    </row>
    <row r="168" spans="1:6" x14ac:dyDescent="0.15">
      <c r="A168" s="7" t="s">
        <v>228</v>
      </c>
      <c r="B168" s="7"/>
      <c r="C168" s="7"/>
      <c r="D168" s="73"/>
      <c r="E168" s="126"/>
    </row>
    <row r="169" spans="1:6" x14ac:dyDescent="0.15">
      <c r="A169" s="7" t="s">
        <v>224</v>
      </c>
      <c r="B169" s="7"/>
      <c r="C169" s="7"/>
      <c r="D169" s="73"/>
      <c r="E169" s="126"/>
      <c r="F169" s="87">
        <f t="shared" ref="F169" ca="1" si="31">F152</f>
        <v>0.26939807493760942</v>
      </c>
    </row>
    <row r="170" spans="1:6" x14ac:dyDescent="0.15">
      <c r="A170" s="7" t="s">
        <v>51</v>
      </c>
      <c r="B170" s="7"/>
      <c r="C170" s="7"/>
      <c r="D170" s="73">
        <f>'Cost Input'!D115</f>
        <v>7200</v>
      </c>
      <c r="E170" s="126">
        <f>'Cost Input'!E115</f>
        <v>0.5</v>
      </c>
      <c r="F170" s="71">
        <f t="shared" ref="F170:F172" ca="1" si="32">$D170*F$169^$E170</f>
        <v>3737.0571583487549</v>
      </c>
    </row>
    <row r="171" spans="1:6" x14ac:dyDescent="0.15">
      <c r="A171" s="7" t="s">
        <v>53</v>
      </c>
      <c r="B171" s="7"/>
      <c r="C171" s="7"/>
      <c r="D171" s="74">
        <f>'Cost Input'!D116</f>
        <v>1</v>
      </c>
      <c r="E171" s="126">
        <f>'Cost Input'!E116</f>
        <v>0.7</v>
      </c>
      <c r="F171" s="85">
        <f t="shared" ca="1" si="32"/>
        <v>0.39927869886068212</v>
      </c>
    </row>
    <row r="172" spans="1:6" x14ac:dyDescent="0.15">
      <c r="A172" s="7" t="s">
        <v>54</v>
      </c>
      <c r="B172" s="7"/>
      <c r="C172" s="7"/>
      <c r="D172" s="73">
        <f>'Cost Input'!D117</f>
        <v>225</v>
      </c>
      <c r="E172" s="126">
        <f>'Cost Input'!E117</f>
        <v>0.6</v>
      </c>
      <c r="F172" s="71">
        <f t="shared" ca="1" si="32"/>
        <v>102.42812219804051</v>
      </c>
    </row>
    <row r="173" spans="1:6" x14ac:dyDescent="0.15">
      <c r="A173" s="7" t="s">
        <v>217</v>
      </c>
      <c r="B173" s="7"/>
      <c r="C173" s="7"/>
      <c r="D173" s="10"/>
      <c r="E173" s="72"/>
      <c r="F173" s="66"/>
    </row>
    <row r="174" spans="1:6" x14ac:dyDescent="0.15">
      <c r="A174" s="7" t="s">
        <v>224</v>
      </c>
      <c r="B174" s="7"/>
      <c r="C174" s="7"/>
      <c r="D174" s="10"/>
      <c r="E174" s="72"/>
      <c r="F174" s="88">
        <f t="shared" ref="F174" ca="1" si="33">F164</f>
        <v>0.26939807493760942</v>
      </c>
    </row>
    <row r="175" spans="1:6" x14ac:dyDescent="0.15">
      <c r="A175" s="7" t="s">
        <v>51</v>
      </c>
      <c r="B175" s="7"/>
      <c r="C175" s="7"/>
      <c r="D175" s="71">
        <f>'Cost Input'!D120</f>
        <v>28800</v>
      </c>
      <c r="E175" s="85">
        <f>'Cost Input'!E120</f>
        <v>0.7</v>
      </c>
      <c r="F175" s="71">
        <f t="shared" ref="F175:F177" ca="1" si="34">$D175*F$174^$E175</f>
        <v>11499.226527187646</v>
      </c>
    </row>
    <row r="176" spans="1:6" x14ac:dyDescent="0.15">
      <c r="A176" s="7" t="s">
        <v>53</v>
      </c>
      <c r="B176" s="7"/>
      <c r="C176" s="7"/>
      <c r="D176" s="85">
        <f>'Cost Input'!D121</f>
        <v>1.5</v>
      </c>
      <c r="E176" s="85">
        <f>'Cost Input'!E121</f>
        <v>0.7</v>
      </c>
      <c r="F176" s="85">
        <f t="shared" ca="1" si="34"/>
        <v>0.59891804829102324</v>
      </c>
    </row>
    <row r="177" spans="1:6" x14ac:dyDescent="0.15">
      <c r="A177" s="7" t="s">
        <v>54</v>
      </c>
      <c r="B177" s="7"/>
      <c r="C177" s="7"/>
      <c r="D177" s="71">
        <f>'Cost Input'!D122</f>
        <v>900</v>
      </c>
      <c r="E177" s="85">
        <f>'Cost Input'!E122</f>
        <v>0.6</v>
      </c>
      <c r="F177" s="71">
        <f t="shared" ca="1" si="34"/>
        <v>409.71248879216205</v>
      </c>
    </row>
    <row r="178" spans="1:6" x14ac:dyDescent="0.15">
      <c r="A178" s="7" t="s">
        <v>229</v>
      </c>
      <c r="B178" s="7"/>
      <c r="C178" s="7"/>
      <c r="D178" s="71"/>
      <c r="E178" s="85"/>
      <c r="F178" s="66"/>
    </row>
    <row r="179" spans="1:6" x14ac:dyDescent="0.15">
      <c r="A179" s="7" t="s">
        <v>224</v>
      </c>
      <c r="B179" s="7"/>
      <c r="C179" s="7"/>
      <c r="D179" s="71"/>
      <c r="E179" s="85"/>
      <c r="F179" s="86">
        <f t="shared" ref="F179" ca="1" si="35">F174</f>
        <v>0.26939807493760942</v>
      </c>
    </row>
    <row r="180" spans="1:6" x14ac:dyDescent="0.15">
      <c r="A180" s="7" t="s">
        <v>51</v>
      </c>
      <c r="B180" s="7"/>
      <c r="C180" s="7"/>
      <c r="D180" s="71">
        <f>'Cost Input'!D125</f>
        <v>28800</v>
      </c>
      <c r="E180" s="85">
        <f>'Cost Input'!E125</f>
        <v>0.5</v>
      </c>
      <c r="F180" s="71">
        <f t="shared" ref="F180:F182" ca="1" si="36">$D180*F$179^$E180</f>
        <v>14948.22863339502</v>
      </c>
    </row>
    <row r="181" spans="1:6" x14ac:dyDescent="0.15">
      <c r="A181" s="7" t="s">
        <v>53</v>
      </c>
      <c r="B181" s="7"/>
      <c r="C181" s="7"/>
      <c r="D181" s="85">
        <f>'Cost Input'!D126</f>
        <v>2</v>
      </c>
      <c r="E181" s="85">
        <f>'Cost Input'!E126</f>
        <v>0.7</v>
      </c>
      <c r="F181" s="85">
        <f t="shared" ca="1" si="36"/>
        <v>0.79855739772136425</v>
      </c>
    </row>
    <row r="182" spans="1:6" x14ac:dyDescent="0.15">
      <c r="A182" s="7" t="s">
        <v>54</v>
      </c>
      <c r="B182" s="7"/>
      <c r="C182" s="7"/>
      <c r="D182" s="71">
        <f>'Cost Input'!D127</f>
        <v>300</v>
      </c>
      <c r="E182" s="85">
        <f>'Cost Input'!E127</f>
        <v>0.6</v>
      </c>
      <c r="F182" s="71">
        <f t="shared" ca="1" si="36"/>
        <v>136.57082959738736</v>
      </c>
    </row>
    <row r="183" spans="1:6" x14ac:dyDescent="0.15">
      <c r="A183" s="5" t="s">
        <v>289</v>
      </c>
      <c r="B183" s="7"/>
      <c r="C183" s="7"/>
      <c r="D183" s="71"/>
      <c r="E183" s="85"/>
      <c r="F183" s="71"/>
    </row>
    <row r="184" spans="1:6" x14ac:dyDescent="0.15">
      <c r="A184" s="7" t="s">
        <v>224</v>
      </c>
      <c r="B184" s="7"/>
      <c r="C184" s="7"/>
      <c r="D184" s="71"/>
      <c r="E184" s="85"/>
      <c r="F184" s="86">
        <f t="shared" ref="F184" ca="1" si="37">F179</f>
        <v>0.26939807493760942</v>
      </c>
    </row>
    <row r="185" spans="1:6" x14ac:dyDescent="0.15">
      <c r="A185" s="7" t="s">
        <v>51</v>
      </c>
      <c r="B185" s="7"/>
      <c r="C185" s="7"/>
      <c r="D185" s="71">
        <f>'Cost Input'!D130</f>
        <v>14400</v>
      </c>
      <c r="E185" s="85">
        <f>'Cost Input'!E130</f>
        <v>0.5</v>
      </c>
      <c r="F185" s="71">
        <f t="shared" ref="F185:F187" ca="1" si="38">$D185*F$184^$E185</f>
        <v>7474.1143166975098</v>
      </c>
    </row>
    <row r="186" spans="1:6" x14ac:dyDescent="0.15">
      <c r="A186" s="7" t="s">
        <v>53</v>
      </c>
      <c r="B186" s="7"/>
      <c r="C186" s="7"/>
      <c r="D186" s="85">
        <f>'Cost Input'!D131</f>
        <v>1.6</v>
      </c>
      <c r="E186" s="85">
        <f>'Cost Input'!E131</f>
        <v>0.7</v>
      </c>
      <c r="F186" s="85">
        <f t="shared" ca="1" si="38"/>
        <v>0.63884591817709147</v>
      </c>
    </row>
    <row r="187" spans="1:6" x14ac:dyDescent="0.15">
      <c r="A187" s="7" t="s">
        <v>54</v>
      </c>
      <c r="B187" s="7"/>
      <c r="C187" s="7"/>
      <c r="D187" s="71">
        <f>'Cost Input'!D132</f>
        <v>300</v>
      </c>
      <c r="E187" s="85">
        <f>'Cost Input'!E132</f>
        <v>0.6</v>
      </c>
      <c r="F187" s="71">
        <f t="shared" ca="1" si="38"/>
        <v>136.57082959738736</v>
      </c>
    </row>
    <row r="188" spans="1:6" x14ac:dyDescent="0.15">
      <c r="A188" s="5" t="s">
        <v>290</v>
      </c>
      <c r="B188" s="7"/>
      <c r="C188" s="7"/>
      <c r="D188" s="71"/>
      <c r="E188" s="85"/>
      <c r="F188" s="71"/>
    </row>
    <row r="189" spans="1:6" x14ac:dyDescent="0.15">
      <c r="A189" s="7" t="s">
        <v>224</v>
      </c>
      <c r="B189" s="7"/>
      <c r="C189" s="7"/>
      <c r="D189" s="71"/>
      <c r="E189" s="85"/>
      <c r="F189" s="86">
        <f t="shared" ref="F189" si="39">F128</f>
        <v>1.8333333333333333</v>
      </c>
    </row>
    <row r="190" spans="1:6" x14ac:dyDescent="0.15">
      <c r="A190" s="7" t="s">
        <v>51</v>
      </c>
      <c r="B190" s="7"/>
      <c r="C190" s="7"/>
      <c r="D190" s="71">
        <f>'Cost Input'!D135</f>
        <v>28800</v>
      </c>
      <c r="E190" s="85">
        <f>'Cost Input'!E135</f>
        <v>0.5</v>
      </c>
      <c r="F190" s="71">
        <f t="shared" ref="F190:F192" si="40">$D190*F$189^$E190</f>
        <v>38995.384342252604</v>
      </c>
    </row>
    <row r="191" spans="1:6" x14ac:dyDescent="0.15">
      <c r="A191" s="7" t="s">
        <v>53</v>
      </c>
      <c r="B191" s="7"/>
      <c r="C191" s="7"/>
      <c r="D191" s="85">
        <f>'Cost Input'!D136</f>
        <v>1.5</v>
      </c>
      <c r="E191" s="85">
        <f>'Cost Input'!E136</f>
        <v>0.7</v>
      </c>
      <c r="F191" s="85">
        <f t="shared" si="40"/>
        <v>2.2927688009720724</v>
      </c>
    </row>
    <row r="192" spans="1:6" x14ac:dyDescent="0.15">
      <c r="A192" s="7" t="s">
        <v>54</v>
      </c>
      <c r="B192" s="7"/>
      <c r="C192" s="7"/>
      <c r="D192" s="71">
        <f>'Cost Input'!D137</f>
        <v>300</v>
      </c>
      <c r="E192" s="85">
        <f>'Cost Input'!E137</f>
        <v>0.6</v>
      </c>
      <c r="F192" s="71">
        <f t="shared" si="40"/>
        <v>431.58477489420613</v>
      </c>
    </row>
    <row r="193" spans="1:6" x14ac:dyDescent="0.15">
      <c r="A193" s="5" t="s">
        <v>356</v>
      </c>
      <c r="B193" s="7"/>
      <c r="C193" s="7"/>
      <c r="D193" s="71"/>
      <c r="E193" s="85"/>
      <c r="F193" s="71"/>
    </row>
    <row r="194" spans="1:6" x14ac:dyDescent="0.15">
      <c r="A194" s="7" t="s">
        <v>269</v>
      </c>
      <c r="B194" s="7"/>
      <c r="C194" s="7"/>
      <c r="D194" s="71"/>
      <c r="E194" s="85"/>
      <c r="F194" s="66"/>
    </row>
    <row r="195" spans="1:6" x14ac:dyDescent="0.15">
      <c r="A195" s="7" t="s">
        <v>224</v>
      </c>
      <c r="C195" s="7"/>
      <c r="D195" s="71"/>
      <c r="E195" s="85"/>
      <c r="F195" s="86">
        <f>F8/'Cost Input'!$J21</f>
        <v>2.083333324652778E-2</v>
      </c>
    </row>
    <row r="196" spans="1:6" x14ac:dyDescent="0.15">
      <c r="A196" s="7" t="s">
        <v>219</v>
      </c>
      <c r="B196" s="7"/>
      <c r="C196" s="7"/>
      <c r="D196" s="71">
        <f>'Cost Input'!I75</f>
        <v>40</v>
      </c>
      <c r="E196" s="85">
        <f>'Cost Input'!J75</f>
        <v>0.3</v>
      </c>
      <c r="F196" s="183">
        <f ca="1">'Battery Design'!F77</f>
        <v>34894.480897858928</v>
      </c>
    </row>
    <row r="197" spans="1:6" x14ac:dyDescent="0.15">
      <c r="A197" s="7" t="s">
        <v>51</v>
      </c>
      <c r="B197" s="7"/>
      <c r="C197" s="7"/>
      <c r="D197" s="71">
        <f>'Cost Input'!I76</f>
        <v>36000</v>
      </c>
      <c r="E197" s="85">
        <f>'Cost Input'!J76</f>
        <v>0.7</v>
      </c>
      <c r="F197" s="71">
        <f t="shared" ref="F197" si="41">$D197*F$195^$E197</f>
        <v>2395.7066221338887</v>
      </c>
    </row>
    <row r="198" spans="1:6" x14ac:dyDescent="0.15">
      <c r="A198" s="7" t="s">
        <v>53</v>
      </c>
      <c r="B198" s="7"/>
      <c r="C198" s="7"/>
      <c r="D198" s="85">
        <f>'Cost Input'!I77</f>
        <v>4</v>
      </c>
      <c r="E198" s="85">
        <f>'Cost Input'!J77</f>
        <v>0.8</v>
      </c>
      <c r="F198" s="85">
        <f t="shared" ref="F198" ca="1" si="42">$D198*F$195^$E198*(F196/$D196)^$E196</f>
        <v>1.3780850621575367</v>
      </c>
    </row>
    <row r="199" spans="1:6" x14ac:dyDescent="0.15">
      <c r="A199" s="7" t="s">
        <v>54</v>
      </c>
      <c r="B199" s="7"/>
      <c r="C199" s="7"/>
      <c r="D199" s="71">
        <f>'Cost Input'!I78</f>
        <v>600</v>
      </c>
      <c r="E199" s="85">
        <f>'Cost Input'!J78</f>
        <v>0.8</v>
      </c>
      <c r="F199" s="71">
        <f t="shared" ref="F199" si="43">$D199*F$195^$E199</f>
        <v>27.11179418956981</v>
      </c>
    </row>
    <row r="200" spans="1:6" x14ac:dyDescent="0.15">
      <c r="A200" s="7" t="s">
        <v>118</v>
      </c>
      <c r="B200" s="7"/>
      <c r="C200" s="7"/>
      <c r="D200" s="71"/>
      <c r="E200" s="85"/>
      <c r="F200" s="66"/>
    </row>
    <row r="201" spans="1:6" x14ac:dyDescent="0.15">
      <c r="A201" s="7" t="s">
        <v>224</v>
      </c>
      <c r="B201" s="7"/>
      <c r="C201" s="7"/>
      <c r="D201" s="71"/>
      <c r="E201" s="85"/>
      <c r="F201" s="86">
        <f t="shared" ref="F201" si="44">F195</f>
        <v>2.083333324652778E-2</v>
      </c>
    </row>
    <row r="202" spans="1:6" x14ac:dyDescent="0.15">
      <c r="A202" s="7" t="s">
        <v>51</v>
      </c>
      <c r="B202" s="7"/>
      <c r="C202" s="7"/>
      <c r="D202" s="71">
        <f>'Cost Input'!I81</f>
        <v>36000</v>
      </c>
      <c r="E202" s="85">
        <f>'Cost Input'!J81</f>
        <v>0.7</v>
      </c>
      <c r="F202" s="71">
        <f t="shared" ref="F202:F204" si="45">$D202*F$201^$E202</f>
        <v>2395.7066221338887</v>
      </c>
    </row>
    <row r="203" spans="1:6" x14ac:dyDescent="0.15">
      <c r="A203" s="7" t="s">
        <v>53</v>
      </c>
      <c r="B203" s="7"/>
      <c r="C203" s="7"/>
      <c r="D203" s="85">
        <f>'Cost Input'!I82</f>
        <v>4</v>
      </c>
      <c r="E203" s="85">
        <f>'Cost Input'!J82</f>
        <v>0.8</v>
      </c>
      <c r="F203" s="85">
        <f t="shared" si="45"/>
        <v>0.18074529459713207</v>
      </c>
    </row>
    <row r="204" spans="1:6" x14ac:dyDescent="0.15">
      <c r="A204" s="7" t="s">
        <v>54</v>
      </c>
      <c r="B204" s="7"/>
      <c r="C204" s="7"/>
      <c r="D204" s="71">
        <f>'Cost Input'!I83</f>
        <v>600</v>
      </c>
      <c r="E204" s="85">
        <f>'Cost Input'!J83</f>
        <v>0.8</v>
      </c>
      <c r="F204" s="71">
        <f t="shared" si="45"/>
        <v>27.11179418956981</v>
      </c>
    </row>
    <row r="205" spans="1:6" x14ac:dyDescent="0.15">
      <c r="A205" s="7" t="s">
        <v>218</v>
      </c>
      <c r="B205" s="7"/>
      <c r="C205" s="7"/>
      <c r="D205" s="71"/>
      <c r="E205" s="85"/>
      <c r="F205" s="66"/>
    </row>
    <row r="206" spans="1:6" x14ac:dyDescent="0.15">
      <c r="A206" s="7" t="s">
        <v>224</v>
      </c>
      <c r="B206" s="7"/>
      <c r="C206" s="7"/>
      <c r="D206" s="71"/>
      <c r="E206" s="85"/>
      <c r="F206" s="86">
        <f t="shared" ref="F206" si="46">F201</f>
        <v>2.083333324652778E-2</v>
      </c>
    </row>
    <row r="207" spans="1:6" x14ac:dyDescent="0.15">
      <c r="A207" s="7" t="s">
        <v>51</v>
      </c>
      <c r="B207" s="7"/>
      <c r="C207" s="7"/>
      <c r="D207" s="71">
        <f>'Cost Input'!I86</f>
        <v>21600</v>
      </c>
      <c r="E207" s="85">
        <f>'Cost Input'!J86</f>
        <v>0.5</v>
      </c>
      <c r="F207" s="71">
        <f t="shared" ref="F207:F209" si="47">$D207*F$206^$E207</f>
        <v>3117.6914471287892</v>
      </c>
    </row>
    <row r="208" spans="1:6" x14ac:dyDescent="0.15">
      <c r="A208" s="7" t="s">
        <v>53</v>
      </c>
      <c r="B208" s="7"/>
      <c r="C208" s="7"/>
      <c r="D208" s="85">
        <f>'Cost Input'!I87</f>
        <v>3</v>
      </c>
      <c r="E208" s="85">
        <f>'Cost Input'!J87</f>
        <v>0.7</v>
      </c>
      <c r="F208" s="85">
        <f t="shared" si="47"/>
        <v>0.19964221851115738</v>
      </c>
    </row>
    <row r="209" spans="1:6" x14ac:dyDescent="0.15">
      <c r="A209" s="7" t="s">
        <v>54</v>
      </c>
      <c r="B209" s="7"/>
      <c r="C209" s="7"/>
      <c r="D209" s="71">
        <f>'Cost Input'!I88</f>
        <v>600</v>
      </c>
      <c r="E209" s="85">
        <f>'Cost Input'!J88</f>
        <v>0.6</v>
      </c>
      <c r="F209" s="71">
        <f t="shared" si="47"/>
        <v>58.803950979223799</v>
      </c>
    </row>
    <row r="210" spans="1:6" x14ac:dyDescent="0.15">
      <c r="A210" s="7" t="s">
        <v>119</v>
      </c>
      <c r="B210" s="7"/>
      <c r="C210" s="7"/>
      <c r="D210" s="71"/>
      <c r="E210" s="85"/>
      <c r="F210" s="66"/>
    </row>
    <row r="211" spans="1:6" x14ac:dyDescent="0.15">
      <c r="A211" s="7" t="s">
        <v>224</v>
      </c>
      <c r="B211" s="7"/>
      <c r="C211" s="7"/>
      <c r="D211" s="71"/>
      <c r="E211" s="85"/>
      <c r="F211" s="86">
        <f t="shared" ref="F211" si="48">F206</f>
        <v>2.083333324652778E-2</v>
      </c>
    </row>
    <row r="212" spans="1:6" x14ac:dyDescent="0.15">
      <c r="A212" s="7" t="s">
        <v>51</v>
      </c>
      <c r="B212" s="7"/>
      <c r="C212" s="7"/>
      <c r="D212" s="71">
        <f>'Cost Input'!I91</f>
        <v>36000</v>
      </c>
      <c r="E212" s="85">
        <f>'Cost Input'!J91</f>
        <v>0.5</v>
      </c>
      <c r="F212" s="71">
        <f t="shared" ref="F212:F214" si="49">$D212*F$211^$E212</f>
        <v>5196.1524118813149</v>
      </c>
    </row>
    <row r="213" spans="1:6" x14ac:dyDescent="0.15">
      <c r="A213" s="7" t="s">
        <v>53</v>
      </c>
      <c r="B213" s="7"/>
      <c r="C213" s="7"/>
      <c r="D213" s="85">
        <f>'Cost Input'!I92</f>
        <v>5</v>
      </c>
      <c r="E213" s="85">
        <f>'Cost Input'!J92</f>
        <v>0.7</v>
      </c>
      <c r="F213" s="85">
        <f t="shared" si="49"/>
        <v>0.33273703085192896</v>
      </c>
    </row>
    <row r="214" spans="1:6" x14ac:dyDescent="0.15">
      <c r="A214" s="7" t="s">
        <v>54</v>
      </c>
      <c r="B214" s="7"/>
      <c r="C214" s="7"/>
      <c r="D214" s="71">
        <f>'Cost Input'!I93</f>
        <v>900</v>
      </c>
      <c r="E214" s="85">
        <f>'Cost Input'!J93</f>
        <v>0.6</v>
      </c>
      <c r="F214" s="71">
        <f t="shared" si="49"/>
        <v>88.205926468835699</v>
      </c>
    </row>
    <row r="215" spans="1:6" x14ac:dyDescent="0.15">
      <c r="A215" s="7" t="s">
        <v>293</v>
      </c>
      <c r="B215" s="7"/>
      <c r="C215" s="7"/>
      <c r="D215" s="71"/>
      <c r="E215" s="85"/>
      <c r="F215" s="71"/>
    </row>
    <row r="216" spans="1:6" x14ac:dyDescent="0.15">
      <c r="A216" s="7" t="s">
        <v>224</v>
      </c>
      <c r="B216" s="7"/>
      <c r="C216" s="7"/>
      <c r="D216" s="71"/>
      <c r="E216" s="85"/>
      <c r="F216" s="86">
        <f ca="1">F13/'Cost Input'!$J27</f>
        <v>8.9242299101318992E-2</v>
      </c>
    </row>
    <row r="217" spans="1:6" x14ac:dyDescent="0.15">
      <c r="A217" s="7" t="s">
        <v>51</v>
      </c>
      <c r="B217" s="7"/>
      <c r="C217" s="7"/>
      <c r="D217" s="71">
        <f>'Cost Input'!I96</f>
        <v>14400</v>
      </c>
      <c r="E217" s="85">
        <f>'Cost Input'!J96</f>
        <v>0.4</v>
      </c>
      <c r="F217" s="71">
        <f t="shared" ref="F217:F219" ca="1" si="50">$D217*F$216^$E217</f>
        <v>5477.6060204749256</v>
      </c>
    </row>
    <row r="218" spans="1:6" x14ac:dyDescent="0.15">
      <c r="A218" s="7" t="s">
        <v>53</v>
      </c>
      <c r="B218" s="7"/>
      <c r="C218" s="7"/>
      <c r="D218" s="71">
        <f>'Cost Input'!I97</f>
        <v>20</v>
      </c>
      <c r="E218" s="85">
        <f>'Cost Input'!J97</f>
        <v>0.6</v>
      </c>
      <c r="F218" s="85">
        <f t="shared" ca="1" si="50"/>
        <v>4.6921560340609245</v>
      </c>
    </row>
    <row r="219" spans="1:6" x14ac:dyDescent="0.15">
      <c r="A219" s="7" t="s">
        <v>54</v>
      </c>
      <c r="B219" s="7"/>
      <c r="C219" s="7"/>
      <c r="D219" s="71">
        <f>'Cost Input'!I98</f>
        <v>100</v>
      </c>
      <c r="E219" s="85">
        <f>'Cost Input'!J98</f>
        <v>0.4</v>
      </c>
      <c r="F219" s="71">
        <f t="shared" ca="1" si="50"/>
        <v>38.038930697742543</v>
      </c>
    </row>
    <row r="220" spans="1:6" x14ac:dyDescent="0.15">
      <c r="A220" s="5" t="s">
        <v>120</v>
      </c>
      <c r="B220" s="5"/>
      <c r="C220" s="5"/>
      <c r="D220" s="71"/>
      <c r="E220" s="85"/>
      <c r="F220" s="66"/>
    </row>
    <row r="221" spans="1:6" x14ac:dyDescent="0.15">
      <c r="A221" s="7" t="s">
        <v>224</v>
      </c>
      <c r="B221" s="7"/>
      <c r="C221" s="7"/>
      <c r="D221" s="71"/>
      <c r="E221" s="85"/>
      <c r="F221" s="86">
        <f t="shared" ref="F221" si="51">F211</f>
        <v>2.083333324652778E-2</v>
      </c>
    </row>
    <row r="222" spans="1:6" x14ac:dyDescent="0.15">
      <c r="A222" s="7" t="s">
        <v>219</v>
      </c>
      <c r="B222" s="7"/>
      <c r="C222" s="7"/>
      <c r="D222" s="71">
        <f>'Cost Input'!I101</f>
        <v>40</v>
      </c>
      <c r="E222" s="85">
        <f>'Cost Input'!J101</f>
        <v>0.3</v>
      </c>
      <c r="F222" s="85">
        <f ca="1">'Battery Design'!F77</f>
        <v>34894.480897858928</v>
      </c>
    </row>
    <row r="223" spans="1:6" x14ac:dyDescent="0.15">
      <c r="A223" s="7" t="s">
        <v>51</v>
      </c>
      <c r="B223" s="7"/>
      <c r="C223" s="7"/>
      <c r="D223" s="71">
        <f>'Cost Input'!I102</f>
        <v>57600</v>
      </c>
      <c r="E223" s="85">
        <f>'Cost Input'!J102</f>
        <v>0.7</v>
      </c>
      <c r="F223" s="71">
        <f t="shared" ref="F223" si="52">$D223*F$221^$E223</f>
        <v>3833.1305954142217</v>
      </c>
    </row>
    <row r="224" spans="1:6" x14ac:dyDescent="0.15">
      <c r="A224" s="7" t="s">
        <v>53</v>
      </c>
      <c r="B224" s="7"/>
      <c r="C224" s="7"/>
      <c r="D224" s="71">
        <f>'Cost Input'!I103</f>
        <v>30</v>
      </c>
      <c r="E224" s="85">
        <f>'Cost Input'!J103</f>
        <v>0.8</v>
      </c>
      <c r="F224" s="85">
        <f t="shared" ref="F224" ca="1" si="53">$D224*F$221^$E224*(F222/$D222)^$E222</f>
        <v>10.335637966181526</v>
      </c>
    </row>
    <row r="225" spans="1:6" x14ac:dyDescent="0.15">
      <c r="A225" s="7" t="s">
        <v>54</v>
      </c>
      <c r="B225" s="7"/>
      <c r="C225" s="7"/>
      <c r="D225" s="71">
        <f>'Cost Input'!I104</f>
        <v>2200</v>
      </c>
      <c r="E225" s="85">
        <f>'Cost Input'!J104</f>
        <v>0.8</v>
      </c>
      <c r="F225" s="85">
        <f t="shared" ref="F225" ca="1" si="54">$D225*F$221^$E225*(F222/$D222)^$E222</f>
        <v>757.94678418664523</v>
      </c>
    </row>
    <row r="226" spans="1:6" x14ac:dyDescent="0.15">
      <c r="A226" s="5" t="s">
        <v>436</v>
      </c>
      <c r="B226" s="7"/>
      <c r="C226" s="7"/>
      <c r="D226" s="71"/>
      <c r="E226" s="85"/>
      <c r="F226" s="85"/>
    </row>
    <row r="227" spans="1:6" x14ac:dyDescent="0.15">
      <c r="A227" s="7" t="s">
        <v>224</v>
      </c>
      <c r="B227" s="7"/>
      <c r="C227" s="7"/>
      <c r="D227" s="71"/>
      <c r="E227" s="85"/>
      <c r="F227" s="86">
        <f t="shared" ref="F227" si="55">F221</f>
        <v>2.083333324652778E-2</v>
      </c>
    </row>
    <row r="228" spans="1:6" x14ac:dyDescent="0.15">
      <c r="A228" s="7" t="s">
        <v>51</v>
      </c>
      <c r="B228" s="7"/>
      <c r="C228" s="7"/>
      <c r="D228" s="71">
        <f>'Cost Input'!I107</f>
        <v>14400</v>
      </c>
      <c r="E228" s="85">
        <f>'Cost Input'!J107</f>
        <v>0.5</v>
      </c>
      <c r="F228" s="71">
        <f t="shared" ref="F228:F230" si="56">$D228*F$227^$E228</f>
        <v>2078.4609647525258</v>
      </c>
    </row>
    <row r="229" spans="1:6" x14ac:dyDescent="0.15">
      <c r="A229" s="7" t="s">
        <v>53</v>
      </c>
      <c r="B229" s="7"/>
      <c r="C229" s="7"/>
      <c r="D229" s="85">
        <f>'Cost Input'!I108</f>
        <v>2</v>
      </c>
      <c r="E229" s="85">
        <f>'Cost Input'!J108</f>
        <v>0.7</v>
      </c>
      <c r="F229" s="85">
        <f t="shared" si="56"/>
        <v>0.13309481234077158</v>
      </c>
    </row>
    <row r="230" spans="1:6" x14ac:dyDescent="0.15">
      <c r="A230" s="7" t="s">
        <v>54</v>
      </c>
      <c r="B230" s="7"/>
      <c r="C230" s="7"/>
      <c r="D230" s="71">
        <f>'Cost Input'!I109</f>
        <v>450</v>
      </c>
      <c r="E230" s="85">
        <f>'Cost Input'!J109</f>
        <v>0.6</v>
      </c>
      <c r="F230" s="71">
        <f t="shared" si="56"/>
        <v>44.102963234417849</v>
      </c>
    </row>
    <row r="231" spans="1:6" x14ac:dyDescent="0.15">
      <c r="A231" s="5" t="s">
        <v>456</v>
      </c>
      <c r="B231" s="7"/>
      <c r="C231" s="7"/>
      <c r="D231" s="71"/>
      <c r="E231" s="85"/>
      <c r="F231" s="85"/>
    </row>
    <row r="232" spans="1:6" x14ac:dyDescent="0.15">
      <c r="A232" s="7" t="s">
        <v>224</v>
      </c>
      <c r="B232" s="7"/>
      <c r="C232" s="7"/>
      <c r="D232" s="71"/>
      <c r="E232" s="85"/>
      <c r="F232" s="86">
        <f t="shared" ref="F232" si="57">F227</f>
        <v>2.083333324652778E-2</v>
      </c>
    </row>
    <row r="233" spans="1:6" x14ac:dyDescent="0.15">
      <c r="A233" s="7" t="s">
        <v>51</v>
      </c>
      <c r="B233" s="7"/>
      <c r="C233" s="7"/>
      <c r="D233" s="71">
        <f>'Cost Input'!I112</f>
        <v>21600</v>
      </c>
      <c r="E233" s="85">
        <f>'Cost Input'!J112</f>
        <v>0.4</v>
      </c>
      <c r="F233" s="71">
        <f t="shared" ref="F233:F235" si="58">$D233*F$232^$E233</f>
        <v>4591.5281946002997</v>
      </c>
    </row>
    <row r="234" spans="1:6" x14ac:dyDescent="0.15">
      <c r="A234" s="7" t="s">
        <v>53</v>
      </c>
      <c r="B234" s="7"/>
      <c r="C234" s="7"/>
      <c r="D234" s="183">
        <f>'Cost Input'!I113</f>
        <v>4.75</v>
      </c>
      <c r="E234" s="85">
        <f>'Cost Input'!J113</f>
        <v>0.7</v>
      </c>
      <c r="F234" s="183">
        <f t="shared" si="58"/>
        <v>0.31610017930933254</v>
      </c>
    </row>
    <row r="235" spans="1:6" x14ac:dyDescent="0.15">
      <c r="A235" s="7" t="s">
        <v>54</v>
      </c>
      <c r="B235" s="7"/>
      <c r="C235" s="7"/>
      <c r="D235" s="71">
        <f>'Cost Input'!I114</f>
        <v>900</v>
      </c>
      <c r="E235" s="85">
        <f>'Cost Input'!J114</f>
        <v>0.6</v>
      </c>
      <c r="F235" s="71">
        <f t="shared" si="58"/>
        <v>88.205926468835699</v>
      </c>
    </row>
    <row r="236" spans="1:6" x14ac:dyDescent="0.15">
      <c r="A236" s="5" t="s">
        <v>121</v>
      </c>
      <c r="B236" s="5"/>
      <c r="C236" s="5"/>
      <c r="D236" s="71"/>
      <c r="E236" s="85"/>
      <c r="F236" s="66"/>
    </row>
    <row r="237" spans="1:6" x14ac:dyDescent="0.15">
      <c r="A237" s="7" t="s">
        <v>224</v>
      </c>
      <c r="B237" s="7"/>
      <c r="C237" s="7"/>
      <c r="D237" s="71"/>
      <c r="E237" s="85"/>
      <c r="F237" s="88">
        <f t="shared" ref="F237" si="59">F221</f>
        <v>2.083333324652778E-2</v>
      </c>
    </row>
    <row r="238" spans="1:6" x14ac:dyDescent="0.15">
      <c r="A238" s="7" t="s">
        <v>51</v>
      </c>
      <c r="B238" s="7"/>
      <c r="C238" s="7"/>
      <c r="D238" s="71">
        <f>'Cost Input'!I117</f>
        <v>43200</v>
      </c>
      <c r="E238" s="85">
        <f>'Cost Input'!J117</f>
        <v>0.5</v>
      </c>
      <c r="F238" s="71">
        <f t="shared" ref="F238:F240" si="60">$D238*F$237^$E238</f>
        <v>6235.3828942575783</v>
      </c>
    </row>
    <row r="239" spans="1:6" x14ac:dyDescent="0.15">
      <c r="A239" s="7" t="s">
        <v>53</v>
      </c>
      <c r="B239" s="7"/>
      <c r="C239" s="7"/>
      <c r="D239" s="85">
        <f>'Cost Input'!I118</f>
        <v>6</v>
      </c>
      <c r="E239" s="85">
        <f>'Cost Input'!J118</f>
        <v>0.7</v>
      </c>
      <c r="F239" s="85">
        <f t="shared" si="60"/>
        <v>0.39928443702231475</v>
      </c>
    </row>
    <row r="240" spans="1:6" x14ac:dyDescent="0.15">
      <c r="A240" s="7" t="s">
        <v>54</v>
      </c>
      <c r="B240" s="7"/>
      <c r="C240" s="7"/>
      <c r="D240" s="71">
        <f>'Cost Input'!I119</f>
        <v>600</v>
      </c>
      <c r="E240" s="85">
        <f>'Cost Input'!J119</f>
        <v>0.6</v>
      </c>
      <c r="F240" s="71">
        <f t="shared" si="60"/>
        <v>58.803950979223799</v>
      </c>
    </row>
    <row r="241" spans="1:6" x14ac:dyDescent="0.15">
      <c r="A241" s="35" t="s">
        <v>343</v>
      </c>
      <c r="B241" s="5"/>
      <c r="C241" s="5"/>
      <c r="D241" s="71"/>
      <c r="E241" s="85"/>
      <c r="F241" s="66"/>
    </row>
    <row r="242" spans="1:6" x14ac:dyDescent="0.15">
      <c r="A242" s="7" t="s">
        <v>224</v>
      </c>
      <c r="B242" s="7"/>
      <c r="C242" s="7"/>
      <c r="D242" s="71"/>
      <c r="E242" s="85"/>
      <c r="F242" s="88">
        <f t="shared" ref="F242" si="61">F237</f>
        <v>2.083333324652778E-2</v>
      </c>
    </row>
    <row r="243" spans="1:6" x14ac:dyDescent="0.15">
      <c r="A243" s="7" t="s">
        <v>387</v>
      </c>
      <c r="B243" s="7"/>
      <c r="C243" s="7"/>
      <c r="D243" s="71">
        <f>'Cost Input'!I122</f>
        <v>4</v>
      </c>
      <c r="E243" s="85">
        <f>'Cost Input'!J122</f>
        <v>0.3</v>
      </c>
      <c r="F243" s="72">
        <f>'Battery Design'!F62</f>
        <v>1</v>
      </c>
    </row>
    <row r="244" spans="1:6" x14ac:dyDescent="0.15">
      <c r="A244" s="7" t="s">
        <v>51</v>
      </c>
      <c r="B244" s="7"/>
      <c r="C244" s="7"/>
      <c r="D244" s="71">
        <f>'Cost Input'!I123</f>
        <v>43200</v>
      </c>
      <c r="E244" s="85">
        <f>'Cost Input'!J123</f>
        <v>0.5</v>
      </c>
      <c r="F244" s="71">
        <f t="shared" ref="F244" si="62">$D244*F$242^$E244</f>
        <v>6235.3828942575783</v>
      </c>
    </row>
    <row r="245" spans="1:6" x14ac:dyDescent="0.15">
      <c r="A245" s="7" t="s">
        <v>53</v>
      </c>
      <c r="B245" s="7"/>
      <c r="C245" s="7"/>
      <c r="D245" s="85">
        <f>'Cost Input'!I124</f>
        <v>6</v>
      </c>
      <c r="E245" s="85">
        <f>'Cost Input'!J124</f>
        <v>0.7</v>
      </c>
      <c r="F245" s="85">
        <f t="shared" ref="F245" si="63">$D245*F$242^$E245*(F243/$D243)^$E243</f>
        <v>0.26342948664972288</v>
      </c>
    </row>
    <row r="246" spans="1:6" x14ac:dyDescent="0.15">
      <c r="A246" s="7" t="s">
        <v>54</v>
      </c>
      <c r="B246" s="7"/>
      <c r="C246" s="7"/>
      <c r="D246" s="71">
        <f>'Cost Input'!I125</f>
        <v>900</v>
      </c>
      <c r="E246" s="85">
        <f>'Cost Input'!J125</f>
        <v>0.6</v>
      </c>
      <c r="F246" s="71">
        <f t="shared" ref="F246" si="64">$D246*F$242^$E246</f>
        <v>88.205926468835699</v>
      </c>
    </row>
    <row r="247" spans="1:6" x14ac:dyDescent="0.15">
      <c r="A247" s="5" t="s">
        <v>122</v>
      </c>
      <c r="B247" s="5"/>
      <c r="C247" s="5"/>
      <c r="D247" s="71"/>
      <c r="E247" s="85"/>
    </row>
    <row r="248" spans="1:6" x14ac:dyDescent="0.15">
      <c r="A248" s="7" t="s">
        <v>224</v>
      </c>
      <c r="B248" s="7"/>
      <c r="C248" s="7"/>
      <c r="D248" s="71"/>
      <c r="E248" s="85"/>
      <c r="F248" s="54">
        <f>(1-'Cost Input'!$E4/100)/'Cost Input'!$E4*100*F8/(100-'Cost Input'!$E4)*'Cost Input'!$E4/'Cost Input'!$J21</f>
        <v>2.0833333246527794E-2</v>
      </c>
    </row>
    <row r="249" spans="1:6" x14ac:dyDescent="0.15">
      <c r="A249" s="7" t="s">
        <v>51</v>
      </c>
      <c r="B249" s="7"/>
      <c r="C249" s="7"/>
      <c r="D249" s="71">
        <f>'Cost Input'!I128</f>
        <v>36000</v>
      </c>
      <c r="E249" s="85">
        <f>'Cost Input'!J128</f>
        <v>0.7</v>
      </c>
      <c r="F249" s="71">
        <f t="shared" ref="F249:F251" si="65">$D249*F$248^$E249</f>
        <v>2395.7066221338896</v>
      </c>
    </row>
    <row r="250" spans="1:6" x14ac:dyDescent="0.15">
      <c r="A250" s="7" t="s">
        <v>53</v>
      </c>
      <c r="B250" s="7"/>
      <c r="C250" s="7"/>
      <c r="D250" s="85">
        <f>'Cost Input'!I129</f>
        <v>2.5</v>
      </c>
      <c r="E250" s="85">
        <f>'Cost Input'!J129</f>
        <v>0.7</v>
      </c>
      <c r="F250" s="85">
        <f t="shared" si="65"/>
        <v>0.16636851542596454</v>
      </c>
    </row>
    <row r="251" spans="1:6" x14ac:dyDescent="0.15">
      <c r="A251" s="7" t="s">
        <v>54</v>
      </c>
      <c r="B251" s="7"/>
      <c r="C251" s="7"/>
      <c r="D251" s="71">
        <f>'Cost Input'!I130</f>
        <v>600</v>
      </c>
      <c r="E251" s="85">
        <f>'Cost Input'!J130</f>
        <v>0.6</v>
      </c>
      <c r="F251" s="71">
        <f t="shared" si="65"/>
        <v>58.803950979223835</v>
      </c>
    </row>
    <row r="252" spans="1:6" x14ac:dyDescent="0.15">
      <c r="A252" s="5" t="s">
        <v>123</v>
      </c>
      <c r="B252" s="5"/>
      <c r="C252" s="5"/>
      <c r="D252" s="71"/>
      <c r="E252" s="85"/>
      <c r="F252" s="54"/>
    </row>
    <row r="253" spans="1:6" x14ac:dyDescent="0.15">
      <c r="A253" s="7" t="s">
        <v>224</v>
      </c>
      <c r="B253" s="7"/>
      <c r="C253" s="7"/>
      <c r="D253" s="71"/>
      <c r="E253" s="85"/>
      <c r="F253" s="54">
        <f t="shared" ref="F253" si="66">F128</f>
        <v>1.8333333333333333</v>
      </c>
    </row>
    <row r="254" spans="1:6" x14ac:dyDescent="0.15">
      <c r="A254" s="7" t="s">
        <v>51</v>
      </c>
      <c r="B254" s="7"/>
      <c r="C254" s="7"/>
      <c r="D254" s="71">
        <f>'Cost Input'!I133</f>
        <v>28800</v>
      </c>
      <c r="E254" s="85">
        <f>'Cost Input'!J133</f>
        <v>0.5</v>
      </c>
      <c r="F254" s="71">
        <f t="shared" ref="F254:F256" si="67">$D254*F$253^$E254</f>
        <v>38995.384342252604</v>
      </c>
    </row>
    <row r="255" spans="1:6" x14ac:dyDescent="0.15">
      <c r="A255" s="7" t="s">
        <v>53</v>
      </c>
      <c r="B255" s="7"/>
      <c r="C255" s="7"/>
      <c r="D255" s="85">
        <f>'Cost Input'!I134</f>
        <v>5</v>
      </c>
      <c r="E255" s="85">
        <f>'Cost Input'!J134</f>
        <v>0.7</v>
      </c>
      <c r="F255" s="85">
        <f t="shared" si="67"/>
        <v>7.6425626699069085</v>
      </c>
    </row>
    <row r="256" spans="1:6" x14ac:dyDescent="0.15">
      <c r="A256" s="7" t="s">
        <v>54</v>
      </c>
      <c r="B256" s="7"/>
      <c r="C256" s="7"/>
      <c r="D256" s="71">
        <f>'Cost Input'!I135</f>
        <v>900</v>
      </c>
      <c r="E256" s="85">
        <f>'Cost Input'!J135</f>
        <v>0.6</v>
      </c>
      <c r="F256" s="71">
        <f t="shared" si="67"/>
        <v>1294.7543246826183</v>
      </c>
    </row>
    <row r="257" spans="1:6" x14ac:dyDescent="0.15">
      <c r="A257" s="5" t="s">
        <v>344</v>
      </c>
    </row>
    <row r="258" spans="1:6" x14ac:dyDescent="0.15">
      <c r="A258" s="7" t="s">
        <v>51</v>
      </c>
      <c r="F258" s="93">
        <f t="shared" ref="F258:F260" ca="1" si="68">F129+F136+F141+F148+F154+F159+F165+F170+F175+F180+F185+F190+F197+F202+F207+F212+F217+F223+F228+F233+F238+F244+F249+F254</f>
        <v>230743.34780481996</v>
      </c>
    </row>
    <row r="259" spans="1:6" x14ac:dyDescent="0.15">
      <c r="A259" s="7" t="s">
        <v>53</v>
      </c>
      <c r="D259" s="39"/>
      <c r="F259" s="39">
        <f t="shared" ca="1" si="68"/>
        <v>44.857823890538953</v>
      </c>
    </row>
    <row r="260" spans="1:6" x14ac:dyDescent="0.15">
      <c r="A260" s="7" t="s">
        <v>54</v>
      </c>
      <c r="F260" s="93">
        <f t="shared" ca="1" si="68"/>
        <v>6372.7961678315678</v>
      </c>
    </row>
    <row r="262" spans="1:6" x14ac:dyDescent="0.15">
      <c r="A262" s="5" t="s">
        <v>348</v>
      </c>
    </row>
    <row r="263" spans="1:6" x14ac:dyDescent="0.15">
      <c r="A263" s="7" t="s">
        <v>51</v>
      </c>
      <c r="F263" s="125">
        <f t="shared" ref="F263" ca="1" si="69">F258-2/3*F244</f>
        <v>226586.42587531492</v>
      </c>
    </row>
    <row r="264" spans="1:6" x14ac:dyDescent="0.15">
      <c r="A264" s="7" t="s">
        <v>53</v>
      </c>
      <c r="D264" s="129"/>
      <c r="F264" s="129">
        <f t="shared" ref="F264:F265" ca="1" si="70">F259-0.5*F245</f>
        <v>44.726109147214089</v>
      </c>
    </row>
    <row r="265" spans="1:6" x14ac:dyDescent="0.15">
      <c r="A265" s="7" t="s">
        <v>54</v>
      </c>
      <c r="F265" s="125">
        <f t="shared" ca="1" si="70"/>
        <v>6328.6932045971498</v>
      </c>
    </row>
  </sheetData>
  <mergeCells count="2">
    <mergeCell ref="A1:F1"/>
    <mergeCell ref="A2:F2"/>
  </mergeCells>
  <phoneticPr fontId="6" type="noConversion"/>
  <pageMargins left="0.5" right="0.5" top="0.5" bottom="0.5" header="0.5" footer="0.5"/>
  <pageSetup orientation="portrait" horizontalDpi="4294967292" verticalDpi="4294967292"/>
  <headerFooter alignWithMargins="0">
    <oddFooter>&amp;C &amp;P&amp;R&amp;F, &amp;D</oddFooter>
  </headerFooter>
  <rowBreaks count="7" manualBreakCount="7">
    <brk id="31" max="11" man="1"/>
    <brk id="51" max="11" man="1"/>
    <brk id="88" max="11" man="1"/>
    <brk id="123" max="11" man="1"/>
    <brk id="161" max="11" man="1"/>
    <brk id="192" max="11" man="1"/>
    <brk id="225" max="11" man="1"/>
  </rowBreaks>
  <drawing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S141"/>
  <sheetViews>
    <sheetView workbookViewId="0">
      <selection activeCell="K46" sqref="K46"/>
    </sheetView>
  </sheetViews>
  <sheetFormatPr baseColWidth="10" defaultColWidth="8.83203125" defaultRowHeight="13" x14ac:dyDescent="0.15"/>
  <cols>
    <col min="6" max="15" width="9.33203125" customWidth="1"/>
  </cols>
  <sheetData>
    <row r="1" spans="1:16" ht="16" x14ac:dyDescent="0.2">
      <c r="A1" s="482" t="s">
        <v>545</v>
      </c>
      <c r="B1" s="482"/>
      <c r="C1" s="482"/>
      <c r="D1" s="482"/>
      <c r="E1" s="482"/>
      <c r="F1" s="482"/>
      <c r="G1" s="468"/>
      <c r="H1" s="468"/>
      <c r="I1" s="468"/>
      <c r="J1" s="468"/>
      <c r="K1" s="468"/>
      <c r="L1" s="468"/>
    </row>
    <row r="2" spans="1:16" ht="16" x14ac:dyDescent="0.2">
      <c r="A2" s="484" t="str">
        <f>'Battery Design'!A2:L2</f>
        <v>Fe/O2 open architecture system</v>
      </c>
      <c r="B2" s="484"/>
      <c r="C2" s="484"/>
      <c r="D2" s="484"/>
      <c r="E2" s="484"/>
      <c r="F2" s="484"/>
      <c r="G2" s="469"/>
      <c r="H2" s="469"/>
      <c r="I2" s="469"/>
      <c r="J2" s="469"/>
      <c r="K2" s="469"/>
      <c r="L2" s="469"/>
    </row>
    <row r="3" spans="1:16" x14ac:dyDescent="0.15">
      <c r="A3" s="55"/>
      <c r="B3" s="55"/>
      <c r="C3" s="55"/>
      <c r="D3" s="55"/>
      <c r="E3" s="55"/>
      <c r="F3" s="286" t="s">
        <v>106</v>
      </c>
      <c r="G3" s="470"/>
      <c r="H3" s="470"/>
      <c r="I3" s="470"/>
      <c r="J3" s="470"/>
      <c r="K3" s="470"/>
      <c r="L3" s="470"/>
      <c r="M3" s="470"/>
      <c r="N3" s="470"/>
      <c r="O3" s="470"/>
      <c r="P3" s="470"/>
    </row>
    <row r="4" spans="1:16" ht="16" x14ac:dyDescent="0.2">
      <c r="A4" s="18" t="s">
        <v>20</v>
      </c>
      <c r="B4" s="58"/>
      <c r="C4" s="58"/>
      <c r="D4" s="58"/>
      <c r="E4" s="58"/>
      <c r="F4" s="59"/>
      <c r="G4" s="470"/>
      <c r="H4" s="470"/>
      <c r="I4" s="470"/>
      <c r="J4" s="470"/>
      <c r="K4" s="470"/>
      <c r="L4" s="470"/>
      <c r="M4" s="470"/>
      <c r="N4" s="470"/>
      <c r="O4" s="470"/>
      <c r="P4" s="470"/>
    </row>
    <row r="5" spans="1:16" x14ac:dyDescent="0.15">
      <c r="A5" t="s">
        <v>183</v>
      </c>
      <c r="B5" s="58"/>
      <c r="C5" s="58"/>
      <c r="D5" s="58"/>
      <c r="E5" s="58"/>
      <c r="F5" s="27" t="e">
        <f ca="1">'Summary of Results'!F5</f>
        <v>#DIV/0!</v>
      </c>
      <c r="G5" s="470" t="s">
        <v>885</v>
      </c>
      <c r="H5" s="470"/>
      <c r="I5" s="470"/>
      <c r="J5" s="470"/>
      <c r="K5" s="470"/>
      <c r="L5" s="470"/>
      <c r="M5" s="470"/>
      <c r="N5" s="470"/>
      <c r="O5" s="470"/>
      <c r="P5" s="470"/>
    </row>
    <row r="6" spans="1:16" x14ac:dyDescent="0.15">
      <c r="A6" s="240" t="s">
        <v>461</v>
      </c>
      <c r="B6" s="58"/>
      <c r="C6" s="58"/>
      <c r="D6" s="58"/>
      <c r="E6" s="58"/>
      <c r="F6" s="27">
        <f>'Summary of Results'!F6</f>
        <v>1</v>
      </c>
      <c r="G6" s="470"/>
      <c r="H6" s="470"/>
      <c r="I6" s="470"/>
      <c r="J6" s="470"/>
      <c r="K6" s="470"/>
      <c r="L6" s="470"/>
      <c r="M6" s="470"/>
      <c r="N6" s="470"/>
      <c r="O6" s="470"/>
      <c r="P6" s="470"/>
    </row>
    <row r="7" spans="1:16" x14ac:dyDescent="0.15">
      <c r="A7" s="240" t="s">
        <v>491</v>
      </c>
      <c r="B7" s="58"/>
      <c r="C7" s="58"/>
      <c r="D7" s="58"/>
      <c r="E7" s="58"/>
      <c r="F7" s="27" t="str">
        <f>'Summary of Results'!F7</f>
        <v xml:space="preserve"> </v>
      </c>
      <c r="G7" s="470"/>
      <c r="H7" s="470"/>
      <c r="I7" s="470"/>
      <c r="J7" s="470"/>
      <c r="K7" s="470"/>
      <c r="L7" s="470"/>
      <c r="M7" s="470"/>
      <c r="N7" s="470"/>
      <c r="O7" s="470"/>
      <c r="P7" s="470"/>
    </row>
    <row r="8" spans="1:16" x14ac:dyDescent="0.15">
      <c r="A8" t="s">
        <v>511</v>
      </c>
      <c r="B8" s="58"/>
      <c r="C8" s="58"/>
      <c r="D8" s="58"/>
      <c r="E8" s="58"/>
      <c r="F8" s="27">
        <f>'Summary of Results'!F8</f>
        <v>5</v>
      </c>
      <c r="G8" s="470"/>
      <c r="H8" s="470"/>
      <c r="I8" s="470"/>
      <c r="J8" s="470"/>
      <c r="K8" s="470"/>
      <c r="L8" s="470"/>
      <c r="M8" s="470"/>
      <c r="N8" s="470"/>
      <c r="O8" s="470"/>
      <c r="P8" s="470"/>
    </row>
    <row r="9" spans="1:16" x14ac:dyDescent="0.15">
      <c r="A9" s="240" t="s">
        <v>661</v>
      </c>
      <c r="B9" s="58"/>
      <c r="C9" s="58"/>
      <c r="D9" s="58"/>
      <c r="E9" s="58"/>
      <c r="F9" s="4">
        <f>'Battery Design'!F62</f>
        <v>1</v>
      </c>
      <c r="G9" s="470"/>
      <c r="H9" s="470"/>
      <c r="I9" s="470"/>
      <c r="J9" s="470"/>
      <c r="K9" s="470"/>
      <c r="L9" s="470"/>
      <c r="M9" s="470"/>
      <c r="N9" s="470"/>
      <c r="O9" s="470"/>
      <c r="P9" s="470"/>
    </row>
    <row r="10" spans="1:16" x14ac:dyDescent="0.15">
      <c r="A10" s="240" t="s">
        <v>462</v>
      </c>
      <c r="B10" s="58"/>
      <c r="C10" s="58"/>
      <c r="D10" s="58"/>
      <c r="E10" s="58"/>
      <c r="F10" s="334">
        <f ca="1">'Summary of Results'!F9</f>
        <v>69.468343547171244</v>
      </c>
      <c r="G10" s="470"/>
      <c r="H10" s="470"/>
      <c r="I10" s="470"/>
      <c r="J10" s="470"/>
      <c r="K10" s="470"/>
      <c r="L10" s="470"/>
      <c r="M10" s="470"/>
      <c r="N10" s="470"/>
      <c r="O10" s="470"/>
      <c r="P10" s="470"/>
    </row>
    <row r="11" spans="1:16" x14ac:dyDescent="0.15">
      <c r="A11" s="240" t="s">
        <v>457</v>
      </c>
      <c r="B11" s="58"/>
      <c r="C11" s="58"/>
      <c r="D11" s="58"/>
      <c r="E11" s="58"/>
      <c r="F11" s="334">
        <f ca="1">'Summary of Results'!F10</f>
        <v>30086.772976387165</v>
      </c>
      <c r="G11" s="470"/>
      <c r="H11" s="470"/>
      <c r="I11" s="470"/>
      <c r="J11" s="470"/>
      <c r="K11" s="470"/>
      <c r="L11" s="470"/>
      <c r="M11" s="470"/>
      <c r="N11" s="470"/>
      <c r="O11" s="470"/>
      <c r="P11" s="470"/>
    </row>
    <row r="12" spans="1:16" x14ac:dyDescent="0.15">
      <c r="A12" s="240" t="s">
        <v>492</v>
      </c>
      <c r="B12" s="58"/>
      <c r="C12" s="58"/>
      <c r="D12" s="58"/>
      <c r="E12" s="58"/>
      <c r="F12" s="334">
        <f>'Summary of Results'!F15</f>
        <v>6.8000000000000007</v>
      </c>
      <c r="G12" s="470"/>
      <c r="H12" s="470"/>
      <c r="I12" s="470"/>
      <c r="J12" s="470"/>
      <c r="K12" s="470"/>
      <c r="L12" s="470"/>
      <c r="M12" s="470"/>
      <c r="N12" s="470"/>
      <c r="O12" s="470"/>
      <c r="P12" s="470"/>
    </row>
    <row r="13" spans="1:16" x14ac:dyDescent="0.15">
      <c r="A13" s="240" t="s">
        <v>463</v>
      </c>
      <c r="B13" s="58"/>
      <c r="C13" s="58"/>
      <c r="D13" s="58"/>
      <c r="E13" s="58"/>
      <c r="F13" s="334">
        <f ca="1">'Summary of Results'!F16</f>
        <v>1.0151299747430664</v>
      </c>
      <c r="G13" s="470"/>
      <c r="H13" s="470"/>
      <c r="I13" s="470"/>
      <c r="J13" s="470"/>
      <c r="K13" s="470"/>
      <c r="L13" s="470"/>
      <c r="M13" s="470"/>
      <c r="N13" s="470"/>
      <c r="O13" s="470"/>
      <c r="P13" s="470"/>
    </row>
    <row r="14" spans="1:16" x14ac:dyDescent="0.15">
      <c r="A14" s="255" t="s">
        <v>464</v>
      </c>
      <c r="B14" s="58"/>
      <c r="C14" s="58"/>
      <c r="D14" s="58"/>
      <c r="E14" s="58"/>
      <c r="F14" s="27">
        <f>'Summary of Results'!F17</f>
        <v>6.18</v>
      </c>
      <c r="G14" s="470"/>
      <c r="H14" s="470"/>
      <c r="I14" s="470"/>
      <c r="J14" s="470"/>
      <c r="K14" s="470"/>
      <c r="L14" s="470"/>
      <c r="M14" s="470"/>
      <c r="N14" s="470"/>
      <c r="O14" s="470"/>
      <c r="P14" s="470"/>
    </row>
    <row r="15" spans="1:16" x14ac:dyDescent="0.15">
      <c r="A15" s="148" t="s">
        <v>281</v>
      </c>
      <c r="B15" s="58"/>
      <c r="C15" s="58"/>
      <c r="D15" s="58"/>
      <c r="E15" s="58"/>
      <c r="F15" s="27">
        <f>'Summary of Results'!F18</f>
        <v>95</v>
      </c>
      <c r="G15" s="470"/>
      <c r="H15" s="470"/>
      <c r="I15" s="470"/>
      <c r="J15" s="470"/>
      <c r="K15" s="470"/>
      <c r="L15" s="470"/>
      <c r="M15" s="470"/>
      <c r="N15" s="470"/>
      <c r="O15" s="470"/>
      <c r="P15" s="470"/>
    </row>
    <row r="16" spans="1:16" x14ac:dyDescent="0.15">
      <c r="A16" s="106" t="s">
        <v>283</v>
      </c>
      <c r="B16" s="58"/>
      <c r="C16" s="58"/>
      <c r="D16" s="58"/>
      <c r="E16" s="58"/>
      <c r="F16" s="334">
        <f ca="1">'Summary of Results'!F19</f>
        <v>78.724444854021215</v>
      </c>
      <c r="G16" s="470"/>
      <c r="H16" s="470"/>
      <c r="I16" s="470"/>
      <c r="J16" s="470"/>
      <c r="K16" s="470"/>
      <c r="L16" s="470"/>
      <c r="M16" s="470"/>
      <c r="N16" s="470"/>
      <c r="O16" s="470"/>
      <c r="P16" s="470"/>
    </row>
    <row r="17" spans="1:16" x14ac:dyDescent="0.15">
      <c r="A17" s="240" t="s">
        <v>507</v>
      </c>
      <c r="B17" s="58"/>
      <c r="C17" s="58"/>
      <c r="D17" s="58"/>
      <c r="E17" s="58"/>
      <c r="F17" s="334">
        <f ca="1">'Summary of Results'!F20</f>
        <v>175.19593069135743</v>
      </c>
      <c r="G17" s="470"/>
      <c r="H17" s="470"/>
      <c r="I17" s="470"/>
      <c r="J17" s="470"/>
      <c r="K17" s="470"/>
      <c r="L17" s="470"/>
      <c r="M17" s="470"/>
      <c r="N17" s="470"/>
      <c r="O17" s="470"/>
      <c r="P17" s="470"/>
    </row>
    <row r="18" spans="1:16" x14ac:dyDescent="0.15">
      <c r="A18" s="240" t="s">
        <v>567</v>
      </c>
      <c r="B18" s="58"/>
      <c r="C18" s="58"/>
      <c r="D18" s="58"/>
      <c r="E18" s="58"/>
      <c r="F18" s="334">
        <f ca="1">'Summary of Results'!F21</f>
        <v>254.43942322471051</v>
      </c>
      <c r="G18" s="470"/>
      <c r="H18" s="470"/>
      <c r="I18" s="470"/>
      <c r="J18" s="470"/>
      <c r="K18" s="470"/>
      <c r="L18" s="470"/>
      <c r="M18" s="470"/>
      <c r="N18" s="470"/>
      <c r="O18" s="470"/>
      <c r="P18" s="470"/>
    </row>
    <row r="19" spans="1:16" x14ac:dyDescent="0.15">
      <c r="B19" s="58"/>
      <c r="C19" s="58"/>
      <c r="D19" s="58"/>
      <c r="E19" s="58"/>
      <c r="F19" s="334"/>
      <c r="G19" s="470"/>
      <c r="H19" s="470"/>
      <c r="I19" s="470"/>
      <c r="J19" s="470"/>
      <c r="K19" s="470"/>
      <c r="L19" s="470"/>
      <c r="M19" s="470"/>
      <c r="N19" s="470"/>
      <c r="O19" s="470"/>
      <c r="P19" s="470"/>
    </row>
    <row r="20" spans="1:16" ht="16" x14ac:dyDescent="0.2">
      <c r="A20" s="332" t="s">
        <v>539</v>
      </c>
      <c r="B20" s="250"/>
      <c r="C20" s="250"/>
      <c r="D20" s="250"/>
      <c r="E20" s="250"/>
      <c r="F20" s="250"/>
      <c r="G20" s="470"/>
      <c r="H20" s="470"/>
      <c r="I20" s="470"/>
      <c r="J20" s="470"/>
      <c r="K20" s="470"/>
      <c r="L20" s="470"/>
      <c r="M20" s="470"/>
      <c r="N20" s="470"/>
      <c r="O20" s="470"/>
      <c r="P20" s="470"/>
    </row>
    <row r="21" spans="1:16" x14ac:dyDescent="0.15">
      <c r="A21" s="7" t="s">
        <v>272</v>
      </c>
      <c r="D21" s="3"/>
      <c r="E21" s="3"/>
      <c r="F21" s="37">
        <f ca="1">F$8*'Manufacturing Cost Calculations'!F72</f>
        <v>0</v>
      </c>
      <c r="G21" s="488">
        <f ca="1">F21/'Battery Design'!$F$202</f>
        <v>0</v>
      </c>
      <c r="H21" s="470"/>
      <c r="I21" s="470"/>
      <c r="J21" s="470"/>
      <c r="K21" s="470"/>
      <c r="L21" s="470"/>
      <c r="M21" s="470"/>
      <c r="N21" s="470"/>
      <c r="O21" s="470"/>
      <c r="P21" s="470"/>
    </row>
    <row r="22" spans="1:16" x14ac:dyDescent="0.15">
      <c r="A22" s="7" t="s">
        <v>273</v>
      </c>
      <c r="D22" s="3"/>
      <c r="E22" s="3"/>
      <c r="F22" s="37">
        <f ca="1">F8*'Manufacturing Cost Calculations'!F77</f>
        <v>140.91410526921922</v>
      </c>
      <c r="G22" s="488">
        <f ca="1">F22/'Battery Design'!$F$202</f>
        <v>1.3659790295693504</v>
      </c>
      <c r="H22" s="470"/>
      <c r="I22" s="470"/>
      <c r="J22" s="470"/>
      <c r="K22" s="470"/>
      <c r="L22" s="470"/>
      <c r="M22" s="470"/>
      <c r="N22" s="470"/>
      <c r="O22" s="470"/>
      <c r="P22" s="470"/>
    </row>
    <row r="23" spans="1:16" x14ac:dyDescent="0.15">
      <c r="A23" s="7" t="s">
        <v>274</v>
      </c>
      <c r="D23" s="3"/>
      <c r="E23" s="3"/>
      <c r="F23" s="37">
        <f ca="1">F8*('Manufacturing Cost Calculations'!F73+'Manufacturing Cost Calculations'!F74+'Manufacturing Cost Calculations'!F75+'Manufacturing Cost Calculations'!F78+'Manufacturing Cost Calculations'!F79)</f>
        <v>79.803624940415915</v>
      </c>
      <c r="G23" s="488">
        <f ca="1">F23/'Battery Design'!$F$202</f>
        <v>0.77359238057794</v>
      </c>
      <c r="H23" s="470"/>
      <c r="I23" s="470"/>
      <c r="J23" s="470"/>
      <c r="K23" s="470"/>
      <c r="L23" s="470"/>
      <c r="M23" s="470"/>
      <c r="N23" s="470"/>
      <c r="O23" s="470"/>
      <c r="P23" s="470"/>
    </row>
    <row r="24" spans="1:16" x14ac:dyDescent="0.15">
      <c r="A24" s="7" t="s">
        <v>275</v>
      </c>
      <c r="D24" s="3"/>
      <c r="E24" s="3"/>
      <c r="F24" s="37">
        <f ca="1">F8*'Manufacturing Cost Calculations'!F80</f>
        <v>20.753658103537425</v>
      </c>
      <c r="G24" s="488">
        <f ca="1">F24/'Battery Design'!$F$202</f>
        <v>0.20117973074535503</v>
      </c>
      <c r="H24" s="470"/>
      <c r="I24" s="470"/>
      <c r="J24" s="470"/>
      <c r="K24" s="470"/>
      <c r="L24" s="470"/>
      <c r="M24" s="470"/>
      <c r="N24" s="470"/>
      <c r="O24" s="470"/>
      <c r="P24" s="470"/>
    </row>
    <row r="25" spans="1:16" x14ac:dyDescent="0.15">
      <c r="A25" s="7" t="s">
        <v>276</v>
      </c>
      <c r="D25" s="3"/>
      <c r="E25" s="3"/>
      <c r="F25" s="37">
        <f ca="1">F8*'Manufacturing Cost Calculations'!F81</f>
        <v>31.075245701960501</v>
      </c>
      <c r="G25" s="488">
        <f ca="1">F25/'Battery Design'!$F$202</f>
        <v>0.30123410205454676</v>
      </c>
      <c r="H25" s="470"/>
      <c r="I25" s="470"/>
      <c r="J25" s="470"/>
      <c r="K25" s="470"/>
      <c r="L25" s="470"/>
      <c r="M25" s="470"/>
      <c r="N25" s="470"/>
      <c r="O25" s="470"/>
      <c r="P25" s="470"/>
    </row>
    <row r="26" spans="1:16" x14ac:dyDescent="0.15">
      <c r="A26" s="7" t="s">
        <v>100</v>
      </c>
      <c r="D26" s="3"/>
      <c r="E26" s="3"/>
      <c r="F26" s="37">
        <f ca="1">F8*'Manufacturing Cost Calculations'!F82</f>
        <v>73.702070403977089</v>
      </c>
      <c r="G26" s="488">
        <f ca="1">F26/'Battery Design'!$F$202</f>
        <v>0.7144457427830524</v>
      </c>
      <c r="H26" s="470"/>
      <c r="I26" s="470"/>
      <c r="J26" s="470"/>
      <c r="K26" s="470"/>
      <c r="L26" s="470"/>
      <c r="M26" s="470"/>
      <c r="N26" s="470"/>
      <c r="O26" s="470"/>
      <c r="P26" s="470"/>
    </row>
    <row r="27" spans="1:16" x14ac:dyDescent="0.15">
      <c r="A27" s="7" t="s">
        <v>101</v>
      </c>
      <c r="D27" s="3"/>
      <c r="E27" s="3"/>
      <c r="F27" s="37">
        <f ca="1">F8*'Manufacturing Cost Calculations'!F83</f>
        <v>93.930839810701698</v>
      </c>
      <c r="G27" s="488">
        <f ca="1">F27/'Battery Design'!$F$202</f>
        <v>0.91053736008983799</v>
      </c>
      <c r="H27" s="470"/>
      <c r="I27" s="470"/>
      <c r="J27" s="470"/>
      <c r="K27" s="470"/>
      <c r="L27" s="470"/>
      <c r="M27" s="470"/>
      <c r="N27" s="470"/>
      <c r="O27" s="470"/>
      <c r="P27" s="470"/>
    </row>
    <row r="28" spans="1:16" x14ac:dyDescent="0.15">
      <c r="A28" s="45" t="s">
        <v>277</v>
      </c>
      <c r="D28" s="3"/>
      <c r="E28" s="3"/>
      <c r="F28" s="37">
        <f ca="1">F8*('Manufacturing Cost Calculations'!F84+'Manufacturing Cost Calculations'!F85+'Manufacturing Cost Calculations'!F86)</f>
        <v>17.447450285616519</v>
      </c>
      <c r="G28" s="488">
        <f ca="1">F28/'Battery Design'!$F$202</f>
        <v>0.16913034478750583</v>
      </c>
      <c r="H28" s="470"/>
      <c r="I28" s="470"/>
      <c r="J28" s="470"/>
      <c r="K28" s="470"/>
      <c r="L28" s="470"/>
      <c r="M28" s="470"/>
      <c r="N28" s="470"/>
      <c r="O28" s="470"/>
      <c r="P28" s="470"/>
    </row>
    <row r="29" spans="1:16" x14ac:dyDescent="0.15">
      <c r="A29" s="95" t="s">
        <v>278</v>
      </c>
      <c r="D29" s="3"/>
      <c r="E29" s="4"/>
      <c r="F29" s="37">
        <f ca="1">F9*'Manufacturing Cost Calculations'!F96</f>
        <v>760.00379618087686</v>
      </c>
      <c r="G29" s="488">
        <f ca="1">F29/'Battery Design'!$F$202</f>
        <v>7.3672486227888374</v>
      </c>
      <c r="H29" s="470"/>
      <c r="I29" s="470"/>
      <c r="J29" s="470"/>
      <c r="K29" s="470"/>
      <c r="L29" s="470"/>
      <c r="M29" s="470"/>
      <c r="N29" s="470"/>
      <c r="O29" s="470"/>
      <c r="P29" s="470"/>
    </row>
    <row r="30" spans="1:16" x14ac:dyDescent="0.15">
      <c r="A30" s="7" t="s">
        <v>376</v>
      </c>
      <c r="F30" s="218">
        <f ca="1">'Manufacturing Cost Calculations'!F105</f>
        <v>83.323992866395031</v>
      </c>
      <c r="G30" s="488">
        <f ca="1">F30/'Battery Design'!$F$202</f>
        <v>0.80771777032560799</v>
      </c>
      <c r="H30" s="470"/>
      <c r="I30" s="470"/>
      <c r="J30" s="470"/>
      <c r="K30" s="470"/>
      <c r="L30" s="470"/>
      <c r="M30" s="470"/>
      <c r="N30" s="470"/>
      <c r="O30" s="470"/>
      <c r="P30" s="470"/>
    </row>
    <row r="31" spans="1:16" x14ac:dyDescent="0.15">
      <c r="A31" s="7" t="s">
        <v>415</v>
      </c>
      <c r="E31" s="5"/>
      <c r="F31" s="37">
        <f t="shared" ref="F31" ca="1" si="0">SUM(F21:F30)</f>
        <v>1300.9547835627002</v>
      </c>
      <c r="G31" s="488">
        <f ca="1">F31/'Battery Design'!$F$202</f>
        <v>12.611065083722032</v>
      </c>
      <c r="H31" s="470"/>
      <c r="I31" s="470"/>
      <c r="J31" s="470"/>
      <c r="K31" s="470"/>
      <c r="L31" s="470"/>
      <c r="M31" s="470"/>
      <c r="N31" s="470"/>
      <c r="O31" s="470"/>
      <c r="P31" s="470"/>
    </row>
    <row r="32" spans="1:16" x14ac:dyDescent="0.15">
      <c r="A32" s="7" t="s">
        <v>396</v>
      </c>
      <c r="E32" s="5"/>
      <c r="F32" s="37">
        <f>'Manufacturing Cost Calculations'!F113</f>
        <v>335</v>
      </c>
      <c r="G32" s="488">
        <f ca="1">F32/'Battery Design'!$F$202</f>
        <v>3.2473894223113628</v>
      </c>
      <c r="H32" s="470"/>
      <c r="I32" s="470"/>
      <c r="J32" s="470"/>
      <c r="K32" s="470"/>
      <c r="L32" s="470"/>
      <c r="M32" s="470"/>
      <c r="N32" s="470"/>
      <c r="O32" s="470"/>
      <c r="P32" s="470"/>
    </row>
    <row r="33" spans="1:16" x14ac:dyDescent="0.15">
      <c r="A33" s="7" t="s">
        <v>421</v>
      </c>
      <c r="E33" s="5"/>
      <c r="F33" s="38">
        <f>'Manufacturing Cost Calculations'!F122</f>
        <v>0</v>
      </c>
      <c r="G33" s="488">
        <f ca="1">F33/'Battery Design'!$F$202</f>
        <v>0</v>
      </c>
      <c r="H33" s="470"/>
      <c r="I33" s="470"/>
      <c r="J33" s="470"/>
      <c r="K33" s="470"/>
      <c r="L33" s="470"/>
      <c r="M33" s="470"/>
      <c r="N33" s="470"/>
      <c r="O33" s="470"/>
      <c r="P33" s="470"/>
    </row>
    <row r="34" spans="1:16" x14ac:dyDescent="0.15">
      <c r="A34" s="58"/>
      <c r="B34" s="17"/>
      <c r="C34" s="17"/>
      <c r="D34" s="17"/>
      <c r="E34" s="58"/>
      <c r="F34" s="262"/>
      <c r="G34" s="470"/>
      <c r="H34" s="470"/>
      <c r="I34" s="470"/>
      <c r="J34" s="470"/>
      <c r="K34" s="470"/>
      <c r="L34" s="470"/>
      <c r="M34" s="470"/>
      <c r="N34" s="470"/>
      <c r="O34" s="470"/>
      <c r="P34" s="470"/>
    </row>
    <row r="35" spans="1:16" x14ac:dyDescent="0.15">
      <c r="A35" s="45"/>
      <c r="B35" s="17"/>
      <c r="C35" s="17"/>
      <c r="D35" s="17"/>
      <c r="E35" s="58"/>
      <c r="F35" s="272"/>
      <c r="G35" s="470"/>
      <c r="H35" s="470"/>
      <c r="I35" s="470"/>
      <c r="J35" s="470"/>
      <c r="K35" s="470"/>
      <c r="L35" s="470"/>
      <c r="M35" s="470"/>
      <c r="N35" s="470"/>
      <c r="O35" s="470"/>
      <c r="P35" s="470"/>
    </row>
    <row r="36" spans="1:16" x14ac:dyDescent="0.15">
      <c r="A36" s="45"/>
      <c r="B36" s="17"/>
      <c r="C36" s="17"/>
      <c r="D36" s="17"/>
      <c r="E36" s="58"/>
      <c r="F36" s="272"/>
      <c r="G36" s="272"/>
      <c r="H36" s="272"/>
      <c r="I36" s="272"/>
      <c r="J36" s="272"/>
      <c r="K36" s="272"/>
      <c r="L36" s="272"/>
      <c r="M36" s="272"/>
      <c r="N36" s="272"/>
      <c r="O36" s="272"/>
      <c r="P36" s="17"/>
    </row>
    <row r="37" spans="1:16" x14ac:dyDescent="0.15">
      <c r="A37" s="45"/>
      <c r="B37" s="17"/>
      <c r="C37" s="17"/>
      <c r="D37" s="17"/>
      <c r="E37" s="58"/>
      <c r="F37" s="272"/>
      <c r="G37" s="272"/>
      <c r="H37" s="272"/>
      <c r="I37" s="272"/>
      <c r="J37" s="272"/>
      <c r="K37" s="272"/>
      <c r="L37" s="272"/>
      <c r="M37" s="272"/>
      <c r="N37" s="272"/>
      <c r="O37" s="272"/>
      <c r="P37" s="17"/>
    </row>
    <row r="38" spans="1:16" x14ac:dyDescent="0.15">
      <c r="A38" s="45"/>
      <c r="B38" s="17"/>
      <c r="C38" s="17"/>
      <c r="D38" s="17"/>
      <c r="E38" s="58"/>
      <c r="F38" s="272"/>
      <c r="G38" s="272"/>
      <c r="H38" s="272"/>
      <c r="I38" s="272"/>
      <c r="J38" s="272"/>
      <c r="K38" s="272"/>
      <c r="L38" s="272"/>
      <c r="M38" s="272"/>
      <c r="N38" s="272"/>
      <c r="O38" s="272"/>
      <c r="P38" s="17"/>
    </row>
    <row r="39" spans="1:16" x14ac:dyDescent="0.15">
      <c r="A39" s="45"/>
      <c r="B39" s="17"/>
      <c r="C39" s="17"/>
      <c r="D39" s="17"/>
      <c r="E39" s="58"/>
      <c r="F39" s="272"/>
      <c r="G39" s="272"/>
      <c r="H39" s="272"/>
      <c r="I39" s="272"/>
      <c r="J39" s="272"/>
      <c r="K39" s="272"/>
      <c r="L39" s="272"/>
      <c r="M39" s="272"/>
      <c r="N39" s="272"/>
      <c r="O39" s="272"/>
      <c r="P39" s="17"/>
    </row>
    <row r="40" spans="1:16" x14ac:dyDescent="0.15">
      <c r="A40" s="45"/>
      <c r="B40" s="17"/>
      <c r="C40" s="17"/>
      <c r="D40" s="17"/>
      <c r="E40" s="58"/>
      <c r="F40" s="272"/>
      <c r="G40" s="272"/>
      <c r="H40" s="272"/>
      <c r="I40" s="272"/>
      <c r="J40" s="272"/>
      <c r="K40" s="272"/>
      <c r="L40" s="272"/>
      <c r="M40" s="272"/>
      <c r="N40" s="272"/>
      <c r="O40" s="272"/>
      <c r="P40" s="17"/>
    </row>
    <row r="41" spans="1:16" x14ac:dyDescent="0.15">
      <c r="A41" s="45"/>
      <c r="B41" s="17"/>
      <c r="C41" s="17"/>
      <c r="D41" s="17"/>
      <c r="E41" s="58"/>
      <c r="F41" s="272"/>
      <c r="G41" s="272"/>
      <c r="H41" s="272"/>
      <c r="I41" s="272"/>
      <c r="J41" s="272"/>
      <c r="K41" s="272"/>
      <c r="L41" s="272"/>
      <c r="M41" s="272"/>
      <c r="N41" s="272"/>
      <c r="O41" s="272"/>
      <c r="P41" s="17"/>
    </row>
    <row r="42" spans="1:16" x14ac:dyDescent="0.15">
      <c r="A42" s="90"/>
      <c r="B42" s="17"/>
      <c r="C42" s="17"/>
      <c r="D42" s="17"/>
      <c r="E42" s="58"/>
      <c r="F42" s="462"/>
      <c r="G42" s="462"/>
      <c r="H42" s="462"/>
      <c r="I42" s="462"/>
      <c r="J42" s="462"/>
      <c r="K42" s="462"/>
      <c r="L42" s="462"/>
      <c r="M42" s="462"/>
      <c r="N42" s="462"/>
      <c r="O42" s="462"/>
      <c r="P42" s="17"/>
    </row>
    <row r="43" spans="1:16" ht="14" x14ac:dyDescent="0.15">
      <c r="A43" s="304"/>
      <c r="B43" s="17"/>
      <c r="C43" s="17"/>
      <c r="D43" s="17"/>
      <c r="E43" s="58"/>
      <c r="F43" s="262"/>
      <c r="G43" s="262"/>
      <c r="H43" s="262"/>
      <c r="I43" s="262"/>
      <c r="J43" s="262"/>
      <c r="K43" s="262"/>
      <c r="L43" s="262"/>
      <c r="M43" s="262"/>
      <c r="N43" s="262"/>
      <c r="O43" s="262"/>
      <c r="P43" s="17"/>
    </row>
    <row r="44" spans="1:16" x14ac:dyDescent="0.15">
      <c r="A44" s="45"/>
      <c r="B44" s="17"/>
      <c r="C44" s="17"/>
      <c r="D44" s="17"/>
      <c r="E44" s="58"/>
      <c r="F44" s="272"/>
      <c r="G44" s="272"/>
      <c r="H44" s="272"/>
      <c r="I44" s="272"/>
      <c r="J44" s="272"/>
      <c r="K44" s="272"/>
      <c r="L44" s="272"/>
      <c r="M44" s="272"/>
      <c r="N44" s="272"/>
      <c r="O44" s="272"/>
      <c r="P44" s="17"/>
    </row>
    <row r="45" spans="1:16" x14ac:dyDescent="0.15">
      <c r="A45" s="45"/>
      <c r="B45" s="17"/>
      <c r="C45" s="17"/>
      <c r="D45" s="17"/>
      <c r="E45" s="58"/>
      <c r="F45" s="272"/>
      <c r="G45" s="272"/>
      <c r="H45" s="272"/>
      <c r="I45" s="272"/>
      <c r="J45" s="272"/>
      <c r="K45" s="272"/>
      <c r="L45" s="272"/>
      <c r="M45" s="272"/>
      <c r="N45" s="272"/>
      <c r="O45" s="272"/>
      <c r="P45" s="17"/>
    </row>
    <row r="46" spans="1:16" x14ac:dyDescent="0.15">
      <c r="A46" s="45"/>
      <c r="B46" s="17"/>
      <c r="C46" s="17"/>
      <c r="D46" s="17"/>
      <c r="E46" s="58"/>
      <c r="F46" s="272"/>
      <c r="G46" s="272"/>
      <c r="H46" s="272"/>
      <c r="I46" s="272"/>
      <c r="J46" s="272"/>
      <c r="K46" s="272"/>
      <c r="L46" s="272"/>
      <c r="M46" s="272"/>
      <c r="N46" s="272"/>
      <c r="O46" s="272"/>
      <c r="P46" s="17"/>
    </row>
    <row r="47" spans="1:16" x14ac:dyDescent="0.15">
      <c r="A47" s="45"/>
      <c r="B47" s="17"/>
      <c r="C47" s="17"/>
      <c r="D47" s="17"/>
      <c r="E47" s="58"/>
      <c r="F47" s="272"/>
      <c r="G47" s="272"/>
      <c r="H47" s="272"/>
      <c r="I47" s="272"/>
      <c r="J47" s="272"/>
      <c r="K47" s="272"/>
      <c r="L47" s="272"/>
      <c r="M47" s="272"/>
      <c r="N47" s="272"/>
      <c r="O47" s="272"/>
      <c r="P47" s="17"/>
    </row>
    <row r="48" spans="1:16" x14ac:dyDescent="0.15">
      <c r="A48" s="45"/>
      <c r="B48" s="17"/>
      <c r="C48" s="17"/>
      <c r="D48" s="17"/>
      <c r="E48" s="58"/>
      <c r="F48" s="272"/>
      <c r="G48" s="272"/>
      <c r="H48" s="272"/>
      <c r="I48" s="272"/>
      <c r="J48" s="272"/>
      <c r="K48" s="272"/>
      <c r="L48" s="272"/>
      <c r="M48" s="272"/>
      <c r="N48" s="272"/>
      <c r="O48" s="272"/>
      <c r="P48" s="17"/>
    </row>
    <row r="49" spans="1:16" x14ac:dyDescent="0.15">
      <c r="A49" s="45"/>
      <c r="B49" s="17"/>
      <c r="C49" s="17"/>
      <c r="D49" s="17"/>
      <c r="E49" s="58"/>
      <c r="F49" s="272"/>
      <c r="G49" s="272"/>
      <c r="H49" s="272"/>
      <c r="I49" s="272"/>
      <c r="J49" s="272"/>
      <c r="K49" s="272"/>
      <c r="L49" s="272"/>
      <c r="M49" s="272"/>
      <c r="N49" s="272"/>
      <c r="O49" s="272"/>
      <c r="P49" s="17"/>
    </row>
    <row r="50" spans="1:16" x14ac:dyDescent="0.15">
      <c r="A50" s="45"/>
      <c r="B50" s="17"/>
      <c r="C50" s="17"/>
      <c r="D50" s="17"/>
      <c r="E50" s="58"/>
      <c r="F50" s="272"/>
      <c r="G50" s="272"/>
      <c r="H50" s="272"/>
      <c r="I50" s="272"/>
      <c r="J50" s="272"/>
      <c r="K50" s="272"/>
      <c r="L50" s="272"/>
      <c r="M50" s="272"/>
      <c r="N50" s="272"/>
      <c r="O50" s="272"/>
      <c r="P50" s="17"/>
    </row>
    <row r="51" spans="1:16" x14ac:dyDescent="0.15">
      <c r="A51" s="90"/>
      <c r="B51" s="17"/>
      <c r="C51" s="17"/>
      <c r="D51" s="17"/>
      <c r="E51" s="58"/>
      <c r="F51" s="262"/>
      <c r="G51" s="262"/>
      <c r="H51" s="262"/>
      <c r="I51" s="262"/>
      <c r="J51" s="262"/>
      <c r="K51" s="262"/>
      <c r="L51" s="262"/>
      <c r="M51" s="262"/>
      <c r="N51" s="262"/>
      <c r="O51" s="262"/>
      <c r="P51" s="17"/>
    </row>
    <row r="52" spans="1:16" ht="14" x14ac:dyDescent="0.15">
      <c r="A52" s="304"/>
      <c r="B52" s="17"/>
      <c r="C52" s="17"/>
      <c r="D52" s="17"/>
      <c r="E52" s="58"/>
      <c r="F52" s="262"/>
      <c r="G52" s="262"/>
      <c r="H52" s="262"/>
      <c r="I52" s="262"/>
      <c r="J52" s="262"/>
      <c r="K52" s="262"/>
      <c r="L52" s="262"/>
      <c r="M52" s="262"/>
      <c r="N52" s="262"/>
      <c r="O52" s="262"/>
      <c r="P52" s="17"/>
    </row>
    <row r="53" spans="1:16" x14ac:dyDescent="0.15">
      <c r="A53" s="45"/>
      <c r="B53" s="17"/>
      <c r="C53" s="17"/>
      <c r="D53" s="17"/>
      <c r="E53" s="58"/>
      <c r="F53" s="272"/>
      <c r="G53" s="272"/>
      <c r="H53" s="272"/>
      <c r="I53" s="272"/>
      <c r="J53" s="272"/>
      <c r="K53" s="272"/>
      <c r="L53" s="272"/>
      <c r="M53" s="272"/>
      <c r="N53" s="272"/>
      <c r="O53" s="272"/>
      <c r="P53" s="17"/>
    </row>
    <row r="54" spans="1:16" x14ac:dyDescent="0.15">
      <c r="A54" s="45"/>
      <c r="B54" s="17"/>
      <c r="C54" s="17"/>
      <c r="D54" s="17"/>
      <c r="E54" s="58"/>
      <c r="F54" s="272"/>
      <c r="G54" s="272"/>
      <c r="H54" s="272"/>
      <c r="I54" s="272"/>
      <c r="J54" s="272"/>
      <c r="K54" s="272"/>
      <c r="L54" s="272"/>
      <c r="M54" s="272"/>
      <c r="N54" s="272"/>
      <c r="O54" s="272"/>
      <c r="P54" s="17"/>
    </row>
    <row r="55" spans="1:16" x14ac:dyDescent="0.15">
      <c r="A55" s="45"/>
      <c r="B55" s="17"/>
      <c r="C55" s="17"/>
      <c r="D55" s="17"/>
      <c r="E55" s="58"/>
      <c r="F55" s="272"/>
      <c r="G55" s="272"/>
      <c r="H55" s="272"/>
      <c r="I55" s="272"/>
      <c r="J55" s="272"/>
      <c r="K55" s="272"/>
      <c r="L55" s="272"/>
      <c r="M55" s="272"/>
      <c r="N55" s="272"/>
      <c r="O55" s="272"/>
      <c r="P55" s="17"/>
    </row>
    <row r="56" spans="1:16" x14ac:dyDescent="0.15">
      <c r="A56" s="45"/>
      <c r="B56" s="17"/>
      <c r="C56" s="17"/>
      <c r="D56" s="17"/>
      <c r="E56" s="58"/>
      <c r="F56" s="272"/>
      <c r="G56" s="272"/>
      <c r="H56" s="272"/>
      <c r="I56" s="272"/>
      <c r="J56" s="272"/>
      <c r="K56" s="272"/>
      <c r="L56" s="272"/>
      <c r="M56" s="272"/>
      <c r="N56" s="272"/>
      <c r="O56" s="272"/>
      <c r="P56" s="17"/>
    </row>
    <row r="57" spans="1:16" x14ac:dyDescent="0.15">
      <c r="A57" s="45"/>
      <c r="B57" s="17"/>
      <c r="C57" s="17"/>
      <c r="D57" s="17"/>
      <c r="E57" s="58"/>
      <c r="F57" s="272"/>
      <c r="G57" s="272"/>
      <c r="H57" s="272"/>
      <c r="I57" s="272"/>
      <c r="J57" s="272"/>
      <c r="K57" s="272"/>
      <c r="L57" s="272"/>
      <c r="M57" s="272"/>
      <c r="N57" s="272"/>
      <c r="O57" s="272"/>
      <c r="P57" s="17"/>
    </row>
    <row r="58" spans="1:16" x14ac:dyDescent="0.15">
      <c r="A58" s="45"/>
      <c r="B58" s="17"/>
      <c r="C58" s="17"/>
      <c r="D58" s="17"/>
      <c r="E58" s="58"/>
      <c r="F58" s="272"/>
      <c r="G58" s="272"/>
      <c r="H58" s="272"/>
      <c r="I58" s="272"/>
      <c r="J58" s="272"/>
      <c r="K58" s="272"/>
      <c r="L58" s="272"/>
      <c r="M58" s="272"/>
      <c r="N58" s="272"/>
      <c r="O58" s="272"/>
      <c r="P58" s="17"/>
    </row>
    <row r="59" spans="1:16" x14ac:dyDescent="0.15">
      <c r="A59" s="45"/>
      <c r="B59" s="17"/>
      <c r="C59" s="17"/>
      <c r="D59" s="17"/>
      <c r="E59" s="58"/>
      <c r="F59" s="272"/>
      <c r="G59" s="272"/>
      <c r="H59" s="272"/>
      <c r="I59" s="272"/>
      <c r="J59" s="272"/>
      <c r="K59" s="272"/>
      <c r="L59" s="272"/>
      <c r="M59" s="272"/>
      <c r="N59" s="272"/>
      <c r="O59" s="272"/>
      <c r="P59" s="17"/>
    </row>
    <row r="60" spans="1:16" x14ac:dyDescent="0.15">
      <c r="A60" s="90"/>
      <c r="B60" s="17"/>
      <c r="C60" s="17"/>
      <c r="D60" s="17"/>
      <c r="E60" s="58"/>
      <c r="F60" s="272"/>
      <c r="G60" s="272"/>
      <c r="H60" s="272"/>
      <c r="I60" s="272"/>
      <c r="J60" s="272"/>
      <c r="K60" s="272"/>
      <c r="L60" s="272"/>
      <c r="M60" s="272"/>
      <c r="N60" s="272"/>
      <c r="O60" s="272"/>
      <c r="P60" s="17"/>
    </row>
    <row r="61" spans="1:16" ht="16" x14ac:dyDescent="0.2">
      <c r="A61" s="315"/>
      <c r="B61" s="315"/>
      <c r="C61" s="315"/>
      <c r="D61" s="315"/>
      <c r="E61" s="315"/>
      <c r="F61" s="315"/>
      <c r="G61" s="315"/>
      <c r="H61" s="315"/>
      <c r="I61" s="315"/>
      <c r="J61" s="315"/>
      <c r="K61" s="17"/>
      <c r="L61" s="17"/>
      <c r="M61" s="17"/>
      <c r="N61" s="17"/>
      <c r="O61" s="17"/>
      <c r="P61" s="17"/>
    </row>
    <row r="62" spans="1:16" x14ac:dyDescent="0.15">
      <c r="A62" s="17"/>
      <c r="B62" s="17"/>
      <c r="C62" s="17"/>
      <c r="D62" s="17"/>
      <c r="E62" s="17"/>
      <c r="F62" s="17"/>
      <c r="G62" s="17"/>
      <c r="H62" s="17"/>
      <c r="I62" s="17"/>
      <c r="J62" s="17"/>
      <c r="K62" s="17"/>
      <c r="L62" s="17"/>
      <c r="M62" s="17"/>
      <c r="N62" s="17"/>
      <c r="O62" s="17"/>
      <c r="P62" s="17"/>
    </row>
    <row r="63" spans="1:16" x14ac:dyDescent="0.15">
      <c r="A63" s="58"/>
      <c r="B63" s="58"/>
      <c r="C63" s="58"/>
      <c r="D63" s="58"/>
      <c r="E63" s="58"/>
      <c r="F63" s="59"/>
      <c r="G63" s="59"/>
      <c r="H63" s="59"/>
      <c r="I63" s="59"/>
      <c r="J63" s="59"/>
      <c r="K63" s="59"/>
      <c r="L63" s="59"/>
      <c r="M63" s="59"/>
      <c r="N63" s="59"/>
      <c r="O63" s="59"/>
      <c r="P63" s="17"/>
    </row>
    <row r="64" spans="1:16" ht="14" x14ac:dyDescent="0.15">
      <c r="A64" s="304"/>
      <c r="B64" s="58"/>
      <c r="C64" s="58"/>
      <c r="D64" s="58"/>
      <c r="E64" s="58"/>
      <c r="F64" s="59"/>
      <c r="G64" s="59"/>
      <c r="H64" s="59"/>
      <c r="I64" s="59"/>
      <c r="J64" s="59"/>
      <c r="K64" s="59"/>
      <c r="L64" s="59"/>
      <c r="M64" s="59"/>
      <c r="N64" s="59"/>
      <c r="O64" s="59"/>
      <c r="P64" s="17"/>
    </row>
    <row r="65" spans="1:16" x14ac:dyDescent="0.15">
      <c r="A65" s="45"/>
      <c r="B65" s="17"/>
      <c r="C65" s="17"/>
      <c r="D65" s="17"/>
      <c r="E65" s="17"/>
      <c r="F65" s="410"/>
      <c r="G65" s="410"/>
      <c r="H65" s="410"/>
      <c r="I65" s="410"/>
      <c r="J65" s="410"/>
      <c r="K65" s="410"/>
      <c r="L65" s="410"/>
      <c r="M65" s="410"/>
      <c r="N65" s="410"/>
      <c r="O65" s="410"/>
      <c r="P65" s="17"/>
    </row>
    <row r="66" spans="1:16" x14ac:dyDescent="0.15">
      <c r="A66" s="45"/>
      <c r="B66" s="17"/>
      <c r="C66" s="17"/>
      <c r="D66" s="17"/>
      <c r="E66" s="17"/>
      <c r="F66" s="410"/>
      <c r="G66" s="410"/>
      <c r="H66" s="410"/>
      <c r="I66" s="410"/>
      <c r="J66" s="410"/>
      <c r="K66" s="410"/>
      <c r="L66" s="410"/>
      <c r="M66" s="410"/>
      <c r="N66" s="410"/>
      <c r="O66" s="410"/>
      <c r="P66" s="17"/>
    </row>
    <row r="67" spans="1:16" x14ac:dyDescent="0.15">
      <c r="A67" s="45"/>
      <c r="B67" s="17"/>
      <c r="C67" s="17"/>
      <c r="D67" s="17"/>
      <c r="E67" s="17"/>
      <c r="F67" s="410"/>
      <c r="G67" s="410"/>
      <c r="H67" s="410"/>
      <c r="I67" s="410"/>
      <c r="J67" s="410"/>
      <c r="K67" s="410"/>
      <c r="L67" s="410"/>
      <c r="M67" s="410"/>
      <c r="N67" s="410"/>
      <c r="O67" s="410"/>
      <c r="P67" s="17"/>
    </row>
    <row r="68" spans="1:16" x14ac:dyDescent="0.15">
      <c r="A68" s="45"/>
      <c r="B68" s="17"/>
      <c r="C68" s="17"/>
      <c r="D68" s="17"/>
      <c r="E68" s="17"/>
      <c r="F68" s="410"/>
      <c r="G68" s="410"/>
      <c r="H68" s="410"/>
      <c r="I68" s="410"/>
      <c r="J68" s="410"/>
      <c r="K68" s="410"/>
      <c r="L68" s="410"/>
      <c r="M68" s="410"/>
      <c r="N68" s="410"/>
      <c r="O68" s="410"/>
      <c r="P68" s="17"/>
    </row>
    <row r="69" spans="1:16" x14ac:dyDescent="0.15">
      <c r="A69" s="45"/>
      <c r="B69" s="17"/>
      <c r="C69" s="17"/>
      <c r="D69" s="17"/>
      <c r="E69" s="17"/>
      <c r="F69" s="410"/>
      <c r="G69" s="410"/>
      <c r="H69" s="410"/>
      <c r="I69" s="410"/>
      <c r="J69" s="410"/>
      <c r="K69" s="410"/>
      <c r="L69" s="410"/>
      <c r="M69" s="410"/>
      <c r="N69" s="410"/>
      <c r="O69" s="410"/>
      <c r="P69" s="17"/>
    </row>
    <row r="70" spans="1:16" x14ac:dyDescent="0.15">
      <c r="A70" s="45"/>
      <c r="B70" s="17"/>
      <c r="C70" s="17"/>
      <c r="D70" s="17"/>
      <c r="E70" s="17"/>
      <c r="F70" s="410"/>
      <c r="G70" s="410"/>
      <c r="H70" s="410"/>
      <c r="I70" s="410"/>
      <c r="J70" s="410"/>
      <c r="K70" s="410"/>
      <c r="L70" s="410"/>
      <c r="M70" s="410"/>
      <c r="N70" s="410"/>
      <c r="O70" s="410"/>
      <c r="P70" s="17"/>
    </row>
    <row r="71" spans="1:16" x14ac:dyDescent="0.15">
      <c r="A71" s="45"/>
      <c r="B71" s="17"/>
      <c r="C71" s="17"/>
      <c r="D71" s="17"/>
      <c r="E71" s="17"/>
      <c r="F71" s="410"/>
      <c r="G71" s="410"/>
      <c r="H71" s="410"/>
      <c r="I71" s="410"/>
      <c r="J71" s="410"/>
      <c r="K71" s="410"/>
      <c r="L71" s="410"/>
      <c r="M71" s="410"/>
      <c r="N71" s="410"/>
      <c r="O71" s="410"/>
      <c r="P71" s="17"/>
    </row>
    <row r="72" spans="1:16" x14ac:dyDescent="0.15">
      <c r="A72" s="90"/>
      <c r="B72" s="17"/>
      <c r="C72" s="17"/>
      <c r="D72" s="17"/>
      <c r="E72" s="17"/>
      <c r="F72" s="463"/>
      <c r="G72" s="463"/>
      <c r="H72" s="463"/>
      <c r="I72" s="463"/>
      <c r="J72" s="463"/>
      <c r="K72" s="463"/>
      <c r="L72" s="463"/>
      <c r="M72" s="463"/>
      <c r="N72" s="463"/>
      <c r="O72" s="463"/>
      <c r="P72" s="17"/>
    </row>
    <row r="73" spans="1:16" ht="14" x14ac:dyDescent="0.15">
      <c r="A73" s="304"/>
      <c r="B73" s="17"/>
      <c r="C73" s="17"/>
      <c r="D73" s="17"/>
      <c r="E73" s="17"/>
      <c r="F73" s="17"/>
      <c r="G73" s="17"/>
      <c r="H73" s="17"/>
      <c r="I73" s="17"/>
      <c r="J73" s="17"/>
      <c r="K73" s="17"/>
      <c r="L73" s="17"/>
      <c r="M73" s="17"/>
      <c r="N73" s="17"/>
      <c r="O73" s="17"/>
      <c r="P73" s="17"/>
    </row>
    <row r="74" spans="1:16" x14ac:dyDescent="0.15">
      <c r="A74" s="45"/>
      <c r="B74" s="17"/>
      <c r="C74" s="17"/>
      <c r="D74" s="17"/>
      <c r="E74" s="272"/>
      <c r="F74" s="410"/>
      <c r="G74" s="410"/>
      <c r="H74" s="410"/>
      <c r="I74" s="410"/>
      <c r="J74" s="410"/>
      <c r="K74" s="410"/>
      <c r="L74" s="410"/>
      <c r="M74" s="410"/>
      <c r="N74" s="410"/>
      <c r="O74" s="410"/>
      <c r="P74" s="17"/>
    </row>
    <row r="75" spans="1:16" x14ac:dyDescent="0.15">
      <c r="A75" s="45"/>
      <c r="B75" s="17"/>
      <c r="C75" s="17"/>
      <c r="D75" s="17"/>
      <c r="E75" s="17"/>
      <c r="F75" s="410"/>
      <c r="G75" s="410"/>
      <c r="H75" s="410"/>
      <c r="I75" s="410"/>
      <c r="J75" s="410"/>
      <c r="K75" s="410"/>
      <c r="L75" s="410"/>
      <c r="M75" s="410"/>
      <c r="N75" s="410"/>
      <c r="O75" s="410"/>
      <c r="P75" s="17"/>
    </row>
    <row r="76" spans="1:16" x14ac:dyDescent="0.15">
      <c r="A76" s="45"/>
      <c r="B76" s="17"/>
      <c r="C76" s="17"/>
      <c r="D76" s="17"/>
      <c r="E76" s="17"/>
      <c r="F76" s="410"/>
      <c r="G76" s="410"/>
      <c r="H76" s="410"/>
      <c r="I76" s="410"/>
      <c r="J76" s="410"/>
      <c r="K76" s="410"/>
      <c r="L76" s="410"/>
      <c r="M76" s="410"/>
      <c r="N76" s="410"/>
      <c r="O76" s="410"/>
      <c r="P76" s="17"/>
    </row>
    <row r="77" spans="1:16" x14ac:dyDescent="0.15">
      <c r="A77" s="45"/>
      <c r="B77" s="17"/>
      <c r="C77" s="17"/>
      <c r="D77" s="17"/>
      <c r="E77" s="17"/>
      <c r="F77" s="410"/>
      <c r="G77" s="410"/>
      <c r="H77" s="410"/>
      <c r="I77" s="410"/>
      <c r="J77" s="410"/>
      <c r="K77" s="410"/>
      <c r="L77" s="410"/>
      <c r="M77" s="410"/>
      <c r="N77" s="410"/>
      <c r="O77" s="410"/>
      <c r="P77" s="17"/>
    </row>
    <row r="78" spans="1:16" x14ac:dyDescent="0.15">
      <c r="A78" s="45"/>
      <c r="B78" s="17"/>
      <c r="C78" s="17"/>
      <c r="D78" s="17"/>
      <c r="E78" s="17"/>
      <c r="F78" s="410"/>
      <c r="G78" s="410"/>
      <c r="H78" s="410"/>
      <c r="I78" s="410"/>
      <c r="J78" s="410"/>
      <c r="K78" s="410"/>
      <c r="L78" s="410"/>
      <c r="M78" s="410"/>
      <c r="N78" s="410"/>
      <c r="O78" s="410"/>
      <c r="P78" s="17"/>
    </row>
    <row r="79" spans="1:16" x14ac:dyDescent="0.15">
      <c r="A79" s="45"/>
      <c r="B79" s="17"/>
      <c r="C79" s="17"/>
      <c r="D79" s="17"/>
      <c r="E79" s="17"/>
      <c r="F79" s="410"/>
      <c r="G79" s="410"/>
      <c r="H79" s="410"/>
      <c r="I79" s="410"/>
      <c r="J79" s="410"/>
      <c r="K79" s="410"/>
      <c r="L79" s="410"/>
      <c r="M79" s="410"/>
      <c r="N79" s="410"/>
      <c r="O79" s="410"/>
      <c r="P79" s="17"/>
    </row>
    <row r="80" spans="1:16" x14ac:dyDescent="0.15">
      <c r="A80" s="45"/>
      <c r="B80" s="17"/>
      <c r="C80" s="17"/>
      <c r="D80" s="17"/>
      <c r="E80" s="17"/>
      <c r="F80" s="410"/>
      <c r="G80" s="410"/>
      <c r="H80" s="410"/>
      <c r="I80" s="410"/>
      <c r="J80" s="410"/>
      <c r="K80" s="410"/>
      <c r="L80" s="410"/>
      <c r="M80" s="410"/>
      <c r="N80" s="410"/>
      <c r="O80" s="410"/>
      <c r="P80" s="17"/>
    </row>
    <row r="81" spans="1:16" x14ac:dyDescent="0.15">
      <c r="A81" s="90"/>
      <c r="B81" s="17"/>
      <c r="C81" s="17"/>
      <c r="D81" s="17"/>
      <c r="E81" s="17"/>
      <c r="F81" s="410"/>
      <c r="G81" s="410"/>
      <c r="H81" s="410"/>
      <c r="I81" s="410"/>
      <c r="J81" s="410"/>
      <c r="K81" s="410"/>
      <c r="L81" s="410"/>
      <c r="M81" s="410"/>
      <c r="N81" s="410"/>
      <c r="O81" s="410"/>
      <c r="P81" s="17"/>
    </row>
    <row r="82" spans="1:16" ht="14" x14ac:dyDescent="0.15">
      <c r="A82" s="304"/>
      <c r="B82" s="17"/>
      <c r="C82" s="17"/>
      <c r="D82" s="17"/>
      <c r="E82" s="17"/>
      <c r="F82" s="17"/>
      <c r="G82" s="17"/>
      <c r="H82" s="17"/>
      <c r="I82" s="17"/>
      <c r="J82" s="17"/>
      <c r="K82" s="17"/>
      <c r="L82" s="17"/>
      <c r="M82" s="17"/>
      <c r="N82" s="17"/>
      <c r="O82" s="17"/>
      <c r="P82" s="17"/>
    </row>
    <row r="83" spans="1:16" x14ac:dyDescent="0.15">
      <c r="A83" s="45"/>
      <c r="B83" s="17"/>
      <c r="C83" s="17"/>
      <c r="D83" s="17"/>
      <c r="E83" s="272"/>
      <c r="F83" s="410"/>
      <c r="G83" s="410"/>
      <c r="H83" s="410"/>
      <c r="I83" s="410"/>
      <c r="J83" s="410"/>
      <c r="K83" s="410"/>
      <c r="L83" s="410"/>
      <c r="M83" s="410"/>
      <c r="N83" s="410"/>
      <c r="O83" s="410"/>
      <c r="P83" s="17"/>
    </row>
    <row r="84" spans="1:16" x14ac:dyDescent="0.15">
      <c r="A84" s="45"/>
      <c r="B84" s="17"/>
      <c r="C84" s="17"/>
      <c r="D84" s="17"/>
      <c r="E84" s="272"/>
      <c r="F84" s="410"/>
      <c r="G84" s="410"/>
      <c r="H84" s="410"/>
      <c r="I84" s="410"/>
      <c r="J84" s="410"/>
      <c r="K84" s="410"/>
      <c r="L84" s="410"/>
      <c r="M84" s="410"/>
      <c r="N84" s="410"/>
      <c r="O84" s="410"/>
      <c r="P84" s="17"/>
    </row>
    <row r="85" spans="1:16" x14ac:dyDescent="0.15">
      <c r="A85" s="45"/>
      <c r="B85" s="17"/>
      <c r="C85" s="17"/>
      <c r="D85" s="17"/>
      <c r="E85" s="272"/>
      <c r="F85" s="410"/>
      <c r="G85" s="410"/>
      <c r="H85" s="410"/>
      <c r="I85" s="410"/>
      <c r="J85" s="410"/>
      <c r="K85" s="410"/>
      <c r="L85" s="410"/>
      <c r="M85" s="410"/>
      <c r="N85" s="410"/>
      <c r="O85" s="410"/>
      <c r="P85" s="17"/>
    </row>
    <row r="86" spans="1:16" x14ac:dyDescent="0.15">
      <c r="A86" s="45"/>
      <c r="B86" s="17"/>
      <c r="C86" s="17"/>
      <c r="D86" s="17"/>
      <c r="E86" s="272"/>
      <c r="F86" s="410"/>
      <c r="G86" s="410"/>
      <c r="H86" s="410"/>
      <c r="I86" s="410"/>
      <c r="J86" s="410"/>
      <c r="K86" s="410"/>
      <c r="L86" s="410"/>
      <c r="M86" s="410"/>
      <c r="N86" s="410"/>
      <c r="O86" s="410"/>
      <c r="P86" s="17"/>
    </row>
    <row r="87" spans="1:16" x14ac:dyDescent="0.15">
      <c r="A87" s="45"/>
      <c r="B87" s="17"/>
      <c r="C87" s="17"/>
      <c r="D87" s="17"/>
      <c r="E87" s="272"/>
      <c r="F87" s="410"/>
      <c r="G87" s="410"/>
      <c r="H87" s="410"/>
      <c r="I87" s="410"/>
      <c r="J87" s="410"/>
      <c r="K87" s="410"/>
      <c r="L87" s="410"/>
      <c r="M87" s="410"/>
      <c r="N87" s="410"/>
      <c r="O87" s="410"/>
      <c r="P87" s="17"/>
    </row>
    <row r="88" spans="1:16" x14ac:dyDescent="0.15">
      <c r="A88" s="45"/>
      <c r="B88" s="17"/>
      <c r="C88" s="17"/>
      <c r="D88" s="17"/>
      <c r="E88" s="272"/>
      <c r="F88" s="410"/>
      <c r="G88" s="410"/>
      <c r="H88" s="410"/>
      <c r="I88" s="410"/>
      <c r="J88" s="410"/>
      <c r="K88" s="410"/>
      <c r="L88" s="410"/>
      <c r="M88" s="410"/>
      <c r="N88" s="410"/>
      <c r="O88" s="410"/>
      <c r="P88" s="17"/>
    </row>
    <row r="89" spans="1:16" x14ac:dyDescent="0.15">
      <c r="A89" s="45"/>
      <c r="B89" s="17"/>
      <c r="C89" s="17"/>
      <c r="D89" s="17"/>
      <c r="E89" s="272"/>
      <c r="F89" s="410"/>
      <c r="G89" s="410"/>
      <c r="H89" s="410"/>
      <c r="I89" s="410"/>
      <c r="J89" s="410"/>
      <c r="K89" s="410"/>
      <c r="L89" s="410"/>
      <c r="M89" s="410"/>
      <c r="N89" s="410"/>
      <c r="O89" s="410"/>
      <c r="P89" s="17"/>
    </row>
    <row r="90" spans="1:16" x14ac:dyDescent="0.15">
      <c r="A90" s="90"/>
      <c r="B90" s="17"/>
      <c r="C90" s="17"/>
      <c r="D90" s="17"/>
      <c r="E90" s="17"/>
      <c r="F90" s="410"/>
      <c r="G90" s="410"/>
      <c r="H90" s="410"/>
      <c r="I90" s="410"/>
      <c r="J90" s="410"/>
      <c r="K90" s="410"/>
      <c r="L90" s="410"/>
      <c r="M90" s="410"/>
      <c r="N90" s="410"/>
      <c r="O90" s="410"/>
      <c r="P90" s="17"/>
    </row>
    <row r="91" spans="1:16" ht="14" x14ac:dyDescent="0.15">
      <c r="A91" s="333"/>
      <c r="B91" s="17"/>
      <c r="C91" s="17"/>
      <c r="D91" s="17"/>
      <c r="E91" s="17"/>
      <c r="F91" s="410"/>
      <c r="G91" s="410"/>
      <c r="H91" s="410"/>
      <c r="I91" s="410"/>
      <c r="J91" s="410"/>
      <c r="K91" s="410"/>
      <c r="L91" s="410"/>
      <c r="M91" s="410"/>
      <c r="N91" s="410"/>
      <c r="O91" s="410"/>
      <c r="P91" s="17"/>
    </row>
    <row r="92" spans="1:16" x14ac:dyDescent="0.15">
      <c r="A92" s="154"/>
      <c r="B92" s="17"/>
      <c r="C92" s="17"/>
      <c r="D92" s="17"/>
      <c r="E92" s="17"/>
      <c r="F92" s="193"/>
      <c r="G92" s="193"/>
      <c r="H92" s="193"/>
      <c r="I92" s="193"/>
      <c r="J92" s="193"/>
      <c r="K92" s="193"/>
      <c r="L92" s="193"/>
      <c r="M92" s="193"/>
      <c r="N92" s="193"/>
      <c r="O92" s="193"/>
      <c r="P92" s="17"/>
    </row>
    <row r="93" spans="1:16" x14ac:dyDescent="0.15">
      <c r="A93" s="154"/>
      <c r="B93" s="17"/>
      <c r="C93" s="17"/>
      <c r="D93" s="17"/>
      <c r="E93" s="17"/>
      <c r="F93" s="193"/>
      <c r="G93" s="193"/>
      <c r="H93" s="193"/>
      <c r="I93" s="193"/>
      <c r="J93" s="193"/>
      <c r="K93" s="193"/>
      <c r="L93" s="193"/>
      <c r="M93" s="193"/>
      <c r="N93" s="193"/>
      <c r="O93" s="193"/>
      <c r="P93" s="17"/>
    </row>
    <row r="94" spans="1:16" x14ac:dyDescent="0.15">
      <c r="A94" s="154"/>
      <c r="B94" s="17"/>
      <c r="C94" s="17"/>
      <c r="D94" s="17"/>
      <c r="E94" s="17"/>
      <c r="F94" s="193"/>
      <c r="G94" s="193"/>
      <c r="H94" s="193"/>
      <c r="I94" s="193"/>
      <c r="J94" s="193"/>
      <c r="K94" s="193"/>
      <c r="L94" s="193"/>
      <c r="M94" s="193"/>
      <c r="N94" s="193"/>
      <c r="O94" s="193"/>
      <c r="P94" s="17"/>
    </row>
    <row r="95" spans="1:16" x14ac:dyDescent="0.15">
      <c r="A95" s="26"/>
      <c r="B95" s="17"/>
      <c r="C95" s="17"/>
      <c r="D95" s="17"/>
      <c r="E95" s="17"/>
      <c r="F95" s="193"/>
      <c r="G95" s="193"/>
      <c r="H95" s="193"/>
      <c r="I95" s="193"/>
      <c r="J95" s="193"/>
      <c r="K95" s="193"/>
      <c r="L95" s="193"/>
      <c r="M95" s="193"/>
      <c r="N95" s="193"/>
      <c r="O95" s="193"/>
      <c r="P95" s="17"/>
    </row>
    <row r="96" spans="1:16" x14ac:dyDescent="0.15">
      <c r="A96" s="17"/>
      <c r="B96" s="17"/>
      <c r="C96" s="17"/>
      <c r="D96" s="17"/>
      <c r="E96" s="17"/>
      <c r="F96" s="193"/>
      <c r="G96" s="193"/>
      <c r="H96" s="193"/>
      <c r="I96" s="193"/>
      <c r="J96" s="193"/>
      <c r="K96" s="193"/>
      <c r="L96" s="193"/>
      <c r="M96" s="193"/>
      <c r="N96" s="193"/>
      <c r="O96" s="193"/>
      <c r="P96" s="17"/>
    </row>
    <row r="97" spans="1:19" ht="16" x14ac:dyDescent="0.2">
      <c r="A97" s="315"/>
      <c r="B97" s="315"/>
      <c r="C97" s="315"/>
      <c r="D97" s="315"/>
      <c r="E97" s="315"/>
      <c r="F97" s="315"/>
      <c r="G97" s="315"/>
      <c r="H97" s="315"/>
      <c r="I97" s="315"/>
      <c r="J97" s="315"/>
      <c r="K97" s="17"/>
      <c r="L97" s="17"/>
      <c r="M97" s="17"/>
      <c r="N97" s="17"/>
      <c r="O97" s="17"/>
      <c r="P97" s="17"/>
      <c r="Q97" s="17"/>
      <c r="R97" s="17"/>
      <c r="S97" s="17"/>
    </row>
    <row r="98" spans="1:19" x14ac:dyDescent="0.15">
      <c r="A98" s="154"/>
      <c r="B98" s="17"/>
      <c r="C98" s="17"/>
      <c r="D98" s="17"/>
      <c r="E98" s="17"/>
      <c r="F98" s="272"/>
      <c r="G98" s="272"/>
      <c r="H98" s="272"/>
      <c r="I98" s="272"/>
      <c r="J98" s="272"/>
      <c r="K98" s="272"/>
      <c r="L98" s="272"/>
      <c r="M98" s="272"/>
      <c r="N98" s="272"/>
      <c r="O98" s="272"/>
      <c r="P98" s="17"/>
      <c r="Q98" s="335"/>
      <c r="R98" s="193"/>
      <c r="S98" s="17"/>
    </row>
    <row r="99" spans="1:19" x14ac:dyDescent="0.15">
      <c r="A99" s="154"/>
      <c r="B99" s="17"/>
      <c r="C99" s="17"/>
      <c r="D99" s="17"/>
      <c r="E99" s="17"/>
      <c r="F99" s="464"/>
      <c r="G99" s="464"/>
      <c r="H99" s="464"/>
      <c r="I99" s="464"/>
      <c r="J99" s="464"/>
      <c r="K99" s="464"/>
      <c r="L99" s="464"/>
      <c r="M99" s="464"/>
      <c r="N99" s="464"/>
      <c r="O99" s="464"/>
      <c r="P99" s="17"/>
      <c r="Q99" s="335"/>
      <c r="R99" s="193"/>
      <c r="S99" s="17"/>
    </row>
    <row r="100" spans="1:19" x14ac:dyDescent="0.15">
      <c r="A100" s="154"/>
      <c r="B100" s="17"/>
      <c r="C100" s="17"/>
      <c r="D100" s="17"/>
      <c r="E100" s="17"/>
      <c r="F100" s="465"/>
      <c r="G100" s="465"/>
      <c r="H100" s="465"/>
      <c r="I100" s="465"/>
      <c r="J100" s="465"/>
      <c r="K100" s="465"/>
      <c r="L100" s="465"/>
      <c r="M100" s="465"/>
      <c r="N100" s="465"/>
      <c r="O100" s="465"/>
      <c r="P100" s="17"/>
      <c r="Q100" s="335"/>
      <c r="R100" s="193"/>
      <c r="S100" s="17"/>
    </row>
    <row r="101" spans="1:19" x14ac:dyDescent="0.15">
      <c r="A101" s="26"/>
      <c r="B101" s="17"/>
      <c r="C101" s="17"/>
      <c r="D101" s="17"/>
      <c r="E101" s="17"/>
      <c r="F101" s="464"/>
      <c r="G101" s="464"/>
      <c r="H101" s="464"/>
      <c r="I101" s="464"/>
      <c r="J101" s="464"/>
      <c r="K101" s="464"/>
      <c r="L101" s="464"/>
      <c r="M101" s="464"/>
      <c r="N101" s="464"/>
      <c r="O101" s="464"/>
      <c r="P101" s="17"/>
      <c r="Q101" s="335"/>
      <c r="R101" s="193"/>
      <c r="S101" s="17"/>
    </row>
    <row r="102" spans="1:19" x14ac:dyDescent="0.15">
      <c r="A102" s="26"/>
      <c r="B102" s="17"/>
      <c r="C102" s="17"/>
      <c r="D102" s="17"/>
      <c r="E102" s="17"/>
      <c r="F102" s="464"/>
      <c r="G102" s="464"/>
      <c r="H102" s="464"/>
      <c r="I102" s="464"/>
      <c r="J102" s="464"/>
      <c r="K102" s="464"/>
      <c r="L102" s="464"/>
      <c r="M102" s="464"/>
      <c r="N102" s="464"/>
      <c r="O102" s="464"/>
      <c r="P102" s="17"/>
      <c r="Q102" s="335"/>
      <c r="R102" s="71"/>
      <c r="S102" s="17"/>
    </row>
    <row r="103" spans="1:19" x14ac:dyDescent="0.15">
      <c r="A103" s="26"/>
      <c r="B103" s="17"/>
      <c r="C103" s="17"/>
      <c r="D103" s="17"/>
      <c r="E103" s="17"/>
      <c r="F103" s="464"/>
      <c r="G103" s="464"/>
      <c r="H103" s="464"/>
      <c r="I103" s="464"/>
      <c r="J103" s="464"/>
      <c r="K103" s="464"/>
      <c r="L103" s="464"/>
      <c r="M103" s="464"/>
      <c r="N103" s="464"/>
      <c r="O103" s="464"/>
      <c r="P103" s="17"/>
      <c r="Q103" s="335"/>
      <c r="R103" s="193"/>
      <c r="S103" s="17"/>
    </row>
    <row r="104" spans="1:19" x14ac:dyDescent="0.15">
      <c r="A104" s="26"/>
      <c r="B104" s="17"/>
      <c r="C104" s="17"/>
      <c r="D104" s="17"/>
      <c r="E104" s="17"/>
      <c r="F104" s="464"/>
      <c r="G104" s="464"/>
      <c r="H104" s="464"/>
      <c r="I104" s="464"/>
      <c r="J104" s="464"/>
      <c r="K104" s="464"/>
      <c r="L104" s="464"/>
      <c r="M104" s="464"/>
      <c r="N104" s="464"/>
      <c r="O104" s="464"/>
      <c r="P104" s="17"/>
      <c r="Q104" s="335"/>
      <c r="R104" s="193"/>
      <c r="S104" s="17"/>
    </row>
    <row r="105" spans="1:19" x14ac:dyDescent="0.15">
      <c r="A105" s="26"/>
      <c r="B105" s="17"/>
      <c r="C105" s="17"/>
      <c r="D105" s="17"/>
      <c r="E105" s="17"/>
      <c r="F105" s="464"/>
      <c r="G105" s="464"/>
      <c r="H105" s="464"/>
      <c r="I105" s="464"/>
      <c r="J105" s="464"/>
      <c r="K105" s="464"/>
      <c r="L105" s="464"/>
      <c r="M105" s="464"/>
      <c r="N105" s="464"/>
      <c r="O105" s="464"/>
      <c r="P105" s="17"/>
      <c r="Q105" s="335"/>
      <c r="R105" s="193"/>
      <c r="S105" s="17"/>
    </row>
    <row r="106" spans="1:19" x14ac:dyDescent="0.15">
      <c r="A106" s="26"/>
      <c r="B106" s="17"/>
      <c r="C106" s="17"/>
      <c r="D106" s="17"/>
      <c r="E106" s="17"/>
      <c r="F106" s="464"/>
      <c r="G106" s="464"/>
      <c r="H106" s="464"/>
      <c r="I106" s="464"/>
      <c r="J106" s="464"/>
      <c r="K106" s="464"/>
      <c r="L106" s="464"/>
      <c r="M106" s="464"/>
      <c r="N106" s="464"/>
      <c r="O106" s="464"/>
      <c r="P106" s="17"/>
      <c r="Q106" s="335"/>
      <c r="R106" s="193"/>
      <c r="S106" s="17"/>
    </row>
    <row r="107" spans="1:19" x14ac:dyDescent="0.15">
      <c r="A107" s="26"/>
      <c r="B107" s="17"/>
      <c r="C107" s="17"/>
      <c r="D107" s="17"/>
      <c r="E107" s="17"/>
      <c r="F107" s="464"/>
      <c r="G107" s="464"/>
      <c r="H107" s="464"/>
      <c r="I107" s="464"/>
      <c r="J107" s="464"/>
      <c r="K107" s="464"/>
      <c r="L107" s="464"/>
      <c r="M107" s="464"/>
      <c r="N107" s="464"/>
      <c r="O107" s="464"/>
      <c r="P107" s="17"/>
      <c r="Q107" s="335"/>
      <c r="R107" s="193"/>
      <c r="S107" s="17"/>
    </row>
    <row r="108" spans="1:19" x14ac:dyDescent="0.15">
      <c r="A108" s="26"/>
      <c r="B108" s="17"/>
      <c r="C108" s="17"/>
      <c r="D108" s="17"/>
      <c r="E108" s="17"/>
      <c r="F108" s="193"/>
      <c r="G108" s="193"/>
      <c r="H108" s="193"/>
      <c r="I108" s="193"/>
      <c r="J108" s="193"/>
      <c r="K108" s="193"/>
      <c r="L108" s="193"/>
      <c r="M108" s="193"/>
      <c r="N108" s="193"/>
      <c r="O108" s="193"/>
      <c r="P108" s="17"/>
      <c r="Q108" s="17"/>
      <c r="R108" s="17"/>
      <c r="S108" s="17"/>
    </row>
    <row r="109" spans="1:19" x14ac:dyDescent="0.15">
      <c r="A109" s="26"/>
      <c r="B109" s="17"/>
      <c r="C109" s="17"/>
      <c r="D109" s="17"/>
      <c r="E109" s="17"/>
      <c r="F109" s="193"/>
      <c r="G109" s="193"/>
      <c r="H109" s="193"/>
      <c r="I109" s="193"/>
      <c r="J109" s="193"/>
      <c r="K109" s="193"/>
      <c r="L109" s="193"/>
      <c r="M109" s="193"/>
      <c r="N109" s="193"/>
      <c r="O109" s="193"/>
      <c r="P109" s="17"/>
      <c r="Q109" s="17"/>
      <c r="R109" s="17"/>
      <c r="S109" s="17"/>
    </row>
    <row r="110" spans="1:19" x14ac:dyDescent="0.15">
      <c r="A110" s="26"/>
      <c r="B110" s="17"/>
      <c r="C110" s="17"/>
      <c r="D110" s="17"/>
      <c r="E110" s="17"/>
      <c r="F110" s="464"/>
      <c r="G110" s="464"/>
      <c r="H110" s="464"/>
      <c r="I110" s="464"/>
      <c r="J110" s="464"/>
      <c r="K110" s="464"/>
      <c r="L110" s="464"/>
      <c r="M110" s="464"/>
      <c r="N110" s="464"/>
      <c r="O110" s="464"/>
      <c r="P110" s="17"/>
      <c r="Q110" s="17"/>
      <c r="R110" s="17"/>
      <c r="S110" s="17"/>
    </row>
    <row r="111" spans="1:19" x14ac:dyDescent="0.15">
      <c r="A111" s="17"/>
      <c r="B111" s="17"/>
      <c r="C111" s="17"/>
      <c r="D111" s="17"/>
      <c r="E111" s="17"/>
      <c r="F111" s="464"/>
      <c r="G111" s="464"/>
      <c r="H111" s="464"/>
      <c r="I111" s="464"/>
      <c r="J111" s="464"/>
      <c r="K111" s="464"/>
      <c r="L111" s="464"/>
      <c r="M111" s="464"/>
      <c r="N111" s="464"/>
      <c r="O111" s="464"/>
      <c r="P111" s="17"/>
      <c r="Q111" s="17"/>
      <c r="R111" s="17"/>
      <c r="S111" s="17"/>
    </row>
    <row r="112" spans="1:19" x14ac:dyDescent="0.15">
      <c r="A112" s="17"/>
      <c r="B112" s="17"/>
      <c r="C112" s="17"/>
      <c r="D112" s="17"/>
      <c r="E112" s="17"/>
      <c r="F112" s="193"/>
      <c r="G112" s="193"/>
      <c r="H112" s="193"/>
      <c r="I112" s="193"/>
      <c r="J112" s="193"/>
      <c r="K112" s="193"/>
      <c r="L112" s="193"/>
      <c r="M112" s="193"/>
      <c r="N112" s="193"/>
      <c r="O112" s="193"/>
      <c r="P112" s="17"/>
      <c r="Q112" s="17"/>
      <c r="R112" s="17"/>
      <c r="S112" s="17"/>
    </row>
    <row r="113" spans="1:16" x14ac:dyDescent="0.15">
      <c r="A113" s="17"/>
      <c r="B113" s="17"/>
      <c r="C113" s="17"/>
      <c r="D113" s="17"/>
      <c r="E113" s="17"/>
      <c r="F113" s="17"/>
      <c r="G113" s="17"/>
      <c r="H113" s="17"/>
      <c r="I113" s="17"/>
      <c r="J113" s="17"/>
      <c r="K113" s="17"/>
      <c r="L113" s="17"/>
      <c r="M113" s="17"/>
      <c r="N113" s="17"/>
      <c r="O113" s="17"/>
      <c r="P113" s="17"/>
    </row>
    <row r="114" spans="1:16" x14ac:dyDescent="0.15">
      <c r="A114" s="17"/>
      <c r="B114" s="17"/>
      <c r="C114" s="17"/>
      <c r="D114" s="17"/>
      <c r="E114" s="17"/>
      <c r="F114" s="193"/>
      <c r="G114" s="193"/>
      <c r="H114" s="193"/>
      <c r="I114" s="193"/>
      <c r="J114" s="193"/>
      <c r="K114" s="17"/>
      <c r="L114" s="17"/>
      <c r="M114" s="17"/>
      <c r="N114" s="17"/>
      <c r="O114" s="17"/>
      <c r="P114" s="17"/>
    </row>
    <row r="115" spans="1:16" x14ac:dyDescent="0.15">
      <c r="A115" s="17"/>
      <c r="B115" s="17"/>
      <c r="C115" s="17"/>
      <c r="D115" s="17"/>
      <c r="E115" s="17"/>
      <c r="F115" s="193"/>
      <c r="G115" s="193"/>
      <c r="H115" s="193"/>
      <c r="I115" s="193"/>
      <c r="J115" s="193"/>
      <c r="K115" s="17"/>
      <c r="L115" s="17"/>
      <c r="M115" s="17"/>
      <c r="N115" s="17"/>
      <c r="O115" s="17"/>
      <c r="P115" s="17"/>
    </row>
    <row r="116" spans="1:16" x14ac:dyDescent="0.15">
      <c r="A116" s="17"/>
      <c r="B116" s="17"/>
      <c r="C116" s="17"/>
      <c r="D116" s="17"/>
      <c r="E116" s="17"/>
      <c r="F116" s="193"/>
      <c r="G116" s="193"/>
      <c r="H116" s="193"/>
      <c r="I116" s="193"/>
      <c r="J116" s="193"/>
      <c r="K116" s="17"/>
      <c r="L116" s="17"/>
      <c r="M116" s="17"/>
      <c r="N116" s="17"/>
      <c r="O116" s="17"/>
      <c r="P116" s="17"/>
    </row>
    <row r="117" spans="1:16" x14ac:dyDescent="0.15">
      <c r="A117" s="17"/>
      <c r="B117" s="17"/>
      <c r="C117" s="17"/>
      <c r="D117" s="17"/>
      <c r="E117" s="17"/>
      <c r="F117" s="193"/>
      <c r="G117" s="193"/>
      <c r="H117" s="193"/>
      <c r="I117" s="193"/>
      <c r="J117" s="193"/>
      <c r="K117" s="17"/>
      <c r="L117" s="17"/>
      <c r="M117" s="17"/>
      <c r="N117" s="17"/>
      <c r="O117" s="17"/>
      <c r="P117" s="17"/>
    </row>
    <row r="118" spans="1:16" x14ac:dyDescent="0.15">
      <c r="A118" s="17"/>
      <c r="B118" s="17"/>
      <c r="C118" s="17"/>
      <c r="D118" s="17"/>
      <c r="E118" s="17"/>
      <c r="F118" s="193"/>
      <c r="G118" s="193"/>
      <c r="H118" s="193"/>
      <c r="I118" s="193"/>
      <c r="J118" s="193"/>
      <c r="K118" s="17"/>
      <c r="L118" s="17"/>
      <c r="M118" s="17"/>
      <c r="N118" s="17"/>
      <c r="O118" s="17"/>
      <c r="P118" s="17"/>
    </row>
    <row r="119" spans="1:16" x14ac:dyDescent="0.15">
      <c r="A119" s="17"/>
      <c r="B119" s="17"/>
      <c r="C119" s="17"/>
      <c r="D119" s="17"/>
      <c r="E119" s="17"/>
      <c r="F119" s="193"/>
      <c r="G119" s="193"/>
      <c r="H119" s="193"/>
      <c r="I119" s="193"/>
      <c r="J119" s="193"/>
      <c r="K119" s="17"/>
      <c r="L119" s="17"/>
      <c r="M119" s="17"/>
      <c r="N119" s="17"/>
      <c r="O119" s="17"/>
      <c r="P119" s="17"/>
    </row>
    <row r="120" spans="1:16" x14ac:dyDescent="0.15">
      <c r="A120" s="17"/>
      <c r="B120" s="17"/>
      <c r="C120" s="17"/>
      <c r="D120" s="17"/>
      <c r="E120" s="17"/>
      <c r="F120" s="193"/>
      <c r="G120" s="193"/>
      <c r="H120" s="193"/>
      <c r="I120" s="193"/>
      <c r="J120" s="193"/>
      <c r="K120" s="17"/>
      <c r="L120" s="17"/>
      <c r="M120" s="17"/>
      <c r="N120" s="17"/>
      <c r="O120" s="17"/>
      <c r="P120" s="17"/>
    </row>
    <row r="121" spans="1:16" x14ac:dyDescent="0.15">
      <c r="A121" s="17"/>
      <c r="B121" s="17"/>
      <c r="C121" s="17"/>
      <c r="D121" s="17"/>
      <c r="E121" s="17"/>
      <c r="F121" s="193"/>
      <c r="G121" s="193"/>
      <c r="H121" s="193"/>
      <c r="I121" s="193"/>
      <c r="J121" s="193"/>
      <c r="K121" s="17"/>
      <c r="L121" s="17"/>
      <c r="M121" s="17"/>
      <c r="N121" s="17"/>
      <c r="O121" s="17"/>
      <c r="P121" s="17"/>
    </row>
    <row r="122" spans="1:16" x14ac:dyDescent="0.15">
      <c r="A122" s="17"/>
      <c r="B122" s="17"/>
      <c r="C122" s="17"/>
      <c r="D122" s="17"/>
      <c r="E122" s="17"/>
      <c r="F122" s="193"/>
      <c r="G122" s="193"/>
      <c r="H122" s="193"/>
      <c r="I122" s="193"/>
      <c r="J122" s="193"/>
      <c r="K122" s="17"/>
      <c r="L122" s="17"/>
      <c r="M122" s="17"/>
      <c r="N122" s="17"/>
      <c r="O122" s="17"/>
      <c r="P122" s="17"/>
    </row>
    <row r="123" spans="1:16" x14ac:dyDescent="0.15">
      <c r="A123" s="17"/>
      <c r="B123" s="17"/>
      <c r="C123" s="17"/>
      <c r="D123" s="17"/>
      <c r="E123" s="17"/>
      <c r="F123" s="193"/>
      <c r="G123" s="193"/>
      <c r="H123" s="193"/>
      <c r="I123" s="193"/>
      <c r="J123" s="193"/>
      <c r="K123" s="17"/>
      <c r="L123" s="17"/>
      <c r="M123" s="17"/>
      <c r="N123" s="17"/>
      <c r="O123" s="17"/>
      <c r="P123" s="17"/>
    </row>
    <row r="124" spans="1:16" x14ac:dyDescent="0.15">
      <c r="A124" s="17"/>
      <c r="B124" s="17"/>
      <c r="C124" s="17"/>
      <c r="D124" s="17"/>
      <c r="E124" s="17"/>
      <c r="F124" s="193"/>
      <c r="G124" s="193"/>
      <c r="H124" s="193"/>
      <c r="I124" s="193"/>
      <c r="J124" s="193"/>
      <c r="K124" s="17"/>
      <c r="L124" s="17"/>
      <c r="M124" s="17"/>
      <c r="N124" s="17"/>
      <c r="O124" s="17"/>
      <c r="P124" s="17"/>
    </row>
    <row r="125" spans="1:16" x14ac:dyDescent="0.15">
      <c r="A125" s="17"/>
      <c r="B125" s="17"/>
      <c r="C125" s="17"/>
      <c r="D125" s="17"/>
      <c r="E125" s="17"/>
      <c r="F125" s="193"/>
      <c r="G125" s="193"/>
      <c r="H125" s="193"/>
      <c r="I125" s="193"/>
      <c r="J125" s="193"/>
      <c r="K125" s="17"/>
      <c r="L125" s="17"/>
      <c r="M125" s="17"/>
      <c r="N125" s="17"/>
      <c r="O125" s="17"/>
      <c r="P125" s="17"/>
    </row>
    <row r="126" spans="1:16" x14ac:dyDescent="0.15">
      <c r="A126" s="17"/>
      <c r="B126" s="17"/>
      <c r="C126" s="17"/>
      <c r="D126" s="17"/>
      <c r="E126" s="17"/>
      <c r="F126" s="193"/>
      <c r="G126" s="193"/>
      <c r="H126" s="193"/>
      <c r="I126" s="193"/>
      <c r="J126" s="193"/>
      <c r="K126" s="17"/>
      <c r="L126" s="17"/>
      <c r="M126" s="17"/>
      <c r="N126" s="17"/>
      <c r="O126" s="17"/>
      <c r="P126" s="17"/>
    </row>
    <row r="127" spans="1:16" x14ac:dyDescent="0.15">
      <c r="A127" s="17"/>
      <c r="B127" s="17"/>
      <c r="C127" s="17"/>
      <c r="D127" s="17"/>
      <c r="E127" s="17"/>
      <c r="F127" s="193"/>
      <c r="G127" s="193"/>
      <c r="H127" s="193"/>
      <c r="I127" s="193"/>
      <c r="J127" s="193"/>
      <c r="K127" s="17"/>
      <c r="L127" s="17"/>
      <c r="M127" s="17"/>
      <c r="N127" s="17"/>
      <c r="O127" s="17"/>
      <c r="P127" s="17"/>
    </row>
    <row r="128" spans="1:16" x14ac:dyDescent="0.15">
      <c r="A128" s="17"/>
      <c r="B128" s="17"/>
      <c r="C128" s="17"/>
      <c r="D128" s="17"/>
      <c r="E128" s="17"/>
      <c r="F128" s="193"/>
      <c r="G128" s="193"/>
      <c r="H128" s="193"/>
      <c r="I128" s="193"/>
      <c r="J128" s="193"/>
      <c r="K128" s="17"/>
      <c r="L128" s="17"/>
      <c r="M128" s="17"/>
      <c r="N128" s="17"/>
      <c r="O128" s="17"/>
      <c r="P128" s="17"/>
    </row>
    <row r="129" spans="1:16" x14ac:dyDescent="0.15">
      <c r="A129" s="17"/>
      <c r="B129" s="17"/>
      <c r="C129" s="17"/>
      <c r="D129" s="17"/>
      <c r="E129" s="17"/>
      <c r="F129" s="193"/>
      <c r="G129" s="193"/>
      <c r="H129" s="193"/>
      <c r="I129" s="193"/>
      <c r="J129" s="193"/>
      <c r="K129" s="17"/>
      <c r="L129" s="17"/>
      <c r="M129" s="17"/>
      <c r="N129" s="17"/>
      <c r="O129" s="17"/>
      <c r="P129" s="17"/>
    </row>
    <row r="130" spans="1:16" x14ac:dyDescent="0.15">
      <c r="A130" s="17"/>
      <c r="B130" s="17"/>
      <c r="C130" s="17"/>
      <c r="D130" s="17"/>
      <c r="E130" s="17"/>
      <c r="F130" s="193"/>
      <c r="G130" s="193"/>
      <c r="H130" s="193"/>
      <c r="I130" s="193"/>
      <c r="J130" s="193"/>
      <c r="K130" s="17"/>
      <c r="L130" s="17"/>
      <c r="M130" s="17"/>
      <c r="N130" s="17"/>
      <c r="O130" s="17"/>
      <c r="P130" s="17"/>
    </row>
    <row r="131" spans="1:16" x14ac:dyDescent="0.15">
      <c r="A131" s="17"/>
      <c r="B131" s="17"/>
      <c r="C131" s="17"/>
      <c r="D131" s="17"/>
      <c r="E131" s="17"/>
      <c r="F131" s="193"/>
      <c r="G131" s="193"/>
      <c r="H131" s="193"/>
      <c r="I131" s="193"/>
      <c r="J131" s="193"/>
      <c r="K131" s="17"/>
      <c r="L131" s="17"/>
      <c r="M131" s="17"/>
      <c r="N131" s="17"/>
      <c r="O131" s="17"/>
      <c r="P131" s="17"/>
    </row>
    <row r="132" spans="1:16" x14ac:dyDescent="0.15">
      <c r="A132" s="17"/>
      <c r="B132" s="17"/>
      <c r="C132" s="17"/>
      <c r="D132" s="17"/>
      <c r="E132" s="17"/>
      <c r="F132" s="193"/>
      <c r="G132" s="193"/>
      <c r="H132" s="193"/>
      <c r="I132" s="193"/>
      <c r="J132" s="193"/>
      <c r="K132" s="17"/>
      <c r="L132" s="17"/>
      <c r="M132" s="17"/>
      <c r="N132" s="17"/>
      <c r="O132" s="17"/>
      <c r="P132" s="17"/>
    </row>
    <row r="133" spans="1:16" x14ac:dyDescent="0.15">
      <c r="A133" s="17"/>
      <c r="B133" s="17"/>
      <c r="C133" s="17"/>
      <c r="D133" s="17"/>
      <c r="E133" s="17"/>
      <c r="F133" s="193"/>
      <c r="G133" s="193"/>
      <c r="H133" s="193"/>
      <c r="I133" s="193"/>
      <c r="J133" s="193"/>
      <c r="K133" s="17"/>
      <c r="L133" s="17"/>
      <c r="M133" s="17"/>
      <c r="N133" s="17"/>
      <c r="O133" s="17"/>
      <c r="P133" s="17"/>
    </row>
    <row r="134" spans="1:16" x14ac:dyDescent="0.15">
      <c r="A134" s="17"/>
      <c r="B134" s="17"/>
      <c r="C134" s="17"/>
      <c r="D134" s="17"/>
      <c r="E134" s="17"/>
      <c r="F134" s="193"/>
      <c r="G134" s="193"/>
      <c r="H134" s="193"/>
      <c r="I134" s="193"/>
      <c r="J134" s="193"/>
      <c r="K134" s="17"/>
      <c r="L134" s="17"/>
      <c r="M134" s="17"/>
      <c r="N134" s="17"/>
      <c r="O134" s="17"/>
      <c r="P134" s="17"/>
    </row>
    <row r="135" spans="1:16" x14ac:dyDescent="0.15">
      <c r="A135" s="17"/>
      <c r="B135" s="17"/>
      <c r="C135" s="17"/>
      <c r="D135" s="17"/>
      <c r="E135" s="17"/>
      <c r="F135" s="193"/>
      <c r="G135" s="193"/>
      <c r="H135" s="193"/>
      <c r="I135" s="193"/>
      <c r="J135" s="193"/>
      <c r="K135" s="17"/>
      <c r="L135" s="17"/>
      <c r="M135" s="17"/>
      <c r="N135" s="17"/>
      <c r="O135" s="17"/>
      <c r="P135" s="17"/>
    </row>
    <row r="136" spans="1:16" x14ac:dyDescent="0.15">
      <c r="A136" s="17"/>
      <c r="B136" s="17"/>
      <c r="C136" s="17"/>
      <c r="D136" s="17"/>
      <c r="E136" s="17"/>
      <c r="F136" s="193"/>
      <c r="G136" s="193"/>
      <c r="H136" s="193"/>
      <c r="I136" s="193"/>
      <c r="J136" s="193"/>
      <c r="K136" s="17"/>
      <c r="L136" s="17"/>
      <c r="M136" s="17"/>
      <c r="N136" s="17"/>
      <c r="O136" s="17"/>
      <c r="P136" s="17"/>
    </row>
    <row r="137" spans="1:16" x14ac:dyDescent="0.15">
      <c r="A137" s="17"/>
      <c r="B137" s="17"/>
      <c r="C137" s="17"/>
      <c r="D137" s="17"/>
      <c r="E137" s="17"/>
      <c r="F137" s="193"/>
      <c r="G137" s="193"/>
      <c r="H137" s="193"/>
      <c r="I137" s="193"/>
      <c r="J137" s="193"/>
      <c r="K137" s="17"/>
      <c r="L137" s="17"/>
      <c r="M137" s="17"/>
      <c r="N137" s="17"/>
      <c r="O137" s="17"/>
      <c r="P137" s="17"/>
    </row>
    <row r="138" spans="1:16" x14ac:dyDescent="0.15">
      <c r="A138" s="17"/>
      <c r="B138" s="17"/>
      <c r="C138" s="17"/>
      <c r="D138" s="17"/>
      <c r="E138" s="17"/>
      <c r="F138" s="193"/>
      <c r="G138" s="193"/>
      <c r="H138" s="193"/>
      <c r="I138" s="193"/>
      <c r="J138" s="193"/>
      <c r="K138" s="17"/>
      <c r="L138" s="17"/>
      <c r="M138" s="17"/>
      <c r="N138" s="17"/>
      <c r="O138" s="17"/>
      <c r="P138" s="17"/>
    </row>
    <row r="139" spans="1:16" x14ac:dyDescent="0.15">
      <c r="A139" s="17"/>
      <c r="B139" s="17"/>
      <c r="C139" s="17"/>
      <c r="D139" s="17"/>
      <c r="E139" s="17"/>
      <c r="F139" s="193"/>
      <c r="G139" s="193"/>
      <c r="H139" s="193"/>
      <c r="I139" s="193"/>
      <c r="J139" s="193"/>
      <c r="K139" s="17"/>
      <c r="L139" s="17"/>
      <c r="M139" s="17"/>
      <c r="N139" s="17"/>
      <c r="O139" s="17"/>
      <c r="P139" s="17"/>
    </row>
    <row r="140" spans="1:16" x14ac:dyDescent="0.15">
      <c r="A140" s="17"/>
      <c r="B140" s="17"/>
      <c r="C140" s="17"/>
      <c r="D140" s="17"/>
      <c r="E140" s="17"/>
      <c r="F140" s="193"/>
      <c r="G140" s="193"/>
      <c r="H140" s="193"/>
      <c r="I140" s="193"/>
      <c r="J140" s="193"/>
      <c r="K140" s="17"/>
      <c r="L140" s="17"/>
      <c r="M140" s="17"/>
      <c r="N140" s="17"/>
      <c r="O140" s="17"/>
      <c r="P140" s="17"/>
    </row>
    <row r="141" spans="1:16" x14ac:dyDescent="0.15">
      <c r="A141" s="17"/>
      <c r="B141" s="17"/>
      <c r="C141" s="17"/>
      <c r="D141" s="17"/>
      <c r="E141" s="17"/>
      <c r="F141" s="193"/>
      <c r="G141" s="193"/>
      <c r="H141" s="193"/>
      <c r="I141" s="193"/>
      <c r="J141" s="193"/>
      <c r="K141" s="17"/>
      <c r="L141" s="17"/>
      <c r="M141" s="17"/>
      <c r="N141" s="17"/>
      <c r="O141" s="17"/>
      <c r="P141" s="17"/>
    </row>
  </sheetData>
  <mergeCells count="2">
    <mergeCell ref="A1:F1"/>
    <mergeCell ref="A2:F2"/>
  </mergeCells>
  <pageMargins left="0.45" right="0.45" top="0.75" bottom="0.75" header="0.3" footer="0.3"/>
  <pageSetup orientation="portrait" r:id="rId1"/>
  <headerFooter>
    <oddFooter>&amp;C&amp;P&amp;R&amp;F, &amp;D</oddFooter>
  </headerFooter>
  <rowBreaks count="5" manualBreakCount="5">
    <brk id="60" max="16383" man="1"/>
    <brk id="112" max="16383" man="1"/>
    <brk id="167" max="11" man="1"/>
    <brk id="227" max="11" man="1"/>
    <brk id="288" max="11" man="1"/>
  </rowBreaks>
  <colBreaks count="1" manualBreakCount="1">
    <brk id="12" max="1048575" man="1"/>
  </col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50"/>
  </sheetPr>
  <dimension ref="A1:Z175"/>
  <sheetViews>
    <sheetView tabSelected="1" topLeftCell="A30" workbookViewId="0">
      <selection activeCell="I84" sqref="I84"/>
    </sheetView>
  </sheetViews>
  <sheetFormatPr baseColWidth="10" defaultColWidth="8.83203125" defaultRowHeight="13" x14ac:dyDescent="0.15"/>
  <cols>
    <col min="3" max="3" width="11" customWidth="1"/>
    <col min="4" max="4" width="10.5" customWidth="1"/>
    <col min="5" max="5" width="16.5" customWidth="1"/>
    <col min="6" max="7" width="11.6640625" bestFit="1" customWidth="1"/>
    <col min="8" max="8" width="12" customWidth="1"/>
    <col min="9" max="9" width="13.83203125" customWidth="1"/>
    <col min="10" max="10" width="14" customWidth="1"/>
    <col min="11" max="11" width="15.83203125" customWidth="1"/>
    <col min="12" max="12" width="11.1640625" customWidth="1"/>
    <col min="13" max="13" width="10.1640625" customWidth="1"/>
    <col min="15" max="15" width="12.33203125" style="235" customWidth="1"/>
    <col min="19" max="19" width="11.6640625" customWidth="1"/>
    <col min="25" max="25" width="10" customWidth="1"/>
  </cols>
  <sheetData>
    <row r="1" spans="1:23" ht="18" x14ac:dyDescent="0.2">
      <c r="A1" s="481" t="s">
        <v>184</v>
      </c>
      <c r="B1" s="481"/>
      <c r="C1" s="481"/>
      <c r="D1" s="481"/>
      <c r="E1" s="481"/>
      <c r="F1" s="481"/>
      <c r="G1" s="481"/>
      <c r="H1" s="481"/>
      <c r="I1" s="481"/>
      <c r="J1" s="481"/>
      <c r="K1" s="481"/>
      <c r="L1" s="481"/>
      <c r="M1" s="481"/>
      <c r="N1" s="384" t="s">
        <v>665</v>
      </c>
      <c r="O1" s="234"/>
    </row>
    <row r="2" spans="1:23" ht="16" x14ac:dyDescent="0.2">
      <c r="A2" s="16"/>
      <c r="B2" s="8"/>
      <c r="C2" s="8"/>
      <c r="D2" s="8"/>
      <c r="E2" s="319" t="s">
        <v>505</v>
      </c>
      <c r="N2" s="384" t="s">
        <v>666</v>
      </c>
      <c r="O2" s="234"/>
    </row>
    <row r="3" spans="1:23" ht="17" thickBot="1" x14ac:dyDescent="0.25">
      <c r="A3" s="16"/>
      <c r="B3" s="16"/>
      <c r="C3" s="35"/>
      <c r="D3" s="150"/>
      <c r="E3" s="318" t="s">
        <v>417</v>
      </c>
      <c r="F3" s="479" t="s">
        <v>196</v>
      </c>
      <c r="G3" s="479"/>
      <c r="H3" s="479"/>
      <c r="I3" s="479"/>
      <c r="J3" s="479"/>
      <c r="K3" s="479"/>
      <c r="M3" s="319" t="s">
        <v>202</v>
      </c>
      <c r="N3" s="370"/>
      <c r="O3" s="16"/>
      <c r="Q3" s="35"/>
      <c r="R3" s="150"/>
      <c r="S3" s="1"/>
      <c r="T3" s="1"/>
      <c r="U3" s="1"/>
      <c r="V3" s="1"/>
      <c r="W3" s="1"/>
    </row>
    <row r="4" spans="1:23" ht="16" x14ac:dyDescent="0.2">
      <c r="A4" s="304"/>
      <c r="B4" s="146"/>
      <c r="C4" s="22"/>
      <c r="D4" s="22"/>
      <c r="E4" s="330" t="s">
        <v>876</v>
      </c>
      <c r="F4" s="330"/>
      <c r="G4" s="330"/>
      <c r="H4" s="330" t="s">
        <v>876</v>
      </c>
      <c r="I4" s="330"/>
      <c r="J4" s="330"/>
      <c r="K4" s="330"/>
      <c r="L4" s="330" t="s">
        <v>197</v>
      </c>
      <c r="M4" s="330" t="s">
        <v>198</v>
      </c>
      <c r="N4" s="371"/>
      <c r="O4" s="58"/>
      <c r="Q4" s="22"/>
      <c r="R4" s="22"/>
      <c r="S4" s="10"/>
    </row>
    <row r="5" spans="1:23" ht="16" x14ac:dyDescent="0.2">
      <c r="A5" s="304" t="s">
        <v>107</v>
      </c>
      <c r="B5" s="146"/>
      <c r="C5" s="22"/>
      <c r="D5" s="22"/>
      <c r="E5" s="319"/>
      <c r="F5" s="319"/>
      <c r="G5" s="319"/>
      <c r="H5" s="16"/>
      <c r="I5" s="319"/>
      <c r="J5" s="319"/>
      <c r="K5" s="319"/>
      <c r="N5" s="371"/>
      <c r="O5" s="58"/>
      <c r="Q5" s="22"/>
      <c r="R5" s="22"/>
      <c r="S5" s="10"/>
    </row>
    <row r="6" spans="1:23" ht="15" x14ac:dyDescent="0.2">
      <c r="A6" s="240" t="s">
        <v>770</v>
      </c>
      <c r="B6" s="146"/>
      <c r="C6" s="22"/>
      <c r="D6" s="22"/>
      <c r="E6" s="104">
        <f t="shared" ref="E6:E18" si="0">IF(M6&gt;0,M6,IF($E$4=$F$4,F6,IF($E$4=$G$4,G6,IF($E$4=$H$4,H6,IF($E$4=$I$4,I6,IF($E$4=$J$4,J6,IF($E$4=$K$4,K6,IF($E$4=$L$4,L6))))))))</f>
        <v>2</v>
      </c>
      <c r="F6" s="133"/>
      <c r="G6" s="244"/>
      <c r="H6" s="133">
        <v>2</v>
      </c>
      <c r="I6" s="244"/>
      <c r="J6" s="133"/>
      <c r="K6" s="133"/>
      <c r="N6" s="371"/>
      <c r="O6" s="58"/>
      <c r="Q6" s="22"/>
      <c r="R6" s="22"/>
      <c r="S6" s="10"/>
    </row>
    <row r="7" spans="1:23" x14ac:dyDescent="0.15">
      <c r="A7" t="s">
        <v>194</v>
      </c>
      <c r="B7" s="146"/>
      <c r="C7" s="22"/>
      <c r="D7" s="22"/>
      <c r="E7" s="104">
        <f t="shared" si="0"/>
        <v>1168</v>
      </c>
      <c r="F7" s="133"/>
      <c r="G7" s="244"/>
      <c r="H7" s="133">
        <v>1168</v>
      </c>
      <c r="I7" s="3"/>
      <c r="J7" s="133"/>
      <c r="K7" s="133"/>
      <c r="L7" s="251"/>
      <c r="M7" s="133"/>
      <c r="N7" s="365"/>
      <c r="O7"/>
      <c r="Q7" s="22"/>
      <c r="R7" s="22"/>
      <c r="S7" s="133"/>
      <c r="T7" s="133"/>
      <c r="U7" s="3"/>
      <c r="V7" s="133"/>
      <c r="W7" s="133"/>
    </row>
    <row r="8" spans="1:23" x14ac:dyDescent="0.15">
      <c r="A8" s="44" t="s">
        <v>764</v>
      </c>
      <c r="B8" s="22"/>
      <c r="C8" s="22"/>
      <c r="D8" s="387" t="s">
        <v>765</v>
      </c>
      <c r="E8" s="104" t="str">
        <f t="shared" si="0"/>
        <v>Open</v>
      </c>
      <c r="F8" s="261"/>
      <c r="G8" s="234"/>
      <c r="H8" s="261" t="s">
        <v>766</v>
      </c>
      <c r="I8" s="261"/>
      <c r="J8" s="261"/>
      <c r="K8" s="261"/>
      <c r="N8" s="372"/>
      <c r="O8" s="162"/>
      <c r="Q8" s="22"/>
      <c r="R8" s="22"/>
      <c r="S8" s="133"/>
      <c r="T8" s="106"/>
      <c r="V8" s="151"/>
      <c r="W8" s="151"/>
    </row>
    <row r="9" spans="1:23" x14ac:dyDescent="0.15">
      <c r="A9" s="12" t="s">
        <v>108</v>
      </c>
      <c r="B9" s="22"/>
      <c r="C9" s="22"/>
      <c r="D9" s="22"/>
      <c r="E9" s="104">
        <f t="shared" si="0"/>
        <v>60</v>
      </c>
      <c r="F9" s="292"/>
      <c r="G9" s="247"/>
      <c r="H9" s="292">
        <f>100-H10-H11-H12-H18</f>
        <v>60</v>
      </c>
      <c r="I9" s="292"/>
      <c r="J9" s="106"/>
      <c r="K9" s="151"/>
      <c r="N9" s="372"/>
      <c r="O9" s="162"/>
      <c r="Q9" s="22"/>
      <c r="R9" s="22"/>
      <c r="S9" s="133"/>
      <c r="T9" s="106"/>
      <c r="V9" s="151"/>
      <c r="W9" s="151"/>
    </row>
    <row r="10" spans="1:23" x14ac:dyDescent="0.15">
      <c r="A10" s="12" t="s">
        <v>112</v>
      </c>
      <c r="B10" s="22"/>
      <c r="C10" s="22"/>
      <c r="D10" s="22"/>
      <c r="E10" s="104">
        <f t="shared" si="0"/>
        <v>8</v>
      </c>
      <c r="F10" s="133"/>
      <c r="G10" s="244"/>
      <c r="H10" s="133">
        <v>8</v>
      </c>
      <c r="I10" s="133"/>
      <c r="J10" s="106"/>
      <c r="K10" s="151"/>
      <c r="N10" s="372"/>
      <c r="O10" s="162"/>
      <c r="Q10" s="22"/>
      <c r="R10" s="22"/>
      <c r="S10" s="133"/>
      <c r="T10" s="106"/>
      <c r="V10" s="151"/>
      <c r="W10" s="151"/>
    </row>
    <row r="11" spans="1:23" x14ac:dyDescent="0.15">
      <c r="A11" s="28" t="s">
        <v>113</v>
      </c>
      <c r="B11" s="22"/>
      <c r="C11" s="22"/>
      <c r="D11" s="22"/>
      <c r="E11" s="104">
        <f t="shared" si="0"/>
        <v>2</v>
      </c>
      <c r="F11" s="133"/>
      <c r="G11" s="244"/>
      <c r="H11" s="133">
        <v>2</v>
      </c>
      <c r="I11" s="133"/>
      <c r="J11" s="106"/>
      <c r="K11" s="151"/>
      <c r="N11" s="372"/>
      <c r="O11" s="162"/>
      <c r="Q11" s="22"/>
      <c r="R11" s="22"/>
      <c r="S11" s="133"/>
      <c r="T11" s="106"/>
      <c r="V11" s="151"/>
      <c r="W11" s="151"/>
    </row>
    <row r="12" spans="1:23" x14ac:dyDescent="0.15">
      <c r="A12" s="28" t="s">
        <v>767</v>
      </c>
      <c r="B12" s="22"/>
      <c r="C12" s="22"/>
      <c r="D12" s="22"/>
      <c r="E12" s="104">
        <f t="shared" si="0"/>
        <v>5</v>
      </c>
      <c r="F12" s="133"/>
      <c r="G12" s="244"/>
      <c r="H12" s="133">
        <v>5</v>
      </c>
      <c r="I12" s="133"/>
      <c r="J12" s="106"/>
      <c r="K12" s="151"/>
      <c r="N12" s="372"/>
      <c r="O12" s="162"/>
      <c r="Q12" s="22"/>
      <c r="R12" s="22"/>
      <c r="S12" s="133"/>
      <c r="T12" s="106"/>
      <c r="V12" s="151"/>
      <c r="W12" s="151"/>
    </row>
    <row r="13" spans="1:23" x14ac:dyDescent="0.15">
      <c r="A13" s="162" t="s">
        <v>110</v>
      </c>
      <c r="B13" s="22"/>
      <c r="C13" s="22"/>
      <c r="D13" s="22"/>
      <c r="E13" s="104"/>
      <c r="F13" s="106"/>
      <c r="H13" s="106"/>
      <c r="J13" s="106"/>
      <c r="K13" s="151"/>
      <c r="N13" s="372"/>
      <c r="O13" s="162"/>
      <c r="Q13" s="22"/>
      <c r="R13" s="22"/>
      <c r="S13" s="133"/>
      <c r="T13" s="106"/>
      <c r="V13" s="151"/>
      <c r="W13" s="151"/>
    </row>
    <row r="14" spans="1:23" x14ac:dyDescent="0.15">
      <c r="A14" s="12" t="s">
        <v>108</v>
      </c>
      <c r="B14" s="11"/>
      <c r="C14" s="11"/>
      <c r="D14" s="11"/>
      <c r="E14" s="104">
        <f t="shared" si="0"/>
        <v>0</v>
      </c>
      <c r="F14" s="133"/>
      <c r="G14" s="244"/>
      <c r="H14" s="133"/>
      <c r="I14" s="133"/>
      <c r="J14" s="133"/>
      <c r="K14" s="133"/>
      <c r="N14" s="373"/>
      <c r="O14" s="12"/>
      <c r="Q14" s="11"/>
      <c r="R14" s="11"/>
      <c r="S14" s="133"/>
      <c r="T14" s="133"/>
      <c r="U14" s="133"/>
      <c r="V14" s="133"/>
      <c r="W14" s="133"/>
    </row>
    <row r="15" spans="1:23" x14ac:dyDescent="0.15">
      <c r="A15" s="12" t="s">
        <v>112</v>
      </c>
      <c r="B15" s="36"/>
      <c r="C15" s="36"/>
      <c r="D15" s="36"/>
      <c r="E15" s="104">
        <f t="shared" si="0"/>
        <v>0</v>
      </c>
      <c r="F15" s="133"/>
      <c r="G15" s="244"/>
      <c r="H15" s="133"/>
      <c r="I15" s="133"/>
      <c r="J15" s="133"/>
      <c r="K15" s="133"/>
      <c r="N15" s="373"/>
      <c r="O15" s="12"/>
      <c r="Q15" s="36"/>
      <c r="R15" s="36"/>
      <c r="S15" s="133"/>
      <c r="T15" s="133"/>
      <c r="U15" s="133"/>
      <c r="V15" s="133"/>
      <c r="W15" s="133"/>
    </row>
    <row r="16" spans="1:23" x14ac:dyDescent="0.15">
      <c r="A16" s="10" t="s">
        <v>113</v>
      </c>
      <c r="B16" s="10"/>
      <c r="C16" s="10"/>
      <c r="D16" s="10"/>
      <c r="E16" s="104">
        <f t="shared" si="0"/>
        <v>0</v>
      </c>
      <c r="F16" s="152"/>
      <c r="G16" s="234"/>
      <c r="H16" s="152"/>
      <c r="I16" s="152"/>
      <c r="J16" s="152"/>
      <c r="K16" s="152"/>
      <c r="N16" s="374"/>
      <c r="O16" s="10"/>
      <c r="Q16" s="10"/>
      <c r="R16" s="10"/>
      <c r="S16" s="133"/>
      <c r="T16" s="152"/>
      <c r="U16" s="152"/>
      <c r="V16" s="152"/>
      <c r="W16" s="152"/>
    </row>
    <row r="17" spans="1:23" x14ac:dyDescent="0.15">
      <c r="A17" s="147" t="s">
        <v>267</v>
      </c>
      <c r="B17" s="10"/>
      <c r="C17" s="10"/>
      <c r="D17" s="10"/>
      <c r="E17" s="104" t="str">
        <f t="shared" si="0"/>
        <v>NMP</v>
      </c>
      <c r="F17" s="152"/>
      <c r="G17" s="234"/>
      <c r="H17" s="152" t="s">
        <v>268</v>
      </c>
      <c r="I17" s="261"/>
      <c r="J17" s="261"/>
      <c r="K17" s="152"/>
      <c r="N17" s="375"/>
      <c r="O17" s="147"/>
      <c r="Q17" s="10"/>
      <c r="R17" s="10"/>
      <c r="S17" s="133"/>
      <c r="T17" s="152"/>
      <c r="U17" s="152"/>
      <c r="V17" s="152"/>
      <c r="W17" s="152"/>
    </row>
    <row r="18" spans="1:23" x14ac:dyDescent="0.15">
      <c r="A18" s="147" t="s">
        <v>768</v>
      </c>
      <c r="B18" s="15"/>
      <c r="C18" s="15"/>
      <c r="D18" s="15"/>
      <c r="E18" s="104">
        <f t="shared" si="0"/>
        <v>25</v>
      </c>
      <c r="F18" s="153"/>
      <c r="G18" s="471"/>
      <c r="H18" s="153">
        <v>25</v>
      </c>
      <c r="I18" s="153"/>
      <c r="J18" s="153"/>
      <c r="K18" s="153"/>
      <c r="M18" s="153"/>
      <c r="N18" s="375"/>
      <c r="O18" s="147"/>
      <c r="Q18" s="15"/>
      <c r="R18" s="15"/>
      <c r="S18" s="133"/>
      <c r="T18" s="153"/>
      <c r="U18" s="153"/>
      <c r="V18" s="153"/>
      <c r="W18" s="153"/>
    </row>
    <row r="19" spans="1:23" ht="15" x14ac:dyDescent="0.15">
      <c r="A19" s="147" t="s">
        <v>185</v>
      </c>
      <c r="B19" s="15"/>
      <c r="C19" s="15"/>
      <c r="D19" s="15"/>
      <c r="E19" s="104"/>
      <c r="F19" s="106"/>
      <c r="H19" s="106"/>
      <c r="J19" s="106"/>
      <c r="K19" s="153"/>
      <c r="N19" s="375"/>
      <c r="O19" s="147"/>
      <c r="Q19" s="15"/>
      <c r="R19" s="15"/>
      <c r="S19" s="133"/>
      <c r="T19" s="106"/>
      <c r="V19" s="153"/>
      <c r="W19" s="153"/>
    </row>
    <row r="20" spans="1:23" x14ac:dyDescent="0.15">
      <c r="A20" s="12" t="s">
        <v>108</v>
      </c>
      <c r="B20" s="15"/>
      <c r="C20" s="15"/>
      <c r="D20" s="15"/>
      <c r="E20" s="104">
        <f>IF(M20&gt;0,M20,IF($E$4=$F$4,F20,IF($E$4=$G$4,G20,IF($E$4=$H$4,H20,IF($E$4=$I$4,I20,IF($E$4=$J$4,J20,IF($E$4=$K$4,K20,IF($E$4=$L$4,L20))))))))</f>
        <v>2.31</v>
      </c>
      <c r="F20" s="152"/>
      <c r="G20" s="234"/>
      <c r="H20" s="152">
        <v>2.31</v>
      </c>
      <c r="I20" s="152"/>
      <c r="J20" s="152"/>
      <c r="K20" s="152"/>
      <c r="N20" s="373"/>
      <c r="O20" s="12"/>
      <c r="Q20" s="15"/>
      <c r="R20" s="15"/>
      <c r="S20" s="133"/>
      <c r="T20" s="152"/>
      <c r="U20" s="152"/>
      <c r="V20" s="152"/>
      <c r="W20" s="152"/>
    </row>
    <row r="21" spans="1:23" x14ac:dyDescent="0.15">
      <c r="A21" s="12" t="s">
        <v>112</v>
      </c>
      <c r="B21" s="15"/>
      <c r="C21" s="15"/>
      <c r="D21" s="15"/>
      <c r="E21" s="104">
        <f>IF(M21&gt;0,M21,IF($E$4=$F$4,F21,IF($E$4=$G$4,G21,IF($E$4=$H$4,H21,IF($E$4=$I$4,I21,IF($E$4=$J$4,J21,IF($E$4=$K$4,K21,IF($E$4=$L$4,L21))))))))</f>
        <v>1.825</v>
      </c>
      <c r="F21" s="152"/>
      <c r="G21" s="234"/>
      <c r="H21" s="152">
        <v>1.825</v>
      </c>
      <c r="I21" s="152"/>
      <c r="J21" s="152"/>
      <c r="K21" s="152"/>
      <c r="N21" s="373"/>
      <c r="O21" s="12"/>
      <c r="Q21" s="15"/>
      <c r="R21" s="15"/>
      <c r="S21" s="133"/>
      <c r="T21" s="152"/>
      <c r="U21" s="152"/>
      <c r="V21" s="152"/>
      <c r="W21" s="152"/>
    </row>
    <row r="22" spans="1:23" x14ac:dyDescent="0.15">
      <c r="A22" s="10" t="s">
        <v>113</v>
      </c>
      <c r="B22" s="15"/>
      <c r="C22" s="15"/>
      <c r="D22" s="15"/>
      <c r="E22" s="104">
        <f>IF(M22&gt;0,M22,IF($E$4=$F$4,F22,IF($E$4=$G$4,G22,IF($E$4=$H$4,H22,IF($E$4=$I$4,I22,IF($E$4=$J$4,J22,IF($E$4=$K$4,K22,IF($E$4=$L$4,L22))))))))</f>
        <v>1.77</v>
      </c>
      <c r="F22" s="152"/>
      <c r="G22" s="234"/>
      <c r="H22" s="152">
        <v>1.77</v>
      </c>
      <c r="I22" s="152"/>
      <c r="J22" s="152"/>
      <c r="K22" s="152"/>
      <c r="N22" s="374"/>
      <c r="O22" s="10"/>
      <c r="Q22" s="15"/>
      <c r="R22" s="15"/>
      <c r="S22" s="133"/>
      <c r="T22" s="152"/>
      <c r="U22" s="152"/>
      <c r="V22" s="152"/>
      <c r="W22" s="152"/>
    </row>
    <row r="23" spans="1:23" ht="14" x14ac:dyDescent="0.15">
      <c r="A23" s="305" t="s">
        <v>186</v>
      </c>
      <c r="B23" s="26"/>
      <c r="C23" s="26"/>
      <c r="D23" s="26"/>
      <c r="E23" s="104"/>
      <c r="F23" s="106"/>
      <c r="H23" s="106"/>
      <c r="J23" s="106"/>
      <c r="K23" s="154"/>
      <c r="N23" s="376"/>
      <c r="O23" s="146"/>
      <c r="Q23" s="26"/>
      <c r="R23" s="26"/>
      <c r="S23" s="133"/>
      <c r="T23" s="106"/>
      <c r="V23" s="154"/>
      <c r="W23" s="154"/>
    </row>
    <row r="24" spans="1:23" x14ac:dyDescent="0.15">
      <c r="A24" s="28" t="s">
        <v>193</v>
      </c>
      <c r="B24" s="26"/>
      <c r="C24" s="26"/>
      <c r="D24" s="26"/>
      <c r="E24" s="112">
        <f>IF(M24&gt;0,M24,IF($E$4=$F$4,F24,IF($E$4=$G$4,G24,IF($E$4=$H$4,H24,IF($E$4=$I$4,I24,IF($E$4=$J$4,J24,IF($E$4=$K$4,K24,IF($E$4=$L$4,L24))))))))</f>
        <v>1.5</v>
      </c>
      <c r="F24" s="152"/>
      <c r="G24" s="234"/>
      <c r="H24" s="152">
        <v>1.5</v>
      </c>
      <c r="I24" s="152"/>
      <c r="J24" s="287"/>
      <c r="K24" s="287"/>
      <c r="M24" s="152"/>
      <c r="N24" s="377"/>
      <c r="O24" s="28"/>
      <c r="Q24" s="26"/>
      <c r="R24" s="26"/>
      <c r="S24" s="102"/>
      <c r="T24" s="152"/>
      <c r="U24" s="152"/>
      <c r="V24" s="155"/>
      <c r="W24" s="152"/>
    </row>
    <row r="25" spans="1:23" x14ac:dyDescent="0.15">
      <c r="A25" t="s">
        <v>194</v>
      </c>
      <c r="B25" s="26"/>
      <c r="C25" s="26"/>
      <c r="D25" s="26"/>
      <c r="E25" s="104">
        <f>IF(M25&gt;0,M25,IF($E$4=$F$4,F25,IF($E$4=$G$4,G25,IF($E$4=$H$4,H25,IF($E$4=$I$4,I25,IF($E$4=$J$4,J25,IF($E$4=$K$4,K25,IF($E$4=$L$4,L25))))))))</f>
        <v>827</v>
      </c>
      <c r="F25" s="152"/>
      <c r="G25" s="234"/>
      <c r="H25" s="152">
        <v>827</v>
      </c>
      <c r="I25" s="152"/>
      <c r="J25" s="152"/>
      <c r="K25" s="152"/>
      <c r="M25" s="152"/>
      <c r="N25" s="365"/>
      <c r="O25"/>
      <c r="Q25" s="26"/>
      <c r="R25" s="26"/>
      <c r="S25" s="133"/>
      <c r="T25" s="152"/>
      <c r="U25" s="152"/>
      <c r="V25" s="134"/>
      <c r="W25" s="152"/>
    </row>
    <row r="26" spans="1:23" x14ac:dyDescent="0.15">
      <c r="A26" s="163" t="s">
        <v>110</v>
      </c>
      <c r="B26" s="26"/>
      <c r="C26" s="26"/>
      <c r="D26" s="26"/>
      <c r="E26" s="104"/>
      <c r="F26" s="106"/>
      <c r="H26" s="106"/>
      <c r="J26" s="106"/>
      <c r="K26" s="106"/>
      <c r="N26" s="378"/>
      <c r="O26" s="163"/>
      <c r="Q26" s="26"/>
      <c r="R26" s="26"/>
      <c r="S26" s="133"/>
      <c r="T26" s="106"/>
      <c r="V26" s="154"/>
      <c r="W26" s="106"/>
    </row>
    <row r="27" spans="1:23" x14ac:dyDescent="0.15">
      <c r="A27" s="51" t="s">
        <v>108</v>
      </c>
      <c r="B27" s="26"/>
      <c r="C27" s="26"/>
      <c r="D27" s="26"/>
      <c r="E27" s="104">
        <f>IF(M27&gt;0,M27,IF($E$4=$F$4,F27,IF($E$4=$G$4,G27,IF($E$4=$H$4,H27,IF($E$4=$I$4,I27,IF($E$4=$J$4,J27,IF($E$4=$K$4,K27,IF($E$4=$L$4,L27))))))))</f>
        <v>100</v>
      </c>
      <c r="F27" s="156"/>
      <c r="G27" s="247"/>
      <c r="H27" s="156">
        <f>100-H28-H29</f>
        <v>100</v>
      </c>
      <c r="I27" s="156"/>
      <c r="J27" s="156"/>
      <c r="K27" s="156"/>
      <c r="N27" s="379"/>
      <c r="O27" s="51"/>
      <c r="Q27" s="26"/>
      <c r="R27" s="26"/>
      <c r="S27" s="133"/>
      <c r="T27" s="156"/>
      <c r="U27" s="156"/>
      <c r="V27" s="156"/>
      <c r="W27" s="156"/>
    </row>
    <row r="28" spans="1:23" x14ac:dyDescent="0.15">
      <c r="A28" s="28" t="s">
        <v>112</v>
      </c>
      <c r="B28" s="26"/>
      <c r="C28" s="26"/>
      <c r="D28" s="26"/>
      <c r="E28" s="104">
        <f>IF(M28&gt;0,M28,IF($E$4=$F$4,F28,IF($E$4=$G$4,G28,IF($E$4=$H$4,H28,IF($E$4=$I$4,I28,IF($E$4=$J$4,J28,IF($E$4=$K$4,K28,IF($E$4=$L$4,L28))))))))</f>
        <v>0</v>
      </c>
      <c r="F28" s="156"/>
      <c r="G28" s="247"/>
      <c r="H28" s="156">
        <v>0</v>
      </c>
      <c r="I28" s="156"/>
      <c r="J28" s="156"/>
      <c r="K28" s="156"/>
      <c r="N28" s="377"/>
      <c r="O28" s="28"/>
      <c r="Q28" s="147"/>
      <c r="R28" s="26"/>
      <c r="S28" s="133"/>
      <c r="T28" s="156"/>
      <c r="U28" s="156"/>
      <c r="V28" s="156"/>
      <c r="W28" s="156"/>
    </row>
    <row r="29" spans="1:23" x14ac:dyDescent="0.15">
      <c r="A29" s="28" t="s">
        <v>113</v>
      </c>
      <c r="B29" s="26"/>
      <c r="C29" s="26"/>
      <c r="D29" s="26"/>
      <c r="E29" s="104">
        <f>IF(M29&gt;0,M29,IF($E$4=$F$4,F29,IF($E$4=$G$4,G29,IF($E$4=$H$4,H29,IF($E$4=$I$4,I29,IF($E$4=$J$4,J29,IF($E$4=$K$4,K29,IF($E$4=$L$4,L29))))))))</f>
        <v>0</v>
      </c>
      <c r="F29" s="156"/>
      <c r="G29" s="247"/>
      <c r="H29" s="156">
        <v>0</v>
      </c>
      <c r="I29" s="156"/>
      <c r="J29" s="156"/>
      <c r="K29" s="156"/>
      <c r="N29" s="377"/>
      <c r="O29" s="28"/>
      <c r="Q29" s="26"/>
      <c r="R29" s="26"/>
      <c r="S29" s="133"/>
      <c r="T29" s="156"/>
      <c r="U29" s="156"/>
      <c r="V29" s="156"/>
      <c r="W29" s="156"/>
    </row>
    <row r="30" spans="1:23" x14ac:dyDescent="0.15">
      <c r="A30" s="147" t="s">
        <v>267</v>
      </c>
      <c r="B30" s="26"/>
      <c r="C30" s="26"/>
      <c r="D30" s="26"/>
      <c r="E30" s="104" t="str">
        <f>IF(M30&gt;0,M30,IF($E$4=$F$4,F30,IF($E$4=$G$4,G30,IF($E$4=$H$4,H30,IF($E$4=$I$4,I30,IF($E$4=$J$4,J30,IF($E$4=$K$4,K30,IF($E$4=$L$4,L30))))))))</f>
        <v>NMP</v>
      </c>
      <c r="F30" s="156"/>
      <c r="G30" s="247"/>
      <c r="H30" s="156" t="s">
        <v>268</v>
      </c>
      <c r="I30" s="156"/>
      <c r="J30" s="156"/>
      <c r="K30" s="156"/>
      <c r="N30" s="374"/>
      <c r="O30" s="10"/>
      <c r="Q30" s="26"/>
      <c r="R30" s="26"/>
      <c r="S30" s="133"/>
      <c r="T30" s="156"/>
      <c r="U30" s="156"/>
      <c r="V30" s="156"/>
      <c r="W30" s="156"/>
    </row>
    <row r="31" spans="1:23" x14ac:dyDescent="0.15">
      <c r="A31" s="147" t="s">
        <v>323</v>
      </c>
      <c r="B31" s="31"/>
      <c r="C31" s="31"/>
      <c r="D31" s="31"/>
      <c r="E31" s="104">
        <f>IF(M31&gt;0,M31,IF($E$4=$F$4,F31,IF($E$4=$G$4,G31,IF($E$4=$H$4,H31,IF($E$4=$I$4,I31,IF($E$4=$J$4,J31,IF($E$4=$K$4,K31,IF($E$4=$L$4,L31))))))))</f>
        <v>0</v>
      </c>
      <c r="F31" s="134"/>
      <c r="G31" s="234"/>
      <c r="H31" s="134">
        <v>0</v>
      </c>
      <c r="I31" s="134"/>
      <c r="J31" s="134"/>
      <c r="K31" s="134"/>
      <c r="N31" s="375"/>
      <c r="O31" s="147"/>
      <c r="Q31" s="31"/>
      <c r="R31" s="31"/>
      <c r="S31" s="133"/>
      <c r="T31" s="134"/>
      <c r="U31" s="134"/>
      <c r="V31" s="134"/>
      <c r="W31" s="134"/>
    </row>
    <row r="32" spans="1:23" ht="15" x14ac:dyDescent="0.15">
      <c r="A32" s="147" t="s">
        <v>185</v>
      </c>
      <c r="B32" s="31"/>
      <c r="C32" s="31"/>
      <c r="D32" s="31"/>
      <c r="E32" s="104"/>
      <c r="F32" s="106"/>
      <c r="H32" s="106"/>
      <c r="I32" s="106"/>
      <c r="J32" s="106"/>
      <c r="K32" s="106"/>
      <c r="N32" s="375"/>
      <c r="O32" s="147"/>
      <c r="Q32" s="31"/>
      <c r="R32" s="31"/>
      <c r="S32" s="133"/>
      <c r="T32" s="106"/>
      <c r="U32" s="106"/>
      <c r="V32" s="134"/>
      <c r="W32" s="106"/>
    </row>
    <row r="33" spans="1:26" x14ac:dyDescent="0.15">
      <c r="A33" s="51" t="s">
        <v>108</v>
      </c>
      <c r="B33" s="31"/>
      <c r="C33" s="31"/>
      <c r="D33" s="31"/>
      <c r="E33" s="104">
        <f>IF(M33&gt;0,M33,IF($E$4=$F$4,F33,IF($E$4=$G$4,G33,IF($E$4=$H$4,H33,IF($E$4=$I$4,I33,IF($E$4=$J$4,J33,IF($E$4=$K$4,K33,IF($E$4=$L$4,L33))))))))</f>
        <v>7.86</v>
      </c>
      <c r="F33" s="120"/>
      <c r="G33" s="472"/>
      <c r="H33" s="120">
        <v>7.86</v>
      </c>
      <c r="I33" s="120"/>
      <c r="J33" s="120"/>
      <c r="K33" s="120"/>
      <c r="L33" s="89"/>
      <c r="M33" s="89"/>
      <c r="N33" s="379"/>
      <c r="O33" s="51"/>
      <c r="Q33" s="31"/>
      <c r="R33" s="31"/>
      <c r="S33" s="102"/>
      <c r="T33" s="120"/>
      <c r="U33" s="120"/>
      <c r="V33" s="120"/>
      <c r="W33" s="120"/>
    </row>
    <row r="34" spans="1:26" x14ac:dyDescent="0.15">
      <c r="A34" s="28" t="s">
        <v>112</v>
      </c>
      <c r="B34" s="31"/>
      <c r="C34" s="31"/>
      <c r="D34" s="31"/>
      <c r="E34" s="104">
        <f>IF(M34&gt;0,M34,IF($E$4=$F$4,F34,IF($E$4=$G$4,G34,IF($E$4=$H$4,H34,IF($E$4=$I$4,I34,IF($E$4=$J$4,J34,IF($E$4=$K$4,K34,IF($E$4=$L$4,L34))))))))</f>
        <v>1.95</v>
      </c>
      <c r="F34" s="120"/>
      <c r="G34" s="472"/>
      <c r="H34" s="120">
        <v>1.95</v>
      </c>
      <c r="I34" s="120"/>
      <c r="J34" s="120"/>
      <c r="K34" s="120"/>
      <c r="L34" s="89"/>
      <c r="M34" s="89"/>
      <c r="N34" s="377"/>
      <c r="O34" s="28"/>
      <c r="Q34" s="31"/>
      <c r="R34" s="31"/>
      <c r="S34" s="133"/>
      <c r="T34" s="120"/>
      <c r="U34" s="120"/>
      <c r="V34" s="120"/>
      <c r="W34" s="120"/>
    </row>
    <row r="35" spans="1:26" x14ac:dyDescent="0.15">
      <c r="A35" s="28" t="s">
        <v>113</v>
      </c>
      <c r="B35" s="31"/>
      <c r="C35" s="31"/>
      <c r="D35" s="31"/>
      <c r="E35" s="104">
        <f>IF(M35&gt;0,M35,IF($E$4=$F$4,F35,IF($E$4=$G$4,G35,IF($E$4=$H$4,H35,IF($E$4=$I$4,I35,IF($E$4=$J$4,J35,IF($E$4=$K$4,K35,IF($E$4=$L$4,L35))))))))</f>
        <v>1.1000000000000001</v>
      </c>
      <c r="F35" s="120"/>
      <c r="G35" s="472"/>
      <c r="H35" s="120">
        <v>1.1000000000000001</v>
      </c>
      <c r="I35" s="120"/>
      <c r="J35" s="120"/>
      <c r="K35" s="120"/>
      <c r="L35" s="89"/>
      <c r="M35" s="89"/>
      <c r="N35" s="377"/>
      <c r="O35" s="28"/>
      <c r="Q35" s="31"/>
      <c r="R35" s="31"/>
      <c r="S35" s="133"/>
      <c r="T35" s="120"/>
      <c r="U35" s="120"/>
      <c r="V35" s="120"/>
      <c r="W35" s="120"/>
    </row>
    <row r="36" spans="1:26" ht="14" x14ac:dyDescent="0.15">
      <c r="A36" s="305" t="s">
        <v>187</v>
      </c>
      <c r="B36" s="58"/>
      <c r="C36" s="58"/>
      <c r="D36" s="58"/>
      <c r="E36" s="104"/>
      <c r="F36" s="106"/>
      <c r="H36" s="106"/>
      <c r="J36" s="106"/>
      <c r="K36" s="76"/>
      <c r="N36" s="376"/>
      <c r="O36" s="146"/>
      <c r="Q36" s="58"/>
      <c r="R36" s="58"/>
      <c r="S36" s="133"/>
      <c r="T36" s="106"/>
      <c r="V36" s="76"/>
      <c r="W36" s="76"/>
    </row>
    <row r="37" spans="1:26" x14ac:dyDescent="0.15">
      <c r="A37" s="28" t="s">
        <v>188</v>
      </c>
      <c r="B37" s="26"/>
      <c r="C37" s="26"/>
      <c r="D37" s="26"/>
      <c r="E37" s="104" t="str">
        <f>IF(M37&gt;0,M37,IF($E$4=$F$4,F37,IF($E$4=$G$4,G37,IF($E$4=$H$4,H37,IF($E$4=$I$4,I37,IF($E$4=$J$4,J37,IF($E$4=$K$4,K37,IF($E$4=$L$4,L37))))))))</f>
        <v>Aluminum</v>
      </c>
      <c r="F37" s="134"/>
      <c r="G37" s="234"/>
      <c r="H37" s="134" t="s">
        <v>192</v>
      </c>
      <c r="I37" s="134"/>
      <c r="J37" s="134"/>
      <c r="K37" s="134"/>
      <c r="N37" s="377"/>
      <c r="O37" s="28"/>
      <c r="Q37" s="26"/>
      <c r="R37" s="26"/>
      <c r="S37" s="133"/>
      <c r="T37" s="134"/>
      <c r="U37" s="134"/>
      <c r="V37" s="134"/>
      <c r="W37" s="134"/>
    </row>
    <row r="38" spans="1:26" x14ac:dyDescent="0.15">
      <c r="A38" s="28" t="s">
        <v>190</v>
      </c>
      <c r="B38" s="26"/>
      <c r="C38" s="26"/>
      <c r="D38" s="26"/>
      <c r="E38" s="104">
        <f>IF(M38&gt;0,M38,IF($E$4=$F$4,F38,IF($E$4=$G$4,G38,IF($E$4=$H$4,H38,IF($E$4=$I$4,I38,IF($E$4=$J$4,J38,IF($E$4=$K$4,K38,IF($E$4=$L$4,L38))))))))</f>
        <v>5</v>
      </c>
      <c r="F38" s="134"/>
      <c r="G38" s="234"/>
      <c r="H38" s="134">
        <v>5</v>
      </c>
      <c r="I38" s="134"/>
      <c r="J38" s="134"/>
      <c r="K38" s="134"/>
      <c r="M38" s="134"/>
      <c r="N38" s="377"/>
      <c r="O38" s="28"/>
      <c r="Q38" s="26"/>
      <c r="R38" s="26"/>
      <c r="S38" s="133"/>
      <c r="T38" s="134"/>
      <c r="U38" s="134"/>
      <c r="V38" s="134"/>
      <c r="W38" s="134"/>
    </row>
    <row r="39" spans="1:26" ht="14" x14ac:dyDescent="0.15">
      <c r="A39" s="305" t="s">
        <v>189</v>
      </c>
      <c r="B39" s="26"/>
      <c r="C39" s="26"/>
      <c r="D39" s="26"/>
      <c r="E39" s="104"/>
      <c r="F39" s="106"/>
      <c r="H39" s="106"/>
      <c r="J39" s="106"/>
      <c r="N39" s="376"/>
      <c r="O39" s="146"/>
      <c r="Q39" s="26"/>
      <c r="R39" s="26"/>
      <c r="S39" s="133"/>
      <c r="T39" s="106"/>
      <c r="V39" s="134"/>
    </row>
    <row r="40" spans="1:26" x14ac:dyDescent="0.15">
      <c r="A40" s="28" t="s">
        <v>188</v>
      </c>
      <c r="B40" s="26"/>
      <c r="C40" s="26"/>
      <c r="D40" s="26"/>
      <c r="E40" s="104" t="str">
        <f>IF(M40&gt;0,M40,IF($E$4=$F$4,F40,IF($E$4=$G$4,G40,IF($E$4=$H$4,H40,IF($E$4=$I$4,I40,IF($E$4=$J$4,J40,IF($E$4=$K$4,K40,IF($E$4=$L$4,L40))))))))</f>
        <v>Copper</v>
      </c>
      <c r="F40" s="133"/>
      <c r="G40" s="244"/>
      <c r="H40" s="133" t="s">
        <v>200</v>
      </c>
      <c r="I40" s="133"/>
      <c r="J40" s="133"/>
      <c r="K40" s="133"/>
      <c r="N40" s="377"/>
      <c r="O40" s="28"/>
      <c r="Q40" s="26"/>
      <c r="R40" s="26"/>
      <c r="S40" s="133"/>
      <c r="T40" s="133"/>
      <c r="U40" s="133"/>
      <c r="V40" s="134"/>
      <c r="W40" s="133"/>
    </row>
    <row r="41" spans="1:26" x14ac:dyDescent="0.15">
      <c r="A41" s="28" t="s">
        <v>190</v>
      </c>
      <c r="B41" s="26"/>
      <c r="C41" s="26"/>
      <c r="D41" s="26"/>
      <c r="E41" s="104">
        <f>IF(M41&gt;0,M41,IF($E$4=$F$4,F41,IF($E$4=$G$4,G41,IF($E$4=$H$4,H41,IF($E$4=$I$4,I41,IF($E$4=$J$4,J41,IF($E$4=$K$4,K41,IF($E$4=$L$4,L41))))))))</f>
        <v>5</v>
      </c>
      <c r="F41" s="133"/>
      <c r="G41" s="244"/>
      <c r="H41" s="133">
        <v>5</v>
      </c>
      <c r="I41" s="133"/>
      <c r="J41" s="133"/>
      <c r="K41" s="133"/>
      <c r="M41" s="134"/>
      <c r="N41" s="377"/>
      <c r="O41" s="28"/>
      <c r="Q41" s="26"/>
      <c r="R41" s="26"/>
      <c r="S41" s="133"/>
      <c r="T41" s="133"/>
      <c r="U41" s="133"/>
      <c r="V41" s="134"/>
      <c r="W41" s="133"/>
    </row>
    <row r="42" spans="1:26" ht="14" x14ac:dyDescent="0.15">
      <c r="A42" s="306" t="s">
        <v>191</v>
      </c>
      <c r="B42" s="26"/>
      <c r="C42" s="26"/>
      <c r="D42" s="26"/>
      <c r="E42" s="104"/>
      <c r="F42" s="133"/>
      <c r="G42" s="244"/>
      <c r="H42" s="133"/>
      <c r="J42" s="133"/>
      <c r="K42" s="134"/>
      <c r="N42" s="376"/>
      <c r="O42" s="149"/>
      <c r="Q42" s="26"/>
      <c r="R42" s="26"/>
      <c r="S42" s="133"/>
      <c r="T42" s="133"/>
      <c r="V42" s="134"/>
      <c r="W42" s="134"/>
      <c r="X42" s="180"/>
    </row>
    <row r="43" spans="1:26" x14ac:dyDescent="0.15">
      <c r="A43" s="28" t="s">
        <v>190</v>
      </c>
      <c r="B43" s="26"/>
      <c r="C43" s="26"/>
      <c r="D43" s="26"/>
      <c r="E43" s="104">
        <f>IF(M43&gt;0,M43,IF($E$4=$F$4,F43,IF($E$4=$G$4,G43,IF($E$4=$H$4,H43,IF($E$4=$I$4,I43,IF($E$4=$J$4,J43,IF($E$4=$K$4,K43,IF($E$4=$L$4,L43))))))))</f>
        <v>10</v>
      </c>
      <c r="F43" s="133"/>
      <c r="G43" s="244"/>
      <c r="H43" s="133">
        <v>10</v>
      </c>
      <c r="I43" s="133"/>
      <c r="J43" s="133"/>
      <c r="K43" s="133"/>
      <c r="N43" s="377"/>
      <c r="O43" s="28"/>
      <c r="Q43" s="26"/>
      <c r="R43" s="26"/>
      <c r="S43" s="133"/>
      <c r="T43" s="133"/>
      <c r="U43" s="133"/>
      <c r="V43" s="156"/>
      <c r="W43" s="133"/>
      <c r="X43" s="180"/>
    </row>
    <row r="44" spans="1:26" x14ac:dyDescent="0.15">
      <c r="A44" s="28" t="s">
        <v>323</v>
      </c>
      <c r="B44" s="26"/>
      <c r="C44" s="26"/>
      <c r="D44" s="26"/>
      <c r="E44" s="104">
        <f>IF(M44&gt;0,M44,IF($E$4=$F$4,F44,IF($E$4=$G$4,G44,IF($E$4=$H$4,H44,IF($E$4=$I$4,I44,IF($E$4=$J$4,J44,IF($E$4=$K$4,K44,IF($E$4=$L$4,L44))))))))</f>
        <v>50</v>
      </c>
      <c r="F44" s="133"/>
      <c r="G44" s="244"/>
      <c r="H44" s="133">
        <v>50</v>
      </c>
      <c r="I44" s="133"/>
      <c r="J44" s="133"/>
      <c r="K44" s="133"/>
      <c r="N44" s="377"/>
      <c r="O44" s="148"/>
      <c r="Q44" s="26"/>
      <c r="R44" s="26"/>
      <c r="S44" s="102"/>
      <c r="T44" s="102"/>
      <c r="U44" s="102"/>
      <c r="V44" s="102"/>
      <c r="W44" s="102"/>
      <c r="X44" s="3"/>
    </row>
    <row r="45" spans="1:26" ht="15" x14ac:dyDescent="0.15">
      <c r="A45" s="148" t="s">
        <v>255</v>
      </c>
      <c r="B45" s="26"/>
      <c r="C45" s="26"/>
      <c r="D45" s="26"/>
      <c r="E45" s="104">
        <f>IF(M45&gt;0,M45,IF($E$4=$F$4,F45,IF($E$4=$G$4,G45,IF($E$4=$H$4,H45,IF($E$4=$I$4,I45,IF($E$4=$J$4,J45,IF($E$4=$K$4,K45,IF($E$4=$L$4,L45))))))))</f>
        <v>4</v>
      </c>
      <c r="F45" s="102"/>
      <c r="G45" s="434"/>
      <c r="H45" s="102">
        <v>4</v>
      </c>
      <c r="I45" s="102"/>
      <c r="J45" s="102"/>
      <c r="K45" s="102"/>
      <c r="N45" s="371"/>
      <c r="O45" s="58"/>
      <c r="Q45" s="26"/>
      <c r="R45" s="26"/>
      <c r="S45" s="133"/>
      <c r="T45" s="133"/>
      <c r="V45" s="154"/>
      <c r="X45" s="3"/>
    </row>
    <row r="46" spans="1:26" ht="15" x14ac:dyDescent="0.15">
      <c r="A46" s="304" t="s">
        <v>548</v>
      </c>
      <c r="B46" s="26"/>
      <c r="C46" s="26"/>
      <c r="D46" s="26"/>
      <c r="E46" s="104">
        <f>IF(M46&gt;0,M46,IF($E$4=$F$4,F46,IF($E$4=$G$4,G46,IF($E$4=$H$4,H46,IF($E$4=$I$4,I46,IF($E$4=$J$4,J46,IF($E$4=$K$4,K46,IF($E$4=$L$4,L46))))))))</f>
        <v>1.2</v>
      </c>
      <c r="F46" s="102"/>
      <c r="G46" s="434"/>
      <c r="H46" s="102">
        <v>1.2</v>
      </c>
      <c r="I46" s="102"/>
      <c r="J46" s="102"/>
      <c r="K46" s="102"/>
      <c r="N46" s="377"/>
      <c r="O46" s="148"/>
      <c r="Q46" s="26"/>
      <c r="R46" s="26"/>
      <c r="S46" s="102"/>
      <c r="T46" s="102"/>
      <c r="U46" s="102"/>
      <c r="V46" s="120"/>
      <c r="W46" s="102"/>
      <c r="X46" s="8"/>
      <c r="Y46" s="5"/>
      <c r="Z46" s="35"/>
    </row>
    <row r="47" spans="1:26" ht="14" x14ac:dyDescent="0.15">
      <c r="A47" s="305" t="s">
        <v>14</v>
      </c>
      <c r="B47" s="17"/>
      <c r="C47" s="17"/>
      <c r="D47" s="17"/>
      <c r="E47" s="104"/>
      <c r="F47" s="133"/>
      <c r="G47" s="244"/>
      <c r="H47" s="133"/>
      <c r="J47" s="133"/>
      <c r="N47" s="365"/>
      <c r="O47"/>
      <c r="S47" s="133"/>
      <c r="T47" s="133"/>
      <c r="U47" s="3"/>
      <c r="V47" s="133"/>
      <c r="W47" s="3"/>
      <c r="X47" s="20"/>
    </row>
    <row r="48" spans="1:26" x14ac:dyDescent="0.15">
      <c r="A48" s="240" t="s">
        <v>546</v>
      </c>
      <c r="B48" s="17"/>
      <c r="C48" s="17"/>
      <c r="D48" s="17"/>
      <c r="E48" s="104">
        <f>IF(M48&gt;0,M48,IF($E$4=$F$4,F48,IF($E$4=$G$4,G48,IF($E$4=$H$4,H48,IF($E$4=$I$4,I48,IF($E$4=$J$4,J48,IF($E$4=$K$4,K48,IF($E$4=$L$4,O48))))))))</f>
        <v>1.05</v>
      </c>
      <c r="F48" s="172"/>
      <c r="G48" s="473"/>
      <c r="H48" s="285">
        <v>1.05</v>
      </c>
      <c r="I48" s="236"/>
      <c r="J48" s="285"/>
      <c r="K48" s="66"/>
      <c r="M48" s="251"/>
      <c r="N48" s="365"/>
      <c r="O48" s="251"/>
      <c r="S48" s="133"/>
      <c r="T48" s="133"/>
      <c r="U48" s="3"/>
      <c r="V48" s="133"/>
      <c r="W48" s="3"/>
      <c r="X48" s="20"/>
    </row>
    <row r="49" spans="1:24" x14ac:dyDescent="0.15">
      <c r="A49" s="22" t="s">
        <v>250</v>
      </c>
      <c r="B49" s="17"/>
      <c r="C49" s="17"/>
      <c r="D49" s="17"/>
      <c r="E49" s="104">
        <f>IF(M49&gt;0,M49,IF($E$4=$F$4,F49,IF($E$4=$G$4,G49,IF($E$4=$H$4,H49,IF($E$4=$I$4,I49,IF($E$4=$J$4,J49,IF($E$4=$K$4,K49,IF($E$4=$L$4,O49))))))))</f>
        <v>1.36</v>
      </c>
      <c r="F49" s="172"/>
      <c r="G49" s="473"/>
      <c r="H49" s="285">
        <v>1.36</v>
      </c>
      <c r="I49" s="236"/>
      <c r="J49" s="172"/>
      <c r="K49" s="66"/>
      <c r="M49" s="251"/>
      <c r="N49" s="365"/>
      <c r="O49" s="251"/>
      <c r="S49" s="135"/>
      <c r="T49" s="135"/>
      <c r="U49" s="135"/>
      <c r="V49" s="135"/>
      <c r="W49" s="135"/>
      <c r="X49" s="20"/>
    </row>
    <row r="50" spans="1:24" x14ac:dyDescent="0.15">
      <c r="A50" s="28" t="s">
        <v>772</v>
      </c>
      <c r="B50" s="17"/>
      <c r="C50" s="17"/>
      <c r="D50" s="17"/>
      <c r="E50" s="394">
        <f t="shared" ref="E50:E51" si="1">IF(M50&gt;0,M50,IF($E$4=$F$4,F50,IF($E$4=$G$4,G50,IF($E$4=$H$4,H50,IF($E$4=$I$4,I50,IF($E$4=$J$4,J50,IF($E$4=$K$4,K50,IF($E$4=$L$4,O50))))))))</f>
        <v>1</v>
      </c>
      <c r="F50" s="102"/>
      <c r="G50" s="434"/>
      <c r="H50" s="102">
        <v>1</v>
      </c>
      <c r="I50" s="102"/>
      <c r="J50" s="102"/>
      <c r="K50" s="20"/>
      <c r="M50" s="251"/>
      <c r="N50" s="365"/>
      <c r="O50" s="251"/>
      <c r="S50" s="135"/>
      <c r="T50" s="135"/>
      <c r="U50" s="135"/>
      <c r="V50" s="135"/>
      <c r="W50" s="135"/>
      <c r="X50" s="20"/>
    </row>
    <row r="51" spans="1:24" x14ac:dyDescent="0.15">
      <c r="A51" s="28" t="s">
        <v>771</v>
      </c>
      <c r="B51" s="17"/>
      <c r="C51" s="17"/>
      <c r="D51" s="17"/>
      <c r="E51" s="104">
        <f t="shared" si="1"/>
        <v>0.01</v>
      </c>
      <c r="F51" s="102"/>
      <c r="G51" s="434"/>
      <c r="H51" s="102">
        <v>0.01</v>
      </c>
      <c r="I51" s="102"/>
      <c r="J51" s="102"/>
      <c r="K51" s="20"/>
      <c r="M51" s="251"/>
      <c r="N51" s="365"/>
      <c r="O51" s="251"/>
      <c r="S51" s="135"/>
      <c r="T51" s="135"/>
      <c r="U51" s="135"/>
      <c r="V51" s="135"/>
      <c r="W51" s="135"/>
      <c r="X51" s="20"/>
    </row>
    <row r="52" spans="1:24" x14ac:dyDescent="0.15">
      <c r="A52" s="23" t="s">
        <v>251</v>
      </c>
      <c r="E52" s="104">
        <f>IF(M52&gt;0,M52,IF($E$4=$F$4,F52,IF($E$4=$G$4,G52,IF($E$4=$H$4,H52,IF($E$4=$I$4,I52,IF($E$4=$J$4,J52,IF($E$4=$K$4,K52,IF($E$4=$L$4,O52))))))))</f>
        <v>100</v>
      </c>
      <c r="F52" s="3"/>
      <c r="G52" s="244"/>
      <c r="H52" s="244">
        <v>100</v>
      </c>
      <c r="I52" s="244"/>
      <c r="J52" s="244"/>
      <c r="K52" s="244"/>
      <c r="M52" s="3"/>
      <c r="N52" s="365"/>
      <c r="O52"/>
      <c r="Q52" s="3"/>
      <c r="R52" s="3"/>
      <c r="S52" s="135"/>
      <c r="T52" s="133"/>
      <c r="U52" s="133"/>
      <c r="V52" s="133"/>
      <c r="W52" s="133"/>
    </row>
    <row r="53" spans="1:24" ht="15" x14ac:dyDescent="0.15">
      <c r="A53" s="23" t="s">
        <v>247</v>
      </c>
      <c r="E53" s="104">
        <f>IF(M53&gt;0,M53,IF($E$4=$F$4,F53,IF($E$4=$G$4,G53,IF($E$4=$H$4,H53,IF($E$4=$I$4,I53,IF($E$4=$J$4,J53,IF($E$4=$K$4,K53,IF($E$4=$L$4,O53))))))))</f>
        <v>10000000</v>
      </c>
      <c r="F53" s="137"/>
      <c r="G53" s="432"/>
      <c r="H53" s="137">
        <v>10000000</v>
      </c>
      <c r="I53" s="137"/>
      <c r="J53" s="137"/>
      <c r="K53" s="137"/>
      <c r="N53" s="365"/>
      <c r="O53" s="20"/>
      <c r="Q53" s="3"/>
      <c r="R53" s="3"/>
      <c r="S53" s="133"/>
      <c r="T53" s="133"/>
      <c r="U53" s="3"/>
      <c r="V53" s="133"/>
      <c r="W53" s="3"/>
    </row>
    <row r="54" spans="1:24" ht="15" x14ac:dyDescent="0.15">
      <c r="A54" s="23" t="s">
        <v>248</v>
      </c>
      <c r="E54" s="104">
        <f>IF(M54&gt;0,M54,IF($E$4=$F$4,F54,IF($E$4=$G$4,G54,IF($E$4=$H$4,H54,IF($E$4=$I$4,I54,IF($E$4=$J$4,J54,IF($E$4=$K$4,K54,IF($E$4=$L$4,O54))))))))</f>
        <v>500000</v>
      </c>
      <c r="F54" s="4"/>
      <c r="G54" s="432"/>
      <c r="H54" s="137">
        <v>500000</v>
      </c>
      <c r="I54" s="4"/>
      <c r="J54" s="137"/>
      <c r="K54" s="137"/>
      <c r="M54" s="289"/>
      <c r="N54" s="365"/>
      <c r="O54"/>
      <c r="Q54" s="3"/>
      <c r="R54" s="133"/>
      <c r="S54" s="3"/>
      <c r="T54" s="3"/>
      <c r="U54" s="3"/>
    </row>
    <row r="55" spans="1:24" ht="15" x14ac:dyDescent="0.15">
      <c r="A55" t="s">
        <v>116</v>
      </c>
      <c r="E55" s="104"/>
      <c r="M55" s="234"/>
      <c r="N55" s="365"/>
      <c r="O55"/>
      <c r="Q55" s="3"/>
      <c r="R55" s="133"/>
      <c r="S55" s="3"/>
      <c r="T55" s="3"/>
      <c r="U55" s="3"/>
    </row>
    <row r="56" spans="1:24" x14ac:dyDescent="0.15">
      <c r="A56" s="23" t="s">
        <v>307</v>
      </c>
      <c r="E56" s="104">
        <f>IF('Battery Design'!F$54="microHEV",E57,IF('Battery Design'!F$54="HEV-HP",E58,IF('Battery Design'!F$54="GRID",E59,IF('Battery Design'!F$54="EV",E59,"ERROR"))))</f>
        <v>33</v>
      </c>
      <c r="M56" s="284"/>
      <c r="N56" s="365"/>
      <c r="O56"/>
      <c r="Q56" s="3"/>
      <c r="R56" s="133"/>
      <c r="S56" s="3"/>
      <c r="T56" s="3"/>
      <c r="U56" s="3"/>
    </row>
    <row r="57" spans="1:24" x14ac:dyDescent="0.15">
      <c r="A57" t="s">
        <v>253</v>
      </c>
      <c r="E57" s="104">
        <f>IF(M57&gt;0,M57,IF($E$4=$F$4,F57,IF($E$4=$G$4,G57,IF($E$4=$H$4,H57,IF($E$4=$I$4,I57,IF($E$4=$J$4,J57,IF($E$4=$K$4,K57,IF($E$4=$L$4,O57))))))))</f>
        <v>21</v>
      </c>
      <c r="F57" s="133"/>
      <c r="G57" s="244"/>
      <c r="H57" s="133">
        <v>21</v>
      </c>
      <c r="I57" s="133"/>
      <c r="J57" s="133"/>
      <c r="K57" s="133"/>
      <c r="M57" s="291"/>
      <c r="N57" s="365"/>
      <c r="O57" s="290"/>
      <c r="Q57" s="3"/>
      <c r="R57" s="133"/>
      <c r="S57" s="3"/>
      <c r="T57" s="3"/>
      <c r="U57" s="3"/>
    </row>
    <row r="58" spans="1:24" x14ac:dyDescent="0.15">
      <c r="A58" t="s">
        <v>254</v>
      </c>
      <c r="E58" s="104">
        <f>IF(M58&gt;0,M58,IF($E$4=$F$4,F58,IF($E$4=$G$4,G58,IF($E$4=$H$4,H58,IF($E$4=$I$4,I58,IF($E$4=$J$4,J58,IF($E$4=$K$4,K58,IF($E$4=$L$4,O58))))))))</f>
        <v>26.6</v>
      </c>
      <c r="F58" s="133"/>
      <c r="G58" s="244"/>
      <c r="H58" s="133">
        <v>26.6</v>
      </c>
      <c r="I58" s="133"/>
      <c r="J58" s="133"/>
      <c r="K58" s="133"/>
      <c r="M58" s="284"/>
      <c r="N58" s="365"/>
      <c r="O58" s="290"/>
      <c r="Q58" s="135"/>
      <c r="R58" s="135"/>
      <c r="S58" s="135"/>
      <c r="T58" s="3"/>
      <c r="U58" s="3"/>
    </row>
    <row r="59" spans="1:24" x14ac:dyDescent="0.15">
      <c r="A59" s="240" t="s">
        <v>493</v>
      </c>
      <c r="D59" s="251"/>
      <c r="E59" s="104">
        <f>IF(M59&gt;0,M59,IF($E$4=$F$4,F59,IF($E$4=$G$4,G59,IF($E$4=$H$4,H59,IF($E$4=$I$4,I59,IF($E$4=$J$4,J59,IF($E$4=$K$4,K59,IF($E$4=$L$4,O59))))))))</f>
        <v>33</v>
      </c>
      <c r="F59" s="133"/>
      <c r="G59" s="244"/>
      <c r="H59" s="133">
        <v>33</v>
      </c>
      <c r="I59" s="133"/>
      <c r="J59" s="133"/>
      <c r="K59" s="133"/>
      <c r="M59" s="284"/>
      <c r="N59" s="365"/>
      <c r="O59" s="290"/>
      <c r="Q59" s="135"/>
      <c r="R59" s="135"/>
      <c r="S59" s="135"/>
      <c r="T59" s="3"/>
      <c r="U59" s="3"/>
    </row>
    <row r="60" spans="1:24" x14ac:dyDescent="0.15">
      <c r="A60" t="s">
        <v>494</v>
      </c>
      <c r="C60" s="251"/>
      <c r="D60" s="251"/>
      <c r="E60" s="104">
        <f>IF(M60&gt;0,M60,IF($E$4=$F$4,F60,IF($E$4=$G$4,G60,IF($E$4=$H$4,H60,IF($E$4=$I$4,I60,IF($E$4=$J$4,J60,IF($E$4=$K$4,K60,IF($E$4=$L$4,L60))))))))</f>
        <v>3</v>
      </c>
      <c r="F60" s="133"/>
      <c r="G60" s="244"/>
      <c r="H60" s="133">
        <v>3</v>
      </c>
      <c r="I60" s="133"/>
      <c r="J60" s="133"/>
      <c r="K60" s="133"/>
      <c r="M60" s="284"/>
      <c r="N60" s="380"/>
      <c r="O60"/>
      <c r="Q60" s="3"/>
      <c r="R60" s="133"/>
      <c r="S60" s="3"/>
      <c r="T60" s="20"/>
      <c r="U60" s="20"/>
    </row>
    <row r="61" spans="1:24" x14ac:dyDescent="0.15">
      <c r="A61" s="148" t="s">
        <v>437</v>
      </c>
      <c r="B61" s="244"/>
      <c r="C61" s="244"/>
      <c r="D61" s="244"/>
      <c r="E61" s="104">
        <f>1.5*E56</f>
        <v>49.5</v>
      </c>
      <c r="F61" s="133"/>
      <c r="G61" s="244"/>
      <c r="H61" s="133"/>
      <c r="I61" s="244"/>
      <c r="J61" s="133"/>
      <c r="K61" s="244"/>
      <c r="M61" s="284"/>
      <c r="N61" s="380"/>
      <c r="O61"/>
      <c r="Q61" s="244"/>
      <c r="R61" s="133"/>
      <c r="S61" s="244"/>
      <c r="T61" s="20"/>
      <c r="U61" s="20"/>
    </row>
    <row r="62" spans="1:24" ht="15" x14ac:dyDescent="0.15">
      <c r="A62" s="23" t="s">
        <v>1</v>
      </c>
      <c r="E62" s="104">
        <f>IF(M62&gt;0,M62,IF($E$4=$F$4,F62,IF($E$4=$G$4,G62,IF($E$4=$H$4,H62,IF($E$4=$I$4,I62,IF($E$4=$J$4,J62,IF($E$4=$K$4,K62,IF($E$4=$L$4,L62))))))))</f>
        <v>58.52000000000001</v>
      </c>
      <c r="F62" s="135"/>
      <c r="G62" s="440"/>
      <c r="H62" s="135">
        <f t="shared" ref="H62" si="2">2.2*H58</f>
        <v>58.52000000000001</v>
      </c>
      <c r="I62" s="135"/>
      <c r="J62" s="135"/>
      <c r="K62" s="135"/>
      <c r="M62" s="284"/>
      <c r="N62" s="380"/>
      <c r="O62"/>
    </row>
    <row r="63" spans="1:24" x14ac:dyDescent="0.15">
      <c r="A63" s="23" t="s">
        <v>195</v>
      </c>
      <c r="B63" s="3"/>
      <c r="C63" s="3"/>
      <c r="D63" s="3"/>
      <c r="E63" s="104">
        <f>IF(M63&gt;0,M63,IF($E$4=$F$4,F63,IF($E$4=$G$4,G63,IF($E$4=$H$4,H63,IF($E$4=$I$4,I63,IF($E$4=$J$4,J63,IF($E$4=$K$4,K63,IF($E$4=$L$4,L63))))))))</f>
        <v>1000</v>
      </c>
      <c r="F63" s="133"/>
      <c r="G63" s="244"/>
      <c r="H63" s="133">
        <v>1000</v>
      </c>
      <c r="I63" s="133"/>
      <c r="J63" s="133"/>
      <c r="K63" s="133"/>
      <c r="M63" s="284"/>
      <c r="N63" s="380"/>
      <c r="O63"/>
    </row>
    <row r="64" spans="1:24" ht="14" x14ac:dyDescent="0.15">
      <c r="A64" s="246" t="s">
        <v>182</v>
      </c>
      <c r="B64" s="3"/>
      <c r="C64" s="3"/>
      <c r="D64" s="3"/>
      <c r="E64" s="104"/>
      <c r="F64" s="231"/>
      <c r="G64" s="231"/>
      <c r="H64" s="231"/>
      <c r="I64" s="231"/>
      <c r="J64" s="231"/>
      <c r="K64" s="231"/>
      <c r="L64" s="191"/>
      <c r="M64" s="284"/>
      <c r="N64" s="380"/>
      <c r="O64"/>
    </row>
    <row r="65" spans="1:20" x14ac:dyDescent="0.15">
      <c r="A65" s="7" t="s">
        <v>325</v>
      </c>
      <c r="B65" s="3"/>
      <c r="C65" s="9"/>
      <c r="D65" s="9"/>
      <c r="E65" s="104">
        <f>IF('Battery Design'!F$54="microHEV",E66,IF('Battery Design'!F$54="HEV-HP",E66,IF('Battery Design'!F$54="GRID",E67,IF('Battery Design'!F$54="EV",E68,"ERROR"))))</f>
        <v>95</v>
      </c>
      <c r="F65" s="152"/>
      <c r="G65" s="234"/>
      <c r="H65" s="152"/>
      <c r="I65" s="9"/>
      <c r="J65" s="152"/>
      <c r="K65" s="9"/>
      <c r="M65" s="284"/>
      <c r="N65" s="380"/>
      <c r="O65"/>
    </row>
    <row r="66" spans="1:20" x14ac:dyDescent="0.15">
      <c r="A66" s="7" t="s">
        <v>349</v>
      </c>
      <c r="B66" s="9"/>
      <c r="C66" s="9"/>
      <c r="D66" s="9"/>
      <c r="E66" s="104">
        <f>IF(M66&gt;0,M66,IF($E$4=$F$4,F66,IF($E$4=$G$4,G66,IF($E$4=$H$4,H66,IF($E$4=$I$4,I66,IF($E$4=$J$4,J66,IF($E$4=$K$4,K66,IF($E$4=$L$4,L66))))))))</f>
        <v>25</v>
      </c>
      <c r="F66" s="152"/>
      <c r="G66" s="234"/>
      <c r="H66" s="152">
        <v>25</v>
      </c>
      <c r="I66" s="152"/>
      <c r="J66" s="152"/>
      <c r="K66" s="152"/>
      <c r="M66" s="284"/>
      <c r="N66" s="380"/>
      <c r="O66"/>
    </row>
    <row r="67" spans="1:20" x14ac:dyDescent="0.15">
      <c r="A67" s="240" t="s">
        <v>877</v>
      </c>
      <c r="B67" s="9"/>
      <c r="C67" s="9"/>
      <c r="D67" s="9"/>
      <c r="E67" s="104">
        <f>IF(M67&gt;0,M67,IF($E$4=$F$4,F67,IF($E$4=$G$4,G67,IF($E$4=$H$4,H67,IF($E$4=$I$4,I67,IF($E$4=$J$4,J67,IF($E$4=$K$4,K67,IF($E$4=$L$4,L67))))))))</f>
        <v>95</v>
      </c>
      <c r="F67" s="133"/>
      <c r="G67" s="244"/>
      <c r="H67" s="133">
        <v>95</v>
      </c>
      <c r="I67" s="133"/>
      <c r="J67" s="133"/>
      <c r="K67" s="3"/>
      <c r="M67" s="284"/>
      <c r="N67" s="380"/>
      <c r="O67"/>
    </row>
    <row r="68" spans="1:20" x14ac:dyDescent="0.15">
      <c r="A68" s="7" t="s">
        <v>324</v>
      </c>
      <c r="B68" s="9"/>
      <c r="C68" s="9"/>
      <c r="D68" s="9"/>
      <c r="E68" s="104">
        <f>IF(M68&gt;0,M68,IF($E$4=$F$4,F68,IF($E$4=$G$4,G68,IF($E$4=$H$4,H68,IF($E$4=$I$4,I68,IF($E$4=$J$4,J68,IF($E$4=$K$4,K68,IF($E$4=$L$4,L68))))))))</f>
        <v>85</v>
      </c>
      <c r="F68" s="152"/>
      <c r="G68" s="234"/>
      <c r="H68" s="152">
        <v>85</v>
      </c>
      <c r="I68" s="152"/>
      <c r="J68" s="152"/>
      <c r="K68" s="152"/>
      <c r="M68" s="284"/>
      <c r="N68" s="380"/>
      <c r="O68"/>
    </row>
    <row r="69" spans="1:20" ht="17" thickBot="1" x14ac:dyDescent="0.25">
      <c r="A69" s="18" t="s">
        <v>199</v>
      </c>
      <c r="F69" s="307"/>
      <c r="G69" s="307"/>
      <c r="H69" s="307" t="str">
        <f t="shared" ref="H69" si="3">H4</f>
        <v>Fe3O4-Fe</v>
      </c>
      <c r="I69" s="307"/>
      <c r="J69" s="307"/>
      <c r="K69" s="307"/>
      <c r="L69" s="307"/>
      <c r="M69" s="368" t="s">
        <v>203</v>
      </c>
      <c r="N69" s="381"/>
      <c r="O69"/>
      <c r="P69" s="59"/>
      <c r="Q69" s="240" t="s">
        <v>806</v>
      </c>
    </row>
    <row r="70" spans="1:20" ht="14" x14ac:dyDescent="0.15">
      <c r="A70" s="7" t="s">
        <v>26</v>
      </c>
      <c r="B70" s="7"/>
      <c r="C70" s="7"/>
      <c r="D70" s="8"/>
      <c r="E70" s="328" t="s">
        <v>27</v>
      </c>
      <c r="I70" s="470"/>
      <c r="J70" s="470"/>
      <c r="K70" s="470"/>
      <c r="M70" s="329" t="s">
        <v>506</v>
      </c>
      <c r="N70" s="382" t="s">
        <v>27</v>
      </c>
      <c r="O70"/>
      <c r="P70" s="63"/>
      <c r="Q70" s="234" t="s">
        <v>697</v>
      </c>
      <c r="R70" s="234" t="s">
        <v>698</v>
      </c>
      <c r="S70" s="234" t="s">
        <v>807</v>
      </c>
      <c r="T70" s="234" t="s">
        <v>700</v>
      </c>
    </row>
    <row r="71" spans="1:20" x14ac:dyDescent="0.15">
      <c r="A71" s="12" t="s">
        <v>201</v>
      </c>
      <c r="B71" s="7"/>
      <c r="C71" s="7"/>
      <c r="D71" s="122">
        <f>IF(M71&gt;0,M71,IF($E$4=$F$4,F71,IF($E$4=$G$4,G71,IF($E$4=$H$4,H71,IF($E$4=$I$4,I71,IF($E$4=$J$4,J71,IF($E$4=$K$4,K71,IF($E$4=$L$4,L71))))))))</f>
        <v>0</v>
      </c>
      <c r="E71" s="123">
        <f>IF(N71=0,0.95,N71)</f>
        <v>0.95</v>
      </c>
      <c r="F71" s="369"/>
      <c r="G71" s="369"/>
      <c r="H71" s="369">
        <v>0</v>
      </c>
      <c r="I71" s="470"/>
      <c r="J71" s="470"/>
      <c r="K71" s="470"/>
      <c r="L71" s="158"/>
      <c r="M71" s="158"/>
      <c r="N71" s="366"/>
      <c r="O71" s="3"/>
      <c r="P71" s="3"/>
      <c r="Q71" s="244">
        <v>50</v>
      </c>
      <c r="R71" s="244">
        <v>2</v>
      </c>
      <c r="S71" s="244">
        <v>0.15</v>
      </c>
      <c r="T71" s="20">
        <f>Q71*R71/1000*S71*10000*0.015</f>
        <v>2.25</v>
      </c>
    </row>
    <row r="72" spans="1:20" x14ac:dyDescent="0.15">
      <c r="A72" s="12" t="s">
        <v>259</v>
      </c>
      <c r="B72" s="7"/>
      <c r="C72" s="7"/>
      <c r="D72" s="122">
        <f t="shared" ref="D72:D83" si="4">IF(M72&gt;0,M72,IF($E$4=$F$4,F72,IF($E$4=$G$4,G72,IF($E$4=$H$4,H72,IF($E$4=$I$4,I72,IF($E$4=$J$4,J72,IF($E$4=$K$4,K72,IF($E$4=$L$4,L72))))))))</f>
        <v>3</v>
      </c>
      <c r="E72" s="123">
        <f>IF(N72=0,1,N72)</f>
        <v>1</v>
      </c>
      <c r="F72" s="369"/>
      <c r="G72" s="369"/>
      <c r="H72" s="369">
        <v>3</v>
      </c>
      <c r="I72" s="470"/>
      <c r="J72" s="470"/>
      <c r="K72" s="470"/>
      <c r="L72" s="158"/>
      <c r="M72" s="158"/>
      <c r="N72" s="383"/>
      <c r="O72" s="3"/>
      <c r="P72" s="3"/>
    </row>
    <row r="73" spans="1:20" x14ac:dyDescent="0.15">
      <c r="A73" s="7" t="s">
        <v>36</v>
      </c>
      <c r="B73" s="7"/>
      <c r="C73" s="7"/>
      <c r="D73" s="122">
        <f t="shared" si="4"/>
        <v>5</v>
      </c>
      <c r="E73" s="123">
        <f t="shared" ref="E73:E83" si="5">IF(N73=0,1,N73)</f>
        <v>1</v>
      </c>
      <c r="F73" s="386"/>
      <c r="G73" s="386"/>
      <c r="H73" s="386">
        <v>5</v>
      </c>
      <c r="I73" s="470"/>
      <c r="J73" s="470"/>
      <c r="K73" s="470"/>
      <c r="L73" s="159"/>
      <c r="N73" s="383"/>
      <c r="O73" s="3"/>
      <c r="P73" s="3"/>
    </row>
    <row r="74" spans="1:20" x14ac:dyDescent="0.15">
      <c r="A74" s="7" t="s">
        <v>38</v>
      </c>
      <c r="B74" s="7"/>
      <c r="C74" s="7"/>
      <c r="D74" s="122">
        <f t="shared" si="4"/>
        <v>3.1</v>
      </c>
      <c r="E74" s="123">
        <f t="shared" si="5"/>
        <v>1</v>
      </c>
      <c r="F74" s="386"/>
      <c r="G74" s="386"/>
      <c r="H74" s="386">
        <v>3.1</v>
      </c>
      <c r="I74" s="470"/>
      <c r="J74" s="470"/>
      <c r="K74" s="470"/>
      <c r="L74" s="159"/>
      <c r="N74" s="383"/>
      <c r="O74" s="3"/>
      <c r="P74" s="3"/>
    </row>
    <row r="75" spans="1:20" x14ac:dyDescent="0.15">
      <c r="A75" s="7" t="s">
        <v>39</v>
      </c>
      <c r="B75" s="7"/>
      <c r="C75" s="7"/>
      <c r="D75" s="158"/>
      <c r="E75" s="102"/>
      <c r="F75" s="158"/>
      <c r="G75" s="89"/>
      <c r="H75" s="158"/>
      <c r="I75" s="470"/>
      <c r="J75" s="470"/>
      <c r="K75" s="470"/>
      <c r="L75" s="158"/>
      <c r="N75" s="383"/>
      <c r="O75" s="3"/>
      <c r="P75" s="3"/>
    </row>
    <row r="76" spans="1:20" x14ac:dyDescent="0.15">
      <c r="A76" s="7" t="s">
        <v>30</v>
      </c>
      <c r="B76" s="7"/>
      <c r="C76" s="7"/>
      <c r="D76" s="122">
        <f t="shared" si="4"/>
        <v>0.5</v>
      </c>
      <c r="E76" s="123">
        <f>IF(N76=0,0.95,N76)</f>
        <v>0.95</v>
      </c>
      <c r="F76" s="369"/>
      <c r="G76" s="369"/>
      <c r="H76" s="369">
        <v>0.5</v>
      </c>
      <c r="I76" s="470" t="s">
        <v>894</v>
      </c>
      <c r="J76" s="470"/>
      <c r="K76" s="470"/>
      <c r="L76" s="158"/>
      <c r="N76" s="383"/>
      <c r="O76" s="3"/>
      <c r="P76" s="3"/>
    </row>
    <row r="77" spans="1:20" x14ac:dyDescent="0.15">
      <c r="A77" s="7" t="s">
        <v>34</v>
      </c>
      <c r="B77" s="7"/>
      <c r="C77" s="7"/>
      <c r="D77" s="122">
        <f t="shared" si="4"/>
        <v>3</v>
      </c>
      <c r="E77" s="123">
        <f t="shared" si="5"/>
        <v>1</v>
      </c>
      <c r="F77" s="102"/>
      <c r="G77" s="434"/>
      <c r="H77" s="102">
        <v>3</v>
      </c>
      <c r="I77" s="470"/>
      <c r="J77" s="470"/>
      <c r="K77" s="470"/>
      <c r="L77" s="158"/>
      <c r="N77" s="383"/>
      <c r="O77" s="3"/>
      <c r="P77" s="3"/>
    </row>
    <row r="78" spans="1:20" x14ac:dyDescent="0.15">
      <c r="A78" s="240" t="s">
        <v>292</v>
      </c>
      <c r="B78" s="7"/>
      <c r="C78" s="7"/>
      <c r="D78" s="122">
        <f t="shared" si="4"/>
        <v>5</v>
      </c>
      <c r="E78" s="123">
        <f t="shared" si="5"/>
        <v>1</v>
      </c>
      <c r="F78" s="102"/>
      <c r="G78" s="434"/>
      <c r="H78" s="102">
        <v>5</v>
      </c>
      <c r="I78" s="470"/>
      <c r="J78" s="470"/>
      <c r="K78" s="470"/>
      <c r="L78" s="158"/>
      <c r="N78" s="383"/>
      <c r="O78" s="3"/>
      <c r="P78" s="3"/>
    </row>
    <row r="79" spans="1:20" x14ac:dyDescent="0.15">
      <c r="A79" s="7" t="s">
        <v>270</v>
      </c>
      <c r="B79" s="7"/>
      <c r="C79" s="7"/>
      <c r="D79" s="122">
        <f t="shared" si="4"/>
        <v>0</v>
      </c>
      <c r="E79" s="123">
        <f t="shared" si="5"/>
        <v>1</v>
      </c>
      <c r="F79" s="102"/>
      <c r="G79" s="434"/>
      <c r="H79" s="102">
        <v>0</v>
      </c>
      <c r="I79" s="470"/>
      <c r="J79" s="470"/>
      <c r="K79" s="470"/>
      <c r="L79" s="158"/>
      <c r="N79" s="383"/>
      <c r="O79" s="3"/>
      <c r="P79" s="3"/>
    </row>
    <row r="80" spans="1:20" ht="15" x14ac:dyDescent="0.15">
      <c r="A80" s="7" t="s">
        <v>145</v>
      </c>
      <c r="B80" s="7"/>
      <c r="C80" s="7"/>
      <c r="D80" s="122">
        <f t="shared" si="4"/>
        <v>0.3</v>
      </c>
      <c r="E80" s="123">
        <f t="shared" si="5"/>
        <v>1</v>
      </c>
      <c r="F80" s="385"/>
      <c r="G80" s="472"/>
      <c r="H80" s="385">
        <v>0.3</v>
      </c>
      <c r="I80" s="470"/>
      <c r="J80" s="470"/>
      <c r="K80" s="470"/>
      <c r="L80" s="160"/>
      <c r="N80" s="383"/>
      <c r="O80" s="3"/>
      <c r="P80" s="3"/>
      <c r="Q80" s="240" t="s">
        <v>805</v>
      </c>
    </row>
    <row r="81" spans="1:22" ht="15" x14ac:dyDescent="0.15">
      <c r="A81" s="7" t="s">
        <v>146</v>
      </c>
      <c r="B81" s="7"/>
      <c r="C81" s="7"/>
      <c r="D81" s="122">
        <f t="shared" si="4"/>
        <v>0.5</v>
      </c>
      <c r="E81" s="123">
        <f t="shared" si="5"/>
        <v>1</v>
      </c>
      <c r="F81" s="102"/>
      <c r="G81" s="434"/>
      <c r="H81" s="102">
        <v>0.5</v>
      </c>
      <c r="I81" s="470"/>
      <c r="J81" s="470"/>
      <c r="K81" s="470"/>
      <c r="L81" s="158"/>
      <c r="N81" s="383"/>
      <c r="O81" s="3"/>
      <c r="P81" s="3"/>
      <c r="Q81" s="234" t="s">
        <v>697</v>
      </c>
      <c r="R81" s="234" t="s">
        <v>698</v>
      </c>
      <c r="S81" s="234" t="s">
        <v>699</v>
      </c>
      <c r="T81" s="234" t="s">
        <v>700</v>
      </c>
    </row>
    <row r="82" spans="1:22" ht="15" x14ac:dyDescent="0.15">
      <c r="A82" s="7" t="s">
        <v>43</v>
      </c>
      <c r="B82" s="7"/>
      <c r="C82" s="7"/>
      <c r="D82" s="122">
        <f t="shared" si="4"/>
        <v>0.5</v>
      </c>
      <c r="E82" s="123">
        <f t="shared" si="5"/>
        <v>1</v>
      </c>
      <c r="F82" s="102"/>
      <c r="G82" s="434"/>
      <c r="H82" s="102">
        <v>0.5</v>
      </c>
      <c r="I82" s="470"/>
      <c r="J82" s="470"/>
      <c r="K82" s="470"/>
      <c r="L82" s="158"/>
      <c r="N82" s="383"/>
      <c r="O82" s="3"/>
      <c r="P82" s="3"/>
      <c r="Q82" s="244">
        <v>25</v>
      </c>
      <c r="R82" s="244">
        <f>E45</f>
        <v>4</v>
      </c>
      <c r="S82" s="244">
        <f>E43</f>
        <v>10</v>
      </c>
      <c r="T82" s="20">
        <f>Q82*R82/1000*10000*S82*10^-4</f>
        <v>1</v>
      </c>
    </row>
    <row r="83" spans="1:22" x14ac:dyDescent="0.15">
      <c r="A83" s="7" t="s">
        <v>44</v>
      </c>
      <c r="B83" s="7"/>
      <c r="C83" s="7"/>
      <c r="D83" s="122">
        <f t="shared" si="4"/>
        <v>3</v>
      </c>
      <c r="E83" s="123">
        <f t="shared" si="5"/>
        <v>1</v>
      </c>
      <c r="F83" s="369"/>
      <c r="G83" s="369"/>
      <c r="H83" s="369">
        <v>3</v>
      </c>
      <c r="I83" s="470" t="s">
        <v>895</v>
      </c>
      <c r="J83" s="470"/>
      <c r="K83" s="470"/>
      <c r="L83" s="158"/>
      <c r="N83" s="383"/>
      <c r="O83" s="3"/>
      <c r="P83" s="3"/>
    </row>
    <row r="84" spans="1:22" x14ac:dyDescent="0.15">
      <c r="I84" s="470"/>
      <c r="J84" s="470"/>
      <c r="K84" s="470"/>
      <c r="O84" s="237"/>
    </row>
    <row r="85" spans="1:22" x14ac:dyDescent="0.15">
      <c r="I85" s="470"/>
      <c r="J85" s="470"/>
      <c r="K85" s="470"/>
      <c r="O85" s="237"/>
    </row>
    <row r="86" spans="1:22" x14ac:dyDescent="0.15">
      <c r="I86" s="470"/>
      <c r="J86" s="470"/>
      <c r="K86" s="470"/>
      <c r="O86" s="237"/>
    </row>
    <row r="87" spans="1:22" x14ac:dyDescent="0.15">
      <c r="K87" s="191"/>
      <c r="O87" s="237"/>
    </row>
    <row r="88" spans="1:22" x14ac:dyDescent="0.15">
      <c r="K88" s="191"/>
      <c r="L88" s="480"/>
      <c r="M88" s="480"/>
      <c r="N88" s="480"/>
      <c r="O88" s="480"/>
      <c r="P88" s="480"/>
      <c r="Q88" s="480"/>
      <c r="R88" s="480"/>
    </row>
    <row r="89" spans="1:22" x14ac:dyDescent="0.15">
      <c r="K89" s="191"/>
      <c r="L89" s="278"/>
      <c r="M89" s="278"/>
      <c r="N89" s="278"/>
      <c r="O89" s="278"/>
      <c r="P89" s="278"/>
      <c r="Q89" s="278"/>
      <c r="R89" s="278"/>
    </row>
    <row r="91" spans="1:22" x14ac:dyDescent="0.15">
      <c r="K91" s="274"/>
      <c r="M91" s="277"/>
      <c r="O91"/>
    </row>
    <row r="92" spans="1:22" x14ac:dyDescent="0.15">
      <c r="K92" s="274"/>
      <c r="M92" s="278"/>
      <c r="N92" s="278"/>
      <c r="O92" s="278"/>
      <c r="P92" s="278"/>
      <c r="Q92" s="278"/>
      <c r="R92" s="134"/>
      <c r="S92" s="134"/>
      <c r="T92" s="134"/>
      <c r="U92" s="134"/>
      <c r="V92" s="134"/>
    </row>
    <row r="93" spans="1:22" x14ac:dyDescent="0.15">
      <c r="K93" s="274"/>
      <c r="M93" s="278"/>
      <c r="N93" s="278"/>
      <c r="O93" s="279"/>
      <c r="P93" s="279"/>
      <c r="Q93" s="279"/>
      <c r="R93" s="278"/>
      <c r="S93" s="278"/>
      <c r="T93" s="78"/>
      <c r="U93" s="78"/>
      <c r="V93" s="78"/>
    </row>
    <row r="94" spans="1:22" x14ac:dyDescent="0.15">
      <c r="K94" s="274"/>
      <c r="M94" s="278"/>
      <c r="N94" s="278"/>
      <c r="O94" s="279"/>
      <c r="P94" s="279"/>
      <c r="Q94" s="279"/>
      <c r="R94" s="278"/>
      <c r="S94" s="278"/>
      <c r="T94" s="78"/>
      <c r="U94" s="78"/>
      <c r="V94" s="78"/>
    </row>
    <row r="95" spans="1:22" x14ac:dyDescent="0.15">
      <c r="K95" s="274"/>
      <c r="M95" s="278"/>
      <c r="N95" s="278"/>
      <c r="O95" s="279"/>
      <c r="P95" s="279"/>
      <c r="Q95" s="279"/>
      <c r="R95" s="278"/>
      <c r="S95" s="278"/>
      <c r="T95" s="78"/>
      <c r="U95" s="78"/>
      <c r="V95" s="78"/>
    </row>
    <row r="96" spans="1:22" x14ac:dyDescent="0.15">
      <c r="K96" s="275"/>
      <c r="M96" s="278"/>
      <c r="N96" s="278"/>
      <c r="O96" s="279"/>
      <c r="P96" s="279"/>
      <c r="Q96" s="279"/>
      <c r="R96" s="278"/>
      <c r="S96" s="278"/>
      <c r="T96" s="78"/>
      <c r="U96" s="78"/>
      <c r="V96" s="78"/>
    </row>
    <row r="97" spans="11:22" x14ac:dyDescent="0.15">
      <c r="K97" s="274"/>
      <c r="M97" s="278"/>
      <c r="N97" s="278"/>
      <c r="O97" s="279"/>
      <c r="P97" s="279"/>
      <c r="Q97" s="279"/>
      <c r="R97" s="278"/>
      <c r="S97" s="278"/>
      <c r="T97" s="78"/>
      <c r="U97" s="78"/>
      <c r="V97" s="78"/>
    </row>
    <row r="98" spans="11:22" x14ac:dyDescent="0.15">
      <c r="K98" s="274"/>
      <c r="M98" s="276"/>
      <c r="N98" s="276"/>
      <c r="O98" s="280"/>
      <c r="P98" s="280"/>
      <c r="Q98" s="280"/>
      <c r="R98" s="276"/>
      <c r="S98" s="276"/>
      <c r="T98" s="78"/>
      <c r="U98" s="78"/>
      <c r="V98" s="78"/>
    </row>
    <row r="99" spans="11:22" x14ac:dyDescent="0.15">
      <c r="K99" s="275"/>
      <c r="M99" s="278"/>
      <c r="N99" s="278"/>
      <c r="O99" s="279"/>
      <c r="P99" s="279"/>
      <c r="Q99" s="279"/>
      <c r="R99" s="278"/>
      <c r="S99" s="278"/>
      <c r="T99" s="78"/>
      <c r="U99" s="78"/>
      <c r="V99" s="78"/>
    </row>
    <row r="100" spans="11:22" x14ac:dyDescent="0.15">
      <c r="K100" s="274"/>
      <c r="M100" s="278"/>
      <c r="N100" s="278"/>
      <c r="O100" s="279"/>
      <c r="P100" s="279"/>
      <c r="Q100" s="279"/>
      <c r="R100" s="278"/>
      <c r="S100" s="278"/>
      <c r="T100" s="78"/>
      <c r="U100" s="78"/>
      <c r="V100" s="78"/>
    </row>
    <row r="101" spans="11:22" x14ac:dyDescent="0.15">
      <c r="K101" s="274"/>
      <c r="M101" s="276"/>
      <c r="N101" s="276"/>
      <c r="O101" s="280"/>
      <c r="P101" s="280"/>
      <c r="Q101" s="280"/>
      <c r="R101" s="276"/>
      <c r="S101" s="276"/>
      <c r="T101" s="78"/>
      <c r="U101" s="78"/>
      <c r="V101" s="78"/>
    </row>
    <row r="102" spans="11:22" x14ac:dyDescent="0.15">
      <c r="M102" s="278"/>
      <c r="N102" s="234"/>
      <c r="O102" s="279"/>
      <c r="P102" s="279"/>
      <c r="Q102" s="279"/>
      <c r="R102" s="278"/>
      <c r="S102" s="278"/>
      <c r="T102" s="78"/>
      <c r="U102" s="78"/>
      <c r="V102" s="78"/>
    </row>
    <row r="103" spans="11:22" x14ac:dyDescent="0.15">
      <c r="M103" s="278"/>
      <c r="N103" s="244"/>
      <c r="O103" s="279"/>
      <c r="P103" s="279"/>
      <c r="Q103" s="279"/>
      <c r="R103" s="278"/>
      <c r="S103" s="278"/>
      <c r="T103" s="78"/>
      <c r="U103" s="78"/>
      <c r="V103" s="78"/>
    </row>
    <row r="104" spans="11:22" x14ac:dyDescent="0.15">
      <c r="M104" s="277"/>
      <c r="N104" s="244"/>
      <c r="O104" s="134"/>
      <c r="P104" s="134"/>
      <c r="Q104" s="134"/>
    </row>
    <row r="105" spans="11:22" x14ac:dyDescent="0.15">
      <c r="M105" s="278"/>
      <c r="N105" s="244"/>
    </row>
    <row r="106" spans="11:22" x14ac:dyDescent="0.15">
      <c r="M106" s="278"/>
      <c r="N106" s="244"/>
    </row>
    <row r="107" spans="11:22" x14ac:dyDescent="0.15">
      <c r="M107" s="278"/>
      <c r="N107" s="244"/>
    </row>
    <row r="108" spans="11:22" x14ac:dyDescent="0.15">
      <c r="M108" s="278"/>
      <c r="N108" s="244"/>
    </row>
    <row r="109" spans="11:22" x14ac:dyDescent="0.15">
      <c r="M109" s="278"/>
      <c r="N109" s="244"/>
    </row>
    <row r="110" spans="11:22" x14ac:dyDescent="0.15">
      <c r="M110" s="276"/>
      <c r="N110" s="244"/>
      <c r="P110" s="20"/>
      <c r="Q110" s="20"/>
    </row>
    <row r="111" spans="11:22" x14ac:dyDescent="0.15">
      <c r="M111" s="278"/>
      <c r="N111" s="244"/>
    </row>
    <row r="112" spans="11:22" x14ac:dyDescent="0.15">
      <c r="M112" s="278"/>
      <c r="N112" s="244"/>
    </row>
    <row r="113" spans="13:14" x14ac:dyDescent="0.15">
      <c r="M113" s="276"/>
      <c r="N113" s="244"/>
    </row>
    <row r="114" spans="13:14" x14ac:dyDescent="0.15">
      <c r="M114" s="278"/>
      <c r="N114" s="274"/>
    </row>
    <row r="115" spans="13:14" x14ac:dyDescent="0.15">
      <c r="M115" s="278"/>
      <c r="N115" s="274"/>
    </row>
    <row r="140" spans="12:16" x14ac:dyDescent="0.15">
      <c r="L140" s="244"/>
    </row>
    <row r="141" spans="12:16" x14ac:dyDescent="0.15">
      <c r="L141" s="244"/>
    </row>
    <row r="142" spans="12:16" x14ac:dyDescent="0.15">
      <c r="L142" s="244"/>
    </row>
    <row r="144" spans="12:16" x14ac:dyDescent="0.15">
      <c r="L144" s="20"/>
      <c r="O144"/>
      <c r="P144" s="235"/>
    </row>
    <row r="145" spans="11:15" x14ac:dyDescent="0.15">
      <c r="K145" s="89"/>
      <c r="L145" s="20"/>
      <c r="M145" s="20"/>
      <c r="N145" s="20"/>
      <c r="O145" s="89"/>
    </row>
    <row r="146" spans="11:15" x14ac:dyDescent="0.15">
      <c r="K146" s="89"/>
      <c r="L146" s="20"/>
      <c r="M146" s="20"/>
      <c r="N146" s="20"/>
      <c r="O146" s="89"/>
    </row>
    <row r="147" spans="11:15" x14ac:dyDescent="0.15">
      <c r="K147" s="89"/>
      <c r="L147" s="20"/>
      <c r="M147" s="20"/>
      <c r="N147" s="20"/>
      <c r="O147" s="89"/>
    </row>
    <row r="148" spans="11:15" x14ac:dyDescent="0.15">
      <c r="K148" s="89"/>
      <c r="L148" s="20"/>
      <c r="M148" s="20"/>
      <c r="N148" s="20"/>
      <c r="O148" s="89"/>
    </row>
    <row r="149" spans="11:15" x14ac:dyDescent="0.15">
      <c r="K149" s="89"/>
      <c r="L149" s="20"/>
      <c r="M149" s="20"/>
      <c r="N149" s="20"/>
      <c r="O149" s="89"/>
    </row>
    <row r="150" spans="11:15" x14ac:dyDescent="0.15">
      <c r="K150" s="89"/>
      <c r="L150" s="20"/>
      <c r="M150" s="20"/>
      <c r="N150" s="20"/>
      <c r="O150" s="89"/>
    </row>
    <row r="151" spans="11:15" x14ac:dyDescent="0.15">
      <c r="K151" s="89"/>
      <c r="L151" s="20"/>
      <c r="M151" s="20"/>
      <c r="N151" s="20"/>
      <c r="O151" s="89"/>
    </row>
    <row r="152" spans="11:15" x14ac:dyDescent="0.15">
      <c r="K152" s="89"/>
      <c r="L152" s="20"/>
      <c r="M152" s="20"/>
      <c r="N152" s="20"/>
      <c r="O152" s="89"/>
    </row>
    <row r="153" spans="11:15" x14ac:dyDescent="0.15">
      <c r="K153" s="89"/>
      <c r="L153" s="20"/>
      <c r="M153" s="20"/>
      <c r="N153" s="20"/>
      <c r="O153" s="89"/>
    </row>
    <row r="154" spans="11:15" x14ac:dyDescent="0.15">
      <c r="K154" s="89"/>
      <c r="L154" s="20"/>
      <c r="M154" s="20"/>
      <c r="N154" s="20"/>
      <c r="O154" s="89"/>
    </row>
    <row r="155" spans="11:15" x14ac:dyDescent="0.15">
      <c r="K155" s="89"/>
      <c r="L155" s="20"/>
      <c r="M155" s="20"/>
      <c r="N155" s="20"/>
      <c r="O155" s="89"/>
    </row>
    <row r="156" spans="11:15" x14ac:dyDescent="0.15">
      <c r="K156" s="89"/>
      <c r="L156" s="20"/>
      <c r="M156" s="20"/>
      <c r="N156" s="20"/>
      <c r="O156" s="89"/>
    </row>
    <row r="157" spans="11:15" x14ac:dyDescent="0.15">
      <c r="K157" s="89"/>
      <c r="L157" s="20"/>
      <c r="M157" s="20"/>
      <c r="N157" s="20"/>
      <c r="O157" s="89"/>
    </row>
    <row r="158" spans="11:15" x14ac:dyDescent="0.15">
      <c r="K158" s="89"/>
      <c r="L158" s="20"/>
      <c r="M158" s="20"/>
      <c r="N158" s="20"/>
      <c r="O158" s="89"/>
    </row>
    <row r="159" spans="11:15" x14ac:dyDescent="0.15">
      <c r="K159" s="89"/>
      <c r="L159" s="20"/>
      <c r="M159" s="20"/>
      <c r="N159" s="20"/>
      <c r="O159" s="89"/>
    </row>
    <row r="160" spans="11:15" x14ac:dyDescent="0.15">
      <c r="K160" s="89"/>
      <c r="L160" s="20"/>
      <c r="M160" s="20"/>
      <c r="N160" s="20"/>
      <c r="O160" s="89"/>
    </row>
    <row r="172" spans="1:14" x14ac:dyDescent="0.15">
      <c r="K172" s="283"/>
      <c r="L172" s="283"/>
      <c r="M172" s="283"/>
      <c r="N172" s="283"/>
    </row>
    <row r="175" spans="1:14" x14ac:dyDescent="0.15">
      <c r="A175" s="282"/>
      <c r="B175" s="281"/>
    </row>
  </sheetData>
  <mergeCells count="3">
    <mergeCell ref="F3:K3"/>
    <mergeCell ref="L88:R88"/>
    <mergeCell ref="A1:M1"/>
  </mergeCells>
  <phoneticPr fontId="6" type="noConversion"/>
  <pageMargins left="0.5" right="0.5" top="0.5" bottom="0.5" header="0.5" footer="0.5"/>
  <pageSetup orientation="portrait" horizontalDpi="0" verticalDpi="0"/>
  <headerFooter alignWithMargins="0">
    <oddFooter>&amp;C &amp;P&amp;R&amp;F, &amp;D</oddFooter>
  </headerFooter>
  <rowBreaks count="1" manualBreakCount="1">
    <brk id="46" max="13" man="1"/>
  </row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Y147"/>
  <sheetViews>
    <sheetView topLeftCell="A48" workbookViewId="0">
      <selection activeCell="F56" sqref="F56"/>
    </sheetView>
  </sheetViews>
  <sheetFormatPr baseColWidth="10" defaultColWidth="8.83203125" defaultRowHeight="13" x14ac:dyDescent="0.15"/>
  <cols>
    <col min="1" max="1" width="37.1640625" customWidth="1"/>
    <col min="2" max="2" width="12.6640625" customWidth="1"/>
    <col min="3" max="3" width="19.1640625" customWidth="1"/>
    <col min="4" max="12" width="19.1640625" style="470" customWidth="1"/>
    <col min="13" max="13" width="8.5" customWidth="1"/>
    <col min="14" max="14" width="34.83203125" bestFit="1" customWidth="1"/>
    <col min="16" max="25" width="19" customWidth="1"/>
  </cols>
  <sheetData>
    <row r="1" spans="1:25" ht="15" x14ac:dyDescent="0.2">
      <c r="A1" s="340" t="s">
        <v>607</v>
      </c>
    </row>
    <row r="2" spans="1:25" ht="15" x14ac:dyDescent="0.2">
      <c r="B2" s="301" t="s">
        <v>718</v>
      </c>
      <c r="C2" s="408">
        <f ca="1">C9/(C10*C11)</f>
        <v>1</v>
      </c>
      <c r="N2" s="340" t="s">
        <v>859</v>
      </c>
    </row>
    <row r="3" spans="1:25" x14ac:dyDescent="0.15">
      <c r="A3" t="s">
        <v>608</v>
      </c>
      <c r="B3" t="s">
        <v>609</v>
      </c>
      <c r="C3" s="244">
        <f>'Flow and System'!C10</f>
        <v>110</v>
      </c>
      <c r="N3" t="s">
        <v>608</v>
      </c>
      <c r="O3" t="s">
        <v>609</v>
      </c>
      <c r="P3" s="244">
        <f t="shared" ref="P3" si="0">C3</f>
        <v>110</v>
      </c>
      <c r="Q3" s="244"/>
      <c r="R3" s="244"/>
      <c r="S3" s="244"/>
      <c r="T3" s="244"/>
      <c r="U3" s="244"/>
      <c r="V3" s="244"/>
      <c r="W3" s="244"/>
      <c r="X3" s="244"/>
      <c r="Y3" s="244"/>
    </row>
    <row r="4" spans="1:25" x14ac:dyDescent="0.15">
      <c r="A4" t="s">
        <v>610</v>
      </c>
      <c r="B4" t="s">
        <v>611</v>
      </c>
      <c r="C4" s="6">
        <f>'Flow and System'!C28</f>
        <v>6.18</v>
      </c>
      <c r="N4" t="s">
        <v>610</v>
      </c>
      <c r="O4" t="s">
        <v>611</v>
      </c>
      <c r="P4" s="244">
        <f>C4</f>
        <v>6.18</v>
      </c>
      <c r="Q4" s="244"/>
      <c r="R4" s="244"/>
      <c r="S4" s="244"/>
      <c r="T4" s="244"/>
      <c r="U4" s="244"/>
      <c r="V4" s="244"/>
      <c r="W4" s="244"/>
      <c r="X4" s="244"/>
      <c r="Y4" s="244"/>
    </row>
    <row r="5" spans="1:25" x14ac:dyDescent="0.15">
      <c r="A5" t="s">
        <v>0</v>
      </c>
      <c r="B5" t="s">
        <v>611</v>
      </c>
      <c r="C5" s="6">
        <f ca="1">C14*C9*C6*C12/1000</f>
        <v>6.208818275781006</v>
      </c>
      <c r="M5" s="240"/>
      <c r="P5" s="244"/>
      <c r="Q5" s="244"/>
      <c r="R5" s="244"/>
      <c r="S5" s="244"/>
      <c r="T5" s="244"/>
      <c r="U5" s="244"/>
      <c r="V5" s="244"/>
      <c r="W5" s="244"/>
      <c r="X5" s="244"/>
      <c r="Y5" s="244"/>
    </row>
    <row r="6" spans="1:25" x14ac:dyDescent="0.15">
      <c r="A6" t="s">
        <v>701</v>
      </c>
      <c r="C6" s="249">
        <v>5</v>
      </c>
      <c r="M6" s="244"/>
      <c r="N6" t="s">
        <v>701</v>
      </c>
      <c r="P6" s="244">
        <f t="shared" ref="P6:P12" si="1">C6</f>
        <v>5</v>
      </c>
      <c r="Q6" s="244"/>
      <c r="R6" s="244"/>
      <c r="S6" s="244"/>
      <c r="T6" s="244"/>
      <c r="U6" s="244"/>
      <c r="V6" s="244"/>
      <c r="W6" s="244"/>
      <c r="X6" s="244"/>
      <c r="Y6" s="244"/>
    </row>
    <row r="7" spans="1:25" ht="17" x14ac:dyDescent="0.2">
      <c r="A7" t="s">
        <v>702</v>
      </c>
      <c r="B7" s="17" t="s">
        <v>703</v>
      </c>
      <c r="C7" s="4">
        <f ca="1">IF(C19=1,C3*1000/(C17/1000*P15)/10000,C3*1000/(C17/1000*C8*0.9)/10000)</f>
        <v>187.83326324904741</v>
      </c>
      <c r="N7" t="s">
        <v>702</v>
      </c>
      <c r="O7" s="17" t="s">
        <v>703</v>
      </c>
      <c r="P7" s="4">
        <f t="shared" ca="1" si="1"/>
        <v>187.83326324904741</v>
      </c>
      <c r="Q7" s="4"/>
      <c r="R7" s="4"/>
      <c r="S7" s="4"/>
      <c r="T7" s="4"/>
      <c r="U7" s="4"/>
      <c r="V7" s="4"/>
      <c r="W7" s="4"/>
      <c r="X7" s="4"/>
      <c r="Y7" s="4"/>
    </row>
    <row r="8" spans="1:25" x14ac:dyDescent="0.15">
      <c r="A8" t="s">
        <v>704</v>
      </c>
      <c r="B8" t="s">
        <v>705</v>
      </c>
      <c r="C8" s="390">
        <f>Chem!$E$49</f>
        <v>1.36</v>
      </c>
      <c r="N8" t="s">
        <v>704</v>
      </c>
      <c r="O8" t="s">
        <v>705</v>
      </c>
      <c r="P8" s="244">
        <f t="shared" si="1"/>
        <v>1.36</v>
      </c>
      <c r="Q8" s="244"/>
      <c r="R8" s="244"/>
      <c r="S8" s="244"/>
      <c r="T8" s="244"/>
      <c r="U8" s="244"/>
      <c r="V8" s="244"/>
      <c r="W8" s="244"/>
      <c r="X8" s="244"/>
      <c r="Y8" s="244"/>
    </row>
    <row r="9" spans="1:25" ht="17" x14ac:dyDescent="0.2">
      <c r="A9" t="s">
        <v>706</v>
      </c>
      <c r="B9" s="17" t="s">
        <v>707</v>
      </c>
      <c r="C9" s="4">
        <f ca="1">C7*10000/C6</f>
        <v>375666.52649809478</v>
      </c>
      <c r="N9" t="s">
        <v>706</v>
      </c>
      <c r="O9" s="17" t="s">
        <v>707</v>
      </c>
      <c r="P9" s="4">
        <f t="shared" ca="1" si="1"/>
        <v>375666.52649809478</v>
      </c>
      <c r="Q9" s="4"/>
      <c r="R9" s="4"/>
      <c r="S9" s="4"/>
      <c r="T9" s="4"/>
      <c r="U9" s="4"/>
      <c r="V9" s="4"/>
      <c r="W9" s="4"/>
      <c r="X9" s="4"/>
      <c r="Y9" s="4"/>
    </row>
    <row r="10" spans="1:25" x14ac:dyDescent="0.15">
      <c r="A10" t="s">
        <v>808</v>
      </c>
      <c r="C10" s="4">
        <f ca="1">EVEN(C9/500)</f>
        <v>752</v>
      </c>
      <c r="N10" t="s">
        <v>808</v>
      </c>
      <c r="P10" s="4">
        <f t="shared" ca="1" si="1"/>
        <v>752</v>
      </c>
      <c r="Q10" s="4"/>
      <c r="R10" s="4"/>
      <c r="S10" s="4"/>
      <c r="T10" s="4"/>
      <c r="U10" s="4"/>
      <c r="V10" s="4"/>
      <c r="W10" s="4"/>
      <c r="X10" s="4"/>
      <c r="Y10" s="4"/>
    </row>
    <row r="11" spans="1:25" ht="17" x14ac:dyDescent="0.2">
      <c r="A11" s="351" t="s">
        <v>809</v>
      </c>
      <c r="B11" s="17" t="s">
        <v>707</v>
      </c>
      <c r="C11" s="352">
        <f ca="1">IF(AND(ABS(C9-6000)&gt;100,ABS(C9-4000)&gt;100),C9/C10,250)</f>
        <v>499.55655119427496</v>
      </c>
      <c r="N11" s="351" t="s">
        <v>809</v>
      </c>
      <c r="O11" s="17" t="s">
        <v>707</v>
      </c>
      <c r="P11" s="4">
        <f t="shared" ref="P11" ca="1" si="2">C11</f>
        <v>499.55655119427496</v>
      </c>
      <c r="Q11" s="4"/>
      <c r="R11" s="4"/>
      <c r="S11" s="4"/>
      <c r="T11" s="4"/>
      <c r="U11" s="4"/>
      <c r="V11" s="4"/>
      <c r="W11" s="4"/>
      <c r="X11" s="4"/>
      <c r="Y11" s="4"/>
    </row>
    <row r="12" spans="1:25" x14ac:dyDescent="0.15">
      <c r="A12" s="351" t="s">
        <v>810</v>
      </c>
      <c r="B12" s="17" t="s">
        <v>705</v>
      </c>
      <c r="C12" s="21">
        <f t="shared" ref="C12" si="3">0.8*C8</f>
        <v>1.0880000000000001</v>
      </c>
      <c r="N12" s="351" t="s">
        <v>810</v>
      </c>
      <c r="O12" s="17" t="s">
        <v>705</v>
      </c>
      <c r="P12" s="244">
        <f t="shared" si="1"/>
        <v>1.0880000000000001</v>
      </c>
      <c r="Q12" s="244"/>
      <c r="R12" s="244"/>
      <c r="S12" s="244"/>
      <c r="T12" s="244"/>
      <c r="U12" s="244"/>
      <c r="V12" s="244"/>
      <c r="W12" s="244"/>
      <c r="X12" s="244"/>
      <c r="Y12" s="244"/>
    </row>
    <row r="13" spans="1:25" x14ac:dyDescent="0.15">
      <c r="A13" t="s">
        <v>811</v>
      </c>
      <c r="B13" s="157" t="s">
        <v>705</v>
      </c>
      <c r="C13" s="66">
        <f t="shared" ref="C13" ca="1" si="4">C8-C84</f>
        <v>1.0870960549551385</v>
      </c>
    </row>
    <row r="14" spans="1:25" ht="17" x14ac:dyDescent="0.2">
      <c r="A14" s="17" t="s">
        <v>787</v>
      </c>
      <c r="B14" s="17" t="s">
        <v>711</v>
      </c>
      <c r="C14" s="21">
        <f ca="1">C15</f>
        <v>3.0131432913743134E-3</v>
      </c>
      <c r="N14" s="26" t="s">
        <v>815</v>
      </c>
      <c r="O14" s="17" t="s">
        <v>712</v>
      </c>
      <c r="P14" s="66">
        <f ca="1">P15/P8</f>
        <v>0.5137583730235733</v>
      </c>
      <c r="Q14" s="66"/>
      <c r="R14" s="66"/>
      <c r="S14" s="66"/>
      <c r="T14" s="66"/>
      <c r="U14" s="66"/>
      <c r="V14" s="66"/>
      <c r="W14" s="66"/>
      <c r="X14" s="66"/>
      <c r="Y14" s="66"/>
    </row>
    <row r="15" spans="1:25" ht="17" x14ac:dyDescent="0.2">
      <c r="A15" t="s">
        <v>713</v>
      </c>
      <c r="B15" s="17" t="s">
        <v>711</v>
      </c>
      <c r="C15" s="66">
        <f t="shared" ref="C15" ca="1" si="5">IF(C19=1,(C13-C12)*0.01+C14,0.02)</f>
        <v>3.0041038409256977E-3</v>
      </c>
      <c r="N15" t="s">
        <v>714</v>
      </c>
      <c r="O15" s="157" t="s">
        <v>705</v>
      </c>
      <c r="P15" s="66">
        <f t="shared" ref="P15" ca="1" si="6">P8-P84</f>
        <v>0.71091945057079697</v>
      </c>
      <c r="Q15" s="66"/>
      <c r="R15" s="66"/>
      <c r="S15" s="66"/>
      <c r="T15" s="66"/>
      <c r="U15" s="66"/>
      <c r="V15" s="66"/>
      <c r="W15" s="66"/>
      <c r="X15" s="66"/>
      <c r="Y15" s="66"/>
    </row>
    <row r="16" spans="1:25" ht="17" x14ac:dyDescent="0.2">
      <c r="A16" s="26" t="s">
        <v>814</v>
      </c>
      <c r="B16" t="s">
        <v>711</v>
      </c>
      <c r="C16" s="21">
        <f ca="1">C17/1000/5</f>
        <v>1.6763023580622326E-2</v>
      </c>
      <c r="N16" s="26" t="s">
        <v>814</v>
      </c>
      <c r="O16" t="s">
        <v>711</v>
      </c>
      <c r="P16" s="21">
        <f t="shared" ref="P16:P17" ca="1" si="7">C16</f>
        <v>1.6763023580622326E-2</v>
      </c>
      <c r="Q16" s="21"/>
      <c r="R16" s="21"/>
      <c r="S16" s="21"/>
      <c r="T16" s="21"/>
      <c r="U16" s="21"/>
      <c r="V16" s="21"/>
      <c r="W16" s="21"/>
      <c r="X16" s="21"/>
      <c r="Y16" s="21"/>
    </row>
    <row r="17" spans="1:25" ht="17" x14ac:dyDescent="0.2">
      <c r="A17" s="154" t="s">
        <v>775</v>
      </c>
      <c r="B17" t="s">
        <v>716</v>
      </c>
      <c r="C17" s="6">
        <f ca="1">IF(C19=1,C14*1000/((C4*1000/(C6*C12)/(C3*1000/(C6*P15)))),C14*1000/((C4*1000/(C6*C12)/(C3*1000/(C6*C12)))))</f>
        <v>82.079082678441878</v>
      </c>
      <c r="N17" s="157" t="s">
        <v>715</v>
      </c>
      <c r="O17" t="s">
        <v>716</v>
      </c>
      <c r="P17" s="6">
        <f t="shared" ca="1" si="7"/>
        <v>82.079082678441878</v>
      </c>
      <c r="Q17" s="6"/>
      <c r="R17" s="6"/>
      <c r="S17" s="6"/>
      <c r="T17" s="6"/>
      <c r="U17" s="6"/>
      <c r="V17" s="6"/>
      <c r="W17" s="6"/>
      <c r="X17" s="6"/>
      <c r="Y17" s="6"/>
    </row>
    <row r="18" spans="1:25" x14ac:dyDescent="0.15">
      <c r="A18" s="397" t="s">
        <v>773</v>
      </c>
      <c r="B18" s="240" t="s">
        <v>774</v>
      </c>
      <c r="C18" s="440">
        <f ca="1">C3*1000/(C144*C8)/C6</f>
        <v>28429.711827564366</v>
      </c>
      <c r="N18" s="397" t="s">
        <v>773</v>
      </c>
      <c r="O18" s="240" t="s">
        <v>774</v>
      </c>
      <c r="P18" s="6">
        <f ca="1">C18</f>
        <v>28429.711827564366</v>
      </c>
      <c r="Q18" s="6"/>
      <c r="R18" s="6"/>
      <c r="S18" s="6"/>
      <c r="T18" s="6"/>
      <c r="U18" s="6"/>
      <c r="V18" s="6"/>
      <c r="W18" s="6"/>
      <c r="X18" s="6"/>
      <c r="Y18" s="6"/>
    </row>
    <row r="19" spans="1:25" ht="15" x14ac:dyDescent="0.2">
      <c r="A19" s="342" t="s">
        <v>717</v>
      </c>
      <c r="C19" s="353">
        <v>1</v>
      </c>
      <c r="N19" s="342"/>
      <c r="P19" s="353"/>
      <c r="Q19" s="353"/>
      <c r="R19" s="353"/>
      <c r="S19" s="353"/>
      <c r="T19" s="353"/>
      <c r="U19" s="353"/>
      <c r="V19" s="353"/>
      <c r="W19" s="353"/>
      <c r="X19" s="353"/>
      <c r="Y19" s="353"/>
    </row>
    <row r="20" spans="1:25" ht="15" x14ac:dyDescent="0.2">
      <c r="A20" s="342" t="s">
        <v>618</v>
      </c>
      <c r="C20" s="354">
        <v>1</v>
      </c>
      <c r="N20" s="342" t="s">
        <v>618</v>
      </c>
      <c r="P20" s="354">
        <f>C20</f>
        <v>1</v>
      </c>
      <c r="Q20" s="354"/>
      <c r="R20" s="354"/>
      <c r="S20" s="354"/>
      <c r="T20" s="354"/>
      <c r="U20" s="354"/>
      <c r="V20" s="354"/>
      <c r="W20" s="354"/>
      <c r="X20" s="354"/>
      <c r="Y20" s="354"/>
    </row>
    <row r="21" spans="1:25" ht="15" x14ac:dyDescent="0.2">
      <c r="A21" s="342" t="s">
        <v>619</v>
      </c>
      <c r="C21" s="355" t="str">
        <f ca="1">IF(AND(C67&lt;3.1,C67&gt;0.01),IF('Flow and System'!C44&lt;0,"reset flow",""),"reset positive")</f>
        <v/>
      </c>
      <c r="N21" s="342" t="s">
        <v>619</v>
      </c>
      <c r="P21" s="355" t="str">
        <f ca="1">IF(AND(P67&lt;3.1,P67&gt;0.1),"","reset positive")</f>
        <v/>
      </c>
      <c r="Q21" s="355"/>
      <c r="R21" s="355"/>
      <c r="S21" s="355"/>
      <c r="T21" s="355"/>
      <c r="U21" s="355"/>
      <c r="V21" s="355"/>
      <c r="W21" s="355"/>
      <c r="X21" s="355"/>
      <c r="Y21" s="355"/>
    </row>
    <row r="22" spans="1:25" ht="16" thickBot="1" x14ac:dyDescent="0.25">
      <c r="A22" s="356" t="s">
        <v>620</v>
      </c>
      <c r="B22" s="356" t="s">
        <v>621</v>
      </c>
      <c r="C22" s="357"/>
      <c r="N22" s="356" t="s">
        <v>620</v>
      </c>
      <c r="O22" s="356" t="s">
        <v>621</v>
      </c>
      <c r="P22" s="357"/>
      <c r="Q22" s="357"/>
      <c r="R22" s="357"/>
      <c r="S22" s="357"/>
      <c r="T22" s="357"/>
      <c r="U22" s="357"/>
      <c r="V22" s="357"/>
      <c r="W22" s="357"/>
      <c r="X22" s="357"/>
      <c r="Y22" s="357"/>
    </row>
    <row r="23" spans="1:25" ht="16" thickTop="1" x14ac:dyDescent="0.2">
      <c r="A23" s="358"/>
      <c r="N23" s="358"/>
    </row>
    <row r="24" spans="1:25" x14ac:dyDescent="0.15">
      <c r="C24" s="244"/>
      <c r="P24" s="244"/>
      <c r="Q24" s="244"/>
      <c r="R24" s="244"/>
      <c r="S24" s="244"/>
      <c r="T24" s="244"/>
      <c r="U24" s="244"/>
      <c r="V24" s="244"/>
      <c r="W24" s="244"/>
      <c r="X24" s="244"/>
      <c r="Y24" s="244"/>
    </row>
    <row r="25" spans="1:25" x14ac:dyDescent="0.15">
      <c r="C25" s="66"/>
      <c r="P25" s="66"/>
      <c r="Q25" s="66"/>
      <c r="R25" s="66"/>
      <c r="S25" s="66"/>
      <c r="T25" s="66"/>
      <c r="U25" s="66"/>
      <c r="V25" s="66"/>
      <c r="W25" s="66"/>
      <c r="X25" s="66"/>
      <c r="Y25" s="66"/>
    </row>
    <row r="26" spans="1:25" x14ac:dyDescent="0.15">
      <c r="C26" s="20"/>
      <c r="P26" s="20"/>
      <c r="Q26" s="20"/>
      <c r="R26" s="20"/>
      <c r="S26" s="20"/>
      <c r="T26" s="20"/>
      <c r="U26" s="20"/>
      <c r="V26" s="20"/>
      <c r="W26" s="20"/>
      <c r="X26" s="20"/>
      <c r="Y26" s="20"/>
    </row>
    <row r="27" spans="1:25" ht="15" x14ac:dyDescent="0.2">
      <c r="A27" s="359"/>
      <c r="B27" s="359"/>
      <c r="C27" s="360"/>
      <c r="N27" s="359"/>
      <c r="O27" s="359"/>
      <c r="P27" s="360"/>
      <c r="Q27" s="360"/>
      <c r="R27" s="360"/>
      <c r="S27" s="360"/>
      <c r="T27" s="360"/>
      <c r="U27" s="360"/>
      <c r="V27" s="360"/>
      <c r="W27" s="360"/>
      <c r="X27" s="360"/>
      <c r="Y27" s="360"/>
    </row>
    <row r="28" spans="1:25" ht="15" x14ac:dyDescent="0.2">
      <c r="A28" s="358" t="s">
        <v>887</v>
      </c>
      <c r="B28" t="s">
        <v>820</v>
      </c>
      <c r="C28" s="244"/>
      <c r="N28" s="358" t="s">
        <v>722</v>
      </c>
      <c r="O28" t="s">
        <v>820</v>
      </c>
      <c r="P28" s="244"/>
      <c r="Q28" s="244"/>
      <c r="R28" s="244"/>
      <c r="S28" s="244"/>
      <c r="T28" s="244"/>
      <c r="U28" s="244"/>
      <c r="V28" s="244"/>
      <c r="W28" s="244"/>
      <c r="X28" s="244"/>
      <c r="Y28" s="244"/>
    </row>
    <row r="29" spans="1:25" x14ac:dyDescent="0.15">
      <c r="A29" s="338" t="s">
        <v>821</v>
      </c>
      <c r="B29" t="s">
        <v>822</v>
      </c>
      <c r="C29" s="390">
        <f>Chem!$E$24</f>
        <v>1.5</v>
      </c>
      <c r="N29" s="338" t="s">
        <v>821</v>
      </c>
      <c r="O29" t="s">
        <v>822</v>
      </c>
      <c r="P29" s="244">
        <v>1.5</v>
      </c>
      <c r="Q29" s="244"/>
      <c r="R29" s="244"/>
      <c r="S29" s="244"/>
      <c r="T29" s="244"/>
      <c r="U29" s="244"/>
      <c r="V29" s="244"/>
      <c r="W29" s="244"/>
      <c r="X29" s="244"/>
      <c r="Y29" s="244"/>
    </row>
    <row r="30" spans="1:25" x14ac:dyDescent="0.15">
      <c r="A30" s="338" t="s">
        <v>724</v>
      </c>
      <c r="B30" t="s">
        <v>725</v>
      </c>
      <c r="C30" s="391">
        <f ca="1">C17/'Battery Design'!F41/1000*C29</f>
        <v>1.8940685702585888E-2</v>
      </c>
      <c r="N30" s="338" t="s">
        <v>724</v>
      </c>
      <c r="O30" t="s">
        <v>725</v>
      </c>
      <c r="P30" s="210">
        <f ca="1">C30</f>
        <v>1.8940685702585888E-2</v>
      </c>
      <c r="Q30" s="441"/>
      <c r="R30" s="441"/>
      <c r="S30" s="441"/>
      <c r="T30" s="441"/>
      <c r="U30" s="441"/>
      <c r="V30" s="441"/>
      <c r="W30" s="441"/>
      <c r="X30" s="441"/>
      <c r="Y30" s="441"/>
    </row>
    <row r="31" spans="1:25" x14ac:dyDescent="0.15">
      <c r="A31" t="s">
        <v>726</v>
      </c>
      <c r="C31" s="244" t="s">
        <v>727</v>
      </c>
      <c r="D31" s="470" t="s">
        <v>890</v>
      </c>
      <c r="N31" t="s">
        <v>726</v>
      </c>
      <c r="P31" s="244" t="s">
        <v>727</v>
      </c>
      <c r="Q31" s="244"/>
      <c r="R31" s="244"/>
      <c r="S31" s="244"/>
      <c r="T31" s="244"/>
      <c r="U31" s="244"/>
      <c r="V31" s="244"/>
      <c r="W31" s="244"/>
      <c r="X31" s="244"/>
      <c r="Y31" s="244"/>
    </row>
    <row r="32" spans="1:25" ht="18" x14ac:dyDescent="0.25">
      <c r="A32" t="s">
        <v>728</v>
      </c>
      <c r="B32" t="s">
        <v>711</v>
      </c>
      <c r="C32" s="345">
        <v>3.8000000000000002E-4</v>
      </c>
      <c r="D32" s="470" t="s">
        <v>888</v>
      </c>
      <c r="N32" t="s">
        <v>728</v>
      </c>
      <c r="O32" t="s">
        <v>711</v>
      </c>
      <c r="P32" s="345">
        <f t="shared" ref="P32:P33" si="8">C32</f>
        <v>3.8000000000000002E-4</v>
      </c>
      <c r="Q32" s="345"/>
      <c r="R32" s="345"/>
      <c r="S32" s="345"/>
      <c r="T32" s="345"/>
      <c r="U32" s="345"/>
      <c r="V32" s="345"/>
      <c r="W32" s="345"/>
      <c r="X32" s="345"/>
      <c r="Y32" s="345"/>
    </row>
    <row r="33" spans="1:25" ht="14" x14ac:dyDescent="0.15">
      <c r="A33" t="s">
        <v>729</v>
      </c>
      <c r="C33" s="244">
        <v>0.5</v>
      </c>
      <c r="N33" t="s">
        <v>729</v>
      </c>
      <c r="P33" s="244">
        <f t="shared" si="8"/>
        <v>0.5</v>
      </c>
      <c r="Q33" s="244"/>
      <c r="R33" s="244"/>
      <c r="S33" s="244"/>
      <c r="T33" s="244"/>
      <c r="U33" s="244"/>
      <c r="V33" s="244"/>
      <c r="W33" s="244"/>
      <c r="X33" s="244"/>
      <c r="Y33" s="244"/>
    </row>
    <row r="34" spans="1:25" ht="14" x14ac:dyDescent="0.15">
      <c r="A34" t="s">
        <v>730</v>
      </c>
      <c r="B34" t="s">
        <v>705</v>
      </c>
      <c r="C34" s="20">
        <f t="shared" ref="C34" ca="1" si="9">8.31443*303/(C33*96485.3)*ASINH(C$14/(2*C32))</f>
        <v>0.10893823568638228</v>
      </c>
      <c r="N34" t="s">
        <v>730</v>
      </c>
      <c r="O34" t="s">
        <v>705</v>
      </c>
      <c r="P34" s="20">
        <f t="shared" ref="P34" ca="1" si="10">8.31443*303/(P33*96485.3)*ASINH(P$16/(2*P32))</f>
        <v>0.19777462288299483</v>
      </c>
      <c r="Q34" s="20"/>
      <c r="R34" s="20"/>
      <c r="S34" s="20"/>
      <c r="T34" s="20"/>
      <c r="U34" s="20"/>
      <c r="V34" s="20"/>
      <c r="W34" s="20"/>
      <c r="X34" s="20"/>
      <c r="Y34" s="20"/>
    </row>
    <row r="35" spans="1:25" ht="17" x14ac:dyDescent="0.2">
      <c r="A35" t="s">
        <v>720</v>
      </c>
      <c r="B35" t="s">
        <v>721</v>
      </c>
      <c r="C35" s="4">
        <f t="shared" ref="C35" ca="1" si="11">C34/C14</f>
        <v>36.154349512098669</v>
      </c>
      <c r="N35" t="s">
        <v>720</v>
      </c>
      <c r="O35" t="s">
        <v>721</v>
      </c>
      <c r="P35" s="4">
        <f t="shared" ref="P35" ca="1" si="12">P34/P16</f>
        <v>11.798266698832172</v>
      </c>
      <c r="Q35" s="4"/>
      <c r="R35" s="4"/>
      <c r="S35" s="4"/>
      <c r="T35" s="4"/>
      <c r="U35" s="4"/>
      <c r="V35" s="4"/>
      <c r="W35" s="4"/>
      <c r="X35" s="4"/>
      <c r="Y35" s="4"/>
    </row>
    <row r="36" spans="1:25" x14ac:dyDescent="0.15">
      <c r="C36" s="244"/>
      <c r="P36" s="244"/>
      <c r="Q36" s="244"/>
      <c r="R36" s="244"/>
      <c r="S36" s="244"/>
      <c r="T36" s="244"/>
      <c r="U36" s="244"/>
      <c r="V36" s="244"/>
      <c r="W36" s="244"/>
      <c r="X36" s="244"/>
      <c r="Y36" s="244"/>
    </row>
    <row r="37" spans="1:25" ht="17" x14ac:dyDescent="0.2">
      <c r="A37" s="358" t="s">
        <v>882</v>
      </c>
      <c r="B37" t="s">
        <v>884</v>
      </c>
      <c r="N37" s="358" t="s">
        <v>731</v>
      </c>
      <c r="O37" t="s">
        <v>627</v>
      </c>
    </row>
    <row r="38" spans="1:25" x14ac:dyDescent="0.15">
      <c r="A38" t="s">
        <v>628</v>
      </c>
      <c r="B38" t="s">
        <v>725</v>
      </c>
      <c r="C38" s="390">
        <f>Chem!$E$43*10^-4</f>
        <v>1E-3</v>
      </c>
      <c r="N38" t="s">
        <v>628</v>
      </c>
      <c r="O38" t="s">
        <v>725</v>
      </c>
      <c r="P38" s="244">
        <f t="shared" ref="P38:P39" si="13">C38</f>
        <v>1E-3</v>
      </c>
      <c r="Q38" s="244"/>
      <c r="R38" s="244"/>
      <c r="S38" s="244"/>
      <c r="T38" s="244"/>
      <c r="U38" s="244"/>
      <c r="V38" s="244"/>
      <c r="W38" s="244"/>
      <c r="X38" s="244"/>
      <c r="Y38" s="244"/>
    </row>
    <row r="39" spans="1:25" ht="14" x14ac:dyDescent="0.15">
      <c r="A39" t="s">
        <v>629</v>
      </c>
      <c r="B39" t="s">
        <v>630</v>
      </c>
      <c r="C39" s="344">
        <v>0.625</v>
      </c>
      <c r="N39" t="s">
        <v>629</v>
      </c>
      <c r="O39" t="s">
        <v>630</v>
      </c>
      <c r="P39" s="210">
        <f t="shared" si="13"/>
        <v>0.625</v>
      </c>
      <c r="Q39" s="210"/>
      <c r="R39" s="210"/>
      <c r="S39" s="210"/>
      <c r="T39" s="210"/>
      <c r="U39" s="210"/>
      <c r="V39" s="210"/>
      <c r="W39" s="210"/>
      <c r="X39" s="210"/>
      <c r="Y39" s="210"/>
    </row>
    <row r="40" spans="1:25" ht="14" x14ac:dyDescent="0.15">
      <c r="A40" t="s">
        <v>719</v>
      </c>
      <c r="B40" t="s">
        <v>705</v>
      </c>
      <c r="C40" s="66">
        <f t="shared" ref="C40" ca="1" si="14">C41*C$14</f>
        <v>4.8210292661989013E-6</v>
      </c>
      <c r="N40" t="s">
        <v>719</v>
      </c>
      <c r="O40" t="s">
        <v>705</v>
      </c>
      <c r="P40" s="66">
        <f t="shared" ref="P40" ca="1" si="15">P41*P$16</f>
        <v>2.6820837728995725E-5</v>
      </c>
      <c r="Q40" s="66"/>
      <c r="R40" s="66"/>
      <c r="S40" s="66"/>
      <c r="T40" s="66"/>
      <c r="U40" s="66"/>
      <c r="V40" s="66"/>
      <c r="W40" s="66"/>
      <c r="X40" s="66"/>
      <c r="Y40" s="66"/>
    </row>
    <row r="41" spans="1:25" ht="17" x14ac:dyDescent="0.2">
      <c r="A41" t="s">
        <v>720</v>
      </c>
      <c r="B41" t="s">
        <v>721</v>
      </c>
      <c r="C41" s="20">
        <f t="shared" ref="C41" si="16">C38/C39</f>
        <v>1.6000000000000001E-3</v>
      </c>
      <c r="N41" t="s">
        <v>720</v>
      </c>
      <c r="O41" t="s">
        <v>721</v>
      </c>
      <c r="P41" s="20">
        <f t="shared" ref="P41" si="17">P38/P39</f>
        <v>1.6000000000000001E-3</v>
      </c>
      <c r="Q41" s="20"/>
      <c r="R41" s="20"/>
      <c r="S41" s="20"/>
      <c r="T41" s="20"/>
      <c r="U41" s="20"/>
      <c r="V41" s="20"/>
      <c r="W41" s="20"/>
      <c r="X41" s="20"/>
      <c r="Y41" s="20"/>
    </row>
    <row r="42" spans="1:25" x14ac:dyDescent="0.15">
      <c r="C42" s="244"/>
      <c r="P42" s="244"/>
      <c r="Q42" s="244"/>
      <c r="R42" s="244"/>
      <c r="S42" s="244"/>
      <c r="T42" s="244"/>
      <c r="U42" s="244"/>
      <c r="V42" s="244"/>
      <c r="W42" s="244"/>
      <c r="X42" s="244"/>
      <c r="Y42" s="244"/>
    </row>
    <row r="43" spans="1:25" ht="15" x14ac:dyDescent="0.2">
      <c r="A43" s="358" t="s">
        <v>883</v>
      </c>
      <c r="B43" t="s">
        <v>632</v>
      </c>
      <c r="C43" s="244"/>
      <c r="N43" s="358" t="s">
        <v>631</v>
      </c>
      <c r="O43" t="s">
        <v>632</v>
      </c>
      <c r="P43" s="244"/>
      <c r="Q43" s="244"/>
      <c r="R43" s="244"/>
      <c r="S43" s="244"/>
      <c r="T43" s="244"/>
      <c r="U43" s="244"/>
      <c r="V43" s="244"/>
      <c r="W43" s="244"/>
      <c r="X43" s="244"/>
      <c r="Y43" s="244"/>
    </row>
    <row r="44" spans="1:25" x14ac:dyDescent="0.15">
      <c r="A44" t="s">
        <v>726</v>
      </c>
      <c r="C44" s="244" t="s">
        <v>727</v>
      </c>
      <c r="D44" s="470" t="s">
        <v>890</v>
      </c>
      <c r="N44" t="s">
        <v>726</v>
      </c>
      <c r="P44" s="244" t="s">
        <v>727</v>
      </c>
      <c r="Q44" s="244"/>
      <c r="R44" s="244"/>
      <c r="S44" s="244"/>
      <c r="T44" s="244"/>
      <c r="U44" s="244"/>
      <c r="V44" s="244"/>
      <c r="W44" s="244"/>
      <c r="X44" s="244"/>
      <c r="Y44" s="244"/>
    </row>
    <row r="45" spans="1:25" ht="18" x14ac:dyDescent="0.25">
      <c r="A45" t="s">
        <v>728</v>
      </c>
      <c r="B45" t="s">
        <v>711</v>
      </c>
      <c r="C45" s="345">
        <f>C32</f>
        <v>3.8000000000000002E-4</v>
      </c>
      <c r="N45" t="s">
        <v>728</v>
      </c>
      <c r="O45" t="s">
        <v>711</v>
      </c>
      <c r="P45" s="345">
        <f t="shared" ref="P45:P46" si="18">C45</f>
        <v>3.8000000000000002E-4</v>
      </c>
      <c r="Q45" s="345"/>
      <c r="R45" s="345"/>
      <c r="S45" s="345"/>
      <c r="T45" s="345"/>
      <c r="U45" s="345"/>
      <c r="V45" s="345"/>
      <c r="W45" s="345"/>
      <c r="X45" s="345"/>
      <c r="Y45" s="345"/>
    </row>
    <row r="46" spans="1:25" ht="14" x14ac:dyDescent="0.15">
      <c r="A46" t="s">
        <v>729</v>
      </c>
      <c r="C46" s="244">
        <v>0.5</v>
      </c>
      <c r="N46" t="s">
        <v>729</v>
      </c>
      <c r="P46" s="244">
        <f t="shared" si="18"/>
        <v>0.5</v>
      </c>
      <c r="Q46" s="244"/>
      <c r="R46" s="244"/>
      <c r="S46" s="244"/>
      <c r="T46" s="244"/>
      <c r="U46" s="244"/>
      <c r="V46" s="244"/>
      <c r="W46" s="244"/>
      <c r="X46" s="244"/>
      <c r="Y46" s="244"/>
    </row>
    <row r="47" spans="1:25" ht="14" x14ac:dyDescent="0.15">
      <c r="A47" t="s">
        <v>719</v>
      </c>
      <c r="B47" t="s">
        <v>705</v>
      </c>
      <c r="C47" s="20">
        <f t="shared" ref="C47" ca="1" si="19">8.31443*303/(C46*96485.3)*ASINH(C$14/(2*C45))</f>
        <v>0.10893823568638228</v>
      </c>
      <c r="N47" t="s">
        <v>719</v>
      </c>
      <c r="O47" t="s">
        <v>705</v>
      </c>
      <c r="P47" s="20">
        <f t="shared" ref="P47" ca="1" si="20">8.31443*303/(P46*96485.3)*ASINH(P$16/(2*P45))</f>
        <v>0.19777462288299483</v>
      </c>
      <c r="Q47" s="20"/>
      <c r="R47" s="20"/>
      <c r="S47" s="20"/>
      <c r="T47" s="20"/>
      <c r="U47" s="20"/>
      <c r="V47" s="20"/>
      <c r="W47" s="20"/>
      <c r="X47" s="20"/>
      <c r="Y47" s="20"/>
    </row>
    <row r="48" spans="1:25" ht="17" x14ac:dyDescent="0.2">
      <c r="A48" t="s">
        <v>720</v>
      </c>
      <c r="B48" t="s">
        <v>721</v>
      </c>
      <c r="C48" s="4">
        <f t="shared" ref="C48" ca="1" si="21">C47/C$14</f>
        <v>36.154349512098669</v>
      </c>
      <c r="N48" t="s">
        <v>720</v>
      </c>
      <c r="O48" t="s">
        <v>721</v>
      </c>
      <c r="P48" s="4">
        <f t="shared" ref="P48" ca="1" si="22">P47/P$16</f>
        <v>11.798266698832172</v>
      </c>
      <c r="Q48" s="4"/>
      <c r="R48" s="4"/>
      <c r="S48" s="4"/>
      <c r="T48" s="4"/>
      <c r="U48" s="4"/>
      <c r="V48" s="4"/>
      <c r="W48" s="4"/>
      <c r="X48" s="4"/>
      <c r="Y48" s="4"/>
    </row>
    <row r="49" spans="1:25" x14ac:dyDescent="0.15">
      <c r="C49" s="20"/>
      <c r="P49" s="210"/>
      <c r="Q49" s="210"/>
      <c r="R49" s="210"/>
      <c r="S49" s="210"/>
      <c r="T49" s="210"/>
      <c r="U49" s="210"/>
      <c r="V49" s="210"/>
      <c r="W49" s="210"/>
      <c r="X49" s="210"/>
      <c r="Y49" s="210"/>
    </row>
    <row r="50" spans="1:25" ht="15" x14ac:dyDescent="0.2">
      <c r="A50" s="358" t="s">
        <v>633</v>
      </c>
      <c r="B50" t="s">
        <v>873</v>
      </c>
      <c r="C50" s="244"/>
      <c r="N50" s="358" t="s">
        <v>633</v>
      </c>
      <c r="O50" t="s">
        <v>634</v>
      </c>
      <c r="P50" s="244"/>
      <c r="Q50" s="244"/>
      <c r="R50" s="244"/>
      <c r="S50" s="244"/>
      <c r="T50" s="244"/>
      <c r="U50" s="244"/>
      <c r="V50" s="244"/>
      <c r="W50" s="244"/>
      <c r="X50" s="244"/>
      <c r="Y50" s="244"/>
    </row>
    <row r="51" spans="1:25" ht="17" x14ac:dyDescent="0.2">
      <c r="A51" s="338" t="s">
        <v>635</v>
      </c>
      <c r="B51" s="339" t="s">
        <v>732</v>
      </c>
      <c r="C51" s="392">
        <f>Chem!$E$7*Chem!$E$20</f>
        <v>2698.08</v>
      </c>
      <c r="N51" s="338" t="s">
        <v>635</v>
      </c>
      <c r="O51" s="339" t="s">
        <v>732</v>
      </c>
      <c r="P51" s="244">
        <f t="shared" ref="P51" si="23">C51</f>
        <v>2698.08</v>
      </c>
      <c r="Q51" s="244"/>
      <c r="R51" s="244"/>
      <c r="S51" s="244"/>
      <c r="T51" s="244"/>
      <c r="U51" s="244"/>
      <c r="V51" s="244"/>
      <c r="W51" s="244"/>
      <c r="X51" s="244"/>
      <c r="Y51" s="244"/>
    </row>
    <row r="52" spans="1:25" ht="17" x14ac:dyDescent="0.2">
      <c r="A52" s="338" t="s">
        <v>733</v>
      </c>
      <c r="B52" t="s">
        <v>734</v>
      </c>
      <c r="C52" s="393">
        <v>0.6</v>
      </c>
      <c r="N52" s="338" t="s">
        <v>733</v>
      </c>
      <c r="O52" t="s">
        <v>734</v>
      </c>
      <c r="P52" s="244">
        <f t="shared" ref="P52:P59" si="24">C52</f>
        <v>0.6</v>
      </c>
      <c r="Q52" s="244"/>
      <c r="R52" s="244"/>
      <c r="S52" s="244"/>
      <c r="T52" s="244"/>
      <c r="U52" s="244"/>
      <c r="V52" s="244"/>
      <c r="W52" s="244"/>
      <c r="X52" s="244"/>
      <c r="Y52" s="244"/>
    </row>
    <row r="53" spans="1:25" ht="17" x14ac:dyDescent="0.2">
      <c r="A53" t="s">
        <v>735</v>
      </c>
      <c r="B53" t="s">
        <v>734</v>
      </c>
      <c r="C53" s="393">
        <f>Chem!$E$18/100</f>
        <v>0.25</v>
      </c>
      <c r="N53" t="s">
        <v>735</v>
      </c>
      <c r="O53" t="s">
        <v>734</v>
      </c>
      <c r="P53" s="244">
        <f t="shared" si="24"/>
        <v>0.25</v>
      </c>
      <c r="Q53" s="244"/>
      <c r="R53" s="244"/>
      <c r="S53" s="244"/>
      <c r="T53" s="244"/>
      <c r="U53" s="244"/>
      <c r="V53" s="244"/>
      <c r="W53" s="244"/>
      <c r="X53" s="244"/>
      <c r="Y53" s="244"/>
    </row>
    <row r="54" spans="1:25" ht="17" x14ac:dyDescent="0.2">
      <c r="A54" t="s">
        <v>736</v>
      </c>
      <c r="B54" t="s">
        <v>734</v>
      </c>
      <c r="C54" s="393">
        <f>(Chem!$E$10+Chem!$E$11)/100</f>
        <v>0.1</v>
      </c>
      <c r="N54" t="s">
        <v>736</v>
      </c>
      <c r="O54" t="s">
        <v>734</v>
      </c>
      <c r="P54" s="244">
        <f t="shared" si="24"/>
        <v>0.1</v>
      </c>
      <c r="Q54" s="244"/>
      <c r="R54" s="244"/>
      <c r="S54" s="244"/>
      <c r="T54" s="244"/>
      <c r="U54" s="244"/>
      <c r="V54" s="244"/>
      <c r="W54" s="244"/>
      <c r="X54" s="244"/>
      <c r="Y54" s="244"/>
    </row>
    <row r="55" spans="1:25" x14ac:dyDescent="0.15">
      <c r="A55" t="s">
        <v>724</v>
      </c>
      <c r="B55" t="s">
        <v>725</v>
      </c>
      <c r="C55" s="442">
        <f ca="1">C17/C51/C52</f>
        <v>5.0702155284771566E-2</v>
      </c>
      <c r="M55" s="66"/>
      <c r="N55" t="s">
        <v>724</v>
      </c>
      <c r="O55" t="s">
        <v>725</v>
      </c>
      <c r="P55" s="210">
        <f ca="1">C55</f>
        <v>5.0702155284771566E-2</v>
      </c>
      <c r="Q55" s="441"/>
      <c r="R55" s="441"/>
      <c r="S55" s="441"/>
      <c r="T55" s="441"/>
      <c r="U55" s="441"/>
      <c r="V55" s="441"/>
      <c r="W55" s="441"/>
      <c r="X55" s="441"/>
      <c r="Y55" s="441"/>
    </row>
    <row r="56" spans="1:25" ht="17" x14ac:dyDescent="0.2">
      <c r="A56" t="s">
        <v>737</v>
      </c>
      <c r="B56" t="s">
        <v>738</v>
      </c>
      <c r="C56" s="244">
        <v>5000</v>
      </c>
      <c r="N56" t="s">
        <v>737</v>
      </c>
      <c r="O56" t="s">
        <v>738</v>
      </c>
      <c r="P56" s="244">
        <f t="shared" si="24"/>
        <v>5000</v>
      </c>
      <c r="Q56" s="244"/>
      <c r="R56" s="244"/>
      <c r="S56" s="244"/>
      <c r="T56" s="244"/>
      <c r="U56" s="244"/>
      <c r="V56" s="244"/>
      <c r="W56" s="244"/>
      <c r="X56" s="244"/>
      <c r="Y56" s="244"/>
    </row>
    <row r="57" spans="1:25" ht="17" x14ac:dyDescent="0.2">
      <c r="A57" t="s">
        <v>739</v>
      </c>
      <c r="B57" t="s">
        <v>740</v>
      </c>
      <c r="C57" s="4">
        <f t="shared" ref="C57" ca="1" si="25">C56*C55</f>
        <v>253.51077642385783</v>
      </c>
      <c r="N57" t="s">
        <v>739</v>
      </c>
      <c r="O57" t="s">
        <v>740</v>
      </c>
      <c r="P57" s="6">
        <f t="shared" ca="1" si="24"/>
        <v>253.51077642385783</v>
      </c>
      <c r="Q57" s="6"/>
      <c r="R57" s="6"/>
      <c r="S57" s="6"/>
      <c r="T57" s="6"/>
      <c r="U57" s="6"/>
      <c r="V57" s="6"/>
      <c r="W57" s="6"/>
      <c r="X57" s="6"/>
      <c r="Y57" s="6"/>
    </row>
    <row r="58" spans="1:25" ht="17" x14ac:dyDescent="0.25">
      <c r="A58" t="s">
        <v>741</v>
      </c>
      <c r="B58" t="s">
        <v>630</v>
      </c>
      <c r="C58" s="172">
        <f>Chem!$E$51*C53^1.5</f>
        <v>1.2500000000000002E-3</v>
      </c>
      <c r="N58" t="s">
        <v>741</v>
      </c>
      <c r="O58" t="s">
        <v>630</v>
      </c>
      <c r="P58" s="244">
        <f t="shared" si="24"/>
        <v>1.2500000000000002E-3</v>
      </c>
      <c r="Q58" s="244"/>
      <c r="R58" s="244"/>
      <c r="S58" s="244"/>
      <c r="T58" s="244"/>
      <c r="U58" s="244"/>
      <c r="V58" s="244"/>
      <c r="W58" s="244"/>
      <c r="X58" s="244"/>
      <c r="Y58" s="244"/>
    </row>
    <row r="59" spans="1:25" ht="17" x14ac:dyDescent="0.25">
      <c r="A59" t="s">
        <v>742</v>
      </c>
      <c r="B59" t="s">
        <v>630</v>
      </c>
      <c r="C59" s="210">
        <f>100*C54^1.5</f>
        <v>3.16227766016838</v>
      </c>
      <c r="N59" t="s">
        <v>742</v>
      </c>
      <c r="O59" t="s">
        <v>630</v>
      </c>
      <c r="P59" s="66">
        <f t="shared" si="24"/>
        <v>3.16227766016838</v>
      </c>
      <c r="Q59" s="66"/>
      <c r="R59" s="66"/>
      <c r="S59" s="66"/>
      <c r="T59" s="66"/>
      <c r="U59" s="66"/>
      <c r="V59" s="66"/>
      <c r="W59" s="66"/>
      <c r="X59" s="66"/>
      <c r="Y59" s="66"/>
    </row>
    <row r="60" spans="1:25" ht="15" x14ac:dyDescent="0.2">
      <c r="A60" t="s">
        <v>642</v>
      </c>
      <c r="C60" s="343" t="str">
        <f t="shared" ref="C60" ca="1" si="26">IF(ABS(C14)&gt;C56*C62*C55,"Use Tafel", "Use Linear")</f>
        <v>Use Linear</v>
      </c>
      <c r="N60" t="s">
        <v>642</v>
      </c>
      <c r="P60" s="343" t="str">
        <f t="shared" ref="P60" ca="1" si="27">IF(ABS(P16)&gt;P56*P62*P55,"Use Tafel", "Use Linear")</f>
        <v>Use Tafel</v>
      </c>
      <c r="Q60" s="343"/>
      <c r="R60" s="343"/>
      <c r="S60" s="343"/>
      <c r="T60" s="343"/>
      <c r="U60" s="343"/>
      <c r="V60" s="343"/>
      <c r="W60" s="343"/>
      <c r="X60" s="343"/>
      <c r="Y60" s="343"/>
    </row>
    <row r="61" spans="1:25" ht="15" x14ac:dyDescent="0.2">
      <c r="A61" t="s">
        <v>643</v>
      </c>
      <c r="C61" s="361" t="s">
        <v>644</v>
      </c>
      <c r="N61" t="s">
        <v>643</v>
      </c>
      <c r="P61" s="361" t="s">
        <v>644</v>
      </c>
      <c r="Q61" s="361"/>
      <c r="R61" s="361"/>
      <c r="S61" s="361"/>
      <c r="T61" s="361"/>
      <c r="U61" s="361"/>
      <c r="V61" s="361"/>
      <c r="W61" s="361"/>
      <c r="X61" s="361"/>
      <c r="Y61" s="361"/>
    </row>
    <row r="62" spans="1:25" ht="18" x14ac:dyDescent="0.25">
      <c r="A62" t="s">
        <v>645</v>
      </c>
      <c r="B62" t="s">
        <v>711</v>
      </c>
      <c r="C62" s="396">
        <f>0.00005</f>
        <v>5.0000000000000002E-5</v>
      </c>
      <c r="N62" t="s">
        <v>645</v>
      </c>
      <c r="O62" t="s">
        <v>711</v>
      </c>
      <c r="P62" s="345">
        <f t="shared" ref="P62:P63" si="28">C62</f>
        <v>5.0000000000000002E-5</v>
      </c>
      <c r="Q62" s="345"/>
      <c r="R62" s="345"/>
      <c r="S62" s="345"/>
      <c r="T62" s="345"/>
      <c r="U62" s="345"/>
      <c r="V62" s="345"/>
      <c r="W62" s="345"/>
      <c r="X62" s="345"/>
      <c r="Y62" s="345"/>
    </row>
    <row r="63" spans="1:25" ht="14" x14ac:dyDescent="0.15">
      <c r="A63" t="s">
        <v>646</v>
      </c>
      <c r="C63" s="244">
        <v>0.5</v>
      </c>
      <c r="N63" t="s">
        <v>646</v>
      </c>
      <c r="P63" s="244">
        <f t="shared" si="28"/>
        <v>0.5</v>
      </c>
      <c r="Q63" s="244"/>
      <c r="R63" s="244"/>
      <c r="S63" s="244"/>
      <c r="T63" s="244"/>
      <c r="U63" s="244"/>
      <c r="V63" s="244"/>
      <c r="W63" s="244"/>
      <c r="X63" s="244"/>
      <c r="Y63" s="244"/>
    </row>
    <row r="64" spans="1:25" ht="14" x14ac:dyDescent="0.15">
      <c r="A64" t="s">
        <v>647</v>
      </c>
      <c r="B64" t="s">
        <v>648</v>
      </c>
      <c r="C64" s="6">
        <f t="shared" ref="C64" si="29">(1-C63)*96485.3/303/8.31443</f>
        <v>19.149438586489595</v>
      </c>
      <c r="N64" t="s">
        <v>647</v>
      </c>
      <c r="O64" t="s">
        <v>648</v>
      </c>
      <c r="P64" s="6">
        <f>C64</f>
        <v>19.149438586489595</v>
      </c>
      <c r="Q64" s="6"/>
      <c r="R64" s="6"/>
      <c r="S64" s="6"/>
      <c r="T64" s="6"/>
      <c r="U64" s="6"/>
      <c r="V64" s="6"/>
      <c r="W64" s="6"/>
      <c r="X64" s="6"/>
      <c r="Y64" s="6"/>
    </row>
    <row r="65" spans="1:25" ht="14" x14ac:dyDescent="0.15">
      <c r="A65" t="s">
        <v>649</v>
      </c>
      <c r="B65" t="s">
        <v>650</v>
      </c>
      <c r="C65" s="6">
        <f t="shared" ref="C65" ca="1" si="30">C55*ABS(C$14)*C64*(1/C58+1/C59)</f>
        <v>2.3413367146268329</v>
      </c>
      <c r="N65" t="s">
        <v>649</v>
      </c>
      <c r="O65" t="s">
        <v>650</v>
      </c>
      <c r="P65" s="6">
        <f t="shared" ref="P65" ca="1" si="31">P55*ABS(P$16)*P64*(1/P58+1/P59)</f>
        <v>13.025561270126389</v>
      </c>
      <c r="Q65" s="6"/>
      <c r="R65" s="6"/>
      <c r="S65" s="6"/>
      <c r="T65" s="6"/>
      <c r="U65" s="6"/>
      <c r="V65" s="6"/>
      <c r="W65" s="6"/>
      <c r="X65" s="6"/>
      <c r="Y65" s="6"/>
    </row>
    <row r="66" spans="1:25" ht="14" x14ac:dyDescent="0.15">
      <c r="A66" t="s">
        <v>651</v>
      </c>
      <c r="B66" t="s">
        <v>650</v>
      </c>
      <c r="C66" s="6">
        <f t="shared" ref="C66" ca="1" si="32">C55*ABS(C14)*C64/C58</f>
        <v>2.3404115857176935</v>
      </c>
      <c r="N66" t="s">
        <v>651</v>
      </c>
      <c r="O66" t="s">
        <v>650</v>
      </c>
      <c r="P66" s="6">
        <f t="shared" ref="P66" ca="1" si="33">P55*ABS(P16)*P64/P58</f>
        <v>13.020414499389194</v>
      </c>
      <c r="Q66" s="6"/>
      <c r="R66" s="6"/>
      <c r="S66" s="6"/>
      <c r="T66" s="6"/>
      <c r="U66" s="6"/>
      <c r="V66" s="6"/>
      <c r="W66" s="6"/>
      <c r="X66" s="6"/>
      <c r="Y66" s="6"/>
    </row>
    <row r="67" spans="1:25" ht="14" x14ac:dyDescent="0.15">
      <c r="A67" t="s">
        <v>743</v>
      </c>
      <c r="B67" t="s">
        <v>744</v>
      </c>
      <c r="C67" s="395">
        <f ca="1">IF(C65&gt;19.2,IF(C20=1,ATAN((C69-C68)*0.1+C68)+PI(),1.58),IF(C20=1,ATAN((C69-C68)*0.1+C68),1.565))</f>
        <v>0.91231044771924774</v>
      </c>
      <c r="M67" s="172">
        <f>PI()/2</f>
        <v>1.5707963267948966</v>
      </c>
      <c r="N67" t="s">
        <v>743</v>
      </c>
      <c r="O67" t="s">
        <v>744</v>
      </c>
      <c r="P67" s="362">
        <f t="shared" ref="P67" ca="1" si="34">IF(P65&gt;19.2,IF(P20=1,ATAN((P69-P68)*0.1+P68)+PI(),1.8),IF(P20=1,ATAN((P69-P68)*0.1+P68),1.565))</f>
        <v>1.3636553205880086</v>
      </c>
      <c r="Q67" s="362"/>
      <c r="R67" s="362"/>
      <c r="S67" s="362"/>
      <c r="T67" s="362"/>
      <c r="U67" s="362"/>
      <c r="V67" s="362"/>
      <c r="W67" s="362"/>
      <c r="X67" s="362"/>
      <c r="Y67" s="362"/>
    </row>
    <row r="68" spans="1:25" ht="14" x14ac:dyDescent="0.15">
      <c r="A68" t="s">
        <v>745</v>
      </c>
      <c r="B68" t="s">
        <v>650</v>
      </c>
      <c r="C68" s="66">
        <f t="shared" ref="C68" ca="1" si="35">TAN(C67)</f>
        <v>1.2925213280690158</v>
      </c>
      <c r="M68" s="400"/>
      <c r="N68" t="s">
        <v>745</v>
      </c>
      <c r="O68" t="s">
        <v>650</v>
      </c>
      <c r="P68" s="66">
        <f t="shared" ref="P68" ca="1" si="36">TAN(P67)</f>
        <v>4.7583840233120078</v>
      </c>
      <c r="Q68" s="66"/>
      <c r="R68" s="66"/>
      <c r="S68" s="66"/>
      <c r="T68" s="66"/>
      <c r="U68" s="66"/>
      <c r="V68" s="66"/>
      <c r="W68" s="66"/>
      <c r="X68" s="66"/>
      <c r="Y68" s="66"/>
    </row>
    <row r="69" spans="1:25" ht="14" x14ac:dyDescent="0.15">
      <c r="A69" t="s">
        <v>746</v>
      </c>
      <c r="B69" t="s">
        <v>650</v>
      </c>
      <c r="C69" s="66">
        <f t="shared" ref="C69" ca="1" si="37">2*C65*C67/(4*C67^2-C66*(C65-C66))</f>
        <v>1.2840258526959853</v>
      </c>
      <c r="N69" t="s">
        <v>746</v>
      </c>
      <c r="O69" t="s">
        <v>650</v>
      </c>
      <c r="P69" s="66">
        <f t="shared" ref="P69" ca="1" si="38">2*P65*P67/(4*P67^2-P66*(P65-P66))</f>
        <v>4.8193920235454595</v>
      </c>
      <c r="Q69" s="66"/>
      <c r="R69" s="66"/>
      <c r="S69" s="66"/>
      <c r="T69" s="66"/>
      <c r="U69" s="66"/>
      <c r="V69" s="66"/>
      <c r="W69" s="66"/>
      <c r="X69" s="66"/>
      <c r="Y69" s="66"/>
    </row>
    <row r="70" spans="1:25" ht="14" x14ac:dyDescent="0.15">
      <c r="A70" t="s">
        <v>747</v>
      </c>
      <c r="B70" t="s">
        <v>650</v>
      </c>
      <c r="C70" s="20">
        <f t="shared" ref="C70" ca="1" si="39">ATAN(C66/(2*C67))</f>
        <v>0.90860920226909447</v>
      </c>
      <c r="N70" t="s">
        <v>747</v>
      </c>
      <c r="O70" t="s">
        <v>650</v>
      </c>
      <c r="P70" s="20">
        <f t="shared" ref="P70" ca="1" si="40">ATAN(P66/(2*P67))</f>
        <v>1.3643173619015876</v>
      </c>
      <c r="Q70" s="20"/>
      <c r="R70" s="20"/>
      <c r="S70" s="20"/>
      <c r="T70" s="20"/>
      <c r="U70" s="20"/>
      <c r="V70" s="20"/>
      <c r="W70" s="20"/>
      <c r="X70" s="20"/>
      <c r="Y70" s="20"/>
    </row>
    <row r="71" spans="1:25" ht="18" x14ac:dyDescent="0.25">
      <c r="A71" t="s">
        <v>849</v>
      </c>
      <c r="B71" t="s">
        <v>705</v>
      </c>
      <c r="C71" s="20">
        <f t="shared" ref="C71" ca="1" si="41">((C65-C66)*(C66/C65+2/C65*LN(1/COS(C67-C70)))+2*C66/C65*LN(1/COS(C70))+LN(2*ABS(C14)*C67^2/(C56*C62*C55*C65)))/C64</f>
        <v>-4.2011599428790167E-2</v>
      </c>
      <c r="N71" t="s">
        <v>849</v>
      </c>
      <c r="O71" t="s">
        <v>705</v>
      </c>
      <c r="P71" s="20">
        <f t="shared" ref="P71" ca="1" si="42">((P65-P66)*(P66/P65+2/P65*LN(1/COS(P67-P70)))+2*P66/P65*LN(1/COS(P70))+LN(2*ABS(P16)*P67^2/(P56*P62*P55*P65)))/P64</f>
        <v>0.11484983889794885</v>
      </c>
      <c r="Q71" s="20"/>
      <c r="R71" s="20"/>
      <c r="S71" s="20"/>
      <c r="T71" s="20"/>
      <c r="U71" s="20"/>
      <c r="V71" s="20"/>
      <c r="W71" s="20"/>
      <c r="X71" s="20"/>
      <c r="Y71" s="20"/>
    </row>
    <row r="72" spans="1:25" ht="15" x14ac:dyDescent="0.2">
      <c r="A72" s="338" t="s">
        <v>850</v>
      </c>
      <c r="C72" s="361" t="s">
        <v>755</v>
      </c>
      <c r="N72" s="338" t="s">
        <v>850</v>
      </c>
      <c r="P72" s="361" t="s">
        <v>755</v>
      </c>
      <c r="Q72" s="361"/>
      <c r="R72" s="361"/>
      <c r="S72" s="361"/>
      <c r="T72" s="361"/>
      <c r="U72" s="361"/>
      <c r="V72" s="361"/>
      <c r="W72" s="361"/>
      <c r="X72" s="361"/>
      <c r="Y72" s="361"/>
    </row>
    <row r="73" spans="1:25" ht="14" x14ac:dyDescent="0.15">
      <c r="A73" t="s">
        <v>756</v>
      </c>
      <c r="B73" t="s">
        <v>650</v>
      </c>
      <c r="C73" s="66">
        <f ca="1">SQRT((2*C63)*96495.3/8.31443/303*C56*C62*C55^2*(1/C58+1/C59))</f>
        <v>4.4385668201277859</v>
      </c>
      <c r="N73" t="s">
        <v>756</v>
      </c>
      <c r="O73" t="s">
        <v>650</v>
      </c>
      <c r="P73" s="66">
        <f t="shared" ref="P73" ca="1" si="43">SQRT((2*P63)*96495.3/8.31443/303*P56*P62*P55^2*(1/P58+1/P59))</f>
        <v>4.4385668201277859</v>
      </c>
      <c r="Q73" s="66"/>
      <c r="R73" s="66"/>
      <c r="S73" s="66"/>
      <c r="T73" s="66"/>
      <c r="U73" s="66"/>
      <c r="V73" s="66"/>
      <c r="W73" s="66"/>
      <c r="X73" s="66"/>
      <c r="Y73" s="66"/>
    </row>
    <row r="74" spans="1:25" ht="18" x14ac:dyDescent="0.25">
      <c r="A74" t="s">
        <v>849</v>
      </c>
      <c r="B74" t="s">
        <v>705</v>
      </c>
      <c r="C74" s="66">
        <f t="shared" ref="C74" ca="1" si="44">C14*C55/(C58+C59)*(1+(2+(C59/C58+C58/C59)*COSH(C73))/(C73*SINH(C73)))</f>
        <v>2.7581142595261957E-2</v>
      </c>
      <c r="N74" t="s">
        <v>849</v>
      </c>
      <c r="O74" t="s">
        <v>705</v>
      </c>
      <c r="P74" s="66">
        <f t="shared" ref="P74" ca="1" si="45">P16*P55/(P58+P59)*(1+(2+(P59/P58+P58/P59)*COSH(P73))/(P73*SINH(P73)))</f>
        <v>0.15344220270852282</v>
      </c>
      <c r="Q74" s="66"/>
      <c r="R74" s="66"/>
      <c r="S74" s="66"/>
      <c r="T74" s="66"/>
      <c r="U74" s="66"/>
      <c r="V74" s="66"/>
      <c r="W74" s="66"/>
      <c r="X74" s="66"/>
      <c r="Y74" s="66"/>
    </row>
    <row r="75" spans="1:25" ht="17" x14ac:dyDescent="0.2">
      <c r="A75" t="s">
        <v>757</v>
      </c>
      <c r="B75" t="s">
        <v>721</v>
      </c>
      <c r="C75" s="4">
        <f t="shared" ref="C75" ca="1" si="46">IF(C60="Use Tafel",C71/C14,C74/C14)</f>
        <v>9.1536113381060034</v>
      </c>
      <c r="N75" t="s">
        <v>757</v>
      </c>
      <c r="O75" t="s">
        <v>721</v>
      </c>
      <c r="P75" s="4">
        <f t="shared" ref="P75" ca="1" si="47">IF(P60="Use Tafel",P71/P16,P74/P16)</f>
        <v>6.8513796658207085</v>
      </c>
      <c r="Q75" s="4"/>
      <c r="R75" s="4"/>
      <c r="S75" s="4"/>
      <c r="T75" s="4"/>
      <c r="U75" s="4"/>
      <c r="V75" s="4"/>
      <c r="W75" s="4"/>
      <c r="X75" s="4"/>
      <c r="Y75" s="4"/>
    </row>
    <row r="76" spans="1:25" ht="15" x14ac:dyDescent="0.2">
      <c r="A76" s="342"/>
      <c r="C76" s="407"/>
      <c r="N76" s="342"/>
      <c r="P76" s="363"/>
      <c r="Q76" s="354"/>
      <c r="R76" s="354"/>
      <c r="S76" s="363"/>
      <c r="T76" s="354"/>
      <c r="U76" s="354"/>
      <c r="V76" s="354"/>
      <c r="W76" s="354"/>
      <c r="X76" s="354"/>
      <c r="Y76" s="354"/>
    </row>
    <row r="77" spans="1:25" ht="15" x14ac:dyDescent="0.2">
      <c r="A77" s="358" t="s">
        <v>622</v>
      </c>
      <c r="N77" s="358" t="s">
        <v>622</v>
      </c>
    </row>
    <row r="78" spans="1:25" x14ac:dyDescent="0.15">
      <c r="C78" s="244"/>
      <c r="P78" s="244"/>
      <c r="Q78" s="244"/>
      <c r="R78" s="244"/>
      <c r="S78" s="244"/>
      <c r="T78" s="244"/>
      <c r="U78" s="244"/>
      <c r="V78" s="244"/>
      <c r="W78" s="244"/>
      <c r="X78" s="244"/>
      <c r="Y78" s="244"/>
    </row>
    <row r="79" spans="1:25" ht="14" x14ac:dyDescent="0.15">
      <c r="A79" t="s">
        <v>719</v>
      </c>
      <c r="B79" t="s">
        <v>705</v>
      </c>
      <c r="C79" s="66">
        <f t="shared" ref="C79" ca="1" si="48">C80*C$14</f>
        <v>2.6879435657951069E-2</v>
      </c>
      <c r="N79" t="s">
        <v>719</v>
      </c>
      <c r="O79" t="s">
        <v>705</v>
      </c>
      <c r="P79" s="66">
        <f ca="1">P80*P$16</f>
        <v>0.14953839568729629</v>
      </c>
      <c r="Q79" s="66"/>
      <c r="R79" s="66"/>
      <c r="S79" s="66"/>
      <c r="T79" s="66"/>
      <c r="U79" s="66"/>
      <c r="V79" s="66"/>
      <c r="W79" s="66"/>
      <c r="X79" s="66"/>
      <c r="Y79" s="66"/>
    </row>
    <row r="80" spans="1:25" ht="17" x14ac:dyDescent="0.2">
      <c r="A80" t="s">
        <v>720</v>
      </c>
      <c r="B80" t="s">
        <v>721</v>
      </c>
      <c r="C80" s="20">
        <f ca="1">'Battery Design'!F87</f>
        <v>8.3217030737166606</v>
      </c>
      <c r="N80" t="s">
        <v>720</v>
      </c>
      <c r="O80" t="s">
        <v>721</v>
      </c>
      <c r="P80" s="20">
        <f ca="1">C80</f>
        <v>8.3217030737166606</v>
      </c>
      <c r="Q80" s="434"/>
      <c r="R80" s="434"/>
      <c r="S80" s="434"/>
      <c r="T80" s="434"/>
      <c r="U80" s="434"/>
      <c r="V80" s="434"/>
      <c r="W80" s="434"/>
      <c r="X80" s="434"/>
      <c r="Y80" s="434"/>
    </row>
    <row r="81" spans="1:25" x14ac:dyDescent="0.15">
      <c r="C81" s="20"/>
      <c r="P81" s="20"/>
      <c r="Q81" s="20"/>
      <c r="R81" s="20"/>
      <c r="S81" s="20"/>
      <c r="T81" s="20"/>
      <c r="U81" s="20"/>
      <c r="V81" s="20"/>
      <c r="W81" s="20"/>
      <c r="X81" s="20"/>
      <c r="Y81" s="20"/>
    </row>
    <row r="82" spans="1:25" x14ac:dyDescent="0.15">
      <c r="A82" t="s">
        <v>758</v>
      </c>
      <c r="N82" t="s">
        <v>759</v>
      </c>
    </row>
    <row r="83" spans="1:25" ht="17" x14ac:dyDescent="0.2">
      <c r="A83" s="364" t="s">
        <v>760</v>
      </c>
      <c r="B83" s="365" t="s">
        <v>721</v>
      </c>
      <c r="C83" s="366">
        <f t="shared" ref="C83" ca="1" si="49">C80+C75+C48+C41+C35+C26</f>
        <v>89.785613436020014</v>
      </c>
      <c r="N83" s="364" t="s">
        <v>760</v>
      </c>
      <c r="O83" s="365" t="s">
        <v>721</v>
      </c>
      <c r="P83" s="366">
        <f t="shared" ref="P83" ca="1" si="50">P80+P75+P48+P41+P35+P26</f>
        <v>38.771216137201719</v>
      </c>
      <c r="Q83" s="366"/>
      <c r="R83" s="366"/>
      <c r="S83" s="366"/>
      <c r="T83" s="366"/>
      <c r="U83" s="366"/>
      <c r="V83" s="366"/>
      <c r="W83" s="366"/>
      <c r="X83" s="366"/>
      <c r="Y83" s="366"/>
    </row>
    <row r="84" spans="1:25" ht="15" x14ac:dyDescent="0.2">
      <c r="A84" s="364" t="s">
        <v>761</v>
      </c>
      <c r="B84" s="365" t="s">
        <v>705</v>
      </c>
      <c r="C84" s="362">
        <f t="shared" ref="C84" ca="1" si="51">C83*C14</f>
        <v>0.27053691878667113</v>
      </c>
      <c r="N84" s="364" t="s">
        <v>761</v>
      </c>
      <c r="O84" s="365" t="s">
        <v>705</v>
      </c>
      <c r="P84" s="362">
        <f t="shared" ref="P84" ca="1" si="52">P83*P16</f>
        <v>0.64992281035731725</v>
      </c>
      <c r="Q84" s="362"/>
      <c r="R84" s="362"/>
      <c r="S84" s="362"/>
      <c r="T84" s="362"/>
      <c r="U84" s="362"/>
      <c r="V84" s="362"/>
      <c r="W84" s="362"/>
      <c r="X84" s="362"/>
      <c r="Y84" s="362"/>
    </row>
    <row r="86" spans="1:25" ht="15" x14ac:dyDescent="0.2">
      <c r="A86" s="453" t="s">
        <v>664</v>
      </c>
    </row>
    <row r="87" spans="1:25" x14ac:dyDescent="0.15">
      <c r="B87" s="244"/>
      <c r="C87" s="66"/>
      <c r="M87" s="5" t="s">
        <v>856</v>
      </c>
    </row>
    <row r="88" spans="1:25" x14ac:dyDescent="0.15">
      <c r="B88" s="244">
        <v>1</v>
      </c>
      <c r="C88" s="442">
        <f>'IV-thickness'!C88</f>
        <v>0</v>
      </c>
      <c r="M88" s="5" t="s">
        <v>856</v>
      </c>
    </row>
    <row r="89" spans="1:25" x14ac:dyDescent="0.15">
      <c r="B89" s="244">
        <v>1</v>
      </c>
      <c r="C89" s="442">
        <f ca="1">'IV-thickness'!C89</f>
        <v>0.10872330538466829</v>
      </c>
      <c r="M89" s="5" t="s">
        <v>856</v>
      </c>
    </row>
    <row r="90" spans="1:25" x14ac:dyDescent="0.15">
      <c r="B90" s="244">
        <v>2</v>
      </c>
      <c r="C90" s="442">
        <f ca="1">'IV-thickness'!C90</f>
        <v>0.10872810599089872</v>
      </c>
      <c r="M90" s="5" t="s">
        <v>856</v>
      </c>
    </row>
    <row r="91" spans="1:25" x14ac:dyDescent="0.15">
      <c r="B91" s="244">
        <v>2</v>
      </c>
      <c r="C91" s="442">
        <f ca="1">'IV-thickness'!C91</f>
        <v>0.21745141137556701</v>
      </c>
      <c r="M91" s="5" t="s">
        <v>856</v>
      </c>
    </row>
    <row r="92" spans="1:25" x14ac:dyDescent="0.15">
      <c r="B92" s="244">
        <v>2</v>
      </c>
      <c r="C92" s="442">
        <f ca="1">'IV-thickness'!C92</f>
        <v>0.24491537506582162</v>
      </c>
      <c r="M92" s="5" t="s">
        <v>856</v>
      </c>
    </row>
    <row r="93" spans="1:25" x14ac:dyDescent="0.15">
      <c r="B93" s="244">
        <v>3</v>
      </c>
      <c r="C93" s="442">
        <f ca="1">'IV-thickness'!C93</f>
        <v>0.24491537506582162</v>
      </c>
      <c r="M93" s="5" t="s">
        <v>856</v>
      </c>
    </row>
    <row r="94" spans="1:25" x14ac:dyDescent="0.15">
      <c r="B94" s="244">
        <v>3</v>
      </c>
      <c r="C94" s="442">
        <f ca="1">'IV-thickness'!C94</f>
        <v>0.27258774883899217</v>
      </c>
      <c r="M94" s="5" t="s">
        <v>856</v>
      </c>
    </row>
    <row r="96" spans="1:25" x14ac:dyDescent="0.15">
      <c r="A96" s="17"/>
      <c r="B96" s="17"/>
      <c r="C96" s="17"/>
    </row>
    <row r="97" spans="1:3" x14ac:dyDescent="0.15">
      <c r="A97" s="17"/>
      <c r="B97" s="17"/>
      <c r="C97" s="17"/>
    </row>
    <row r="98" spans="1:3" ht="15" x14ac:dyDescent="0.2">
      <c r="A98" s="17"/>
      <c r="B98" s="17"/>
      <c r="C98" s="360"/>
    </row>
    <row r="99" spans="1:3" x14ac:dyDescent="0.15">
      <c r="A99" s="17"/>
      <c r="B99" s="17"/>
      <c r="C99" s="52"/>
    </row>
    <row r="100" spans="1:3" x14ac:dyDescent="0.15">
      <c r="A100" s="351"/>
      <c r="B100" s="17"/>
      <c r="C100" s="21"/>
    </row>
    <row r="101" spans="1:3" x14ac:dyDescent="0.15">
      <c r="A101" s="17"/>
      <c r="B101" s="17"/>
      <c r="C101" s="21"/>
    </row>
    <row r="102" spans="1:3" x14ac:dyDescent="0.15">
      <c r="A102" s="17"/>
      <c r="B102" s="17"/>
      <c r="C102" s="21"/>
    </row>
    <row r="103" spans="1:3" x14ac:dyDescent="0.15">
      <c r="A103" s="157"/>
      <c r="B103" s="17"/>
      <c r="C103" s="367"/>
    </row>
    <row r="104" spans="1:3" x14ac:dyDescent="0.15">
      <c r="A104" s="157"/>
      <c r="B104" s="17"/>
      <c r="C104" s="53"/>
    </row>
    <row r="105" spans="1:3" x14ac:dyDescent="0.15">
      <c r="A105" s="17"/>
      <c r="B105" s="17"/>
      <c r="C105" s="52"/>
    </row>
    <row r="106" spans="1:3" x14ac:dyDescent="0.15">
      <c r="A106" s="17"/>
      <c r="B106" s="17"/>
      <c r="C106" s="52"/>
    </row>
    <row r="107" spans="1:3" x14ac:dyDescent="0.15">
      <c r="C107" s="244"/>
    </row>
    <row r="108" spans="1:3" x14ac:dyDescent="0.15">
      <c r="C108" s="20"/>
    </row>
    <row r="109" spans="1:3" x14ac:dyDescent="0.15">
      <c r="C109" s="210"/>
    </row>
    <row r="110" spans="1:3" x14ac:dyDescent="0.15">
      <c r="C110" s="210"/>
    </row>
    <row r="111" spans="1:3" x14ac:dyDescent="0.15">
      <c r="C111" s="4"/>
    </row>
    <row r="120" spans="1:3" ht="14" x14ac:dyDescent="0.15">
      <c r="A120" s="306" t="s">
        <v>762</v>
      </c>
    </row>
    <row r="121" spans="1:3" ht="14" x14ac:dyDescent="0.15">
      <c r="A121" s="422"/>
    </row>
    <row r="122" spans="1:3" ht="15" x14ac:dyDescent="0.15">
      <c r="A122" s="426" t="s">
        <v>763</v>
      </c>
      <c r="C122">
        <f>'Battery Design'!F39</f>
        <v>1.6188480000000001</v>
      </c>
    </row>
    <row r="123" spans="1:3" ht="15" x14ac:dyDescent="0.15">
      <c r="A123" s="426" t="s">
        <v>851</v>
      </c>
      <c r="C123">
        <f>'Battery Design'!F41</f>
        <v>6.5002199999999988</v>
      </c>
    </row>
    <row r="124" spans="1:3" ht="14" x14ac:dyDescent="0.15">
      <c r="A124" s="426" t="s">
        <v>153</v>
      </c>
      <c r="C124" s="89">
        <f>'Battery Design'!F42</f>
        <v>1.5</v>
      </c>
    </row>
    <row r="125" spans="1:3" ht="14" x14ac:dyDescent="0.15">
      <c r="A125" s="427" t="s">
        <v>852</v>
      </c>
      <c r="B125" s="423" t="s">
        <v>833</v>
      </c>
      <c r="C125" s="428">
        <f>'Battery Design'!F48</f>
        <v>1000</v>
      </c>
    </row>
    <row r="128" spans="1:3" ht="14" x14ac:dyDescent="0.15">
      <c r="A128" s="331" t="s">
        <v>853</v>
      </c>
    </row>
    <row r="129" spans="1:3" ht="14" x14ac:dyDescent="0.15">
      <c r="A129" s="422" t="s">
        <v>520</v>
      </c>
      <c r="C129">
        <f>'Battery Design'!F91</f>
        <v>0.37356766386368473</v>
      </c>
    </row>
    <row r="130" spans="1:3" ht="14" x14ac:dyDescent="0.15">
      <c r="A130" s="422" t="s">
        <v>854</v>
      </c>
      <c r="B130" s="423" t="s">
        <v>833</v>
      </c>
      <c r="C130">
        <f ca="1">C17/1000/C122*10000</f>
        <v>507.02155284771567</v>
      </c>
    </row>
    <row r="131" spans="1:3" ht="14" x14ac:dyDescent="0.15">
      <c r="A131" s="422" t="s">
        <v>776</v>
      </c>
      <c r="B131" s="423" t="s">
        <v>833</v>
      </c>
      <c r="C131">
        <f ca="1">C130*C129</f>
        <v>189.4068570258589</v>
      </c>
    </row>
    <row r="132" spans="1:3" ht="14" x14ac:dyDescent="0.15">
      <c r="A132" s="331" t="s">
        <v>777</v>
      </c>
      <c r="B132" s="423" t="s">
        <v>778</v>
      </c>
      <c r="C132" s="424">
        <f t="shared" ref="C132" ca="1" si="53">IF(C130&gt;C125,C125,C130)</f>
        <v>507.02155284771567</v>
      </c>
    </row>
    <row r="133" spans="1:3" ht="14" x14ac:dyDescent="0.15">
      <c r="A133" s="331" t="s">
        <v>779</v>
      </c>
      <c r="B133" s="423" t="s">
        <v>780</v>
      </c>
      <c r="C133" s="424">
        <f ca="1">C132*C129</f>
        <v>189.4068570258589</v>
      </c>
    </row>
    <row r="134" spans="1:3" ht="15" x14ac:dyDescent="0.15">
      <c r="A134" s="425" t="s">
        <v>781</v>
      </c>
      <c r="B134" t="s">
        <v>782</v>
      </c>
      <c r="C134" s="443">
        <f ca="1">C18/(C132/10000*C122)</f>
        <v>346369.75584805658</v>
      </c>
    </row>
    <row r="135" spans="1:3" x14ac:dyDescent="0.15">
      <c r="A135" s="450" t="s">
        <v>783</v>
      </c>
      <c r="B135" t="s">
        <v>784</v>
      </c>
      <c r="C135" s="443">
        <f t="shared" ref="C135" ca="1" si="54">C134/C136</f>
        <v>415.31145785138676</v>
      </c>
    </row>
    <row r="136" spans="1:3" x14ac:dyDescent="0.15">
      <c r="A136" s="450" t="s">
        <v>793</v>
      </c>
      <c r="C136" s="424">
        <f t="shared" ref="C136" ca="1" si="55">EVEN(C134/500)</f>
        <v>694</v>
      </c>
    </row>
    <row r="137" spans="1:3" ht="14" x14ac:dyDescent="0.15">
      <c r="A137" s="425" t="s">
        <v>834</v>
      </c>
      <c r="B137" t="s">
        <v>835</v>
      </c>
      <c r="C137" s="444">
        <f ca="1">C134*C6/10000</f>
        <v>173.18487792402829</v>
      </c>
    </row>
    <row r="138" spans="1:3" ht="14" x14ac:dyDescent="0.15">
      <c r="A138" s="425" t="s">
        <v>794</v>
      </c>
      <c r="B138" t="s">
        <v>795</v>
      </c>
      <c r="C138" s="445">
        <f ca="1">'IV-thickness'!C14</f>
        <v>3.0003788940191137E-3</v>
      </c>
    </row>
    <row r="139" spans="1:3" ht="14" x14ac:dyDescent="0.15">
      <c r="A139" s="425" t="s">
        <v>836</v>
      </c>
      <c r="B139" t="s">
        <v>796</v>
      </c>
      <c r="C139" s="446">
        <f ca="1">'IV-thickness'!C12</f>
        <v>1.0743298408841917</v>
      </c>
    </row>
    <row r="140" spans="1:3" ht="14" x14ac:dyDescent="0.15">
      <c r="A140" s="425" t="s">
        <v>837</v>
      </c>
      <c r="B140" t="s">
        <v>797</v>
      </c>
      <c r="C140" s="446">
        <f ca="1">'IV-thickness'!P15</f>
        <v>0.62234523363254801</v>
      </c>
    </row>
    <row r="141" spans="1:3" ht="14" x14ac:dyDescent="0.15">
      <c r="A141" s="425" t="s">
        <v>798</v>
      </c>
      <c r="B141" t="s">
        <v>799</v>
      </c>
      <c r="C141" s="438">
        <f ca="1">'IV-thickness'!C83</f>
        <v>90.548878187283179</v>
      </c>
    </row>
    <row r="142" spans="1:3" ht="14" x14ac:dyDescent="0.15">
      <c r="A142" s="425" t="s">
        <v>800</v>
      </c>
      <c r="B142" t="s">
        <v>799</v>
      </c>
      <c r="C142" s="438">
        <f ca="1">'IV-thickness'!P83</f>
        <v>40.362279154885549</v>
      </c>
    </row>
    <row r="143" spans="1:3" ht="14" x14ac:dyDescent="0.15">
      <c r="A143" s="425" t="s">
        <v>801</v>
      </c>
      <c r="C143" s="447">
        <f t="shared" ref="C143" ca="1" si="56">C139/C8</f>
        <v>0.78994841241484681</v>
      </c>
    </row>
    <row r="144" spans="1:3" x14ac:dyDescent="0.15">
      <c r="A144" s="58" t="s">
        <v>857</v>
      </c>
      <c r="B144" s="5"/>
      <c r="C144" s="454">
        <f ca="1">C140/C8</f>
        <v>0.45760678943569705</v>
      </c>
    </row>
    <row r="145" spans="1:3" ht="14" x14ac:dyDescent="0.15">
      <c r="A145" s="455" t="s">
        <v>858</v>
      </c>
      <c r="B145" s="5"/>
      <c r="C145" s="5" t="str">
        <f t="shared" ref="C145" ca="1" si="57">IF(AND(ABS(C134-C9)&lt;0.001,ABS(C141-C83)&lt;0.001,ABS(C142-P83)&lt;0.001),"OK","THICKNESS-LIM")</f>
        <v>THICKNESS-LIM</v>
      </c>
    </row>
    <row r="146" spans="1:3" ht="14" x14ac:dyDescent="0.15">
      <c r="A146" s="422"/>
    </row>
    <row r="147" spans="1:3" ht="14" x14ac:dyDescent="0.15">
      <c r="A147" s="426"/>
    </row>
  </sheetData>
  <phoneticPr fontId="42" type="noConversion"/>
  <pageMargins left="0.7" right="0.7" top="0.75" bottom="0.75" header="0.3" footer="0.3"/>
  <pageSetup orientation="portrait" r:id="rId1"/>
  <drawing r:id="rId2"/>
  <legacyDrawing r:id="rId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11"/>
  <sheetViews>
    <sheetView workbookViewId="0">
      <selection activeCell="F52" sqref="F52"/>
    </sheetView>
  </sheetViews>
  <sheetFormatPr baseColWidth="10" defaultColWidth="8.83203125" defaultRowHeight="13" x14ac:dyDescent="0.15"/>
  <cols>
    <col min="1" max="1" width="31.5" customWidth="1"/>
    <col min="2" max="2" width="12.6640625" customWidth="1"/>
    <col min="3" max="3" width="19.1640625" customWidth="1"/>
    <col min="4" max="12" width="19.1640625" style="470" customWidth="1"/>
    <col min="13" max="13" width="8.5" customWidth="1"/>
    <col min="14" max="14" width="34.83203125" customWidth="1"/>
    <col min="16" max="16" width="19" customWidth="1"/>
    <col min="17" max="25" width="19" style="470" customWidth="1"/>
  </cols>
  <sheetData>
    <row r="1" spans="1:16" ht="15" x14ac:dyDescent="0.2">
      <c r="A1" s="340" t="s">
        <v>860</v>
      </c>
    </row>
    <row r="2" spans="1:16" ht="15" x14ac:dyDescent="0.2">
      <c r="B2" s="301" t="s">
        <v>718</v>
      </c>
      <c r="C2" s="429">
        <f t="shared" ref="C2" ca="1" si="0">C9/(C10*C11)</f>
        <v>0.88968824940047964</v>
      </c>
      <c r="N2" s="340" t="s">
        <v>859</v>
      </c>
    </row>
    <row r="3" spans="1:16" x14ac:dyDescent="0.15">
      <c r="A3" t="s">
        <v>608</v>
      </c>
      <c r="B3" t="s">
        <v>609</v>
      </c>
      <c r="C3" s="432">
        <f>'Iterative I-V'!C3</f>
        <v>110</v>
      </c>
      <c r="N3" t="s">
        <v>608</v>
      </c>
      <c r="O3" t="s">
        <v>609</v>
      </c>
      <c r="P3" s="244">
        <f t="shared" ref="P3" si="1">C3</f>
        <v>110</v>
      </c>
    </row>
    <row r="4" spans="1:16" x14ac:dyDescent="0.15">
      <c r="A4" t="s">
        <v>610</v>
      </c>
      <c r="B4" t="s">
        <v>611</v>
      </c>
      <c r="C4" s="433">
        <f>'Iterative I-V'!C4</f>
        <v>6.18</v>
      </c>
      <c r="N4" t="s">
        <v>610</v>
      </c>
      <c r="O4" t="s">
        <v>611</v>
      </c>
      <c r="P4" s="244">
        <f t="shared" ref="P4" si="2">C4</f>
        <v>6.18</v>
      </c>
    </row>
    <row r="5" spans="1:16" x14ac:dyDescent="0.15">
      <c r="A5" t="s">
        <v>675</v>
      </c>
      <c r="B5" t="s">
        <v>611</v>
      </c>
      <c r="C5" s="433">
        <f ca="1">'Iterative I-V'!C5</f>
        <v>6.208818275781006</v>
      </c>
      <c r="M5" s="240"/>
      <c r="P5" s="244"/>
    </row>
    <row r="6" spans="1:16" x14ac:dyDescent="0.15">
      <c r="A6" t="s">
        <v>701</v>
      </c>
      <c r="C6" s="432">
        <f>'Iterative I-V'!C6</f>
        <v>5</v>
      </c>
      <c r="M6" s="244"/>
      <c r="N6" t="s">
        <v>701</v>
      </c>
      <c r="P6" s="244">
        <f t="shared" ref="P6:P12" si="3">C6</f>
        <v>5</v>
      </c>
    </row>
    <row r="7" spans="1:16" ht="17" x14ac:dyDescent="0.2">
      <c r="A7" t="s">
        <v>702</v>
      </c>
      <c r="B7" s="17" t="s">
        <v>703</v>
      </c>
      <c r="C7" s="432">
        <f ca="1">'Iterative I-V'!C137</f>
        <v>173.18487792402829</v>
      </c>
      <c r="N7" t="s">
        <v>702</v>
      </c>
      <c r="O7" s="17" t="s">
        <v>703</v>
      </c>
      <c r="P7" s="4">
        <f t="shared" ca="1" si="3"/>
        <v>173.18487792402829</v>
      </c>
    </row>
    <row r="8" spans="1:16" x14ac:dyDescent="0.15">
      <c r="A8" t="s">
        <v>704</v>
      </c>
      <c r="B8" t="s">
        <v>705</v>
      </c>
      <c r="C8" s="434">
        <f>'Iterative I-V'!C8</f>
        <v>1.36</v>
      </c>
      <c r="N8" t="s">
        <v>704</v>
      </c>
      <c r="O8" t="s">
        <v>705</v>
      </c>
      <c r="P8" s="244">
        <f t="shared" si="3"/>
        <v>1.36</v>
      </c>
    </row>
    <row r="9" spans="1:16" ht="17" x14ac:dyDescent="0.2">
      <c r="A9" t="s">
        <v>706</v>
      </c>
      <c r="B9" s="17" t="s">
        <v>707</v>
      </c>
      <c r="C9" s="420">
        <f ca="1">'Iterative I-V'!C134</f>
        <v>346369.75584805658</v>
      </c>
      <c r="N9" t="s">
        <v>706</v>
      </c>
      <c r="O9" s="17" t="s">
        <v>707</v>
      </c>
      <c r="P9" s="4">
        <f t="shared" ca="1" si="3"/>
        <v>346369.75584805658</v>
      </c>
    </row>
    <row r="10" spans="1:16" x14ac:dyDescent="0.15">
      <c r="A10" t="s">
        <v>808</v>
      </c>
      <c r="C10" s="420">
        <f ca="1">'Iterative I-V'!C136</f>
        <v>694</v>
      </c>
      <c r="N10" t="s">
        <v>808</v>
      </c>
      <c r="P10" s="4">
        <f t="shared" ca="1" si="3"/>
        <v>694</v>
      </c>
    </row>
    <row r="11" spans="1:16" ht="17" x14ac:dyDescent="0.2">
      <c r="A11" s="351" t="s">
        <v>809</v>
      </c>
      <c r="B11" s="17" t="s">
        <v>707</v>
      </c>
      <c r="C11" s="420">
        <f ca="1">'Iterative I-V'!C135</f>
        <v>415.31145785138676</v>
      </c>
      <c r="N11" s="351" t="s">
        <v>809</v>
      </c>
      <c r="O11" s="17" t="s">
        <v>707</v>
      </c>
      <c r="P11" s="4">
        <f t="shared" ca="1" si="3"/>
        <v>415.31145785138676</v>
      </c>
    </row>
    <row r="12" spans="1:16" x14ac:dyDescent="0.15">
      <c r="A12" s="351" t="s">
        <v>810</v>
      </c>
      <c r="B12" s="17" t="s">
        <v>705</v>
      </c>
      <c r="C12" s="21">
        <f t="shared" ref="C12" ca="1" si="4">C8-C84</f>
        <v>1.0883190570097678</v>
      </c>
      <c r="N12" s="351" t="s">
        <v>810</v>
      </c>
      <c r="O12" s="17" t="s">
        <v>705</v>
      </c>
      <c r="P12" s="244">
        <f t="shared" ca="1" si="3"/>
        <v>1.0883190570097678</v>
      </c>
    </row>
    <row r="13" spans="1:16" x14ac:dyDescent="0.15">
      <c r="A13" t="s">
        <v>811</v>
      </c>
      <c r="B13" s="157" t="s">
        <v>705</v>
      </c>
      <c r="C13" s="439"/>
      <c r="N13" t="s">
        <v>840</v>
      </c>
      <c r="P13" s="439">
        <f t="shared" ref="P13" ca="1" si="5">C3*1000/(C6*C18)</f>
        <v>0.63047219600134208</v>
      </c>
    </row>
    <row r="14" spans="1:16" ht="17" x14ac:dyDescent="0.2">
      <c r="A14" s="17" t="s">
        <v>787</v>
      </c>
      <c r="B14" s="17" t="s">
        <v>711</v>
      </c>
      <c r="C14" s="21">
        <f t="shared" ref="C14" ca="1" si="6">IF(C19=1,C15,0.05)</f>
        <v>2.7634171596329698E-3</v>
      </c>
      <c r="N14" s="26" t="s">
        <v>815</v>
      </c>
      <c r="O14" s="17" t="s">
        <v>712</v>
      </c>
      <c r="P14" s="66">
        <f t="shared" ref="P14" ca="1" si="7">P15/P8</f>
        <v>0.45760678943569705</v>
      </c>
    </row>
    <row r="15" spans="1:16" ht="17" x14ac:dyDescent="0.2">
      <c r="A15" t="s">
        <v>713</v>
      </c>
      <c r="B15" s="17" t="s">
        <v>711</v>
      </c>
      <c r="C15" s="439">
        <f t="shared" ref="C15" ca="1" si="8">C4*1000/(C6*C9*C12)</f>
        <v>3.278855467534033E-3</v>
      </c>
      <c r="N15" t="s">
        <v>714</v>
      </c>
      <c r="O15" s="157" t="s">
        <v>705</v>
      </c>
      <c r="P15" s="66">
        <f t="shared" ref="P15" ca="1" si="9">P8-P84</f>
        <v>0.7190607798017683</v>
      </c>
    </row>
    <row r="16" spans="1:16" ht="17" x14ac:dyDescent="0.2">
      <c r="A16" s="26" t="s">
        <v>814</v>
      </c>
      <c r="B16" t="s">
        <v>711</v>
      </c>
      <c r="C16" s="430">
        <f t="shared" ref="C16" ca="1" si="10">C17/1000/5</f>
        <v>1.4453439967893448E-2</v>
      </c>
      <c r="N16" s="26" t="s">
        <v>814</v>
      </c>
      <c r="O16" t="s">
        <v>711</v>
      </c>
      <c r="P16" s="21">
        <f t="shared" ref="P16" ca="1" si="11">C16</f>
        <v>1.4453439967893448E-2</v>
      </c>
    </row>
    <row r="17" spans="1:16" ht="17" x14ac:dyDescent="0.2">
      <c r="A17" s="154" t="s">
        <v>775</v>
      </c>
      <c r="B17" t="s">
        <v>716</v>
      </c>
      <c r="C17" s="435">
        <f t="shared" ref="C17" ca="1" si="12">C18/C9*1000</f>
        <v>100.74344052477328</v>
      </c>
      <c r="N17" s="157" t="s">
        <v>715</v>
      </c>
      <c r="O17" t="s">
        <v>716</v>
      </c>
      <c r="P17" s="6">
        <f t="shared" ref="P17" ca="1" si="13">C17</f>
        <v>100.74344052477328</v>
      </c>
    </row>
    <row r="18" spans="1:16" x14ac:dyDescent="0.15">
      <c r="A18" s="397" t="s">
        <v>773</v>
      </c>
      <c r="B18" s="240" t="s">
        <v>774</v>
      </c>
      <c r="C18" s="435">
        <f ca="1">'Iterative I-V'!C18</f>
        <v>28429.711827564366</v>
      </c>
      <c r="N18" s="397" t="s">
        <v>773</v>
      </c>
      <c r="O18" s="240" t="s">
        <v>774</v>
      </c>
      <c r="P18" s="6">
        <f t="shared" ref="P18" ca="1" si="14">C18</f>
        <v>28429.711827564366</v>
      </c>
    </row>
    <row r="19" spans="1:16" ht="15" x14ac:dyDescent="0.2">
      <c r="A19" s="342" t="s">
        <v>717</v>
      </c>
      <c r="C19" s="436">
        <v>1</v>
      </c>
      <c r="N19" s="342"/>
      <c r="P19" s="436"/>
    </row>
    <row r="20" spans="1:16" ht="15" x14ac:dyDescent="0.2">
      <c r="A20" s="342" t="s">
        <v>618</v>
      </c>
      <c r="C20" s="436">
        <v>1</v>
      </c>
      <c r="N20" s="342" t="s">
        <v>618</v>
      </c>
      <c r="P20" s="437">
        <v>1</v>
      </c>
    </row>
    <row r="21" spans="1:16" ht="15" x14ac:dyDescent="0.2">
      <c r="A21" s="342" t="s">
        <v>619</v>
      </c>
      <c r="C21" s="431" t="str">
        <f ca="1">IF(AND(C67&lt;3.1,C67&gt;0.01),IF('Flow and System'!C44&lt;0,"reset flow",""),"reset positive")</f>
        <v/>
      </c>
      <c r="N21" s="342" t="s">
        <v>619</v>
      </c>
      <c r="P21" s="355" t="str">
        <f t="shared" ref="P21" ca="1" si="15">IF(AND(P67&lt;3.1,P67&gt;0.1),"","reset positive")</f>
        <v/>
      </c>
    </row>
    <row r="22" spans="1:16" ht="16" thickBot="1" x14ac:dyDescent="0.25">
      <c r="A22" s="356" t="s">
        <v>620</v>
      </c>
      <c r="B22" s="356" t="s">
        <v>621</v>
      </c>
      <c r="C22" s="357"/>
      <c r="N22" s="356" t="s">
        <v>620</v>
      </c>
      <c r="O22" s="356" t="s">
        <v>621</v>
      </c>
      <c r="P22" s="357"/>
    </row>
    <row r="23" spans="1:16" ht="16" thickTop="1" x14ac:dyDescent="0.2">
      <c r="A23" s="358"/>
      <c r="N23" s="358"/>
    </row>
    <row r="24" spans="1:16" x14ac:dyDescent="0.15">
      <c r="C24" s="244"/>
      <c r="P24" s="244"/>
    </row>
    <row r="25" spans="1:16" x14ac:dyDescent="0.15">
      <c r="C25" s="66"/>
      <c r="P25" s="66"/>
    </row>
    <row r="26" spans="1:16" x14ac:dyDescent="0.15">
      <c r="C26" s="20"/>
      <c r="P26" s="20"/>
    </row>
    <row r="27" spans="1:16" ht="15" x14ac:dyDescent="0.2">
      <c r="A27" s="359"/>
      <c r="B27" s="359"/>
      <c r="C27" s="360"/>
      <c r="N27" s="359"/>
      <c r="O27" s="359"/>
      <c r="P27" s="360"/>
    </row>
    <row r="28" spans="1:16" ht="15" x14ac:dyDescent="0.2">
      <c r="A28" s="358" t="s">
        <v>722</v>
      </c>
      <c r="B28" t="s">
        <v>820</v>
      </c>
      <c r="C28" s="244"/>
      <c r="N28" s="358" t="s">
        <v>722</v>
      </c>
      <c r="O28" t="s">
        <v>820</v>
      </c>
      <c r="P28" s="244"/>
    </row>
    <row r="29" spans="1:16" x14ac:dyDescent="0.15">
      <c r="A29" s="338" t="s">
        <v>821</v>
      </c>
      <c r="B29" t="s">
        <v>822</v>
      </c>
      <c r="C29" s="390">
        <f>Chem!$E$24</f>
        <v>1.5</v>
      </c>
      <c r="N29" s="338" t="s">
        <v>821</v>
      </c>
      <c r="O29" t="s">
        <v>822</v>
      </c>
      <c r="P29" s="244">
        <f t="shared" ref="P29:P30" si="16">C29</f>
        <v>1.5</v>
      </c>
    </row>
    <row r="30" spans="1:16" x14ac:dyDescent="0.15">
      <c r="A30" s="338" t="s">
        <v>724</v>
      </c>
      <c r="B30" t="s">
        <v>725</v>
      </c>
      <c r="C30" s="451">
        <f ca="1">'Iterative I-V'!C133/10000</f>
        <v>1.8940685702585891E-2</v>
      </c>
      <c r="N30" s="338" t="s">
        <v>724</v>
      </c>
      <c r="O30" t="s">
        <v>725</v>
      </c>
      <c r="P30" s="210">
        <f t="shared" ca="1" si="16"/>
        <v>1.8940685702585891E-2</v>
      </c>
    </row>
    <row r="31" spans="1:16" x14ac:dyDescent="0.15">
      <c r="A31" t="s">
        <v>726</v>
      </c>
      <c r="C31" s="244" t="s">
        <v>727</v>
      </c>
      <c r="N31" t="s">
        <v>726</v>
      </c>
      <c r="P31" s="244" t="s">
        <v>727</v>
      </c>
    </row>
    <row r="32" spans="1:16" ht="18" x14ac:dyDescent="0.25">
      <c r="A32" t="s">
        <v>728</v>
      </c>
      <c r="B32" t="s">
        <v>711</v>
      </c>
      <c r="C32" s="345">
        <f>'Iterative I-V'!C32</f>
        <v>3.8000000000000002E-4</v>
      </c>
      <c r="N32" t="s">
        <v>728</v>
      </c>
      <c r="O32" t="s">
        <v>711</v>
      </c>
      <c r="P32" s="345">
        <f t="shared" ref="P32:P33" si="17">C32</f>
        <v>3.8000000000000002E-4</v>
      </c>
    </row>
    <row r="33" spans="1:16" ht="14" x14ac:dyDescent="0.15">
      <c r="A33" t="s">
        <v>729</v>
      </c>
      <c r="C33" s="244">
        <f>'Iterative I-V'!C33</f>
        <v>0.5</v>
      </c>
      <c r="N33" t="s">
        <v>729</v>
      </c>
      <c r="P33" s="244">
        <f t="shared" si="17"/>
        <v>0.5</v>
      </c>
    </row>
    <row r="34" spans="1:16" ht="14" x14ac:dyDescent="0.15">
      <c r="A34" t="s">
        <v>730</v>
      </c>
      <c r="B34" t="s">
        <v>705</v>
      </c>
      <c r="C34" s="20">
        <f t="shared" ref="C34" ca="1" si="18">8.31443*303/(C33*96485.3)*ASINH(C14/(2*C32))</f>
        <v>0.10456945871387263</v>
      </c>
      <c r="N34" t="s">
        <v>730</v>
      </c>
      <c r="O34" t="s">
        <v>705</v>
      </c>
      <c r="P34" s="20">
        <f t="shared" ref="P34" ca="1" si="19">8.31443*303/(P33*96485.3)*ASINH(P16/(2*P32))</f>
        <v>0.19004248996431741</v>
      </c>
    </row>
    <row r="35" spans="1:16" ht="17" x14ac:dyDescent="0.2">
      <c r="A35" t="s">
        <v>720</v>
      </c>
      <c r="B35" t="s">
        <v>721</v>
      </c>
      <c r="C35" s="4">
        <f t="shared" ref="C35" ca="1" si="20">C34/C14</f>
        <v>37.840634501872053</v>
      </c>
      <c r="N35" t="s">
        <v>720</v>
      </c>
      <c r="O35" t="s">
        <v>721</v>
      </c>
      <c r="P35" s="4">
        <f t="shared" ref="P35" ca="1" si="21">P34/P16</f>
        <v>13.148599252944186</v>
      </c>
    </row>
    <row r="36" spans="1:16" x14ac:dyDescent="0.15">
      <c r="C36" s="244"/>
      <c r="P36" s="244"/>
    </row>
    <row r="37" spans="1:16" ht="17" x14ac:dyDescent="0.2">
      <c r="A37" s="358" t="s">
        <v>731</v>
      </c>
      <c r="B37" t="s">
        <v>627</v>
      </c>
      <c r="N37" s="358" t="s">
        <v>731</v>
      </c>
      <c r="O37" t="s">
        <v>627</v>
      </c>
    </row>
    <row r="38" spans="1:16" x14ac:dyDescent="0.15">
      <c r="A38" t="s">
        <v>628</v>
      </c>
      <c r="B38" t="s">
        <v>725</v>
      </c>
      <c r="C38" s="390">
        <f>Chem!$E$43*10^-4</f>
        <v>1E-3</v>
      </c>
      <c r="N38" t="s">
        <v>628</v>
      </c>
      <c r="O38" t="s">
        <v>725</v>
      </c>
      <c r="P38" s="244">
        <f t="shared" ref="P38:P39" si="22">C38</f>
        <v>1E-3</v>
      </c>
    </row>
    <row r="39" spans="1:16" ht="14" x14ac:dyDescent="0.15">
      <c r="A39" t="s">
        <v>629</v>
      </c>
      <c r="B39" t="s">
        <v>630</v>
      </c>
      <c r="C39" s="244">
        <f>'Iterative I-V'!C39</f>
        <v>0.625</v>
      </c>
      <c r="N39" t="s">
        <v>629</v>
      </c>
      <c r="O39" t="s">
        <v>630</v>
      </c>
      <c r="P39" s="210">
        <f t="shared" si="22"/>
        <v>0.625</v>
      </c>
    </row>
    <row r="40" spans="1:16" ht="14" x14ac:dyDescent="0.15">
      <c r="A40" t="s">
        <v>719</v>
      </c>
      <c r="B40" t="s">
        <v>705</v>
      </c>
      <c r="C40" s="66">
        <f t="shared" ref="C40" ca="1" si="23">C41*C14</f>
        <v>4.4214674554127517E-6</v>
      </c>
      <c r="N40" t="s">
        <v>719</v>
      </c>
      <c r="O40" t="s">
        <v>705</v>
      </c>
      <c r="P40" s="66">
        <f t="shared" ref="P40" ca="1" si="24">P41*P$16</f>
        <v>2.3125503948629517E-5</v>
      </c>
    </row>
    <row r="41" spans="1:16" ht="17" x14ac:dyDescent="0.2">
      <c r="A41" t="s">
        <v>720</v>
      </c>
      <c r="B41" t="s">
        <v>721</v>
      </c>
      <c r="C41" s="20">
        <f t="shared" ref="C41" si="25">C38/C39</f>
        <v>1.6000000000000001E-3</v>
      </c>
      <c r="N41" t="s">
        <v>720</v>
      </c>
      <c r="O41" t="s">
        <v>721</v>
      </c>
      <c r="P41" s="20">
        <f t="shared" ref="P41" si="26">P38/P39</f>
        <v>1.6000000000000001E-3</v>
      </c>
    </row>
    <row r="42" spans="1:16" x14ac:dyDescent="0.15">
      <c r="C42" s="244"/>
      <c r="P42" s="244"/>
    </row>
    <row r="43" spans="1:16" ht="15" x14ac:dyDescent="0.2">
      <c r="A43" s="358" t="s">
        <v>631</v>
      </c>
      <c r="B43" t="s">
        <v>632</v>
      </c>
      <c r="C43" s="244"/>
      <c r="N43" s="358" t="s">
        <v>631</v>
      </c>
      <c r="O43" t="s">
        <v>632</v>
      </c>
      <c r="P43" s="244"/>
    </row>
    <row r="44" spans="1:16" x14ac:dyDescent="0.15">
      <c r="A44" t="s">
        <v>726</v>
      </c>
      <c r="C44" s="244" t="s">
        <v>727</v>
      </c>
      <c r="N44" t="s">
        <v>726</v>
      </c>
      <c r="P44" s="244" t="s">
        <v>727</v>
      </c>
    </row>
    <row r="45" spans="1:16" ht="18" x14ac:dyDescent="0.25">
      <c r="A45" t="s">
        <v>728</v>
      </c>
      <c r="B45" t="s">
        <v>711</v>
      </c>
      <c r="C45" s="345">
        <f t="shared" ref="C45" si="27">C32</f>
        <v>3.8000000000000002E-4</v>
      </c>
      <c r="N45" t="s">
        <v>728</v>
      </c>
      <c r="O45" t="s">
        <v>711</v>
      </c>
      <c r="P45" s="345">
        <f t="shared" ref="P45:P46" si="28">C45</f>
        <v>3.8000000000000002E-4</v>
      </c>
    </row>
    <row r="46" spans="1:16" ht="14" x14ac:dyDescent="0.15">
      <c r="A46" t="s">
        <v>729</v>
      </c>
      <c r="C46" s="244">
        <f>'Iterative I-V'!C46</f>
        <v>0.5</v>
      </c>
      <c r="N46" t="s">
        <v>729</v>
      </c>
      <c r="P46" s="244">
        <f t="shared" si="28"/>
        <v>0.5</v>
      </c>
    </row>
    <row r="47" spans="1:16" ht="14" x14ac:dyDescent="0.15">
      <c r="A47" t="s">
        <v>719</v>
      </c>
      <c r="B47" t="s">
        <v>705</v>
      </c>
      <c r="C47" s="20">
        <f t="shared" ref="C47" ca="1" si="29">8.31443*303/(C46*96485.3)*ASINH(C14/(2*C45))</f>
        <v>0.10456945871387263</v>
      </c>
      <c r="N47" t="s">
        <v>719</v>
      </c>
      <c r="O47" t="s">
        <v>705</v>
      </c>
      <c r="P47" s="20">
        <f t="shared" ref="P47" ca="1" si="30">8.31443*303/(P46*96485.3)*ASINH(P$16/(2*P45))</f>
        <v>0.19004248996431741</v>
      </c>
    </row>
    <row r="48" spans="1:16" ht="17" x14ac:dyDescent="0.2">
      <c r="A48" t="s">
        <v>720</v>
      </c>
      <c r="B48" t="s">
        <v>721</v>
      </c>
      <c r="C48" s="4">
        <f t="shared" ref="C48" ca="1" si="31">C47/C$14</f>
        <v>37.840634501872053</v>
      </c>
      <c r="N48" t="s">
        <v>720</v>
      </c>
      <c r="O48" t="s">
        <v>721</v>
      </c>
      <c r="P48" s="4">
        <f t="shared" ref="P48" ca="1" si="32">P47/P$16</f>
        <v>13.148599252944186</v>
      </c>
    </row>
    <row r="49" spans="1:16" x14ac:dyDescent="0.15">
      <c r="C49" s="20"/>
      <c r="P49" s="210"/>
    </row>
    <row r="50" spans="1:16" ht="15" x14ac:dyDescent="0.2">
      <c r="A50" s="358" t="s">
        <v>633</v>
      </c>
      <c r="B50" t="s">
        <v>634</v>
      </c>
      <c r="C50" s="244"/>
      <c r="N50" s="358" t="s">
        <v>633</v>
      </c>
      <c r="O50" t="s">
        <v>634</v>
      </c>
      <c r="P50" s="244"/>
    </row>
    <row r="51" spans="1:16" ht="17" x14ac:dyDescent="0.2">
      <c r="A51" s="338" t="s">
        <v>635</v>
      </c>
      <c r="B51" s="339" t="s">
        <v>732</v>
      </c>
      <c r="C51" s="392">
        <f>Chem!$E$7*Chem!$E$20</f>
        <v>2698.08</v>
      </c>
      <c r="N51" s="338" t="s">
        <v>635</v>
      </c>
      <c r="O51" s="339" t="s">
        <v>732</v>
      </c>
      <c r="P51" s="244">
        <f t="shared" ref="P51:P59" si="33">C51</f>
        <v>2698.08</v>
      </c>
    </row>
    <row r="52" spans="1:16" ht="17" x14ac:dyDescent="0.2">
      <c r="A52" s="338" t="s">
        <v>733</v>
      </c>
      <c r="B52" t="s">
        <v>734</v>
      </c>
      <c r="C52" s="393">
        <f>'Iterative I-V'!C52</f>
        <v>0.6</v>
      </c>
      <c r="N52" s="338" t="s">
        <v>733</v>
      </c>
      <c r="O52" t="s">
        <v>734</v>
      </c>
      <c r="P52" s="244">
        <f t="shared" si="33"/>
        <v>0.6</v>
      </c>
    </row>
    <row r="53" spans="1:16" ht="17" x14ac:dyDescent="0.2">
      <c r="A53" t="s">
        <v>735</v>
      </c>
      <c r="B53" t="s">
        <v>734</v>
      </c>
      <c r="C53" s="393">
        <f>Chem!$E$18/100</f>
        <v>0.25</v>
      </c>
      <c r="N53" t="s">
        <v>735</v>
      </c>
      <c r="O53" t="s">
        <v>734</v>
      </c>
      <c r="P53" s="244">
        <f t="shared" si="33"/>
        <v>0.25</v>
      </c>
    </row>
    <row r="54" spans="1:16" ht="17" x14ac:dyDescent="0.2">
      <c r="A54" t="s">
        <v>736</v>
      </c>
      <c r="B54" t="s">
        <v>734</v>
      </c>
      <c r="C54" s="393">
        <f>(Chem!$E$10+Chem!$E$11)/100</f>
        <v>0.1</v>
      </c>
      <c r="N54" t="s">
        <v>736</v>
      </c>
      <c r="O54" t="s">
        <v>734</v>
      </c>
      <c r="P54" s="244">
        <f t="shared" si="33"/>
        <v>0.1</v>
      </c>
    </row>
    <row r="55" spans="1:16" x14ac:dyDescent="0.15">
      <c r="A55" t="s">
        <v>724</v>
      </c>
      <c r="B55" t="s">
        <v>725</v>
      </c>
      <c r="C55" s="401">
        <f ca="1">'Iterative I-V'!C132/10000</f>
        <v>5.0702155284771566E-2</v>
      </c>
      <c r="M55" s="66"/>
      <c r="N55" t="s">
        <v>724</v>
      </c>
      <c r="O55" t="s">
        <v>725</v>
      </c>
      <c r="P55" s="210">
        <f t="shared" ca="1" si="33"/>
        <v>5.0702155284771566E-2</v>
      </c>
    </row>
    <row r="56" spans="1:16" ht="17" x14ac:dyDescent="0.2">
      <c r="A56" t="s">
        <v>737</v>
      </c>
      <c r="B56" t="s">
        <v>738</v>
      </c>
      <c r="C56" s="244">
        <f>'Iterative I-V'!C56</f>
        <v>5000</v>
      </c>
      <c r="N56" t="s">
        <v>737</v>
      </c>
      <c r="O56" t="s">
        <v>738</v>
      </c>
      <c r="P56" s="244">
        <f t="shared" si="33"/>
        <v>5000</v>
      </c>
    </row>
    <row r="57" spans="1:16" ht="17" x14ac:dyDescent="0.2">
      <c r="A57" t="s">
        <v>739</v>
      </c>
      <c r="B57" t="s">
        <v>740</v>
      </c>
      <c r="C57" s="4">
        <f t="shared" ref="C57" ca="1" si="34">C56*C55</f>
        <v>253.51077642385783</v>
      </c>
      <c r="N57" t="s">
        <v>739</v>
      </c>
      <c r="O57" t="s">
        <v>740</v>
      </c>
      <c r="P57" s="6">
        <f t="shared" ca="1" si="33"/>
        <v>253.51077642385783</v>
      </c>
    </row>
    <row r="58" spans="1:16" ht="17" x14ac:dyDescent="0.25">
      <c r="A58" t="s">
        <v>741</v>
      </c>
      <c r="B58" t="s">
        <v>630</v>
      </c>
      <c r="C58" s="395">
        <f>Chem!$E$51*C53^1.5</f>
        <v>1.2500000000000002E-3</v>
      </c>
      <c r="N58" t="s">
        <v>741</v>
      </c>
      <c r="O58" t="s">
        <v>630</v>
      </c>
      <c r="P58" s="244">
        <f t="shared" si="33"/>
        <v>1.2500000000000002E-3</v>
      </c>
    </row>
    <row r="59" spans="1:16" ht="17" x14ac:dyDescent="0.25">
      <c r="A59" t="s">
        <v>742</v>
      </c>
      <c r="B59" t="s">
        <v>630</v>
      </c>
      <c r="C59" s="210">
        <f>100*C54^1.5</f>
        <v>3.16227766016838</v>
      </c>
      <c r="N59" t="s">
        <v>742</v>
      </c>
      <c r="O59" t="s">
        <v>630</v>
      </c>
      <c r="P59" s="66">
        <f t="shared" si="33"/>
        <v>3.16227766016838</v>
      </c>
    </row>
    <row r="60" spans="1:16" ht="15" x14ac:dyDescent="0.2">
      <c r="A60" t="s">
        <v>642</v>
      </c>
      <c r="C60" s="343" t="str">
        <f t="shared" ref="C60" ca="1" si="35">IF(ABS(C14)&gt;C56*C62*C55,"Use Tafel", "Use Linear")</f>
        <v>Use Linear</v>
      </c>
      <c r="N60" t="s">
        <v>642</v>
      </c>
      <c r="P60" s="343" t="str">
        <f t="shared" ref="P60" ca="1" si="36">IF(ABS(P16)&gt;P56*P62*P55,"Use Tafel", "Use Linear")</f>
        <v>Use Tafel</v>
      </c>
    </row>
    <row r="61" spans="1:16" ht="15" x14ac:dyDescent="0.2">
      <c r="A61" t="s">
        <v>643</v>
      </c>
      <c r="C61" s="361" t="s">
        <v>644</v>
      </c>
      <c r="N61" t="s">
        <v>643</v>
      </c>
      <c r="P61" s="361" t="s">
        <v>644</v>
      </c>
    </row>
    <row r="62" spans="1:16" ht="18" x14ac:dyDescent="0.25">
      <c r="A62" t="s">
        <v>645</v>
      </c>
      <c r="B62" t="s">
        <v>711</v>
      </c>
      <c r="C62" s="452">
        <f>'Iterative I-V'!C62</f>
        <v>5.0000000000000002E-5</v>
      </c>
      <c r="N62" t="s">
        <v>645</v>
      </c>
      <c r="O62" t="s">
        <v>711</v>
      </c>
      <c r="P62" s="345">
        <f t="shared" ref="P62:P63" si="37">C62</f>
        <v>5.0000000000000002E-5</v>
      </c>
    </row>
    <row r="63" spans="1:16" ht="14" x14ac:dyDescent="0.15">
      <c r="A63" t="s">
        <v>646</v>
      </c>
      <c r="C63" s="244">
        <v>0.5</v>
      </c>
      <c r="N63" t="s">
        <v>646</v>
      </c>
      <c r="P63" s="244">
        <f t="shared" si="37"/>
        <v>0.5</v>
      </c>
    </row>
    <row r="64" spans="1:16" ht="14" x14ac:dyDescent="0.15">
      <c r="A64" t="s">
        <v>647</v>
      </c>
      <c r="B64" t="s">
        <v>648</v>
      </c>
      <c r="C64" s="6">
        <f t="shared" ref="C64" si="38">(1-C63)*96485.3/303/8.31443</f>
        <v>19.149438586489595</v>
      </c>
      <c r="N64" t="s">
        <v>647</v>
      </c>
      <c r="O64" t="s">
        <v>648</v>
      </c>
      <c r="P64" s="6">
        <f t="shared" ref="P64" si="39">C64</f>
        <v>19.149438586489595</v>
      </c>
    </row>
    <row r="65" spans="1:16" ht="14" x14ac:dyDescent="0.15">
      <c r="A65" t="s">
        <v>649</v>
      </c>
      <c r="B65" t="s">
        <v>650</v>
      </c>
      <c r="C65" s="6">
        <f t="shared" ref="C65" ca="1" si="40">C55*ABS(C$14)*C64*(1/C58+1/C59)</f>
        <v>2.1472892020105099</v>
      </c>
      <c r="N65" t="s">
        <v>649</v>
      </c>
      <c r="O65" t="s">
        <v>650</v>
      </c>
      <c r="P65" s="6">
        <f t="shared" ref="P65" ca="1" si="41">P55*ABS(P$16)*P64*(1/P58+1/P59)</f>
        <v>11.230919467506968</v>
      </c>
    </row>
    <row r="66" spans="1:16" ht="14" x14ac:dyDescent="0.15">
      <c r="A66" t="s">
        <v>651</v>
      </c>
      <c r="B66" t="s">
        <v>650</v>
      </c>
      <c r="C66" s="6">
        <f t="shared" ref="C66" ca="1" si="42">C55*ABS(C14)*C64/C58</f>
        <v>2.1464407468076967</v>
      </c>
      <c r="N66" t="s">
        <v>651</v>
      </c>
      <c r="O66" t="s">
        <v>650</v>
      </c>
      <c r="P66" s="6">
        <f t="shared" ref="P66" ca="1" si="43">P55*ABS(P16)*P64/P58</f>
        <v>11.226481810927845</v>
      </c>
    </row>
    <row r="67" spans="1:16" ht="14" x14ac:dyDescent="0.15">
      <c r="A67" t="s">
        <v>743</v>
      </c>
      <c r="B67" t="s">
        <v>744</v>
      </c>
      <c r="C67" s="395">
        <f t="shared" ref="C67" ca="1" si="44">IF(C65&gt;19.2,IF(C20=1,ATAN((C69-C68)*0.1+C68)+PI(),1.58),IF(C20=1,ATAN((C69-C68)*0.1+C68),1.565))</f>
        <v>0.91116502425331747</v>
      </c>
      <c r="M67" s="172">
        <f>PI()/2</f>
        <v>1.5707963267948966</v>
      </c>
      <c r="N67" t="s">
        <v>743</v>
      </c>
      <c r="O67" t="s">
        <v>744</v>
      </c>
      <c r="P67" s="395">
        <f t="shared" ref="P67" ca="1" si="45">IF(P65&gt;19.2,IF(P20=1,ATAN((P69-P68)*0.1+P68)+PI(),1.8),IF(P20=1,ATAN((P69-P68)*0.1+P68),1.565))</f>
        <v>1.3672601942252731</v>
      </c>
    </row>
    <row r="68" spans="1:16" ht="14" x14ac:dyDescent="0.15">
      <c r="A68" t="s">
        <v>745</v>
      </c>
      <c r="B68" t="s">
        <v>650</v>
      </c>
      <c r="C68" s="66">
        <f t="shared" ref="C68" ca="1" si="46">TAN(C67)</f>
        <v>1.2894668678663976</v>
      </c>
      <c r="M68" s="400"/>
      <c r="N68" t="s">
        <v>745</v>
      </c>
      <c r="O68" t="s">
        <v>650</v>
      </c>
      <c r="P68" s="66">
        <f t="shared" ref="P68" ca="1" si="47">TAN(P67)</f>
        <v>4.8450990646405261</v>
      </c>
    </row>
    <row r="69" spans="1:16" ht="14" x14ac:dyDescent="0.15">
      <c r="A69" t="s">
        <v>746</v>
      </c>
      <c r="B69" t="s">
        <v>650</v>
      </c>
      <c r="C69" s="66">
        <f t="shared" ref="C69" ca="1" si="48">2*C65*C67/(4*C67^2-C66*(C65-C66))</f>
        <v>1.1789672311382371</v>
      </c>
      <c r="N69" t="s">
        <v>746</v>
      </c>
      <c r="O69" t="s">
        <v>650</v>
      </c>
      <c r="P69" s="66">
        <f t="shared" ref="P69" ca="1" si="49">2*P65*P67/(4*P67^2-P66*(P65-P66))</f>
        <v>4.1346361893564039</v>
      </c>
    </row>
    <row r="70" spans="1:16" ht="14" x14ac:dyDescent="0.15">
      <c r="A70" t="s">
        <v>747</v>
      </c>
      <c r="B70" t="s">
        <v>650</v>
      </c>
      <c r="C70" s="20">
        <f t="shared" ref="C70" ca="1" si="50">ATAN(C66/(2*C67))</f>
        <v>0.86688259856094152</v>
      </c>
      <c r="N70" t="s">
        <v>747</v>
      </c>
      <c r="O70" t="s">
        <v>650</v>
      </c>
      <c r="P70" s="20">
        <f t="shared" ref="P70" ca="1" si="51">ATAN(P66/(2*P67))</f>
        <v>1.3318712745916492</v>
      </c>
    </row>
    <row r="71" spans="1:16" ht="18" x14ac:dyDescent="0.25">
      <c r="A71" t="s">
        <v>849</v>
      </c>
      <c r="B71" t="s">
        <v>705</v>
      </c>
      <c r="C71" s="20">
        <f t="shared" ref="C71" ca="1" si="52">((C65-C66)*(C66/C65+2/C65*LN(1/COS(C67-C70)))+2*C66/C65*LN(1/COS(C70))+LN(2*ABS(C14)*C67^2/(C56*C62*C55*C65)))/C64</f>
        <v>-4.7502261167646866E-2</v>
      </c>
      <c r="N71" t="s">
        <v>849</v>
      </c>
      <c r="O71" t="s">
        <v>705</v>
      </c>
      <c r="P71" s="434">
        <f t="shared" ref="P71" ca="1" si="53">((P65-P66)*(P66/P65+2/P65*LN(1/COS(P67-P70)))+2*P66/P65*LN(1/COS(P70))+LN(2*ABS(P16)*P67^2/(P56*P62*P55*P65)))/P64</f>
        <v>0.1001034922741946</v>
      </c>
    </row>
    <row r="72" spans="1:16" ht="15" x14ac:dyDescent="0.2">
      <c r="A72" s="338" t="s">
        <v>850</v>
      </c>
      <c r="C72" s="361" t="s">
        <v>755</v>
      </c>
      <c r="N72" s="338" t="s">
        <v>850</v>
      </c>
      <c r="P72" s="361" t="s">
        <v>755</v>
      </c>
    </row>
    <row r="73" spans="1:16" ht="14" x14ac:dyDescent="0.15">
      <c r="A73" t="s">
        <v>756</v>
      </c>
      <c r="B73" t="s">
        <v>650</v>
      </c>
      <c r="C73" s="66">
        <f t="shared" ref="C73" ca="1" si="54">SQRT((2*C63)*96495.3/8.31443/303*C56*C62*C55^2*(1/C58+1/C59))</f>
        <v>4.4385668201277859</v>
      </c>
      <c r="N73" t="s">
        <v>756</v>
      </c>
      <c r="O73" t="s">
        <v>650</v>
      </c>
      <c r="P73" s="66">
        <f t="shared" ref="P73" ca="1" si="55">SQRT((2*P63)*96495.3/8.31443/303*P56*P62*P55^2*(1/P58+1/P59))</f>
        <v>4.4385668201277859</v>
      </c>
    </row>
    <row r="74" spans="1:16" ht="18" x14ac:dyDescent="0.25">
      <c r="A74" t="s">
        <v>849</v>
      </c>
      <c r="B74" t="s">
        <v>705</v>
      </c>
      <c r="C74" s="66">
        <f t="shared" ref="C74" ca="1" si="56">C14*C55/(C58+C59)*(1+(2+(C59/C58+C58/C59)*COSH(C73))/(C73*SINH(C73)))</f>
        <v>2.5295246644333042E-2</v>
      </c>
      <c r="N74" t="s">
        <v>849</v>
      </c>
      <c r="O74" t="s">
        <v>705</v>
      </c>
      <c r="P74" s="66">
        <f t="shared" ref="P74" ca="1" si="57">P16*P55/(P58+P59)*(1+(2+(P59/P58+P58/P59)*COSH(P73))/(P73*SINH(P73)))</f>
        <v>0.13230117196474395</v>
      </c>
    </row>
    <row r="75" spans="1:16" ht="17" x14ac:dyDescent="0.2">
      <c r="A75" t="s">
        <v>757</v>
      </c>
      <c r="B75" t="s">
        <v>721</v>
      </c>
      <c r="C75" s="4">
        <f t="shared" ref="C75" ca="1" si="58">IF(C60="Use Tafel",C71/C14,C74/C14)</f>
        <v>9.1536113381060034</v>
      </c>
      <c r="N75" t="s">
        <v>757</v>
      </c>
      <c r="O75" t="s">
        <v>721</v>
      </c>
      <c r="P75" s="4">
        <f ca="1">IF(P60="Use Tafel",P71/P16,P74/P16)</f>
        <v>6.9259285330386593</v>
      </c>
    </row>
    <row r="76" spans="1:16" ht="15" x14ac:dyDescent="0.2">
      <c r="A76" s="342"/>
      <c r="C76" s="407"/>
      <c r="N76" s="342"/>
      <c r="P76" s="363"/>
    </row>
    <row r="77" spans="1:16" ht="15" x14ac:dyDescent="0.2">
      <c r="A77" s="358" t="s">
        <v>622</v>
      </c>
      <c r="N77" s="358" t="s">
        <v>622</v>
      </c>
    </row>
    <row r="78" spans="1:16" x14ac:dyDescent="0.15">
      <c r="C78" s="244"/>
      <c r="P78" s="244"/>
    </row>
    <row r="79" spans="1:16" ht="14" x14ac:dyDescent="0.15">
      <c r="A79" t="s">
        <v>719</v>
      </c>
      <c r="B79" t="s">
        <v>705</v>
      </c>
      <c r="C79" s="66">
        <f ca="1">C80*C$14</f>
        <v>2.4651696436432384E-2</v>
      </c>
      <c r="N79" t="s">
        <v>719</v>
      </c>
      <c r="O79" t="s">
        <v>705</v>
      </c>
      <c r="P79" s="66">
        <f t="shared" ref="P79" ca="1" si="59">P80*P$16</f>
        <v>0.12893522547208597</v>
      </c>
    </row>
    <row r="80" spans="1:16" ht="17" x14ac:dyDescent="0.2">
      <c r="A80" t="s">
        <v>720</v>
      </c>
      <c r="B80" t="s">
        <v>721</v>
      </c>
      <c r="C80" s="20">
        <f ca="1">'Iterative I-V'!C80</f>
        <v>8.3217030737166606</v>
      </c>
      <c r="N80" t="s">
        <v>720</v>
      </c>
      <c r="O80" t="s">
        <v>721</v>
      </c>
      <c r="P80" s="20">
        <f ca="1">C80</f>
        <v>8.3217030737166606</v>
      </c>
    </row>
    <row r="81" spans="1:16" x14ac:dyDescent="0.15">
      <c r="C81" s="20"/>
      <c r="P81" s="20"/>
    </row>
    <row r="82" spans="1:16" x14ac:dyDescent="0.15">
      <c r="A82" t="s">
        <v>758</v>
      </c>
      <c r="N82" t="s">
        <v>759</v>
      </c>
    </row>
    <row r="83" spans="1:16" ht="17" x14ac:dyDescent="0.2">
      <c r="A83" s="364" t="s">
        <v>760</v>
      </c>
      <c r="B83" s="365" t="s">
        <v>721</v>
      </c>
      <c r="C83" s="393">
        <f t="shared" ref="C83" ca="1" si="60">C80+C75+C48+C41+C35+C26</f>
        <v>93.158183415566782</v>
      </c>
      <c r="N83" s="364" t="s">
        <v>760</v>
      </c>
      <c r="O83" s="365" t="s">
        <v>721</v>
      </c>
      <c r="P83" s="393">
        <f ca="1">P80+P75+P48+P41+P35+P26</f>
        <v>41.546430112643691</v>
      </c>
    </row>
    <row r="84" spans="1:16" ht="15" x14ac:dyDescent="0.2">
      <c r="A84" s="364" t="s">
        <v>761</v>
      </c>
      <c r="B84" s="365" t="s">
        <v>705</v>
      </c>
      <c r="C84" s="395">
        <f t="shared" ref="C84" ca="1" si="61">C83*C14</f>
        <v>0.2574349226108128</v>
      </c>
      <c r="N84" s="364" t="s">
        <v>761</v>
      </c>
      <c r="O84" s="365" t="s">
        <v>705</v>
      </c>
      <c r="P84" s="395">
        <f t="shared" ref="P84" ca="1" si="62">P83*P16</f>
        <v>0.60048883351337623</v>
      </c>
    </row>
    <row r="86" spans="1:16" ht="15" x14ac:dyDescent="0.2">
      <c r="A86" s="358" t="s">
        <v>664</v>
      </c>
    </row>
    <row r="87" spans="1:16" x14ac:dyDescent="0.15">
      <c r="B87" s="244"/>
      <c r="C87" s="442"/>
    </row>
    <row r="88" spans="1:16" x14ac:dyDescent="0.15">
      <c r="B88" s="244">
        <v>1</v>
      </c>
      <c r="C88" s="442">
        <f t="shared" ref="C88" si="63">C87</f>
        <v>0</v>
      </c>
    </row>
    <row r="89" spans="1:16" x14ac:dyDescent="0.15">
      <c r="B89" s="244">
        <v>1</v>
      </c>
      <c r="C89" s="442">
        <f t="shared" ref="C89" ca="1" si="64">C34+C88</f>
        <v>0.10456945871387263</v>
      </c>
    </row>
    <row r="90" spans="1:16" x14ac:dyDescent="0.15">
      <c r="B90" s="244">
        <v>2</v>
      </c>
      <c r="C90" s="442">
        <f t="shared" ref="C90" ca="1" si="65">C89+C40</f>
        <v>0.10457388018132804</v>
      </c>
    </row>
    <row r="91" spans="1:16" x14ac:dyDescent="0.15">
      <c r="B91" s="244">
        <v>2</v>
      </c>
      <c r="C91" s="442">
        <f t="shared" ref="C91" ca="1" si="66">C47+C90</f>
        <v>0.20914333889520068</v>
      </c>
    </row>
    <row r="92" spans="1:16" x14ac:dyDescent="0.15">
      <c r="B92" s="244">
        <v>2</v>
      </c>
      <c r="C92" s="442">
        <f ca="1">IF(C60="Use Tafel",C71+C91,C74+C91)</f>
        <v>0.23443858553953373</v>
      </c>
    </row>
    <row r="93" spans="1:16" x14ac:dyDescent="0.15">
      <c r="B93" s="244">
        <v>3</v>
      </c>
      <c r="C93" s="442">
        <f t="shared" ref="C93" ca="1" si="67">C92</f>
        <v>0.23443858553953373</v>
      </c>
    </row>
    <row r="94" spans="1:16" x14ac:dyDescent="0.15">
      <c r="B94" s="244">
        <v>3</v>
      </c>
      <c r="C94" s="442">
        <f t="shared" ref="C94" ca="1" si="68">C93+C79</f>
        <v>0.25909028197596612</v>
      </c>
    </row>
    <row r="96" spans="1:16" x14ac:dyDescent="0.15">
      <c r="A96" s="17"/>
      <c r="B96" s="17"/>
      <c r="C96" s="17"/>
    </row>
    <row r="97" spans="1:3" x14ac:dyDescent="0.15">
      <c r="A97" s="17"/>
      <c r="B97" s="17"/>
      <c r="C97" s="17"/>
    </row>
    <row r="98" spans="1:3" ht="15" x14ac:dyDescent="0.2">
      <c r="A98" s="17"/>
      <c r="B98" s="17"/>
      <c r="C98" s="360"/>
    </row>
    <row r="99" spans="1:3" x14ac:dyDescent="0.15">
      <c r="A99" s="17"/>
      <c r="B99" s="17"/>
      <c r="C99" s="52"/>
    </row>
    <row r="100" spans="1:3" x14ac:dyDescent="0.15">
      <c r="A100" s="351"/>
      <c r="B100" s="17"/>
      <c r="C100" s="21"/>
    </row>
    <row r="101" spans="1:3" x14ac:dyDescent="0.15">
      <c r="A101" s="17"/>
      <c r="B101" s="17"/>
      <c r="C101" s="21"/>
    </row>
    <row r="102" spans="1:3" x14ac:dyDescent="0.15">
      <c r="A102" s="17"/>
      <c r="B102" s="17"/>
      <c r="C102" s="21"/>
    </row>
    <row r="103" spans="1:3" x14ac:dyDescent="0.15">
      <c r="A103" s="157"/>
      <c r="B103" s="17"/>
      <c r="C103" s="367"/>
    </row>
    <row r="104" spans="1:3" x14ac:dyDescent="0.15">
      <c r="A104" s="157"/>
      <c r="B104" s="17"/>
      <c r="C104" s="53"/>
    </row>
    <row r="105" spans="1:3" x14ac:dyDescent="0.15">
      <c r="A105" s="17"/>
      <c r="B105" s="17"/>
      <c r="C105" s="52"/>
    </row>
    <row r="106" spans="1:3" x14ac:dyDescent="0.15">
      <c r="A106" s="17"/>
      <c r="B106" s="17"/>
      <c r="C106" s="52"/>
    </row>
    <row r="107" spans="1:3" x14ac:dyDescent="0.15">
      <c r="C107" s="244"/>
    </row>
    <row r="108" spans="1:3" x14ac:dyDescent="0.15">
      <c r="C108" s="20"/>
    </row>
    <row r="109" spans="1:3" x14ac:dyDescent="0.15">
      <c r="C109" s="210"/>
    </row>
    <row r="110" spans="1:3" x14ac:dyDescent="0.15">
      <c r="C110" s="210"/>
    </row>
    <row r="111" spans="1:3" x14ac:dyDescent="0.15">
      <c r="C111" s="4"/>
    </row>
  </sheetData>
  <phoneticPr fontId="42" type="noConversion"/>
  <pageMargins left="0.75" right="0.75" top="1" bottom="1" header="0.5" footer="0.5"/>
  <pageSetup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AH118"/>
  <sheetViews>
    <sheetView workbookViewId="0">
      <selection activeCell="F32" sqref="F32"/>
    </sheetView>
  </sheetViews>
  <sheetFormatPr baseColWidth="10" defaultColWidth="8.83203125" defaultRowHeight="13" x14ac:dyDescent="0.15"/>
  <cols>
    <col min="1" max="1" width="32" customWidth="1"/>
    <col min="2" max="2" width="17.1640625" customWidth="1"/>
    <col min="3" max="3" width="15.5" style="244" customWidth="1"/>
    <col min="4" max="4" width="16.6640625" style="470" customWidth="1"/>
    <col min="5" max="12" width="17.33203125" style="470" customWidth="1"/>
    <col min="13" max="13" width="10.6640625" customWidth="1"/>
  </cols>
  <sheetData>
    <row r="1" spans="1:13" ht="19" x14ac:dyDescent="0.25">
      <c r="A1" s="336" t="s">
        <v>417</v>
      </c>
    </row>
    <row r="2" spans="1:13" ht="15" x14ac:dyDescent="0.2">
      <c r="A2" s="337" t="s">
        <v>591</v>
      </c>
    </row>
    <row r="3" spans="1:13" x14ac:dyDescent="0.15">
      <c r="A3" s="338" t="s">
        <v>592</v>
      </c>
      <c r="B3" t="s">
        <v>593</v>
      </c>
      <c r="C3" s="244">
        <v>8.3140000000000001</v>
      </c>
    </row>
    <row r="4" spans="1:13" x14ac:dyDescent="0.15">
      <c r="A4" t="s">
        <v>594</v>
      </c>
      <c r="B4" t="s">
        <v>595</v>
      </c>
      <c r="C4" s="244">
        <v>96485</v>
      </c>
      <c r="M4" s="448"/>
    </row>
    <row r="5" spans="1:13" x14ac:dyDescent="0.15">
      <c r="A5" t="s">
        <v>596</v>
      </c>
      <c r="B5" t="s">
        <v>597</v>
      </c>
      <c r="C5" s="390">
        <f>Chem!$E$6</f>
        <v>2</v>
      </c>
    </row>
    <row r="6" spans="1:13" x14ac:dyDescent="0.15">
      <c r="A6" t="s">
        <v>598</v>
      </c>
      <c r="B6" t="s">
        <v>599</v>
      </c>
      <c r="C6" s="244">
        <v>0.21</v>
      </c>
    </row>
    <row r="7" spans="1:13" ht="19" x14ac:dyDescent="0.25">
      <c r="A7" s="336"/>
    </row>
    <row r="8" spans="1:13" ht="15" x14ac:dyDescent="0.2">
      <c r="A8" s="337" t="s">
        <v>600</v>
      </c>
    </row>
    <row r="9" spans="1:13" x14ac:dyDescent="0.15">
      <c r="A9" t="s">
        <v>601</v>
      </c>
      <c r="B9" t="s">
        <v>602</v>
      </c>
      <c r="C9" s="256">
        <v>1</v>
      </c>
    </row>
    <row r="10" spans="1:13" x14ac:dyDescent="0.15">
      <c r="A10" s="240" t="s">
        <v>818</v>
      </c>
      <c r="B10" t="s">
        <v>603</v>
      </c>
      <c r="C10" s="256">
        <v>110</v>
      </c>
    </row>
    <row r="11" spans="1:13" x14ac:dyDescent="0.15">
      <c r="A11" s="240" t="s">
        <v>819</v>
      </c>
      <c r="B11" t="s">
        <v>603</v>
      </c>
      <c r="C11" s="292">
        <f ca="1">C10*C12/100-C106</f>
        <v>102.9456276214851</v>
      </c>
    </row>
    <row r="12" spans="1:13" x14ac:dyDescent="0.15">
      <c r="A12" t="s">
        <v>604</v>
      </c>
      <c r="B12" t="s">
        <v>605</v>
      </c>
      <c r="C12" s="244">
        <v>95</v>
      </c>
    </row>
    <row r="13" spans="1:13" x14ac:dyDescent="0.15">
      <c r="A13" t="s">
        <v>534</v>
      </c>
      <c r="B13" t="s">
        <v>602</v>
      </c>
      <c r="C13" s="244">
        <v>0.75</v>
      </c>
    </row>
    <row r="15" spans="1:13" x14ac:dyDescent="0.15">
      <c r="A15" t="s">
        <v>868</v>
      </c>
      <c r="B15" t="s">
        <v>535</v>
      </c>
      <c r="C15" s="256">
        <v>160</v>
      </c>
    </row>
    <row r="16" spans="1:13" x14ac:dyDescent="0.15">
      <c r="A16" t="s">
        <v>867</v>
      </c>
      <c r="B16" t="s">
        <v>535</v>
      </c>
      <c r="C16" s="256">
        <v>160</v>
      </c>
    </row>
    <row r="17" spans="1:3" x14ac:dyDescent="0.15">
      <c r="A17" t="s">
        <v>612</v>
      </c>
      <c r="B17" t="s">
        <v>613</v>
      </c>
      <c r="C17" s="244">
        <v>20</v>
      </c>
    </row>
    <row r="18" spans="1:3" x14ac:dyDescent="0.15">
      <c r="A18" t="s">
        <v>614</v>
      </c>
      <c r="B18" t="s">
        <v>613</v>
      </c>
      <c r="C18" s="244">
        <v>30</v>
      </c>
    </row>
    <row r="19" spans="1:3" x14ac:dyDescent="0.15">
      <c r="A19" t="s">
        <v>615</v>
      </c>
      <c r="C19" s="244">
        <v>1.5</v>
      </c>
    </row>
    <row r="21" spans="1:3" x14ac:dyDescent="0.15">
      <c r="C21" s="244" t="s">
        <v>616</v>
      </c>
    </row>
    <row r="22" spans="1:3" x14ac:dyDescent="0.15">
      <c r="A22" t="s">
        <v>708</v>
      </c>
      <c r="B22" t="s">
        <v>602</v>
      </c>
      <c r="C22" s="20">
        <f ca="1">C101</f>
        <v>0.46176911294036527</v>
      </c>
    </row>
    <row r="23" spans="1:3" x14ac:dyDescent="0.15">
      <c r="A23" s="339" t="s">
        <v>709</v>
      </c>
      <c r="B23" t="s">
        <v>602</v>
      </c>
      <c r="C23" s="20">
        <v>5.18</v>
      </c>
    </row>
    <row r="24" spans="1:3" x14ac:dyDescent="0.15">
      <c r="A24" t="s">
        <v>710</v>
      </c>
      <c r="B24" t="s">
        <v>602</v>
      </c>
      <c r="C24" s="20">
        <f t="shared" ref="C24" ca="1" si="0">C105</f>
        <v>0.31087447570298032</v>
      </c>
    </row>
    <row r="25" spans="1:3" x14ac:dyDescent="0.15">
      <c r="A25" s="339" t="s">
        <v>709</v>
      </c>
      <c r="B25" t="s">
        <v>602</v>
      </c>
      <c r="C25" s="20">
        <v>1.7</v>
      </c>
    </row>
    <row r="27" spans="1:3" ht="15" x14ac:dyDescent="0.2">
      <c r="A27" s="341" t="s">
        <v>625</v>
      </c>
    </row>
    <row r="28" spans="1:3" x14ac:dyDescent="0.15">
      <c r="A28" t="s">
        <v>540</v>
      </c>
      <c r="B28" t="s">
        <v>602</v>
      </c>
      <c r="C28" s="434">
        <f>C9+C23</f>
        <v>6.18</v>
      </c>
    </row>
    <row r="29" spans="1:3" x14ac:dyDescent="0.15">
      <c r="A29" t="s">
        <v>541</v>
      </c>
      <c r="B29" t="s">
        <v>602</v>
      </c>
      <c r="C29" s="244">
        <f t="shared" ref="C29" si="1">C13+C25</f>
        <v>2.4500000000000002</v>
      </c>
    </row>
    <row r="30" spans="1:3" x14ac:dyDescent="0.15">
      <c r="A30" t="s">
        <v>723</v>
      </c>
      <c r="B30" t="s">
        <v>603</v>
      </c>
      <c r="C30" s="244">
        <f t="shared" ref="C30" si="2">C10*C12/100</f>
        <v>104.5</v>
      </c>
    </row>
    <row r="31" spans="1:3" x14ac:dyDescent="0.15">
      <c r="A31" t="s">
        <v>626</v>
      </c>
      <c r="B31" t="s">
        <v>603</v>
      </c>
      <c r="C31" s="6">
        <f t="shared" ref="C31" ca="1" si="3">C10+C106</f>
        <v>111.5543723785149</v>
      </c>
    </row>
    <row r="32" spans="1:3" ht="15" x14ac:dyDescent="0.2">
      <c r="A32" s="340"/>
      <c r="C32" s="6"/>
    </row>
    <row r="33" spans="1:34" ht="19" x14ac:dyDescent="0.25">
      <c r="A33" s="336" t="s">
        <v>636</v>
      </c>
    </row>
    <row r="34" spans="1:34" ht="15" x14ac:dyDescent="0.2">
      <c r="A34" s="337" t="s">
        <v>600</v>
      </c>
    </row>
    <row r="35" spans="1:34" x14ac:dyDescent="0.15">
      <c r="A35" t="s">
        <v>637</v>
      </c>
      <c r="B35" t="s">
        <v>638</v>
      </c>
      <c r="C35" s="244">
        <f>Chem!$E$41</f>
        <v>5</v>
      </c>
      <c r="P35" s="240"/>
    </row>
    <row r="36" spans="1:34" x14ac:dyDescent="0.15">
      <c r="A36" t="s">
        <v>639</v>
      </c>
      <c r="B36" t="s">
        <v>638</v>
      </c>
      <c r="C36" s="244">
        <f>Chem!$E$38</f>
        <v>5</v>
      </c>
    </row>
    <row r="37" spans="1:34" ht="15" x14ac:dyDescent="0.2">
      <c r="A37" s="340"/>
      <c r="C37" s="6"/>
      <c r="P37" s="178"/>
      <c r="Q37" s="136"/>
      <c r="R37" s="136"/>
      <c r="S37" s="136"/>
      <c r="T37" s="136"/>
      <c r="U37" s="136"/>
      <c r="V37" s="136"/>
      <c r="W37" s="136"/>
      <c r="X37" s="136"/>
      <c r="Y37" s="136"/>
      <c r="AA37" s="6"/>
      <c r="AB37" s="6"/>
      <c r="AC37" s="6"/>
      <c r="AD37" s="6"/>
      <c r="AE37" s="6"/>
      <c r="AF37" s="6"/>
      <c r="AG37" s="6"/>
      <c r="AH37" s="6"/>
    </row>
    <row r="38" spans="1:34" ht="19" x14ac:dyDescent="0.25">
      <c r="A38" s="336" t="s">
        <v>641</v>
      </c>
      <c r="P38" s="178"/>
      <c r="Q38" s="136"/>
      <c r="R38" s="136"/>
      <c r="S38" s="136"/>
      <c r="T38" s="136"/>
      <c r="U38" s="136"/>
      <c r="V38" s="136"/>
      <c r="W38" s="136"/>
      <c r="X38" s="136"/>
      <c r="Y38" s="136"/>
      <c r="AA38" s="6"/>
      <c r="AB38" s="6"/>
      <c r="AC38" s="6"/>
      <c r="AD38" s="6"/>
      <c r="AE38" s="6"/>
      <c r="AF38" s="6"/>
      <c r="AG38" s="6"/>
      <c r="AH38" s="6"/>
    </row>
    <row r="39" spans="1:34" ht="15" x14ac:dyDescent="0.2">
      <c r="A39" s="337" t="s">
        <v>600</v>
      </c>
      <c r="P39" s="178"/>
      <c r="Q39" s="136"/>
      <c r="R39" s="136"/>
      <c r="S39" s="136"/>
      <c r="T39" s="136"/>
      <c r="U39" s="136"/>
      <c r="V39" s="136"/>
      <c r="W39" s="136"/>
      <c r="X39" s="136"/>
      <c r="Y39" s="136"/>
      <c r="AA39" s="6"/>
      <c r="AB39" s="6"/>
      <c r="AC39" s="6"/>
      <c r="AD39" s="6"/>
      <c r="AE39" s="6"/>
      <c r="AF39" s="6"/>
      <c r="AG39" s="6"/>
      <c r="AH39" s="6"/>
    </row>
    <row r="40" spans="1:34" ht="15" x14ac:dyDescent="0.2">
      <c r="A40" s="342" t="s">
        <v>554</v>
      </c>
      <c r="B40" s="342"/>
      <c r="C40" s="354">
        <v>1</v>
      </c>
      <c r="P40" s="178"/>
      <c r="Q40" s="136"/>
      <c r="R40" s="136"/>
      <c r="S40" s="136"/>
      <c r="T40" s="136"/>
      <c r="U40" s="136"/>
      <c r="V40" s="136"/>
      <c r="W40" s="136"/>
      <c r="X40" s="136"/>
      <c r="Y40" s="136"/>
      <c r="AA40" s="6"/>
      <c r="AB40" s="6"/>
      <c r="AC40" s="6"/>
      <c r="AD40" s="6"/>
      <c r="AE40" s="6"/>
      <c r="AF40" s="6"/>
      <c r="AG40" s="6"/>
      <c r="AH40" s="6"/>
    </row>
    <row r="41" spans="1:34" ht="15" x14ac:dyDescent="0.2">
      <c r="A41" s="340" t="s">
        <v>555</v>
      </c>
      <c r="B41" t="s">
        <v>535</v>
      </c>
      <c r="C41" s="244">
        <v>30</v>
      </c>
      <c r="P41" s="178"/>
      <c r="Q41" s="136"/>
      <c r="R41" s="136"/>
      <c r="S41" s="136"/>
      <c r="T41" s="136"/>
      <c r="U41" s="136"/>
      <c r="V41" s="136"/>
      <c r="W41" s="136"/>
      <c r="X41" s="136"/>
      <c r="Y41" s="136"/>
      <c r="AA41" s="6"/>
      <c r="AB41" s="6"/>
      <c r="AC41" s="6"/>
      <c r="AD41" s="6"/>
      <c r="AE41" s="6"/>
      <c r="AF41" s="6"/>
      <c r="AG41" s="6"/>
      <c r="AH41" s="6"/>
    </row>
    <row r="42" spans="1:34" x14ac:dyDescent="0.15">
      <c r="C42" s="4"/>
      <c r="P42" s="178"/>
      <c r="Q42" s="136"/>
      <c r="R42" s="136"/>
      <c r="S42" s="136"/>
      <c r="T42" s="136"/>
      <c r="U42" s="136"/>
      <c r="V42" s="136"/>
      <c r="W42" s="136"/>
      <c r="X42" s="136"/>
      <c r="Y42" s="136"/>
      <c r="AA42" s="6"/>
      <c r="AB42" s="6"/>
      <c r="AC42" s="6"/>
      <c r="AD42" s="6"/>
      <c r="AE42" s="6"/>
      <c r="AF42" s="6"/>
      <c r="AG42" s="6"/>
      <c r="AH42" s="6"/>
    </row>
    <row r="43" spans="1:34" x14ac:dyDescent="0.15">
      <c r="A43" t="s">
        <v>557</v>
      </c>
      <c r="B43" t="s">
        <v>558</v>
      </c>
      <c r="C43" s="244">
        <v>1</v>
      </c>
      <c r="P43" s="178"/>
      <c r="Q43" s="136"/>
      <c r="R43" s="136"/>
      <c r="S43" s="136"/>
      <c r="T43" s="136"/>
      <c r="U43" s="136"/>
      <c r="V43" s="136"/>
      <c r="W43" s="136"/>
      <c r="X43" s="136"/>
      <c r="Y43" s="136"/>
      <c r="AA43" s="6"/>
      <c r="AB43" s="6"/>
      <c r="AC43" s="6"/>
      <c r="AD43" s="6"/>
      <c r="AE43" s="6"/>
      <c r="AF43" s="6"/>
      <c r="AG43" s="6"/>
      <c r="AH43" s="6"/>
    </row>
    <row r="44" spans="1:34" x14ac:dyDescent="0.15">
      <c r="A44" t="s">
        <v>838</v>
      </c>
      <c r="B44" t="s">
        <v>559</v>
      </c>
      <c r="C44" s="4">
        <f t="shared" ref="C44" ca="1" si="4">IF(C40=1,(C59-C41)*0.1+C45,50)</f>
        <v>16.490983064106558</v>
      </c>
      <c r="P44" s="178"/>
      <c r="Q44" s="136"/>
      <c r="R44" s="136"/>
      <c r="S44" s="136"/>
      <c r="T44" s="136"/>
      <c r="U44" s="136"/>
      <c r="V44" s="136"/>
      <c r="W44" s="136"/>
      <c r="X44" s="136"/>
      <c r="Y44" s="136"/>
      <c r="AA44" s="6"/>
      <c r="AB44" s="6"/>
      <c r="AC44" s="6"/>
      <c r="AD44" s="6"/>
      <c r="AE44" s="6"/>
      <c r="AF44" s="6"/>
      <c r="AG44" s="6"/>
      <c r="AH44" s="6"/>
    </row>
    <row r="45" spans="1:34" x14ac:dyDescent="0.15">
      <c r="A45" t="s">
        <v>839</v>
      </c>
      <c r="C45" s="4">
        <f ca="1">C44</f>
        <v>16.490983064106558</v>
      </c>
    </row>
    <row r="46" spans="1:34" x14ac:dyDescent="0.15">
      <c r="A46" t="s">
        <v>560</v>
      </c>
      <c r="B46" t="s">
        <v>561</v>
      </c>
      <c r="C46" s="244">
        <v>10</v>
      </c>
    </row>
    <row r="47" spans="1:34" x14ac:dyDescent="0.15">
      <c r="A47" t="s">
        <v>562</v>
      </c>
      <c r="B47" t="s">
        <v>563</v>
      </c>
      <c r="C47" s="244">
        <v>70</v>
      </c>
    </row>
    <row r="48" spans="1:34" x14ac:dyDescent="0.15">
      <c r="A48" t="s">
        <v>652</v>
      </c>
      <c r="B48" t="s">
        <v>653</v>
      </c>
      <c r="C48" s="244">
        <v>20</v>
      </c>
    </row>
    <row r="49" spans="1:14" x14ac:dyDescent="0.15">
      <c r="A49" t="s">
        <v>654</v>
      </c>
      <c r="B49" t="s">
        <v>655</v>
      </c>
      <c r="C49" s="244" t="s">
        <v>656</v>
      </c>
    </row>
    <row r="50" spans="1:14" x14ac:dyDescent="0.15">
      <c r="A50" t="s">
        <v>657</v>
      </c>
      <c r="B50" t="s">
        <v>658</v>
      </c>
      <c r="C50" s="344">
        <v>1.8E-5</v>
      </c>
    </row>
    <row r="51" spans="1:14" ht="15" x14ac:dyDescent="0.2">
      <c r="A51" s="340"/>
      <c r="C51" s="6"/>
    </row>
    <row r="52" spans="1:14" ht="15" x14ac:dyDescent="0.2">
      <c r="A52" s="341" t="s">
        <v>640</v>
      </c>
    </row>
    <row r="53" spans="1:14" x14ac:dyDescent="0.15">
      <c r="A53" t="s">
        <v>659</v>
      </c>
      <c r="B53" t="s">
        <v>660</v>
      </c>
      <c r="C53" s="344">
        <f ca="1">'Iterative I-V'!C138*'Iterative I-V'!C135*C19/(C5*C4)</f>
        <v>1.4208539571648705E-5</v>
      </c>
    </row>
    <row r="54" spans="1:14" x14ac:dyDescent="0.15">
      <c r="A54" t="s">
        <v>748</v>
      </c>
      <c r="B54" t="s">
        <v>660</v>
      </c>
      <c r="C54" s="344">
        <f t="shared" ref="C54" ca="1" si="5">C53*(C19-1)/C19</f>
        <v>4.7361798572162354E-6</v>
      </c>
    </row>
    <row r="55" spans="1:14" x14ac:dyDescent="0.15">
      <c r="A55" t="s">
        <v>749</v>
      </c>
      <c r="B55" t="s">
        <v>660</v>
      </c>
      <c r="C55" s="344">
        <f t="shared" ref="C55" ca="1" si="6">C53*(1-C6)/C6</f>
        <v>5.3451172674297509E-5</v>
      </c>
    </row>
    <row r="56" spans="1:14" x14ac:dyDescent="0.15">
      <c r="A56" t="s">
        <v>750</v>
      </c>
      <c r="B56" t="s">
        <v>660</v>
      </c>
      <c r="C56" s="344">
        <f t="shared" ref="C56" ca="1" si="7">(C53+C54)/2+C55</f>
        <v>6.2923532388729978E-5</v>
      </c>
      <c r="M56" s="346"/>
    </row>
    <row r="57" spans="1:14" x14ac:dyDescent="0.15">
      <c r="A57" t="s">
        <v>751</v>
      </c>
      <c r="B57" t="s">
        <v>752</v>
      </c>
      <c r="C57" s="344">
        <f ca="1">C56*C3*(C18+273)/(C16*1000)</f>
        <v>9.9070820768006255E-7</v>
      </c>
    </row>
    <row r="58" spans="1:14" x14ac:dyDescent="0.15">
      <c r="A58" t="s">
        <v>753</v>
      </c>
      <c r="B58" t="s">
        <v>754</v>
      </c>
      <c r="C58" s="344">
        <f t="shared" ref="C58" ca="1" si="8">2*C44/1000000</f>
        <v>3.2981966128213118E-5</v>
      </c>
    </row>
    <row r="59" spans="1:14" x14ac:dyDescent="0.15">
      <c r="A59" t="s">
        <v>662</v>
      </c>
      <c r="B59" t="s">
        <v>535</v>
      </c>
      <c r="C59" s="20">
        <f t="shared" ref="C59" ca="1" si="9">64*C50*(C63+2*C68/10)/100*C57/(2*C58^2*2*C44/1000000*C62/100*2*C44/(4*C44+2*C36))/1000</f>
        <v>38.55801669204908</v>
      </c>
    </row>
    <row r="60" spans="1:14" x14ac:dyDescent="0.15">
      <c r="A60" t="s">
        <v>663</v>
      </c>
      <c r="B60" t="s">
        <v>535</v>
      </c>
      <c r="C60" s="20">
        <f t="shared" ref="C60" ca="1" si="10">C50*(C63+2*C68/10)/100*C57/(C46*10^-12*C44/1000000*C62/100)/1000</f>
        <v>113.81955689890248</v>
      </c>
    </row>
    <row r="61" spans="1:14" x14ac:dyDescent="0.15">
      <c r="A61" t="s">
        <v>667</v>
      </c>
      <c r="B61" t="s">
        <v>547</v>
      </c>
      <c r="C61" s="20">
        <f ca="1">'Iterative I-V'!C137*(C63+2*C68/10)/C63</f>
        <v>219.10362162902382</v>
      </c>
    </row>
    <row r="62" spans="1:14" x14ac:dyDescent="0.15">
      <c r="A62" t="s">
        <v>668</v>
      </c>
      <c r="B62" t="s">
        <v>669</v>
      </c>
      <c r="C62" s="20">
        <f ca="1">SQRT('Iterative I-V'!C135/C43)</f>
        <v>23.687282426137685</v>
      </c>
    </row>
    <row r="63" spans="1:14" x14ac:dyDescent="0.15">
      <c r="A63" t="s">
        <v>670</v>
      </c>
      <c r="B63" t="s">
        <v>669</v>
      </c>
      <c r="C63" s="20">
        <f ca="1">'Iterative I-V'!C135/C62</f>
        <v>23.687282426137688</v>
      </c>
    </row>
    <row r="64" spans="1:14" x14ac:dyDescent="0.15">
      <c r="A64" t="s">
        <v>671</v>
      </c>
      <c r="C64" s="20">
        <f t="shared" ref="C64" ca="1" si="11">IF(C49="stamped",(4*C44+4*C44+2*C36)/(4*C44+2*C36),1)</f>
        <v>1.8683585788286514</v>
      </c>
      <c r="N64" s="448"/>
    </row>
    <row r="65" spans="1:14" x14ac:dyDescent="0.15">
      <c r="C65" s="20"/>
    </row>
    <row r="66" spans="1:14" ht="19" x14ac:dyDescent="0.25">
      <c r="A66" s="336" t="s">
        <v>572</v>
      </c>
    </row>
    <row r="67" spans="1:14" ht="15" x14ac:dyDescent="0.2">
      <c r="A67" s="337" t="s">
        <v>600</v>
      </c>
    </row>
    <row r="68" spans="1:14" x14ac:dyDescent="0.15">
      <c r="A68" t="s">
        <v>573</v>
      </c>
      <c r="B68" t="s">
        <v>574</v>
      </c>
      <c r="C68" s="244">
        <v>6</v>
      </c>
    </row>
    <row r="69" spans="1:14" x14ac:dyDescent="0.15">
      <c r="A69" t="s">
        <v>636</v>
      </c>
      <c r="B69" t="s">
        <v>574</v>
      </c>
      <c r="C69" s="244">
        <v>12</v>
      </c>
    </row>
    <row r="70" spans="1:14" x14ac:dyDescent="0.15">
      <c r="A70" s="240" t="s">
        <v>788</v>
      </c>
      <c r="B70" s="240" t="s">
        <v>574</v>
      </c>
      <c r="C70" s="244">
        <v>15</v>
      </c>
    </row>
    <row r="71" spans="1:14" x14ac:dyDescent="0.15">
      <c r="A71" t="s">
        <v>769</v>
      </c>
      <c r="B71" t="s">
        <v>574</v>
      </c>
      <c r="C71" s="244">
        <v>0.1</v>
      </c>
    </row>
    <row r="72" spans="1:14" x14ac:dyDescent="0.15">
      <c r="A72" t="s">
        <v>672</v>
      </c>
      <c r="B72" t="s">
        <v>574</v>
      </c>
      <c r="C72" s="244">
        <v>50</v>
      </c>
    </row>
    <row r="73" spans="1:14" x14ac:dyDescent="0.15">
      <c r="A73" t="s">
        <v>673</v>
      </c>
      <c r="B73" t="s">
        <v>574</v>
      </c>
      <c r="C73" s="244">
        <v>20</v>
      </c>
    </row>
    <row r="75" spans="1:14" ht="15" x14ac:dyDescent="0.2">
      <c r="A75" s="341" t="s">
        <v>640</v>
      </c>
    </row>
    <row r="76" spans="1:14" x14ac:dyDescent="0.15">
      <c r="A76" t="s">
        <v>581</v>
      </c>
      <c r="B76" t="s">
        <v>574</v>
      </c>
      <c r="C76" s="20">
        <f ca="1">('Iterative I-V'!C133+'Iterative I-V'!C38*10^4+'Iterative I-V'!C132+C35/2+C36+C44)/1000</f>
        <v>0.74514938517867413</v>
      </c>
    </row>
    <row r="77" spans="1:14" x14ac:dyDescent="0.15">
      <c r="A77" t="s">
        <v>582</v>
      </c>
      <c r="B77" t="s">
        <v>752</v>
      </c>
      <c r="C77" s="20">
        <f ca="1">(C98+C99)*C3*(C18+273)/(C16*1000)</f>
        <v>3.3639907537853647E-3</v>
      </c>
      <c r="N77" s="448"/>
    </row>
    <row r="78" spans="1:14" x14ac:dyDescent="0.15">
      <c r="A78" t="s">
        <v>109</v>
      </c>
      <c r="B78" t="s">
        <v>583</v>
      </c>
      <c r="C78" s="20">
        <f t="shared" ref="C78" ca="1" si="12">C100/1000/C77</f>
        <v>1.8317347731886489</v>
      </c>
    </row>
    <row r="79" spans="1:14" x14ac:dyDescent="0.15">
      <c r="A79" t="s">
        <v>584</v>
      </c>
      <c r="B79" t="s">
        <v>556</v>
      </c>
      <c r="C79" s="20">
        <f t="shared" ref="C79" ca="1" si="13">C72/10*C87/4</f>
        <v>31.066038954901096</v>
      </c>
    </row>
    <row r="80" spans="1:14" x14ac:dyDescent="0.15">
      <c r="A80" t="s">
        <v>585</v>
      </c>
      <c r="B80" t="s">
        <v>586</v>
      </c>
      <c r="C80" s="20">
        <f ca="1">C77/(C79/10000)</f>
        <v>1.0828515211317755</v>
      </c>
    </row>
    <row r="81" spans="1:13" x14ac:dyDescent="0.15">
      <c r="A81" t="s">
        <v>587</v>
      </c>
      <c r="B81" t="s">
        <v>535</v>
      </c>
      <c r="C81" s="20">
        <f ca="1">0.5*C78*C80^2/1000</f>
        <v>1.07391625564621E-3</v>
      </c>
    </row>
    <row r="82" spans="1:13" x14ac:dyDescent="0.15">
      <c r="C82" s="20"/>
    </row>
    <row r="83" spans="1:13" x14ac:dyDescent="0.15">
      <c r="A83" s="347" t="s">
        <v>589</v>
      </c>
      <c r="B83" s="347" t="s">
        <v>574</v>
      </c>
      <c r="C83" s="348">
        <v>3</v>
      </c>
      <c r="M83" s="240"/>
    </row>
    <row r="84" spans="1:13" x14ac:dyDescent="0.15">
      <c r="A84" s="347" t="s">
        <v>587</v>
      </c>
      <c r="B84" s="347" t="s">
        <v>535</v>
      </c>
      <c r="C84" s="348">
        <f t="shared" ref="C84" ca="1" si="14">0.5*C78/1000*((C77)/(C83/10*C63/10000))^2</f>
        <v>2.0524339759602311E-2</v>
      </c>
      <c r="M84" s="240"/>
    </row>
    <row r="85" spans="1:13" x14ac:dyDescent="0.15">
      <c r="A85" s="347" t="s">
        <v>588</v>
      </c>
      <c r="B85" s="347" t="s">
        <v>605</v>
      </c>
      <c r="C85" s="349">
        <f t="shared" ref="C85" ca="1" si="15">IF(C49="stamped",C84/C59*100,C84/C60*100)</f>
        <v>5.3229760035439187E-2</v>
      </c>
      <c r="M85" s="240"/>
    </row>
    <row r="87" spans="1:13" ht="15" x14ac:dyDescent="0.2">
      <c r="A87" s="340" t="s">
        <v>668</v>
      </c>
      <c r="B87" t="s">
        <v>669</v>
      </c>
      <c r="C87" s="20">
        <f t="shared" ref="C87" ca="1" si="16">C62+(2*C71+C73)/10</f>
        <v>25.707282426137684</v>
      </c>
    </row>
    <row r="88" spans="1:13" ht="15" x14ac:dyDescent="0.2">
      <c r="A88" s="340" t="s">
        <v>670</v>
      </c>
      <c r="B88" t="s">
        <v>669</v>
      </c>
      <c r="C88" s="20">
        <f t="shared" ref="C88" ca="1" si="17">C63+(2*C68+2*C71+C70+C72)/10</f>
        <v>31.407282426137691</v>
      </c>
    </row>
    <row r="89" spans="1:13" ht="15" x14ac:dyDescent="0.2">
      <c r="A89" s="340" t="s">
        <v>590</v>
      </c>
      <c r="B89" t="s">
        <v>669</v>
      </c>
      <c r="C89" s="20">
        <f ca="1">'Iterative I-V'!C136*'Iterative I-V'!C6*C76/10</f>
        <v>310.72729361950712</v>
      </c>
    </row>
    <row r="90" spans="1:13" ht="15" x14ac:dyDescent="0.2">
      <c r="A90" s="340"/>
    </row>
    <row r="91" spans="1:13" ht="19" x14ac:dyDescent="0.25">
      <c r="A91" s="336" t="s">
        <v>676</v>
      </c>
    </row>
    <row r="92" spans="1:13" ht="15" x14ac:dyDescent="0.2">
      <c r="A92" s="337" t="s">
        <v>600</v>
      </c>
    </row>
    <row r="93" spans="1:13" x14ac:dyDescent="0.15">
      <c r="A93" s="338" t="s">
        <v>677</v>
      </c>
      <c r="C93" s="244">
        <v>0.6</v>
      </c>
    </row>
    <row r="94" spans="1:13" x14ac:dyDescent="0.15">
      <c r="A94" t="s">
        <v>678</v>
      </c>
      <c r="B94" t="s">
        <v>679</v>
      </c>
      <c r="C94" s="350">
        <v>1.1000000000000001</v>
      </c>
    </row>
    <row r="95" spans="1:13" x14ac:dyDescent="0.15">
      <c r="A95" t="s">
        <v>680</v>
      </c>
      <c r="C95" s="350">
        <v>1.4</v>
      </c>
    </row>
    <row r="96" spans="1:13" x14ac:dyDescent="0.15">
      <c r="C96" s="20">
        <f t="shared" ref="C96" si="18">(C95-1)/C95</f>
        <v>0.28571428571428564</v>
      </c>
    </row>
    <row r="97" spans="1:3" ht="15" x14ac:dyDescent="0.2">
      <c r="A97" s="341" t="s">
        <v>640</v>
      </c>
    </row>
    <row r="98" spans="1:3" x14ac:dyDescent="0.15">
      <c r="A98" t="s">
        <v>681</v>
      </c>
      <c r="B98" t="s">
        <v>682</v>
      </c>
      <c r="C98" s="20">
        <f ca="1">C28*1000/'Iterative I-V'!C139*C19/(C5*C4)</f>
        <v>4.3164374080690827E-2</v>
      </c>
    </row>
    <row r="99" spans="1:3" x14ac:dyDescent="0.15">
      <c r="A99" t="s">
        <v>683</v>
      </c>
      <c r="B99" t="s">
        <v>682</v>
      </c>
      <c r="C99" s="20">
        <f t="shared" ref="C99" ca="1" si="19">C98*(1-C6)/C6</f>
        <v>0.1623802643987893</v>
      </c>
    </row>
    <row r="100" spans="1:3" x14ac:dyDescent="0.15">
      <c r="A100" t="s">
        <v>684</v>
      </c>
      <c r="B100" t="s">
        <v>685</v>
      </c>
      <c r="C100" s="20">
        <f t="shared" ref="C100" ca="1" si="20">32*C98+28*C99</f>
        <v>5.9279073737482069</v>
      </c>
    </row>
    <row r="101" spans="1:3" x14ac:dyDescent="0.15">
      <c r="A101" t="s">
        <v>686</v>
      </c>
      <c r="B101" t="s">
        <v>602</v>
      </c>
      <c r="C101" s="20">
        <f ca="1">C100*C94*((C15/101.3)^C96-1)/C93*(C17+273)/1000</f>
        <v>0.44423104488220549</v>
      </c>
    </row>
    <row r="102" spans="1:3" x14ac:dyDescent="0.15">
      <c r="A102" t="s">
        <v>687</v>
      </c>
      <c r="B102" t="s">
        <v>682</v>
      </c>
      <c r="C102" s="20">
        <f ca="1">C29*1000/'Iterative I-V'!C140*C19/(C5*C4)</f>
        <v>2.4610323546829956E-2</v>
      </c>
    </row>
    <row r="103" spans="1:3" x14ac:dyDescent="0.15">
      <c r="A103" t="s">
        <v>688</v>
      </c>
      <c r="B103" t="s">
        <v>682</v>
      </c>
      <c r="C103" s="20">
        <f t="shared" ref="C103" ca="1" si="21">C102*(1-C6)/C6</f>
        <v>9.2581693342836516E-2</v>
      </c>
    </row>
    <row r="104" spans="1:3" x14ac:dyDescent="0.15">
      <c r="A104" t="s">
        <v>689</v>
      </c>
      <c r="B104" t="s">
        <v>685</v>
      </c>
      <c r="C104" s="20">
        <f t="shared" ref="C104" ca="1" si="22">32*C102+28*C103</f>
        <v>3.3798177670979812</v>
      </c>
    </row>
    <row r="105" spans="1:3" x14ac:dyDescent="0.15">
      <c r="A105" t="s">
        <v>606</v>
      </c>
      <c r="B105" t="s">
        <v>602</v>
      </c>
      <c r="C105" s="20">
        <f t="shared" ref="C105" ca="1" si="23">C104*C94*((C15/101.3)^C96-1)/C93*(C17+273)/1000</f>
        <v>0.25327993228072876</v>
      </c>
    </row>
    <row r="106" spans="1:3" x14ac:dyDescent="0.15">
      <c r="A106" s="240" t="s">
        <v>816</v>
      </c>
      <c r="B106" s="240" t="s">
        <v>817</v>
      </c>
      <c r="C106" s="6">
        <f ca="1">C105*5</f>
        <v>1.2663996614036437</v>
      </c>
    </row>
    <row r="108" spans="1:3" ht="15" x14ac:dyDescent="0.2">
      <c r="A108" s="337"/>
    </row>
    <row r="109" spans="1:3" ht="15" x14ac:dyDescent="0.2">
      <c r="A109" s="340"/>
    </row>
    <row r="110" spans="1:3" ht="15" x14ac:dyDescent="0.2">
      <c r="A110" s="340"/>
    </row>
    <row r="111" spans="1:3" ht="15" x14ac:dyDescent="0.2">
      <c r="A111" s="340"/>
    </row>
    <row r="112" spans="1:3" ht="19" x14ac:dyDescent="0.25">
      <c r="A112" s="336"/>
    </row>
    <row r="113" spans="1:3" ht="15" x14ac:dyDescent="0.2">
      <c r="A113" s="337"/>
    </row>
    <row r="114" spans="1:3" x14ac:dyDescent="0.15">
      <c r="A114" s="338"/>
    </row>
    <row r="115" spans="1:3" ht="15" x14ac:dyDescent="0.2">
      <c r="A115" s="337"/>
    </row>
    <row r="117" spans="1:3" x14ac:dyDescent="0.15">
      <c r="A117" s="240"/>
      <c r="C117" s="4"/>
    </row>
    <row r="118" spans="1:3" x14ac:dyDescent="0.15">
      <c r="C118" s="4"/>
    </row>
  </sheetData>
  <phoneticPr fontId="42" type="noConversion"/>
  <pageMargins left="0.7" right="0.7" top="0.75" bottom="0.75" header="0.3" footer="0.3"/>
  <pageSetup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0"/>
  <sheetViews>
    <sheetView workbookViewId="0">
      <selection activeCell="F5" sqref="F5"/>
    </sheetView>
  </sheetViews>
  <sheetFormatPr baseColWidth="10" defaultColWidth="8.83203125" defaultRowHeight="13" x14ac:dyDescent="0.15"/>
  <cols>
    <col min="1" max="1" width="25.5" customWidth="1"/>
    <col min="3" max="3" width="11.1640625" customWidth="1"/>
    <col min="8" max="8" width="23" customWidth="1"/>
  </cols>
  <sheetData>
    <row r="1" spans="1:6" x14ac:dyDescent="0.15">
      <c r="A1" t="s">
        <v>886</v>
      </c>
    </row>
    <row r="2" spans="1:6" x14ac:dyDescent="0.15">
      <c r="B2" s="244" t="s">
        <v>670</v>
      </c>
      <c r="C2" s="244" t="s">
        <v>846</v>
      </c>
      <c r="D2" s="244" t="s">
        <v>847</v>
      </c>
    </row>
    <row r="3" spans="1:6" x14ac:dyDescent="0.15">
      <c r="A3" t="s">
        <v>848</v>
      </c>
      <c r="B3" s="244">
        <v>4</v>
      </c>
      <c r="C3" s="244">
        <v>2</v>
      </c>
      <c r="D3" s="244">
        <v>15</v>
      </c>
    </row>
    <row r="4" spans="1:6" x14ac:dyDescent="0.15">
      <c r="A4" t="s">
        <v>864</v>
      </c>
      <c r="B4" s="244">
        <v>15</v>
      </c>
      <c r="C4" s="244">
        <v>18</v>
      </c>
      <c r="D4" s="244">
        <v>325</v>
      </c>
      <c r="E4" t="s">
        <v>863</v>
      </c>
      <c r="F4" t="s">
        <v>893</v>
      </c>
    </row>
    <row r="5" spans="1:6" x14ac:dyDescent="0.15">
      <c r="A5" t="s">
        <v>870</v>
      </c>
      <c r="B5" s="133">
        <v>38</v>
      </c>
      <c r="C5" s="133">
        <v>38</v>
      </c>
      <c r="D5" s="133">
        <v>300</v>
      </c>
      <c r="E5" s="240" t="s">
        <v>863</v>
      </c>
    </row>
    <row r="6" spans="1:6" x14ac:dyDescent="0.15">
      <c r="A6" t="s">
        <v>862</v>
      </c>
      <c r="B6" s="244" t="s">
        <v>892</v>
      </c>
      <c r="C6" s="244" t="s">
        <v>892</v>
      </c>
      <c r="D6" s="244" t="s">
        <v>892</v>
      </c>
      <c r="E6" s="240" t="s">
        <v>891</v>
      </c>
    </row>
    <row r="7" spans="1:6" x14ac:dyDescent="0.15">
      <c r="A7" t="s">
        <v>869</v>
      </c>
      <c r="B7" s="244" t="s">
        <v>892</v>
      </c>
      <c r="C7" s="244" t="s">
        <v>892</v>
      </c>
      <c r="D7" s="244" t="s">
        <v>892</v>
      </c>
      <c r="E7" s="240" t="s">
        <v>891</v>
      </c>
    </row>
    <row r="8" spans="1:6" x14ac:dyDescent="0.15">
      <c r="A8" t="s">
        <v>812</v>
      </c>
      <c r="B8" s="244">
        <v>3</v>
      </c>
      <c r="C8" s="244">
        <v>2</v>
      </c>
      <c r="D8" s="244">
        <v>10</v>
      </c>
    </row>
    <row r="9" spans="1:6" ht="14" thickBot="1" x14ac:dyDescent="0.2">
      <c r="B9" s="244" t="s">
        <v>670</v>
      </c>
      <c r="C9" s="244" t="s">
        <v>846</v>
      </c>
      <c r="D9" s="244" t="s">
        <v>847</v>
      </c>
    </row>
    <row r="10" spans="1:6" ht="14" thickBot="1" x14ac:dyDescent="0.2">
      <c r="A10" t="s">
        <v>813</v>
      </c>
      <c r="B10" s="456">
        <f>SUM(B3:B8)</f>
        <v>60</v>
      </c>
      <c r="C10" s="457">
        <f t="shared" ref="C10:D10" si="0">SUM(C3:C8)</f>
        <v>60</v>
      </c>
      <c r="D10" s="458">
        <f t="shared" si="0"/>
        <v>650</v>
      </c>
    </row>
    <row r="11" spans="1:6" x14ac:dyDescent="0.15">
      <c r="B11" s="244"/>
    </row>
    <row r="12" spans="1:6" x14ac:dyDescent="0.15">
      <c r="A12" s="461"/>
    </row>
    <row r="13" spans="1:6" x14ac:dyDescent="0.15">
      <c r="B13" s="244"/>
      <c r="C13" s="244"/>
      <c r="D13" s="244"/>
    </row>
    <row r="15" spans="1:6" x14ac:dyDescent="0.15">
      <c r="B15" s="244" t="s">
        <v>670</v>
      </c>
      <c r="C15" s="244" t="s">
        <v>846</v>
      </c>
      <c r="D15" s="244" t="s">
        <v>847</v>
      </c>
    </row>
    <row r="16" spans="1:6" x14ac:dyDescent="0.15">
      <c r="A16" t="s">
        <v>864</v>
      </c>
      <c r="B16" s="244">
        <v>30</v>
      </c>
      <c r="C16" s="244">
        <v>36</v>
      </c>
      <c r="D16" s="244">
        <v>1300</v>
      </c>
      <c r="E16" t="s">
        <v>866</v>
      </c>
    </row>
    <row r="17" spans="1:6" x14ac:dyDescent="0.15">
      <c r="A17" t="s">
        <v>870</v>
      </c>
      <c r="B17" s="133">
        <v>25</v>
      </c>
      <c r="C17" s="133">
        <v>25</v>
      </c>
      <c r="D17" s="133">
        <v>500</v>
      </c>
      <c r="E17" t="s">
        <v>866</v>
      </c>
      <c r="F17" s="461" t="s">
        <v>871</v>
      </c>
    </row>
    <row r="18" spans="1:6" x14ac:dyDescent="0.15">
      <c r="B18" s="244"/>
      <c r="C18" s="244"/>
      <c r="D18" s="244"/>
    </row>
    <row r="19" spans="1:6" x14ac:dyDescent="0.15">
      <c r="A19" t="s">
        <v>864</v>
      </c>
      <c r="B19" s="244">
        <v>15</v>
      </c>
      <c r="C19" s="244">
        <v>18</v>
      </c>
      <c r="D19" s="244">
        <v>650</v>
      </c>
      <c r="E19" t="s">
        <v>863</v>
      </c>
    </row>
    <row r="20" spans="1:6" x14ac:dyDescent="0.15">
      <c r="A20" t="s">
        <v>870</v>
      </c>
      <c r="B20" s="133">
        <v>38</v>
      </c>
      <c r="C20" s="133">
        <v>38</v>
      </c>
      <c r="D20" s="133">
        <v>600</v>
      </c>
      <c r="E20" s="240" t="s">
        <v>875</v>
      </c>
      <c r="F20" s="461" t="s">
        <v>872</v>
      </c>
    </row>
  </sheetData>
  <phoneticPr fontId="42"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5"/>
  </sheetPr>
  <dimension ref="A1:T312"/>
  <sheetViews>
    <sheetView topLeftCell="A168" zoomScale="130" zoomScaleNormal="130" workbookViewId="0">
      <selection activeCell="F202" sqref="F202"/>
    </sheetView>
  </sheetViews>
  <sheetFormatPr baseColWidth="10" defaultColWidth="8.83203125" defaultRowHeight="13" x14ac:dyDescent="0.15"/>
  <cols>
    <col min="1" max="1" width="10.6640625" customWidth="1"/>
    <col min="2" max="2" width="14.5" customWidth="1"/>
    <col min="3" max="3" width="13.1640625" customWidth="1"/>
    <col min="4" max="4" width="11" customWidth="1"/>
    <col min="5" max="5" width="13" customWidth="1"/>
    <col min="6" max="10" width="10.6640625" customWidth="1"/>
    <col min="11" max="11" width="10.5" customWidth="1"/>
    <col min="12" max="15" width="10.33203125" customWidth="1"/>
    <col min="16" max="16" width="12.6640625" style="106" customWidth="1"/>
    <col min="17" max="20" width="10.6640625" style="106" customWidth="1"/>
  </cols>
  <sheetData>
    <row r="1" spans="1:15" ht="16" x14ac:dyDescent="0.2">
      <c r="A1" s="482" t="s">
        <v>317</v>
      </c>
      <c r="B1" s="482"/>
      <c r="C1" s="482"/>
      <c r="D1" s="482"/>
      <c r="E1" s="482"/>
      <c r="F1" s="482"/>
      <c r="G1" s="470"/>
      <c r="H1" s="470"/>
      <c r="I1" s="470"/>
      <c r="J1" s="470"/>
      <c r="K1" s="470"/>
      <c r="L1" s="470"/>
      <c r="M1" s="106"/>
      <c r="N1" s="106"/>
      <c r="O1" s="106"/>
    </row>
    <row r="2" spans="1:15" ht="16" x14ac:dyDescent="0.2">
      <c r="A2" s="483" t="s">
        <v>881</v>
      </c>
      <c r="B2" s="483"/>
      <c r="C2" s="483"/>
      <c r="D2" s="483"/>
      <c r="E2" s="483"/>
      <c r="F2" s="483"/>
      <c r="G2" s="470"/>
      <c r="H2" s="470"/>
      <c r="I2" s="470"/>
      <c r="J2" s="470"/>
      <c r="K2" s="470"/>
      <c r="L2" s="470"/>
      <c r="M2" s="106"/>
      <c r="N2" s="106"/>
      <c r="O2" s="106"/>
    </row>
    <row r="3" spans="1:15" x14ac:dyDescent="0.15">
      <c r="B3" s="35"/>
      <c r="C3" s="35"/>
      <c r="D3" s="35"/>
      <c r="E3" s="35"/>
      <c r="F3" s="8" t="s">
        <v>106</v>
      </c>
      <c r="G3" s="470"/>
      <c r="H3" s="470"/>
      <c r="I3" s="470"/>
      <c r="J3" s="470"/>
      <c r="K3" s="470"/>
      <c r="L3" s="470"/>
      <c r="M3" s="470"/>
      <c r="N3" s="470"/>
      <c r="O3" s="470"/>
    </row>
    <row r="4" spans="1:15" ht="16" x14ac:dyDescent="0.2">
      <c r="A4" s="16" t="s">
        <v>549</v>
      </c>
      <c r="B4" s="35"/>
      <c r="C4" s="35"/>
      <c r="D4" s="35"/>
      <c r="E4" s="35"/>
      <c r="F4" s="415"/>
      <c r="G4" s="470"/>
      <c r="H4" s="470"/>
      <c r="I4" s="470"/>
      <c r="J4" s="470"/>
      <c r="K4" s="470"/>
      <c r="L4" s="470"/>
      <c r="M4" s="470"/>
      <c r="N4" s="470"/>
      <c r="O4" s="470"/>
    </row>
    <row r="5" spans="1:15" ht="14" x14ac:dyDescent="0.15">
      <c r="A5" s="304" t="s">
        <v>3</v>
      </c>
      <c r="B5" s="22"/>
      <c r="C5" s="27" t="s">
        <v>764</v>
      </c>
      <c r="D5" s="24" t="s">
        <v>110</v>
      </c>
      <c r="E5" s="9" t="s">
        <v>109</v>
      </c>
      <c r="G5" s="470"/>
      <c r="H5" s="470"/>
      <c r="I5" s="470"/>
      <c r="J5" s="470"/>
      <c r="K5" s="470"/>
      <c r="L5" s="470"/>
      <c r="M5" s="470"/>
      <c r="N5" s="470"/>
      <c r="O5" s="470"/>
    </row>
    <row r="6" spans="1:15" x14ac:dyDescent="0.15">
      <c r="A6" s="12" t="s">
        <v>108</v>
      </c>
      <c r="B6" s="11"/>
      <c r="C6" s="388">
        <f>IF(Chem!$E$8="Enclosed",D6/E6*$E$11,Chem!E9)</f>
        <v>60</v>
      </c>
      <c r="D6" s="388">
        <f>IF(Chem!$E$8="Enclosed",Chem!E14,C6*E6/($C$6*$E$6+$C$7*$E$7+$C$8*$E$8)*100)</f>
        <v>88.426693887967346</v>
      </c>
      <c r="E6" s="105">
        <f>Chem!E20</f>
        <v>2.31</v>
      </c>
      <c r="F6" s="38">
        <f ca="1">F77/F38*1000</f>
        <v>25759.223438687641</v>
      </c>
      <c r="G6" s="470"/>
      <c r="H6" s="470"/>
      <c r="I6" s="470"/>
      <c r="J6" s="470"/>
      <c r="K6" s="470"/>
      <c r="L6" s="470"/>
      <c r="M6" s="470"/>
      <c r="N6" s="470"/>
      <c r="O6" s="470"/>
    </row>
    <row r="7" spans="1:15" x14ac:dyDescent="0.15">
      <c r="A7" s="12" t="s">
        <v>412</v>
      </c>
      <c r="B7" s="36"/>
      <c r="C7" s="388">
        <f>IF(Chem!$E$8="Enclosed",D7/E7*$E$11,Chem!E10)</f>
        <v>8</v>
      </c>
      <c r="D7" s="388">
        <f>IF(Chem!$E$8="Enclosed",Chem!E15,C7*E7/($C$6*$E$6+$C$7*$E$7+$C$8*$E$8)*100)</f>
        <v>9.3147888222534139</v>
      </c>
      <c r="E7" s="105">
        <f>Chem!E21</f>
        <v>1.825</v>
      </c>
      <c r="F7" s="39">
        <f t="shared" ref="F7:F8" ca="1" si="0">F$11*$D7/100</f>
        <v>2650.5489692359588</v>
      </c>
      <c r="G7" s="470"/>
      <c r="H7" s="470"/>
      <c r="I7" s="470"/>
      <c r="J7" s="470"/>
      <c r="K7" s="470"/>
      <c r="L7" s="470"/>
      <c r="M7" s="470"/>
      <c r="N7" s="470"/>
      <c r="O7" s="470"/>
    </row>
    <row r="8" spans="1:15" x14ac:dyDescent="0.15">
      <c r="A8" s="10" t="s">
        <v>113</v>
      </c>
      <c r="B8" s="10"/>
      <c r="C8" s="388">
        <f>IF(Chem!$E$8="Enclosed",D8/E8*$E$11,Chem!E11)</f>
        <v>2</v>
      </c>
      <c r="D8" s="388">
        <f>IF(Chem!$E$8="Enclosed",Chem!E16,C8*E8/($C$6*$E$6+$C$7*$E$7+$C$8*$E$8)*100)</f>
        <v>2.2585172897792525</v>
      </c>
      <c r="E8" s="105">
        <f>Chem!E22</f>
        <v>1.77</v>
      </c>
      <c r="F8" s="39">
        <f t="shared" ca="1" si="0"/>
        <v>642.6673528147461</v>
      </c>
      <c r="G8" s="470"/>
      <c r="H8" s="470"/>
      <c r="I8" s="470"/>
      <c r="J8" s="470"/>
      <c r="K8" s="470"/>
      <c r="L8" s="470"/>
      <c r="M8" s="470"/>
      <c r="N8" s="470"/>
      <c r="O8" s="470"/>
    </row>
    <row r="9" spans="1:15" x14ac:dyDescent="0.15">
      <c r="A9" s="248" t="s">
        <v>767</v>
      </c>
      <c r="B9" s="10"/>
      <c r="C9" s="104">
        <f>Chem!E12</f>
        <v>5</v>
      </c>
      <c r="D9" s="104">
        <v>0</v>
      </c>
      <c r="E9" s="105"/>
      <c r="F9" s="39"/>
      <c r="G9" s="470"/>
      <c r="H9" s="470"/>
      <c r="I9" s="470"/>
      <c r="J9" s="470"/>
      <c r="K9" s="470"/>
      <c r="L9" s="470"/>
      <c r="M9" s="470"/>
      <c r="N9" s="470"/>
      <c r="O9" s="470"/>
    </row>
    <row r="10" spans="1:15" x14ac:dyDescent="0.15">
      <c r="A10" s="248" t="s">
        <v>101</v>
      </c>
      <c r="B10" s="15"/>
      <c r="C10" s="107">
        <f>Chem!E18</f>
        <v>25</v>
      </c>
      <c r="D10" s="13"/>
      <c r="E10" s="389">
        <f>Chem!E46</f>
        <v>1.2</v>
      </c>
      <c r="F10" s="40">
        <f t="shared" ref="F10" ca="1" si="1">F$11*$D10/100</f>
        <v>0</v>
      </c>
      <c r="G10" s="470"/>
      <c r="H10" s="470"/>
      <c r="I10" s="470"/>
      <c r="J10" s="470"/>
      <c r="K10" s="470"/>
      <c r="L10" s="470"/>
      <c r="M10" s="470"/>
      <c r="N10" s="470"/>
      <c r="O10" s="470"/>
    </row>
    <row r="11" spans="1:15" x14ac:dyDescent="0.15">
      <c r="A11" s="10" t="s">
        <v>115</v>
      </c>
      <c r="B11" s="10"/>
      <c r="C11" s="9">
        <f>SUM(C6:C10)</f>
        <v>100</v>
      </c>
      <c r="D11" s="9">
        <f>SUM(D6:D10)</f>
        <v>100.00000000000001</v>
      </c>
      <c r="E11" s="14">
        <f>(100-C10-C9)/(D6/E6+D7/E7+D8/E8)</f>
        <v>1.5673999999999999</v>
      </c>
      <c r="F11" s="37">
        <f ca="1">F6/$D6*100</f>
        <v>29130.596549638529</v>
      </c>
      <c r="G11" s="470"/>
      <c r="H11" s="470"/>
      <c r="I11" s="470"/>
      <c r="J11" s="470"/>
      <c r="K11" s="470"/>
      <c r="L11" s="470"/>
      <c r="M11" s="470"/>
      <c r="N11" s="470"/>
      <c r="O11" s="470"/>
    </row>
    <row r="12" spans="1:15" x14ac:dyDescent="0.15">
      <c r="A12" s="248" t="s">
        <v>841</v>
      </c>
      <c r="B12" s="10"/>
      <c r="C12" s="9"/>
      <c r="D12" s="9"/>
      <c r="E12" s="14"/>
      <c r="F12" s="37">
        <f ca="1">F11-F15*1/F42</f>
        <v>-6406.6307428503533</v>
      </c>
      <c r="G12" s="470"/>
      <c r="H12" s="470"/>
      <c r="I12" s="470"/>
      <c r="J12" s="470"/>
      <c r="K12" s="470"/>
      <c r="L12" s="470"/>
      <c r="M12" s="470"/>
      <c r="N12" s="470"/>
      <c r="O12" s="470"/>
    </row>
    <row r="13" spans="1:15" x14ac:dyDescent="0.15">
      <c r="A13" s="248" t="s">
        <v>855</v>
      </c>
      <c r="B13" s="10"/>
      <c r="C13" s="10"/>
      <c r="D13" s="9"/>
      <c r="E13" s="14"/>
      <c r="F13" s="37">
        <f ca="1">F11-F6</f>
        <v>3371.3731109508881</v>
      </c>
      <c r="G13" s="470"/>
      <c r="H13" s="470"/>
      <c r="I13" s="470"/>
      <c r="J13" s="470"/>
      <c r="K13" s="470"/>
      <c r="L13" s="470"/>
      <c r="M13" s="470"/>
      <c r="N13" s="470"/>
      <c r="O13" s="470"/>
    </row>
    <row r="14" spans="1:15" ht="14" x14ac:dyDescent="0.15">
      <c r="A14" s="305" t="s">
        <v>147</v>
      </c>
      <c r="B14" s="26"/>
      <c r="C14" s="27" t="s">
        <v>764</v>
      </c>
      <c r="D14" s="27" t="s">
        <v>110</v>
      </c>
      <c r="E14" s="27" t="s">
        <v>109</v>
      </c>
      <c r="F14" s="28"/>
      <c r="G14" s="470"/>
      <c r="H14" s="470"/>
      <c r="I14" s="470"/>
      <c r="J14" s="470"/>
      <c r="K14" s="470"/>
      <c r="L14" s="470"/>
      <c r="M14" s="470"/>
      <c r="N14" s="470"/>
      <c r="O14" s="470"/>
    </row>
    <row r="15" spans="1:15" x14ac:dyDescent="0.15">
      <c r="A15" s="51" t="s">
        <v>108</v>
      </c>
      <c r="B15" s="26"/>
      <c r="C15" s="104"/>
      <c r="D15" s="108">
        <f>Chem!E27</f>
        <v>100</v>
      </c>
      <c r="E15" s="110">
        <f>Chem!E33</f>
        <v>7.86</v>
      </c>
      <c r="F15" s="41">
        <f ca="1">F77/F40*1000*F42*(1+F47/100)</f>
        <v>54570.930428755448</v>
      </c>
      <c r="G15" s="470"/>
      <c r="H15" s="470"/>
      <c r="I15" s="470"/>
      <c r="J15" s="470"/>
      <c r="K15" s="470"/>
      <c r="L15" s="470"/>
      <c r="M15" s="470"/>
      <c r="N15" s="470"/>
      <c r="O15" s="470"/>
    </row>
    <row r="16" spans="1:15" x14ac:dyDescent="0.15">
      <c r="A16" s="28" t="s">
        <v>112</v>
      </c>
      <c r="B16" s="26"/>
      <c r="C16" s="104"/>
      <c r="D16" s="108">
        <f>Chem!E28</f>
        <v>0</v>
      </c>
      <c r="E16" s="110">
        <f>Chem!E34</f>
        <v>1.95</v>
      </c>
      <c r="F16" s="42">
        <f t="shared" ref="F16:F18" ca="1" si="2">F$19*$D16/100</f>
        <v>0</v>
      </c>
      <c r="G16" s="470"/>
      <c r="H16" s="470"/>
      <c r="I16" s="470"/>
      <c r="J16" s="470"/>
      <c r="K16" s="470"/>
      <c r="L16" s="470"/>
      <c r="M16" s="470"/>
      <c r="N16" s="470"/>
      <c r="O16" s="470"/>
    </row>
    <row r="17" spans="1:17" x14ac:dyDescent="0.15">
      <c r="A17" s="28" t="s">
        <v>113</v>
      </c>
      <c r="B17" s="26"/>
      <c r="C17" s="104"/>
      <c r="D17" s="108">
        <f>Chem!E29</f>
        <v>0</v>
      </c>
      <c r="E17" s="110">
        <f>Chem!E35</f>
        <v>1.1000000000000001</v>
      </c>
      <c r="F17" s="42">
        <f t="shared" ca="1" si="2"/>
        <v>0</v>
      </c>
      <c r="G17" s="470"/>
      <c r="H17" s="470"/>
      <c r="I17" s="470"/>
      <c r="J17" s="470"/>
      <c r="K17" s="470"/>
      <c r="L17" s="470"/>
      <c r="M17" s="470"/>
      <c r="N17" s="470"/>
      <c r="O17" s="470"/>
    </row>
    <row r="18" spans="1:17" x14ac:dyDescent="0.15">
      <c r="A18" s="28" t="s">
        <v>114</v>
      </c>
      <c r="B18" s="31" t="s">
        <v>111</v>
      </c>
      <c r="C18" s="109">
        <f>Chem!E31</f>
        <v>0</v>
      </c>
      <c r="D18" s="32"/>
      <c r="E18" s="33"/>
      <c r="F18" s="43">
        <f t="shared" ca="1" si="2"/>
        <v>0</v>
      </c>
      <c r="G18" s="470"/>
      <c r="H18" s="470"/>
      <c r="I18" s="470"/>
      <c r="J18" s="470"/>
      <c r="K18" s="470"/>
      <c r="L18" s="470"/>
      <c r="M18" s="470"/>
      <c r="N18" s="470"/>
      <c r="O18" s="470"/>
    </row>
    <row r="19" spans="1:17" x14ac:dyDescent="0.15">
      <c r="A19" s="28" t="s">
        <v>115</v>
      </c>
      <c r="B19" s="26"/>
      <c r="C19" s="26"/>
      <c r="D19" s="30">
        <f>SUM(D15:D18)</f>
        <v>100</v>
      </c>
      <c r="E19" s="29">
        <f>(100-C18)/(D15/E15+D17/E17+D16/E16)</f>
        <v>7.86</v>
      </c>
      <c r="F19" s="42">
        <f t="shared" ref="F19" ca="1" si="3">F15/$D15*100</f>
        <v>54570.930428755448</v>
      </c>
      <c r="G19" s="470"/>
      <c r="H19" s="470"/>
      <c r="I19" s="470"/>
      <c r="J19" s="470"/>
      <c r="K19" s="470"/>
      <c r="L19" s="470"/>
      <c r="M19" s="470"/>
      <c r="N19" s="470"/>
      <c r="O19" s="470"/>
    </row>
    <row r="20" spans="1:17" ht="14" x14ac:dyDescent="0.15">
      <c r="A20" s="305" t="s">
        <v>19</v>
      </c>
      <c r="B20" s="304"/>
      <c r="C20" s="44"/>
      <c r="D20" s="30" t="s">
        <v>4</v>
      </c>
      <c r="E20" s="29" t="s">
        <v>109</v>
      </c>
      <c r="F20" s="46"/>
      <c r="G20" s="470"/>
      <c r="H20" s="470"/>
      <c r="I20" s="470"/>
      <c r="J20" s="470"/>
      <c r="K20" s="470"/>
      <c r="L20" s="470"/>
      <c r="M20" s="470"/>
      <c r="N20" s="470"/>
      <c r="O20" s="470"/>
    </row>
    <row r="21" spans="1:17" ht="15" x14ac:dyDescent="0.15">
      <c r="A21" s="28" t="s">
        <v>5</v>
      </c>
      <c r="B21" s="26"/>
      <c r="C21" s="109" t="str">
        <f>IF(Chem!E37="aluminum","Al","Cu")</f>
        <v>Al</v>
      </c>
      <c r="D21" s="104">
        <f>Chem!E38</f>
        <v>5</v>
      </c>
      <c r="E21" s="110">
        <f>IF(C21="Al",2.7,8.92)</f>
        <v>2.7</v>
      </c>
      <c r="F21" s="46">
        <f ca="1">F104*((F105+2*'Flow and System'!C68)*(F106+2*'Flow and System'!C68)*'Flow and System'!C64+F107*F108)/1000000</f>
        <v>31.924973958917693</v>
      </c>
      <c r="G21" s="470"/>
      <c r="H21" s="470"/>
      <c r="I21" s="470"/>
      <c r="J21" s="470"/>
      <c r="K21" s="470"/>
      <c r="L21" s="470"/>
      <c r="M21" s="470"/>
      <c r="N21" s="470"/>
      <c r="O21" s="470"/>
      <c r="P21" s="399"/>
      <c r="Q21" s="399"/>
    </row>
    <row r="22" spans="1:17" ht="15" x14ac:dyDescent="0.15">
      <c r="A22" s="28" t="s">
        <v>6</v>
      </c>
      <c r="B22" s="26"/>
      <c r="C22" s="109" t="str">
        <f>IF(Chem!E40="aluminum","Al","Cu")</f>
        <v>Cu</v>
      </c>
      <c r="D22" s="104">
        <f>Chem!E41</f>
        <v>5</v>
      </c>
      <c r="E22" s="110">
        <f>IF(C22="Al",2.7,8.92)</f>
        <v>8.92</v>
      </c>
      <c r="F22" s="46">
        <f ca="1">(F104+1)*((F105+2*'Flow and System'!C68)*(F106+2*'Flow and System'!C68)+F107*F108)/1000000</f>
        <v>17.271242530514982</v>
      </c>
      <c r="G22" s="470"/>
      <c r="H22" s="470"/>
      <c r="I22" s="470"/>
      <c r="J22" s="470"/>
      <c r="K22" s="470"/>
      <c r="L22" s="470"/>
      <c r="M22" s="470"/>
      <c r="N22" s="470"/>
      <c r="O22" s="470"/>
      <c r="P22" s="399"/>
      <c r="Q22" s="399"/>
    </row>
    <row r="23" spans="1:17" ht="15" x14ac:dyDescent="0.15">
      <c r="A23" s="28" t="s">
        <v>7</v>
      </c>
      <c r="B23" s="26"/>
      <c r="C23" s="26"/>
      <c r="D23" s="108">
        <f>Chem!E43</f>
        <v>10</v>
      </c>
      <c r="E23" s="111">
        <f>Chem!E45</f>
        <v>4</v>
      </c>
      <c r="F23" s="46">
        <f ca="1">2*F104*F105*F106/1000000</f>
        <v>30.084647395753663</v>
      </c>
      <c r="G23" s="470"/>
      <c r="H23" s="470"/>
      <c r="I23" s="470"/>
      <c r="J23" s="470"/>
      <c r="K23" s="470"/>
      <c r="L23" s="470"/>
      <c r="M23" s="470"/>
      <c r="N23" s="470"/>
      <c r="O23" s="470"/>
      <c r="P23" s="399"/>
      <c r="Q23" s="399"/>
    </row>
    <row r="24" spans="1:17" x14ac:dyDescent="0.15">
      <c r="A24" s="7" t="s">
        <v>8</v>
      </c>
      <c r="B24" s="26"/>
      <c r="C24" s="26"/>
      <c r="D24" s="108"/>
      <c r="E24" s="110">
        <f>Chem!E46</f>
        <v>1.2</v>
      </c>
      <c r="F24" s="47">
        <f ca="1">(F11/'Battery Design'!$E11*$C10/100+F19/$E19*$C18/100+F23*$D23*Chem!$E44/100+F33*F105*F106/1000*0.02)/1000</f>
        <v>5.2201564547855703</v>
      </c>
      <c r="G24" s="470"/>
      <c r="H24" s="470"/>
      <c r="I24" s="470"/>
      <c r="J24" s="470"/>
      <c r="K24" s="470"/>
      <c r="L24" s="470"/>
      <c r="M24" s="470"/>
      <c r="N24" s="470"/>
      <c r="O24" s="470"/>
      <c r="Q24" s="399"/>
    </row>
    <row r="25" spans="1:17" x14ac:dyDescent="0.15">
      <c r="A25" s="45" t="s">
        <v>16</v>
      </c>
      <c r="B25" s="26"/>
      <c r="C25" s="26"/>
      <c r="D25" s="213"/>
      <c r="E25" s="406">
        <v>5.8414092591004225</v>
      </c>
      <c r="F25" s="49">
        <f t="shared" ref="F25" ca="1" si="4">$E21*(F109*F35*F108)/1000</f>
        <v>2.0387573611727965</v>
      </c>
      <c r="G25" s="470"/>
      <c r="H25" s="470"/>
      <c r="I25" s="470"/>
      <c r="J25" s="470"/>
      <c r="K25" s="470"/>
      <c r="L25" s="470"/>
      <c r="M25" s="470"/>
      <c r="N25" s="470"/>
      <c r="O25" s="470"/>
      <c r="Q25" s="399"/>
    </row>
    <row r="26" spans="1:17" x14ac:dyDescent="0.15">
      <c r="A26" s="45" t="s">
        <v>17</v>
      </c>
      <c r="B26" s="26"/>
      <c r="C26" s="26"/>
      <c r="D26" s="156"/>
      <c r="E26" s="120"/>
      <c r="F26" s="49">
        <f ca="1">$E22*(F109*F35*F108)/1000</f>
        <v>6.7354502450597575</v>
      </c>
      <c r="G26" s="470"/>
      <c r="H26" s="470"/>
      <c r="I26" s="470"/>
      <c r="J26" s="470"/>
      <c r="K26" s="470"/>
      <c r="L26" s="470"/>
      <c r="M26" s="470"/>
      <c r="N26" s="470"/>
      <c r="O26" s="470"/>
      <c r="Q26" s="399"/>
    </row>
    <row r="27" spans="1:17" x14ac:dyDescent="0.15">
      <c r="A27" s="48" t="s">
        <v>362</v>
      </c>
      <c r="B27" s="26"/>
      <c r="C27" s="26"/>
      <c r="D27" s="156"/>
      <c r="E27" s="120"/>
      <c r="F27" s="212">
        <v>100</v>
      </c>
      <c r="G27" s="470"/>
      <c r="H27" s="470"/>
      <c r="I27" s="470"/>
      <c r="J27" s="470"/>
      <c r="K27" s="470"/>
      <c r="L27" s="470"/>
      <c r="M27" s="470"/>
      <c r="N27" s="470"/>
      <c r="O27" s="470"/>
      <c r="Q27" s="399"/>
    </row>
    <row r="28" spans="1:17" x14ac:dyDescent="0.15">
      <c r="A28" s="48" t="s">
        <v>363</v>
      </c>
      <c r="B28" s="26"/>
      <c r="C28" s="26"/>
      <c r="D28" s="156"/>
      <c r="E28" s="120"/>
      <c r="F28" s="50">
        <f t="shared" ref="F28" si="5">30+F27+20</f>
        <v>150</v>
      </c>
      <c r="G28" s="470"/>
      <c r="H28" s="470"/>
      <c r="I28" s="470"/>
      <c r="J28" s="470"/>
      <c r="K28" s="470"/>
      <c r="L28" s="470"/>
      <c r="M28" s="470"/>
      <c r="N28" s="470"/>
      <c r="O28" s="470"/>
      <c r="Q28" s="399"/>
    </row>
    <row r="29" spans="1:17" x14ac:dyDescent="0.15">
      <c r="A29" s="48" t="s">
        <v>361</v>
      </c>
      <c r="B29" s="26"/>
      <c r="C29" s="26"/>
      <c r="D29" s="156"/>
      <c r="E29" s="120"/>
      <c r="F29" s="49">
        <f t="shared" ref="F29" si="6">(30*1.4+F27*2.7+20*0.9)/F28</f>
        <v>2.2000000000000002</v>
      </c>
      <c r="G29" s="470"/>
      <c r="H29" s="470"/>
      <c r="I29" s="470"/>
      <c r="J29" s="470"/>
      <c r="K29" s="470"/>
      <c r="L29" s="470"/>
      <c r="M29" s="470"/>
      <c r="N29" s="470"/>
      <c r="O29" s="470"/>
      <c r="Q29" s="399"/>
    </row>
    <row r="30" spans="1:17" x14ac:dyDescent="0.15">
      <c r="A30" s="45" t="s">
        <v>360</v>
      </c>
      <c r="B30" s="26"/>
      <c r="C30" s="26"/>
      <c r="D30" s="156"/>
      <c r="E30" s="120"/>
      <c r="F30" s="49">
        <f ca="1">(F110+2*F33+6)*(F111-6)*F28*2/1000*F29/1000</f>
        <v>186.3116506754574</v>
      </c>
      <c r="G30" s="470"/>
      <c r="H30" s="470"/>
      <c r="I30" s="470"/>
      <c r="J30" s="470"/>
      <c r="K30" s="470"/>
      <c r="L30" s="470"/>
      <c r="M30" s="470"/>
      <c r="N30" s="470"/>
      <c r="O30" s="470"/>
      <c r="Q30" s="399"/>
    </row>
    <row r="31" spans="1:17" x14ac:dyDescent="0.15">
      <c r="A31" s="48" t="s">
        <v>15</v>
      </c>
      <c r="B31" s="26"/>
      <c r="C31" s="26"/>
      <c r="D31" s="30"/>
      <c r="E31" s="34"/>
      <c r="F31" s="50">
        <f ca="1">F12+F19+F21*$D21*$E21+F22*$D22*$E22+F23*$D23*$E23+F24*$E24*1000+F25+F26+F30</f>
        <v>57028.243751065973</v>
      </c>
      <c r="G31" s="470"/>
      <c r="H31" s="470"/>
      <c r="I31" s="470"/>
      <c r="J31" s="470"/>
      <c r="K31" s="470"/>
      <c r="L31" s="470"/>
      <c r="M31" s="470"/>
      <c r="N31" s="470"/>
      <c r="O31" s="470"/>
      <c r="P31" s="399"/>
      <c r="Q31" s="399"/>
    </row>
    <row r="32" spans="1:17" x14ac:dyDescent="0.15">
      <c r="A32" s="48" t="s">
        <v>298</v>
      </c>
      <c r="B32" s="26"/>
      <c r="C32" s="26"/>
      <c r="D32" s="175"/>
      <c r="E32" s="34"/>
      <c r="F32" s="187">
        <f>'Flow and System'!C43</f>
        <v>1</v>
      </c>
      <c r="G32" s="470"/>
      <c r="H32" s="470"/>
      <c r="I32" s="470"/>
      <c r="J32" s="470"/>
      <c r="K32" s="470"/>
      <c r="L32" s="470"/>
      <c r="M32" s="470"/>
      <c r="N32" s="470"/>
      <c r="O32" s="470"/>
      <c r="P32" s="399"/>
      <c r="Q32" s="399"/>
    </row>
    <row r="33" spans="1:17" x14ac:dyDescent="0.15">
      <c r="A33" s="48" t="s">
        <v>235</v>
      </c>
      <c r="B33" s="26"/>
      <c r="C33" s="26"/>
      <c r="D33" s="175"/>
      <c r="F33" s="186">
        <f ca="1">F112</f>
        <v>535.97020508771254</v>
      </c>
      <c r="G33" s="470"/>
      <c r="H33" s="470"/>
      <c r="I33" s="470"/>
      <c r="J33" s="470"/>
      <c r="K33" s="470"/>
      <c r="L33" s="470"/>
      <c r="M33" s="470"/>
      <c r="N33" s="470"/>
      <c r="O33" s="470"/>
      <c r="P33" s="399"/>
      <c r="Q33" s="399"/>
    </row>
    <row r="34" spans="1:17" x14ac:dyDescent="0.15">
      <c r="A34" s="48" t="s">
        <v>351</v>
      </c>
      <c r="B34" s="26"/>
      <c r="C34" s="26"/>
      <c r="D34" s="175"/>
      <c r="F34" s="186">
        <v>0</v>
      </c>
      <c r="G34" s="470"/>
      <c r="H34" s="470"/>
      <c r="I34" s="470"/>
      <c r="J34" s="470"/>
      <c r="K34" s="470"/>
      <c r="L34" s="470"/>
      <c r="M34" s="470"/>
      <c r="N34" s="470"/>
      <c r="O34" s="470"/>
      <c r="P34" s="399"/>
      <c r="Q34" s="399"/>
    </row>
    <row r="35" spans="1:17" x14ac:dyDescent="0.15">
      <c r="A35" s="48" t="s">
        <v>297</v>
      </c>
      <c r="C35" s="4"/>
      <c r="F35" s="188">
        <v>1</v>
      </c>
      <c r="G35" s="470"/>
      <c r="H35" s="470"/>
      <c r="I35" s="470"/>
      <c r="J35" s="470"/>
      <c r="K35" s="470"/>
      <c r="L35" s="470"/>
      <c r="M35" s="470"/>
      <c r="N35" s="470"/>
      <c r="O35" s="470"/>
    </row>
    <row r="36" spans="1:17" x14ac:dyDescent="0.15">
      <c r="A36" s="48" t="s">
        <v>306</v>
      </c>
      <c r="C36" s="4"/>
      <c r="F36" s="192">
        <v>0</v>
      </c>
      <c r="G36" s="470"/>
      <c r="H36" s="470"/>
      <c r="I36" s="470"/>
      <c r="J36" s="470"/>
      <c r="K36" s="470"/>
      <c r="L36" s="470"/>
      <c r="M36" s="470"/>
      <c r="N36" s="470"/>
      <c r="O36" s="470"/>
      <c r="P36" s="399"/>
    </row>
    <row r="37" spans="1:17" ht="14" x14ac:dyDescent="0.15">
      <c r="A37" s="306" t="s">
        <v>13</v>
      </c>
      <c r="B37" s="304"/>
      <c r="C37" s="304"/>
      <c r="D37" s="30"/>
      <c r="E37" s="34"/>
      <c r="F37" s="42"/>
      <c r="G37" s="470"/>
      <c r="H37" s="470"/>
      <c r="I37" s="470"/>
      <c r="J37" s="470"/>
      <c r="K37" s="470"/>
      <c r="L37" s="470"/>
      <c r="M37" s="470"/>
      <c r="N37" s="470"/>
      <c r="O37" s="470"/>
    </row>
    <row r="38" spans="1:17" x14ac:dyDescent="0.15">
      <c r="A38" t="s">
        <v>9</v>
      </c>
      <c r="E38" s="34"/>
      <c r="F38" s="104">
        <f>Chem!$E7</f>
        <v>1168</v>
      </c>
      <c r="G38" s="470"/>
      <c r="H38" s="470"/>
      <c r="I38" s="470"/>
      <c r="J38" s="470"/>
      <c r="K38" s="470"/>
      <c r="L38" s="470"/>
      <c r="M38" s="470"/>
      <c r="N38" s="470"/>
      <c r="O38" s="470"/>
    </row>
    <row r="39" spans="1:17" ht="15" x14ac:dyDescent="0.15">
      <c r="A39" s="22" t="s">
        <v>10</v>
      </c>
      <c r="B39" s="17"/>
      <c r="C39" s="17"/>
      <c r="E39" s="34"/>
      <c r="F39" s="21">
        <f>F38/1000*$D6/100*$E11</f>
        <v>1.6188480000000001</v>
      </c>
      <c r="G39" s="470"/>
      <c r="H39" s="470"/>
      <c r="I39" s="470"/>
      <c r="J39" s="470"/>
      <c r="K39" s="470"/>
      <c r="L39" s="470"/>
      <c r="M39" s="470"/>
      <c r="N39" s="470"/>
      <c r="O39" s="470"/>
    </row>
    <row r="40" spans="1:17" x14ac:dyDescent="0.15">
      <c r="A40" t="s">
        <v>11</v>
      </c>
      <c r="B40" s="26"/>
      <c r="C40" s="26"/>
      <c r="E40" s="26"/>
      <c r="F40" s="109">
        <f>Chem!$E25</f>
        <v>827</v>
      </c>
      <c r="G40" s="470"/>
      <c r="H40" s="470"/>
      <c r="I40" s="470"/>
      <c r="J40" s="470"/>
      <c r="K40" s="470"/>
      <c r="L40" s="470"/>
      <c r="M40" s="470"/>
      <c r="N40" s="470"/>
      <c r="O40" s="470"/>
    </row>
    <row r="41" spans="1:17" ht="15" x14ac:dyDescent="0.15">
      <c r="A41" s="22" t="s">
        <v>12</v>
      </c>
      <c r="B41" s="26"/>
      <c r="C41" s="26"/>
      <c r="E41" s="26"/>
      <c r="F41" s="29">
        <f t="shared" ref="F41" si="7">F40/1000*$D15/100*$E19</f>
        <v>6.5002199999999988</v>
      </c>
      <c r="G41" s="470"/>
      <c r="H41" s="470"/>
      <c r="I41" s="470"/>
      <c r="J41" s="470"/>
      <c r="K41" s="470"/>
      <c r="L41" s="470"/>
      <c r="M41" s="470"/>
      <c r="N41" s="470"/>
      <c r="O41" s="470"/>
    </row>
    <row r="42" spans="1:17" x14ac:dyDescent="0.15">
      <c r="A42" s="28" t="s">
        <v>153</v>
      </c>
      <c r="B42" s="26"/>
      <c r="C42" s="26"/>
      <c r="E42" s="26"/>
      <c r="F42" s="110">
        <f>Chem!$E24</f>
        <v>1.5</v>
      </c>
      <c r="G42" s="470"/>
      <c r="H42" s="470"/>
      <c r="I42" s="470"/>
      <c r="J42" s="470"/>
      <c r="K42" s="470"/>
      <c r="L42" s="470"/>
      <c r="M42" s="470"/>
      <c r="N42" s="470"/>
      <c r="O42" s="470"/>
    </row>
    <row r="43" spans="1:17" ht="14" x14ac:dyDescent="0.15">
      <c r="A43" s="305" t="s">
        <v>14</v>
      </c>
      <c r="B43" s="304"/>
      <c r="C43" s="304"/>
      <c r="D43" s="308"/>
      <c r="E43" s="17"/>
      <c r="F43" s="28"/>
      <c r="G43" s="470"/>
      <c r="H43" s="470"/>
      <c r="I43" s="470"/>
      <c r="J43" s="470"/>
      <c r="K43" s="470"/>
      <c r="L43" s="470"/>
      <c r="M43" s="470"/>
      <c r="N43" s="470"/>
      <c r="O43" s="470"/>
    </row>
    <row r="44" spans="1:17" x14ac:dyDescent="0.15">
      <c r="A44" t="s">
        <v>379</v>
      </c>
      <c r="E44" s="3"/>
      <c r="F44" s="104">
        <f>Chem!$E48</f>
        <v>1.05</v>
      </c>
      <c r="G44" s="470"/>
      <c r="H44" s="470"/>
      <c r="I44" s="470"/>
      <c r="J44" s="470"/>
      <c r="K44" s="470"/>
      <c r="L44" s="470"/>
      <c r="M44" s="470"/>
      <c r="N44" s="470"/>
      <c r="O44" s="470"/>
    </row>
    <row r="45" spans="1:17" x14ac:dyDescent="0.15">
      <c r="A45" s="22" t="s">
        <v>234</v>
      </c>
      <c r="B45" s="17"/>
      <c r="C45" s="17"/>
      <c r="D45" s="17"/>
      <c r="E45" s="17"/>
      <c r="F45" s="173">
        <f>Chem!$E49</f>
        <v>1.36</v>
      </c>
      <c r="G45" s="470"/>
      <c r="H45" s="470"/>
      <c r="I45" s="470"/>
      <c r="J45" s="470"/>
      <c r="K45" s="470"/>
      <c r="L45" s="470"/>
      <c r="M45" s="470"/>
      <c r="N45" s="470"/>
      <c r="O45" s="470"/>
    </row>
    <row r="46" spans="1:17" ht="15" x14ac:dyDescent="0.15">
      <c r="A46" s="23" t="s">
        <v>1</v>
      </c>
      <c r="E46" s="6"/>
      <c r="F46" s="112">
        <f>Chem!$E$62</f>
        <v>58.52000000000001</v>
      </c>
      <c r="G46" s="470"/>
      <c r="H46" s="470"/>
      <c r="I46" s="470"/>
      <c r="J46" s="470"/>
      <c r="K46" s="470"/>
      <c r="L46" s="470"/>
      <c r="M46" s="470"/>
      <c r="N46" s="470"/>
      <c r="O46" s="470"/>
    </row>
    <row r="47" spans="1:17" x14ac:dyDescent="0.15">
      <c r="A47" s="23" t="s">
        <v>117</v>
      </c>
      <c r="B47" s="3"/>
      <c r="C47" s="7"/>
      <c r="D47" s="3"/>
      <c r="E47" s="3"/>
      <c r="F47" s="102">
        <v>0</v>
      </c>
      <c r="G47" s="470"/>
      <c r="H47" s="470"/>
      <c r="I47" s="470"/>
      <c r="J47" s="470"/>
      <c r="K47" s="470"/>
      <c r="L47" s="470"/>
      <c r="M47" s="470"/>
      <c r="N47" s="470"/>
      <c r="O47" s="470"/>
      <c r="P47" s="399"/>
    </row>
    <row r="48" spans="1:17" x14ac:dyDescent="0.15">
      <c r="A48" s="148" t="s">
        <v>438</v>
      </c>
      <c r="B48" s="3"/>
      <c r="C48" s="7"/>
      <c r="D48" s="3"/>
      <c r="E48" s="3"/>
      <c r="F48" s="104">
        <f>Chem!$E$63</f>
        <v>1000</v>
      </c>
      <c r="G48" s="470"/>
      <c r="H48" s="470"/>
      <c r="I48" s="470"/>
      <c r="J48" s="470"/>
      <c r="K48" s="470"/>
      <c r="L48" s="470"/>
      <c r="M48" s="470"/>
      <c r="N48" s="470"/>
      <c r="O48" s="470"/>
    </row>
    <row r="49" spans="1:20" x14ac:dyDescent="0.15">
      <c r="A49" s="48" t="s">
        <v>311</v>
      </c>
      <c r="B49" s="7"/>
      <c r="C49" s="194"/>
      <c r="D49" s="7"/>
      <c r="E49" s="7"/>
      <c r="F49" s="140">
        <v>0.01</v>
      </c>
      <c r="G49" s="470"/>
      <c r="H49" s="470"/>
      <c r="I49" s="470"/>
      <c r="J49" s="470"/>
      <c r="K49" s="470"/>
      <c r="L49" s="470"/>
      <c r="M49" s="470"/>
      <c r="N49" s="470"/>
      <c r="O49" s="470"/>
    </row>
    <row r="50" spans="1:20" ht="15" x14ac:dyDescent="0.15">
      <c r="A50" s="23" t="s">
        <v>312</v>
      </c>
      <c r="B50" s="7"/>
      <c r="C50" s="194"/>
      <c r="D50" s="7"/>
      <c r="E50" s="7"/>
      <c r="F50" s="140">
        <v>0.05</v>
      </c>
      <c r="G50" s="470"/>
      <c r="H50" s="470"/>
      <c r="I50" s="470"/>
      <c r="J50" s="470"/>
      <c r="K50" s="470"/>
      <c r="L50" s="470"/>
      <c r="M50" s="470"/>
      <c r="N50" s="470"/>
      <c r="O50" s="470"/>
    </row>
    <row r="51" spans="1:20" x14ac:dyDescent="0.15">
      <c r="A51" s="23" t="s">
        <v>281</v>
      </c>
      <c r="B51" s="3"/>
      <c r="C51" s="7"/>
      <c r="D51" s="3"/>
      <c r="E51" s="3"/>
      <c r="F51" s="140">
        <v>95</v>
      </c>
      <c r="G51" s="470"/>
      <c r="H51" s="470"/>
      <c r="I51" s="470"/>
      <c r="J51" s="470"/>
      <c r="K51" s="470"/>
      <c r="L51" s="470"/>
      <c r="M51" s="470"/>
      <c r="N51" s="470"/>
      <c r="O51" s="470"/>
    </row>
    <row r="52" spans="1:20" x14ac:dyDescent="0.15">
      <c r="A52" t="s">
        <v>283</v>
      </c>
      <c r="E52" s="136"/>
      <c r="F52" s="6">
        <f ca="1">'Iterative I-V'!C143*100</f>
        <v>81.832455173418808</v>
      </c>
      <c r="G52" s="470"/>
      <c r="H52" s="470"/>
      <c r="I52" s="470"/>
      <c r="J52" s="470"/>
      <c r="K52" s="470"/>
      <c r="L52" s="470"/>
      <c r="M52" s="470"/>
      <c r="N52" s="470"/>
      <c r="O52" s="470"/>
      <c r="P52" s="448"/>
    </row>
    <row r="53" spans="1:20" ht="16" x14ac:dyDescent="0.2">
      <c r="A53" s="18" t="s">
        <v>18</v>
      </c>
      <c r="B53" s="19"/>
      <c r="C53" s="19"/>
      <c r="F53" s="39"/>
      <c r="G53" s="470"/>
      <c r="H53" s="470"/>
      <c r="I53" s="470"/>
      <c r="J53" s="470"/>
      <c r="K53" s="470"/>
      <c r="L53" s="470"/>
      <c r="M53" s="470"/>
      <c r="N53" s="470"/>
      <c r="O53" s="470"/>
    </row>
    <row r="54" spans="1:20" s="7" customFormat="1" ht="16" x14ac:dyDescent="0.2">
      <c r="A54" s="19" t="s">
        <v>880</v>
      </c>
      <c r="B54" s="19"/>
      <c r="C54" s="19"/>
      <c r="D54"/>
      <c r="E54"/>
      <c r="F54" s="260" t="s">
        <v>878</v>
      </c>
      <c r="G54" s="470"/>
      <c r="H54" s="470"/>
      <c r="I54" s="470"/>
      <c r="J54" s="470"/>
      <c r="K54" s="470"/>
      <c r="L54" s="470"/>
      <c r="M54" s="470"/>
      <c r="N54" s="470"/>
      <c r="O54" s="470"/>
      <c r="P54" s="223"/>
      <c r="Q54" s="223"/>
      <c r="R54" s="223"/>
      <c r="S54" s="223"/>
      <c r="T54" s="223"/>
    </row>
    <row r="55" spans="1:20" s="7" customFormat="1" x14ac:dyDescent="0.15">
      <c r="A55" s="240" t="s">
        <v>498</v>
      </c>
      <c r="D55" s="240"/>
      <c r="E55" s="239"/>
      <c r="F55" s="256" t="s">
        <v>879</v>
      </c>
      <c r="G55" s="470"/>
      <c r="H55" s="470"/>
      <c r="I55" s="470"/>
      <c r="J55" s="470"/>
      <c r="K55" s="470"/>
      <c r="L55" s="470"/>
      <c r="M55" s="470"/>
      <c r="N55" s="470"/>
      <c r="O55" s="470"/>
      <c r="P55" s="223"/>
      <c r="Q55" s="223"/>
      <c r="R55" s="223"/>
      <c r="S55" s="223"/>
      <c r="T55" s="223"/>
    </row>
    <row r="56" spans="1:20" x14ac:dyDescent="0.15">
      <c r="A56" s="23" t="s">
        <v>252</v>
      </c>
      <c r="B56" s="7"/>
      <c r="C56" s="7"/>
      <c r="D56" s="240"/>
      <c r="E56" s="7"/>
      <c r="F56" s="152">
        <f t="shared" ref="F56" si="8">IF(F54="microHEV",2,10)</f>
        <v>10</v>
      </c>
      <c r="G56" s="470"/>
      <c r="H56" s="470"/>
      <c r="I56" s="470"/>
      <c r="J56" s="470"/>
      <c r="K56" s="470"/>
      <c r="L56" s="470"/>
      <c r="M56" s="470"/>
      <c r="N56" s="470"/>
      <c r="O56" s="470"/>
    </row>
    <row r="57" spans="1:20" x14ac:dyDescent="0.15">
      <c r="A57" t="s">
        <v>469</v>
      </c>
      <c r="F57" s="242">
        <f>'Iterative I-V'!C4</f>
        <v>6.18</v>
      </c>
      <c r="G57" s="470"/>
      <c r="H57" s="470"/>
      <c r="I57" s="470"/>
      <c r="J57" s="470"/>
      <c r="K57" s="470"/>
      <c r="L57" s="470"/>
      <c r="M57" s="470"/>
      <c r="N57" s="470"/>
      <c r="O57" s="470"/>
      <c r="P57" s="399"/>
    </row>
    <row r="58" spans="1:20" x14ac:dyDescent="0.15">
      <c r="A58" t="s">
        <v>261</v>
      </c>
      <c r="F58" s="140">
        <f>'Iterative I-V'!C6/'Battery Design'!F62</f>
        <v>5</v>
      </c>
      <c r="G58" s="470"/>
      <c r="H58" s="470"/>
      <c r="I58" s="470"/>
      <c r="J58" s="470"/>
      <c r="K58" s="470"/>
      <c r="L58" s="470"/>
      <c r="M58" s="470"/>
      <c r="N58" s="470"/>
      <c r="O58" s="470"/>
      <c r="P58" s="399"/>
    </row>
    <row r="59" spans="1:20" x14ac:dyDescent="0.15">
      <c r="A59" t="s">
        <v>378</v>
      </c>
      <c r="F59" s="140">
        <v>1</v>
      </c>
      <c r="G59" s="470"/>
      <c r="H59" s="470"/>
      <c r="I59" s="470"/>
      <c r="J59" s="470"/>
      <c r="K59" s="470"/>
      <c r="L59" s="470"/>
      <c r="M59" s="470"/>
      <c r="N59" s="470"/>
      <c r="O59" s="470"/>
    </row>
    <row r="60" spans="1:20" x14ac:dyDescent="0.15">
      <c r="A60" t="s">
        <v>262</v>
      </c>
      <c r="F60" s="176">
        <v>1</v>
      </c>
      <c r="G60" s="470"/>
      <c r="H60" s="470"/>
      <c r="I60" s="470"/>
      <c r="J60" s="470"/>
      <c r="K60" s="470"/>
      <c r="L60" s="470"/>
      <c r="M60" s="470"/>
      <c r="N60" s="470"/>
      <c r="O60" s="470"/>
    </row>
    <row r="61" spans="1:20" x14ac:dyDescent="0.15">
      <c r="A61" s="154" t="s">
        <v>465</v>
      </c>
      <c r="F61" s="176">
        <v>1</v>
      </c>
      <c r="G61" s="470"/>
      <c r="H61" s="470"/>
      <c r="I61" s="470"/>
      <c r="J61" s="470"/>
      <c r="K61" s="470"/>
      <c r="L61" s="470"/>
      <c r="M61" s="470"/>
      <c r="N61" s="470"/>
      <c r="O61" s="470"/>
    </row>
    <row r="62" spans="1:20" x14ac:dyDescent="0.15">
      <c r="A62" t="s">
        <v>466</v>
      </c>
      <c r="F62" s="182">
        <f t="shared" ref="F62" si="9">F60*F61</f>
        <v>1</v>
      </c>
      <c r="G62" s="470"/>
      <c r="H62" s="470"/>
      <c r="I62" s="470"/>
      <c r="J62" s="470"/>
      <c r="K62" s="470"/>
      <c r="L62" s="470"/>
      <c r="M62" s="470"/>
      <c r="N62" s="470"/>
      <c r="O62" s="470"/>
    </row>
    <row r="63" spans="1:20" x14ac:dyDescent="0.15">
      <c r="A63" s="240" t="s">
        <v>447</v>
      </c>
      <c r="F63" s="242">
        <v>1</v>
      </c>
      <c r="G63" s="470"/>
      <c r="H63" s="470"/>
      <c r="I63" s="470"/>
      <c r="J63" s="470"/>
      <c r="K63" s="470"/>
      <c r="L63" s="470"/>
      <c r="M63" s="470"/>
      <c r="N63" s="470"/>
      <c r="O63" s="470"/>
    </row>
    <row r="64" spans="1:20" x14ac:dyDescent="0.15">
      <c r="A64" s="240" t="s">
        <v>490</v>
      </c>
      <c r="F64" s="242">
        <v>1</v>
      </c>
      <c r="G64" s="470"/>
      <c r="H64" s="470"/>
      <c r="I64" s="470"/>
      <c r="J64" s="470"/>
      <c r="K64" s="470"/>
      <c r="L64" s="470"/>
      <c r="M64" s="470"/>
      <c r="N64" s="470"/>
      <c r="O64" s="470"/>
    </row>
    <row r="65" spans="1:20" x14ac:dyDescent="0.15">
      <c r="A65" s="240" t="s">
        <v>538</v>
      </c>
      <c r="F65" s="242"/>
      <c r="G65" s="470"/>
      <c r="H65" s="470"/>
      <c r="I65" s="470"/>
      <c r="J65" s="470"/>
      <c r="K65" s="470"/>
      <c r="L65" s="470"/>
      <c r="M65" s="470"/>
      <c r="N65" s="470"/>
      <c r="O65" s="470"/>
    </row>
    <row r="66" spans="1:20" x14ac:dyDescent="0.15">
      <c r="A66" t="s">
        <v>467</v>
      </c>
      <c r="F66" s="133">
        <f t="shared" ref="F66" si="10">F62*F58</f>
        <v>5</v>
      </c>
      <c r="G66" s="470"/>
      <c r="H66" s="470"/>
      <c r="I66" s="470"/>
      <c r="J66" s="470"/>
      <c r="K66" s="470"/>
      <c r="L66" s="470"/>
      <c r="M66" s="470"/>
      <c r="N66" s="470"/>
      <c r="O66" s="470"/>
    </row>
    <row r="67" spans="1:20" x14ac:dyDescent="0.15">
      <c r="A67" t="s">
        <v>468</v>
      </c>
      <c r="F67" s="133">
        <f t="shared" ref="F67" si="11">F66*F64</f>
        <v>5</v>
      </c>
      <c r="G67" s="470"/>
      <c r="H67" s="470"/>
      <c r="I67" s="470"/>
      <c r="J67" s="470"/>
      <c r="K67" s="470"/>
      <c r="L67" s="470"/>
      <c r="M67" s="470"/>
      <c r="N67" s="470"/>
      <c r="O67" s="470"/>
    </row>
    <row r="68" spans="1:20" x14ac:dyDescent="0.15">
      <c r="A68" t="s">
        <v>420</v>
      </c>
      <c r="F68" s="140">
        <v>0.03</v>
      </c>
      <c r="G68" s="470"/>
      <c r="H68" s="470"/>
      <c r="I68" s="470"/>
      <c r="J68" s="470"/>
      <c r="K68" s="470"/>
      <c r="L68" s="470"/>
      <c r="M68" s="470"/>
      <c r="N68" s="470"/>
      <c r="O68" s="470"/>
    </row>
    <row r="69" spans="1:20" x14ac:dyDescent="0.15">
      <c r="A69" t="s">
        <v>263</v>
      </c>
      <c r="F69" s="176">
        <v>0</v>
      </c>
      <c r="G69" s="470"/>
      <c r="H69" s="470"/>
      <c r="I69" s="470"/>
      <c r="J69" s="470"/>
      <c r="K69" s="470"/>
      <c r="L69" s="470"/>
      <c r="M69" s="470"/>
      <c r="N69" s="470"/>
      <c r="O69" s="470"/>
    </row>
    <row r="70" spans="1:20" x14ac:dyDescent="0.15">
      <c r="A70" t="s">
        <v>264</v>
      </c>
      <c r="F70" s="137">
        <v>0</v>
      </c>
      <c r="G70" s="470"/>
      <c r="H70" s="470"/>
      <c r="I70" s="470"/>
      <c r="J70" s="470"/>
      <c r="K70" s="470"/>
      <c r="L70" s="470"/>
      <c r="M70" s="470"/>
      <c r="N70" s="470"/>
      <c r="O70" s="470"/>
    </row>
    <row r="71" spans="1:20" ht="14" thickBot="1" x14ac:dyDescent="0.2">
      <c r="A71" s="58" t="s">
        <v>22</v>
      </c>
      <c r="B71" s="58"/>
      <c r="C71" s="58"/>
      <c r="D71" s="58"/>
      <c r="F71" s="233">
        <v>100000</v>
      </c>
      <c r="G71" s="470"/>
      <c r="H71" s="470"/>
      <c r="I71" s="470"/>
      <c r="J71" s="470"/>
      <c r="K71" s="470"/>
      <c r="L71" s="470"/>
      <c r="M71" s="470"/>
      <c r="N71" s="470"/>
      <c r="O71" s="470"/>
    </row>
    <row r="72" spans="1:20" x14ac:dyDescent="0.15">
      <c r="A72" s="143" t="s">
        <v>178</v>
      </c>
      <c r="B72" s="144"/>
      <c r="C72" s="144"/>
      <c r="D72" s="114"/>
      <c r="E72" s="241"/>
      <c r="F72" s="136">
        <f>F139</f>
        <v>6.8000000000000007</v>
      </c>
      <c r="G72" s="470"/>
      <c r="H72" s="470"/>
      <c r="I72" s="470"/>
      <c r="J72" s="470"/>
      <c r="K72" s="470"/>
      <c r="L72" s="470"/>
      <c r="M72" s="470"/>
      <c r="N72" s="470"/>
      <c r="O72" s="470"/>
    </row>
    <row r="73" spans="1:20" ht="14" thickBot="1" x14ac:dyDescent="0.2">
      <c r="A73" s="141" t="s">
        <v>179</v>
      </c>
      <c r="B73" s="116"/>
      <c r="C73" s="116"/>
      <c r="D73" s="145"/>
      <c r="E73" s="142"/>
      <c r="G73" s="470"/>
      <c r="H73" s="470"/>
      <c r="I73" s="470"/>
      <c r="J73" s="470"/>
      <c r="K73" s="470"/>
      <c r="L73" s="470"/>
      <c r="M73" s="470"/>
      <c r="N73" s="470"/>
      <c r="O73" s="470"/>
    </row>
    <row r="74" spans="1:20" ht="16" x14ac:dyDescent="0.2">
      <c r="A74" s="18" t="s">
        <v>170</v>
      </c>
      <c r="F74" s="288"/>
      <c r="G74" s="470"/>
      <c r="H74" s="470"/>
      <c r="I74" s="470"/>
      <c r="J74" s="470"/>
      <c r="K74" s="470"/>
      <c r="L74" s="470"/>
      <c r="M74" s="470"/>
      <c r="N74" s="470"/>
      <c r="O74" s="470"/>
    </row>
    <row r="75" spans="1:20" ht="14" x14ac:dyDescent="0.15">
      <c r="A75" s="246" t="s">
        <v>180</v>
      </c>
      <c r="D75" s="251"/>
      <c r="E75" s="301"/>
      <c r="F75" s="252"/>
      <c r="G75" s="470"/>
      <c r="H75" s="470"/>
      <c r="I75" s="470"/>
      <c r="J75" s="470"/>
      <c r="K75" s="470"/>
      <c r="L75" s="470"/>
      <c r="M75" s="470"/>
      <c r="N75" s="470"/>
      <c r="O75" s="470"/>
      <c r="P75" s="299"/>
      <c r="Q75" s="299"/>
      <c r="R75" s="299"/>
      <c r="S75" s="299"/>
      <c r="T75" s="299"/>
    </row>
    <row r="76" spans="1:20" x14ac:dyDescent="0.15">
      <c r="A76" s="240" t="s">
        <v>500</v>
      </c>
      <c r="F76" s="103">
        <f ca="1">'Iterative I-V'!C18*F59</f>
        <v>34894.480897858928</v>
      </c>
      <c r="G76" s="470"/>
      <c r="H76" s="470"/>
      <c r="I76" s="470"/>
      <c r="J76" s="470"/>
      <c r="K76" s="470"/>
      <c r="L76" s="470"/>
      <c r="M76" s="470"/>
      <c r="N76" s="470"/>
      <c r="O76" s="470"/>
      <c r="P76" s="399"/>
      <c r="Q76" s="238"/>
      <c r="R76" s="238"/>
      <c r="S76" s="238"/>
      <c r="T76" s="238"/>
    </row>
    <row r="77" spans="1:20" x14ac:dyDescent="0.15">
      <c r="A77" s="7" t="s">
        <v>380</v>
      </c>
      <c r="F77" s="103">
        <f t="shared" ref="F77" ca="1" si="12">F76/F59</f>
        <v>34894.480897858928</v>
      </c>
      <c r="G77" s="470"/>
      <c r="H77" s="470"/>
      <c r="I77" s="470"/>
      <c r="J77" s="470"/>
      <c r="K77" s="470"/>
      <c r="L77" s="470"/>
      <c r="M77" s="470"/>
      <c r="N77" s="470"/>
      <c r="O77" s="470"/>
      <c r="P77" s="261"/>
      <c r="Q77" s="261"/>
      <c r="R77" s="261"/>
      <c r="S77" s="261"/>
      <c r="T77" s="261"/>
    </row>
    <row r="78" spans="1:20" ht="14" x14ac:dyDescent="0.15">
      <c r="A78" s="246" t="s">
        <v>284</v>
      </c>
      <c r="G78" s="470"/>
      <c r="H78" s="470"/>
      <c r="I78" s="470"/>
      <c r="J78" s="470"/>
      <c r="K78" s="470"/>
      <c r="L78" s="470"/>
      <c r="M78" s="470"/>
      <c r="N78" s="470"/>
      <c r="O78" s="470"/>
      <c r="P78" s="300"/>
      <c r="Q78" s="300"/>
      <c r="R78" s="300"/>
      <c r="S78" s="300"/>
      <c r="T78" s="300"/>
    </row>
    <row r="79" spans="1:20" ht="15" x14ac:dyDescent="0.15">
      <c r="A79" s="7" t="s">
        <v>240</v>
      </c>
      <c r="F79" s="133">
        <f t="shared" ref="F79" si="13">IF(F56=10,85,150)</f>
        <v>85</v>
      </c>
      <c r="G79" s="470"/>
      <c r="H79" s="470"/>
      <c r="I79" s="470"/>
      <c r="J79" s="470"/>
      <c r="K79" s="470"/>
      <c r="L79" s="470"/>
      <c r="M79" s="470"/>
      <c r="N79" s="470"/>
      <c r="O79" s="470"/>
      <c r="P79" s="300"/>
      <c r="Q79" s="300"/>
      <c r="R79" s="300"/>
      <c r="S79" s="300"/>
      <c r="T79" s="300"/>
    </row>
    <row r="80" spans="1:20" x14ac:dyDescent="0.15">
      <c r="A80" s="7" t="s">
        <v>241</v>
      </c>
      <c r="F80" s="244">
        <f>Chem!$E$52*IF(F56=10,1,2)</f>
        <v>100</v>
      </c>
      <c r="G80" s="470"/>
      <c r="H80" s="470"/>
      <c r="I80" s="470"/>
      <c r="J80" s="470"/>
      <c r="K80" s="470"/>
      <c r="L80" s="470"/>
      <c r="M80" s="470"/>
      <c r="N80" s="470"/>
      <c r="O80" s="470"/>
      <c r="P80" s="300"/>
      <c r="Q80" s="300"/>
      <c r="R80" s="300"/>
      <c r="S80" s="300"/>
      <c r="T80" s="300"/>
    </row>
    <row r="81" spans="1:20" ht="15" x14ac:dyDescent="0.15">
      <c r="A81" s="240" t="s">
        <v>495</v>
      </c>
      <c r="C81" s="3"/>
      <c r="D81" s="7"/>
      <c r="E81" s="3"/>
      <c r="F81" s="102">
        <f ca="1">'Iterative I-V'!C141-F87</f>
        <v>78.768726360197931</v>
      </c>
      <c r="G81" s="470"/>
      <c r="H81" s="470"/>
      <c r="I81" s="470"/>
      <c r="J81" s="470"/>
      <c r="K81" s="470"/>
      <c r="L81" s="470"/>
      <c r="M81" s="470"/>
      <c r="N81" s="470"/>
      <c r="O81" s="470"/>
      <c r="P81" s="399"/>
      <c r="Q81" s="238"/>
      <c r="R81" s="238"/>
      <c r="S81" s="238"/>
      <c r="T81" s="238"/>
    </row>
    <row r="82" spans="1:20" x14ac:dyDescent="0.15">
      <c r="A82" s="7" t="s">
        <v>300</v>
      </c>
      <c r="B82" s="7"/>
      <c r="C82" s="7"/>
      <c r="D82" s="7"/>
      <c r="E82" s="7"/>
      <c r="F82" s="189">
        <f ca="1">IF($C22="Cu",1/(3.8*100000*$D21*0.0001/2)+1*SQRT(F21/F22)/(6*100000*$D22*0.0001/2),2/(3.8*100000*$D21*0.0001/2))</f>
        <v>1.95901556827386E-2</v>
      </c>
      <c r="G82" s="470"/>
      <c r="H82" s="470"/>
      <c r="I82" s="470"/>
      <c r="J82" s="470"/>
      <c r="K82" s="470"/>
      <c r="L82" s="470"/>
      <c r="M82" s="470"/>
      <c r="N82" s="470"/>
      <c r="O82" s="470"/>
      <c r="P82" s="399"/>
      <c r="Q82" s="135"/>
      <c r="R82" s="135"/>
      <c r="S82" s="135"/>
      <c r="T82" s="135"/>
    </row>
    <row r="83" spans="1:20" ht="15" x14ac:dyDescent="0.15">
      <c r="A83" s="7" t="s">
        <v>302</v>
      </c>
      <c r="B83" s="7"/>
      <c r="C83" s="7"/>
      <c r="D83" s="7"/>
      <c r="E83" s="7"/>
      <c r="F83" s="190">
        <f ca="1">F82*(F106^2/3+F106*F107)/100</f>
        <v>3.3576690658885626</v>
      </c>
      <c r="G83" s="470"/>
      <c r="H83" s="470"/>
      <c r="I83" s="470"/>
      <c r="J83" s="470"/>
      <c r="K83" s="470"/>
      <c r="L83" s="470"/>
      <c r="M83" s="470"/>
      <c r="N83" s="470"/>
      <c r="O83" s="470"/>
      <c r="P83" s="261"/>
      <c r="Q83" s="261"/>
      <c r="R83" s="261"/>
      <c r="S83" s="261"/>
      <c r="T83" s="261"/>
    </row>
    <row r="84" spans="1:20" ht="15" x14ac:dyDescent="0.15">
      <c r="A84" s="240" t="s">
        <v>476</v>
      </c>
      <c r="B84" s="7"/>
      <c r="C84" s="7"/>
      <c r="D84" s="7"/>
      <c r="E84" s="7"/>
      <c r="F84" s="14">
        <f ca="1">(10/3.8+10/IF($C22="Cu",6,3.8))/F35*F109/F108/100000*F102+F49/100*F44/F141*F102</f>
        <v>4.7721466829692734</v>
      </c>
      <c r="G84" s="470"/>
      <c r="H84" s="470"/>
      <c r="I84" s="470"/>
      <c r="J84" s="470"/>
      <c r="K84" s="470"/>
      <c r="L84" s="470"/>
      <c r="M84" s="470"/>
      <c r="N84" s="470"/>
      <c r="O84" s="470"/>
      <c r="P84" s="292"/>
      <c r="Q84" s="292"/>
      <c r="R84" s="292"/>
      <c r="S84" s="292"/>
      <c r="T84" s="292"/>
    </row>
    <row r="85" spans="1:20" x14ac:dyDescent="0.15">
      <c r="A85" s="240" t="s">
        <v>478</v>
      </c>
      <c r="B85" s="7"/>
      <c r="C85" s="7"/>
      <c r="D85" s="7"/>
      <c r="E85" s="7"/>
      <c r="F85" s="270">
        <f t="shared" ref="F85" ca="1" si="14">F121+F157+F158/(F62*F63^2)</f>
        <v>2.5920203884588837E-6</v>
      </c>
      <c r="G85" s="470"/>
      <c r="H85" s="470"/>
      <c r="I85" s="470"/>
      <c r="J85" s="470"/>
      <c r="K85" s="470"/>
      <c r="L85" s="470"/>
      <c r="M85" s="470"/>
      <c r="N85" s="470"/>
      <c r="O85" s="470"/>
      <c r="P85" s="297"/>
      <c r="Q85" s="297"/>
      <c r="R85" s="297"/>
      <c r="S85" s="297"/>
      <c r="T85" s="297"/>
    </row>
    <row r="86" spans="1:20" x14ac:dyDescent="0.15">
      <c r="A86" s="240" t="s">
        <v>477</v>
      </c>
      <c r="B86" s="7"/>
      <c r="C86" s="7"/>
      <c r="D86" s="7"/>
      <c r="E86" s="7"/>
      <c r="F86" s="270">
        <f t="shared" ref="F86" ca="1" si="15">F85/(F58*F59^2)</f>
        <v>5.1840407769177673E-7</v>
      </c>
      <c r="G86" s="470"/>
      <c r="H86" s="470"/>
      <c r="I86" s="470"/>
      <c r="J86" s="470"/>
      <c r="K86" s="470"/>
      <c r="L86" s="470"/>
      <c r="M86" s="470"/>
      <c r="N86" s="470"/>
      <c r="O86" s="470"/>
      <c r="P86" s="102"/>
      <c r="Q86" s="102"/>
      <c r="R86" s="102"/>
      <c r="S86" s="102"/>
      <c r="T86" s="102"/>
    </row>
    <row r="87" spans="1:20" ht="15" x14ac:dyDescent="0.15">
      <c r="A87" s="248" t="s">
        <v>522</v>
      </c>
      <c r="C87" s="6"/>
      <c r="D87" s="7"/>
      <c r="E87" s="39"/>
      <c r="F87" s="66">
        <f ca="1">F83+F84+F86*F102</f>
        <v>8.3217030737166606</v>
      </c>
      <c r="G87" s="470"/>
      <c r="H87" s="470"/>
      <c r="I87" s="470"/>
      <c r="J87" s="470"/>
      <c r="K87" s="470"/>
      <c r="L87" s="470"/>
      <c r="M87" s="470"/>
      <c r="N87" s="470"/>
      <c r="O87" s="470"/>
      <c r="P87" s="172"/>
      <c r="Q87" s="172"/>
      <c r="R87" s="172"/>
      <c r="S87" s="172"/>
      <c r="T87" s="172"/>
    </row>
    <row r="88" spans="1:20" ht="15" x14ac:dyDescent="0.15">
      <c r="A88" t="s">
        <v>299</v>
      </c>
      <c r="C88" s="6"/>
      <c r="F88" s="20">
        <f t="shared" ref="F88" ca="1" si="16">F81+F87</f>
        <v>87.090429433914593</v>
      </c>
      <c r="G88" s="470"/>
      <c r="H88" s="470"/>
      <c r="I88" s="470"/>
      <c r="J88" s="470"/>
      <c r="K88" s="470"/>
      <c r="L88" s="470"/>
      <c r="M88" s="470"/>
      <c r="N88" s="470"/>
      <c r="O88" s="470"/>
      <c r="P88" s="399"/>
      <c r="Q88" s="293"/>
      <c r="R88" s="293"/>
      <c r="S88" s="293"/>
      <c r="T88" s="293"/>
    </row>
    <row r="89" spans="1:20" ht="15" x14ac:dyDescent="0.15">
      <c r="A89" t="s">
        <v>861</v>
      </c>
      <c r="C89" s="4"/>
      <c r="F89" s="20">
        <f ca="1">F87+'Iterative I-V'!C142</f>
        <v>44.599320659993708</v>
      </c>
      <c r="G89" s="470"/>
      <c r="H89" s="470"/>
      <c r="I89" s="470"/>
      <c r="J89" s="470"/>
      <c r="K89" s="470"/>
      <c r="L89" s="470"/>
      <c r="M89" s="470"/>
      <c r="N89" s="470"/>
      <c r="O89" s="470"/>
      <c r="P89" s="399"/>
      <c r="Q89" s="238"/>
      <c r="R89" s="298"/>
      <c r="S89" s="298"/>
      <c r="T89" s="298"/>
    </row>
    <row r="90" spans="1:20" ht="14" x14ac:dyDescent="0.15">
      <c r="A90" s="246" t="s">
        <v>402</v>
      </c>
      <c r="F90" s="244"/>
      <c r="G90" s="470"/>
      <c r="H90" s="470"/>
      <c r="I90" s="470"/>
      <c r="J90" s="470"/>
      <c r="K90" s="470"/>
      <c r="L90" s="470"/>
      <c r="M90" s="470"/>
      <c r="N90" s="470"/>
      <c r="O90" s="470"/>
      <c r="P90" s="293"/>
      <c r="Q90" s="293"/>
      <c r="R90" s="293"/>
      <c r="S90" s="293"/>
      <c r="T90" s="293"/>
    </row>
    <row r="91" spans="1:20" x14ac:dyDescent="0.15">
      <c r="A91" s="240" t="s">
        <v>520</v>
      </c>
      <c r="F91" s="66">
        <f>F39*F42/F41</f>
        <v>0.37356766386368473</v>
      </c>
      <c r="G91" s="470"/>
      <c r="H91" s="470"/>
      <c r="I91" s="470"/>
      <c r="J91" s="470"/>
      <c r="K91" s="470"/>
      <c r="L91" s="470"/>
      <c r="M91" s="470"/>
      <c r="N91" s="470"/>
      <c r="O91" s="470"/>
      <c r="P91" s="135"/>
      <c r="Q91" s="135"/>
      <c r="R91" s="135"/>
      <c r="S91" s="135"/>
      <c r="T91" s="135"/>
    </row>
    <row r="92" spans="1:20" x14ac:dyDescent="0.15">
      <c r="A92" s="240" t="s">
        <v>482</v>
      </c>
      <c r="F92" s="6">
        <f>F48</f>
        <v>1000</v>
      </c>
      <c r="G92" s="470"/>
      <c r="H92" s="470"/>
      <c r="I92" s="470"/>
      <c r="J92" s="470"/>
      <c r="K92" s="470"/>
      <c r="L92" s="470"/>
      <c r="M92" s="470"/>
      <c r="N92" s="470"/>
      <c r="O92" s="470"/>
      <c r="P92" s="238"/>
      <c r="Q92" s="137"/>
      <c r="R92" s="137"/>
      <c r="S92" s="137"/>
      <c r="T92" s="137"/>
    </row>
    <row r="93" spans="1:20" x14ac:dyDescent="0.15">
      <c r="A93" s="240" t="s">
        <v>527</v>
      </c>
      <c r="F93" s="6">
        <f>F48*F91</f>
        <v>373.56766386368474</v>
      </c>
      <c r="G93" s="470"/>
      <c r="H93" s="470"/>
      <c r="I93" s="470"/>
      <c r="J93" s="470"/>
      <c r="K93" s="470"/>
      <c r="L93" s="470"/>
      <c r="M93" s="470"/>
      <c r="N93" s="470"/>
      <c r="O93" s="470"/>
      <c r="P93" s="238"/>
      <c r="Q93" s="294"/>
      <c r="R93" s="294"/>
      <c r="S93" s="294"/>
      <c r="T93" s="294"/>
    </row>
    <row r="94" spans="1:20" x14ac:dyDescent="0.15">
      <c r="A94" s="240" t="s">
        <v>528</v>
      </c>
      <c r="F94" s="6">
        <f t="shared" ref="F94" si="17">MAX(F92:F93)</f>
        <v>1000</v>
      </c>
      <c r="G94" s="470"/>
      <c r="H94" s="470"/>
      <c r="I94" s="470"/>
      <c r="J94" s="470"/>
      <c r="K94" s="470"/>
      <c r="L94" s="470"/>
      <c r="M94" s="470"/>
      <c r="N94" s="470"/>
      <c r="O94" s="470"/>
      <c r="P94" s="448"/>
      <c r="Q94" s="102"/>
      <c r="R94" s="102"/>
      <c r="S94" s="102"/>
      <c r="T94" s="102"/>
    </row>
    <row r="95" spans="1:20" x14ac:dyDescent="0.15">
      <c r="A95" t="s">
        <v>434</v>
      </c>
      <c r="F95" s="103">
        <f ca="1">F77/F39/F100*10000</f>
        <v>582.33486105722477</v>
      </c>
      <c r="G95" s="470"/>
      <c r="H95" s="470"/>
      <c r="I95" s="470"/>
      <c r="J95" s="470"/>
      <c r="K95" s="470"/>
      <c r="L95" s="470"/>
      <c r="M95" s="470"/>
      <c r="N95" s="470"/>
      <c r="O95" s="470"/>
      <c r="P95" s="448"/>
      <c r="Q95" s="295"/>
      <c r="R95" s="295"/>
      <c r="S95" s="295"/>
      <c r="T95" s="295"/>
    </row>
    <row r="96" spans="1:20" x14ac:dyDescent="0.15">
      <c r="A96" t="s">
        <v>435</v>
      </c>
      <c r="F96" s="103">
        <f ca="1">F42*F77/F41/F100*10000</f>
        <v>217.54147363153089</v>
      </c>
      <c r="G96" s="470"/>
      <c r="H96" s="470"/>
      <c r="I96" s="470"/>
      <c r="J96" s="470"/>
      <c r="K96" s="470"/>
      <c r="L96" s="470"/>
      <c r="M96" s="470"/>
      <c r="N96" s="470"/>
      <c r="O96" s="470"/>
      <c r="P96" s="448"/>
      <c r="Q96" s="102"/>
      <c r="R96" s="102"/>
      <c r="S96" s="102"/>
      <c r="T96" s="102"/>
    </row>
    <row r="97" spans="1:20" x14ac:dyDescent="0.15">
      <c r="A97" s="7" t="s">
        <v>286</v>
      </c>
      <c r="B97" s="7"/>
      <c r="C97" s="7"/>
      <c r="D97" s="7"/>
      <c r="F97" s="103">
        <f ca="1">'Iterative I-V'!C132</f>
        <v>517.74544554591682</v>
      </c>
      <c r="G97" s="470"/>
      <c r="H97" s="470"/>
      <c r="I97" s="470"/>
      <c r="J97" s="470"/>
      <c r="K97" s="470"/>
      <c r="L97" s="470"/>
      <c r="M97" s="470"/>
      <c r="N97" s="470"/>
      <c r="O97" s="470"/>
      <c r="P97" s="448"/>
      <c r="Q97" s="296"/>
      <c r="R97" s="296"/>
      <c r="S97" s="296"/>
      <c r="T97" s="296"/>
    </row>
    <row r="98" spans="1:20" x14ac:dyDescent="0.15">
      <c r="A98" s="7" t="s">
        <v>169</v>
      </c>
      <c r="B98" s="7"/>
      <c r="C98" s="7"/>
      <c r="D98" s="7"/>
      <c r="F98" s="103">
        <f ca="1">'Iterative I-V'!C133</f>
        <v>193.41295656865074</v>
      </c>
      <c r="G98" s="470"/>
      <c r="H98" s="470"/>
      <c r="I98" s="470"/>
      <c r="J98" s="470"/>
      <c r="K98" s="470"/>
      <c r="L98" s="470"/>
      <c r="M98" s="470"/>
      <c r="N98" s="470"/>
      <c r="O98" s="470"/>
      <c r="P98" s="448"/>
      <c r="Q98" s="102"/>
      <c r="R98" s="102"/>
      <c r="S98" s="102"/>
      <c r="T98" s="102"/>
    </row>
    <row r="99" spans="1:20" ht="15" x14ac:dyDescent="0.15">
      <c r="A99" s="246" t="s">
        <v>550</v>
      </c>
      <c r="F99" s="244"/>
      <c r="G99" s="470"/>
      <c r="H99" s="470"/>
      <c r="I99" s="470"/>
      <c r="J99" s="470"/>
      <c r="K99" s="470"/>
      <c r="L99" s="470"/>
      <c r="M99" s="470"/>
      <c r="N99" s="470"/>
      <c r="O99" s="470"/>
      <c r="P99" s="253"/>
      <c r="Q99" s="253"/>
      <c r="R99" s="253"/>
      <c r="S99" s="253"/>
      <c r="T99" s="253"/>
    </row>
    <row r="100" spans="1:20" x14ac:dyDescent="0.15">
      <c r="A100" t="s">
        <v>175</v>
      </c>
      <c r="F100" s="125">
        <f ca="1">'Iterative I-V'!C134</f>
        <v>416326.81276182359</v>
      </c>
      <c r="G100" s="470"/>
      <c r="H100" s="470"/>
      <c r="I100" s="470"/>
      <c r="J100" s="470"/>
      <c r="K100" s="470"/>
      <c r="L100" s="470"/>
      <c r="M100" s="470"/>
      <c r="N100" s="470"/>
      <c r="O100" s="470"/>
      <c r="P100" s="399"/>
      <c r="Q100" s="448"/>
      <c r="R100" s="253"/>
      <c r="S100" s="253"/>
      <c r="T100" s="253"/>
    </row>
    <row r="101" spans="1:20" x14ac:dyDescent="0.15">
      <c r="A101" t="s">
        <v>177</v>
      </c>
      <c r="F101" s="125">
        <f ca="1">F100*F95/F48</f>
        <v>242441.61666405376</v>
      </c>
      <c r="G101" s="470"/>
      <c r="H101" s="470"/>
      <c r="I101" s="470"/>
      <c r="J101" s="470"/>
      <c r="K101" s="470"/>
      <c r="L101" s="470"/>
      <c r="M101" s="470"/>
      <c r="N101" s="470"/>
      <c r="O101" s="470"/>
      <c r="P101" s="448"/>
      <c r="Q101" s="253"/>
      <c r="R101" s="253"/>
      <c r="S101" s="253"/>
      <c r="T101" s="253"/>
    </row>
    <row r="102" spans="1:20" ht="15" x14ac:dyDescent="0.15">
      <c r="A102" t="s">
        <v>285</v>
      </c>
      <c r="C102" s="4"/>
      <c r="F102" s="128">
        <f ca="1">MAX(F100:F101)</f>
        <v>416326.81276182359</v>
      </c>
      <c r="G102" s="470"/>
      <c r="H102" s="470"/>
      <c r="I102" s="470"/>
      <c r="J102" s="470"/>
      <c r="K102" s="470"/>
      <c r="L102" s="470"/>
      <c r="M102" s="470"/>
      <c r="N102" s="470"/>
      <c r="O102" s="470"/>
      <c r="P102" s="448"/>
      <c r="Q102" s="292"/>
      <c r="R102" s="292"/>
      <c r="S102" s="292"/>
      <c r="T102" s="292"/>
    </row>
    <row r="103" spans="1:20" ht="14" x14ac:dyDescent="0.15">
      <c r="A103" s="246" t="s">
        <v>236</v>
      </c>
      <c r="C103" s="4"/>
      <c r="F103" s="177"/>
      <c r="G103" s="470"/>
      <c r="H103" s="470"/>
      <c r="I103" s="470"/>
      <c r="J103" s="470"/>
      <c r="K103" s="470"/>
      <c r="L103" s="470"/>
      <c r="M103" s="470"/>
      <c r="N103" s="470"/>
      <c r="O103" s="470"/>
      <c r="P103" s="295"/>
      <c r="Q103" s="295"/>
      <c r="R103" s="295"/>
      <c r="S103" s="295"/>
      <c r="T103" s="295"/>
    </row>
    <row r="104" spans="1:20" x14ac:dyDescent="0.15">
      <c r="A104" s="48" t="s">
        <v>303</v>
      </c>
      <c r="E104" s="334"/>
      <c r="F104" s="30">
        <f ca="1">'Iterative I-V'!C136/2</f>
        <v>417</v>
      </c>
      <c r="G104" s="470"/>
      <c r="H104" s="470"/>
      <c r="I104" s="470"/>
      <c r="J104" s="470"/>
      <c r="K104" s="470"/>
      <c r="L104" s="470"/>
      <c r="M104" s="470"/>
      <c r="N104" s="470"/>
      <c r="O104" s="470"/>
      <c r="P104" s="399"/>
      <c r="Q104" s="405"/>
      <c r="R104" s="295"/>
      <c r="S104" s="295"/>
      <c r="T104" s="295"/>
    </row>
    <row r="105" spans="1:20" x14ac:dyDescent="0.15">
      <c r="A105" s="48" t="s">
        <v>341</v>
      </c>
      <c r="C105" s="4"/>
      <c r="F105" s="177">
        <f ca="1">'Flow and System'!C62*10</f>
        <v>228.32831163920875</v>
      </c>
      <c r="G105" s="470"/>
      <c r="H105" s="470"/>
      <c r="I105" s="470"/>
      <c r="J105" s="470"/>
      <c r="K105" s="470"/>
      <c r="L105" s="470"/>
      <c r="M105" s="470"/>
      <c r="N105" s="470"/>
      <c r="O105" s="470"/>
      <c r="P105" s="399"/>
      <c r="Q105" s="295"/>
      <c r="R105" s="295"/>
      <c r="S105" s="295"/>
      <c r="T105" s="295"/>
    </row>
    <row r="106" spans="1:20" x14ac:dyDescent="0.15">
      <c r="A106" s="48" t="s">
        <v>342</v>
      </c>
      <c r="C106" s="4"/>
      <c r="F106" s="177">
        <f ca="1">'Flow and System'!C63*10</f>
        <v>228.32831163920875</v>
      </c>
      <c r="G106" s="470"/>
      <c r="H106" s="470"/>
      <c r="I106" s="470"/>
      <c r="J106" s="470"/>
      <c r="K106" s="470"/>
      <c r="L106" s="470"/>
      <c r="M106" s="470"/>
      <c r="N106" s="470"/>
      <c r="O106" s="470"/>
      <c r="P106" s="399"/>
      <c r="Q106" s="295"/>
      <c r="R106" s="295"/>
      <c r="S106" s="295"/>
      <c r="T106" s="295"/>
    </row>
    <row r="107" spans="1:20" x14ac:dyDescent="0.15">
      <c r="A107" s="48" t="s">
        <v>301</v>
      </c>
      <c r="C107" s="4"/>
      <c r="F107" s="177">
        <f>'Flow and System'!C69+'Flow and System'!C68</f>
        <v>18</v>
      </c>
      <c r="G107" s="470"/>
      <c r="H107" s="470"/>
      <c r="I107" s="470"/>
      <c r="J107" s="470"/>
      <c r="K107" s="470"/>
      <c r="L107" s="470"/>
      <c r="M107" s="470"/>
      <c r="N107" s="470"/>
      <c r="O107" s="470"/>
      <c r="P107" s="399"/>
      <c r="R107" s="255"/>
      <c r="S107" s="255"/>
      <c r="T107" s="255"/>
    </row>
    <row r="108" spans="1:20" x14ac:dyDescent="0.15">
      <c r="A108" s="48" t="s">
        <v>249</v>
      </c>
      <c r="C108" s="4"/>
      <c r="F108" s="177">
        <f ca="1">F105/4</f>
        <v>57.082077909802187</v>
      </c>
      <c r="G108" s="470"/>
      <c r="H108" s="470"/>
      <c r="I108" s="470"/>
      <c r="J108" s="470"/>
      <c r="K108" s="470"/>
      <c r="L108" s="470"/>
      <c r="M108" s="470"/>
      <c r="N108" s="470"/>
      <c r="O108" s="470"/>
      <c r="P108" s="399"/>
      <c r="Q108" s="295"/>
      <c r="R108" s="295"/>
      <c r="S108" s="295"/>
      <c r="T108" s="295"/>
    </row>
    <row r="109" spans="1:20" x14ac:dyDescent="0.15">
      <c r="A109" s="48" t="s">
        <v>296</v>
      </c>
      <c r="C109" s="4"/>
      <c r="F109" s="177">
        <f>'Flow and System'!C70</f>
        <v>15</v>
      </c>
      <c r="G109" s="470"/>
      <c r="H109" s="470"/>
      <c r="I109" s="470"/>
      <c r="J109" s="470"/>
      <c r="K109" s="470"/>
      <c r="L109" s="470"/>
      <c r="M109" s="470"/>
      <c r="N109" s="470"/>
      <c r="O109" s="470"/>
      <c r="P109" s="399"/>
      <c r="Q109" s="295"/>
      <c r="R109" s="295"/>
      <c r="S109" s="295"/>
      <c r="T109" s="295"/>
    </row>
    <row r="110" spans="1:20" x14ac:dyDescent="0.15">
      <c r="A110" s="48" t="s">
        <v>237</v>
      </c>
      <c r="C110" s="4"/>
      <c r="F110" s="177">
        <f ca="1">F105+2*F34+2*'Flow and System'!C68+2*'Flow and System'!C71</f>
        <v>240.52831163920874</v>
      </c>
      <c r="G110" s="470"/>
      <c r="H110" s="470"/>
      <c r="I110" s="470"/>
      <c r="J110" s="470"/>
      <c r="K110" s="470"/>
      <c r="L110" s="470"/>
      <c r="M110" s="470"/>
      <c r="N110" s="470"/>
      <c r="O110" s="470"/>
      <c r="P110" s="399"/>
    </row>
    <row r="111" spans="1:20" x14ac:dyDescent="0.15">
      <c r="A111" s="48" t="s">
        <v>238</v>
      </c>
      <c r="C111" s="4"/>
      <c r="F111" s="177">
        <f ca="1">F106+F107+F109-5</f>
        <v>256.32831163920878</v>
      </c>
      <c r="G111" s="470"/>
      <c r="H111" s="470"/>
      <c r="I111" s="470"/>
      <c r="J111" s="470"/>
      <c r="K111" s="470"/>
      <c r="L111" s="470"/>
      <c r="M111" s="470"/>
      <c r="N111" s="470"/>
      <c r="O111" s="470"/>
      <c r="P111" s="399"/>
    </row>
    <row r="112" spans="1:20" x14ac:dyDescent="0.15">
      <c r="A112" s="154" t="s">
        <v>789</v>
      </c>
      <c r="C112" s="4"/>
      <c r="F112" s="402">
        <f ca="1">(F104+1)*'Flow and System'!C35/1000+F104*('Flow and System'!C36/1000+'Flow and System'!C44*2/1000)+2*F104*('Iterative I-V'!C133/1000+'Iterative I-V'!C38*10+'Iterative I-V'!C132/1000)+2*'Flow and System'!C71</f>
        <v>619.82614336816675</v>
      </c>
      <c r="G112" s="470"/>
      <c r="H112" s="470"/>
      <c r="I112" s="470"/>
      <c r="J112" s="470"/>
      <c r="K112" s="470"/>
      <c r="L112" s="470"/>
      <c r="M112" s="470"/>
      <c r="N112" s="470"/>
      <c r="O112" s="470"/>
      <c r="P112" s="399"/>
      <c r="Q112" s="448"/>
    </row>
    <row r="113" spans="1:20" ht="15" x14ac:dyDescent="0.15">
      <c r="A113" s="48" t="s">
        <v>243</v>
      </c>
      <c r="C113" s="4"/>
      <c r="F113" s="177">
        <f ca="1">F110*F111*F112/1000</f>
        <v>38214.894940486614</v>
      </c>
      <c r="G113" s="470"/>
      <c r="H113" s="470"/>
      <c r="I113" s="470"/>
      <c r="J113" s="470"/>
      <c r="K113" s="470"/>
      <c r="L113" s="470"/>
      <c r="M113" s="470"/>
      <c r="N113" s="470"/>
      <c r="O113" s="470"/>
      <c r="P113" s="399"/>
    </row>
    <row r="114" spans="1:20" ht="16" x14ac:dyDescent="0.2">
      <c r="A114" s="18" t="s">
        <v>309</v>
      </c>
      <c r="B114" s="5"/>
      <c r="C114" s="139"/>
      <c r="D114" s="5"/>
      <c r="F114" s="139"/>
      <c r="G114" s="470"/>
      <c r="H114" s="470"/>
      <c r="I114" s="470"/>
      <c r="J114" s="470"/>
      <c r="K114" s="470"/>
      <c r="L114" s="470"/>
      <c r="M114" s="470"/>
      <c r="N114" s="470"/>
      <c r="O114" s="470"/>
    </row>
    <row r="115" spans="1:20" s="240" customFormat="1" x14ac:dyDescent="0.15">
      <c r="A115" s="240" t="s">
        <v>470</v>
      </c>
      <c r="C115" s="247"/>
      <c r="F115" s="243">
        <f t="shared" ref="F115" ca="1" si="18">F76</f>
        <v>34894.480897858928</v>
      </c>
      <c r="G115" s="470"/>
      <c r="H115" s="470"/>
      <c r="I115" s="470"/>
      <c r="J115" s="470"/>
      <c r="K115" s="470"/>
      <c r="L115" s="470"/>
      <c r="M115" s="470"/>
      <c r="N115" s="470"/>
      <c r="O115" s="470"/>
      <c r="P115" s="106"/>
      <c r="Q115" s="106"/>
      <c r="R115" s="106"/>
      <c r="S115" s="106"/>
      <c r="T115" s="106"/>
    </row>
    <row r="116" spans="1:20" x14ac:dyDescent="0.15">
      <c r="A116" s="240" t="s">
        <v>512</v>
      </c>
      <c r="F116" s="103">
        <f t="shared" ref="F116" si="19">IF(F59=1,0,F59*F33*F35/2*F108*1.5/1000*8.92)</f>
        <v>0</v>
      </c>
      <c r="G116" s="470"/>
      <c r="H116" s="470"/>
      <c r="I116" s="470"/>
      <c r="J116" s="470"/>
      <c r="K116" s="470"/>
      <c r="L116" s="470"/>
      <c r="M116" s="470"/>
      <c r="N116" s="470"/>
      <c r="O116" s="470"/>
    </row>
    <row r="117" spans="1:20" x14ac:dyDescent="0.15">
      <c r="A117" s="7" t="s">
        <v>304</v>
      </c>
      <c r="C117" s="4"/>
      <c r="F117" s="25">
        <f t="shared" ref="F117" si="20">8*F58/F59</f>
        <v>40</v>
      </c>
      <c r="G117" s="470"/>
      <c r="H117" s="470"/>
      <c r="I117" s="470"/>
      <c r="J117" s="470"/>
      <c r="K117" s="470"/>
      <c r="L117" s="470"/>
      <c r="M117" s="470"/>
      <c r="N117" s="470"/>
      <c r="O117" s="470"/>
    </row>
    <row r="118" spans="1:20" x14ac:dyDescent="0.15">
      <c r="A118" s="7" t="s">
        <v>315</v>
      </c>
      <c r="C118" s="4"/>
      <c r="F118" s="195">
        <f t="shared" ref="F118" si="21">F50*0.092*4.19</f>
        <v>1.9274000000000003E-2</v>
      </c>
      <c r="G118" s="470"/>
      <c r="H118" s="470"/>
      <c r="I118" s="470"/>
      <c r="J118" s="470"/>
      <c r="K118" s="470"/>
      <c r="L118" s="470"/>
      <c r="M118" s="470"/>
      <c r="N118" s="470"/>
      <c r="O118" s="470"/>
    </row>
    <row r="119" spans="1:20" x14ac:dyDescent="0.15">
      <c r="A119" s="7" t="s">
        <v>382</v>
      </c>
      <c r="C119" s="4"/>
      <c r="F119" s="198">
        <f t="shared" ref="F119" si="22">(F118*8.92/600000)^0.5</f>
        <v>5.3529443611281206E-4</v>
      </c>
      <c r="G119" s="470"/>
      <c r="H119" s="470"/>
      <c r="I119" s="470"/>
      <c r="J119" s="470"/>
      <c r="K119" s="470"/>
      <c r="L119" s="470"/>
      <c r="M119" s="470"/>
      <c r="N119" s="470"/>
      <c r="O119" s="470"/>
    </row>
    <row r="120" spans="1:20" x14ac:dyDescent="0.15">
      <c r="A120" s="7" t="s">
        <v>310</v>
      </c>
      <c r="C120" s="4"/>
      <c r="F120" s="25">
        <f t="shared" ref="F120" ca="1" si="23">IF(F62=1,0,2)*(2/F118*F141*F119)*1.2</f>
        <v>0</v>
      </c>
      <c r="G120" s="470"/>
      <c r="H120" s="470"/>
      <c r="I120" s="470"/>
      <c r="J120" s="470"/>
      <c r="K120" s="470"/>
      <c r="L120" s="470"/>
      <c r="M120" s="470"/>
      <c r="N120" s="470"/>
      <c r="O120" s="470"/>
    </row>
    <row r="121" spans="1:20" x14ac:dyDescent="0.15">
      <c r="A121" s="7" t="s">
        <v>313</v>
      </c>
      <c r="C121" s="4"/>
      <c r="F121" s="196">
        <f t="shared" ref="F121" ca="1" si="24">IF(F62=1,0,2)*(2/F141*F119)</f>
        <v>0</v>
      </c>
      <c r="G121" s="470"/>
      <c r="H121" s="470"/>
      <c r="I121" s="470"/>
      <c r="J121" s="470"/>
      <c r="K121" s="470"/>
      <c r="L121" s="470"/>
      <c r="M121" s="470"/>
      <c r="N121" s="470"/>
      <c r="O121" s="470"/>
    </row>
    <row r="122" spans="1:20" x14ac:dyDescent="0.15">
      <c r="A122" s="240" t="s">
        <v>521</v>
      </c>
      <c r="C122" s="4"/>
      <c r="F122" s="196">
        <f t="shared" ref="F122" ca="1" si="25">F85*F58/F59^2+F121</f>
        <v>1.2960101942294419E-5</v>
      </c>
      <c r="G122" s="470"/>
      <c r="H122" s="470"/>
      <c r="I122" s="470"/>
      <c r="J122" s="470"/>
      <c r="K122" s="470"/>
      <c r="L122" s="470"/>
      <c r="M122" s="470"/>
      <c r="N122" s="470"/>
      <c r="O122" s="470"/>
      <c r="Q122" s="255"/>
    </row>
    <row r="123" spans="1:20" x14ac:dyDescent="0.15">
      <c r="A123" s="7" t="s">
        <v>423</v>
      </c>
      <c r="C123" s="4"/>
      <c r="F123" s="196" t="str">
        <f t="shared" ref="F123" si="26">IF(F55="EG-W","aluminum","polymer")</f>
        <v>polymer</v>
      </c>
      <c r="G123" s="470"/>
      <c r="H123" s="470"/>
      <c r="I123" s="470"/>
      <c r="J123" s="470"/>
      <c r="K123" s="470"/>
      <c r="L123" s="470"/>
      <c r="M123" s="470"/>
      <c r="N123" s="470"/>
      <c r="O123" s="470"/>
    </row>
    <row r="124" spans="1:20" x14ac:dyDescent="0.15">
      <c r="A124" s="7" t="s">
        <v>441</v>
      </c>
      <c r="C124" s="4"/>
      <c r="F124" s="232">
        <v>0</v>
      </c>
      <c r="G124" s="470"/>
      <c r="H124" s="470"/>
      <c r="I124" s="470"/>
      <c r="J124" s="470"/>
      <c r="K124" s="470"/>
      <c r="L124" s="470"/>
      <c r="M124" s="470"/>
      <c r="N124" s="470"/>
      <c r="O124" s="470"/>
    </row>
    <row r="125" spans="1:20" x14ac:dyDescent="0.15">
      <c r="A125" s="154" t="s">
        <v>825</v>
      </c>
      <c r="C125" s="4"/>
      <c r="F125" s="177">
        <f ca="1">F106</f>
        <v>228.32831163920875</v>
      </c>
      <c r="G125" s="470"/>
      <c r="H125" s="470"/>
      <c r="I125" s="470"/>
      <c r="J125" s="470"/>
      <c r="K125" s="470"/>
      <c r="L125" s="470"/>
      <c r="M125" s="470"/>
      <c r="N125" s="470"/>
      <c r="O125" s="470"/>
      <c r="P125" s="399"/>
    </row>
    <row r="126" spans="1:20" x14ac:dyDescent="0.15">
      <c r="A126" s="154" t="s">
        <v>823</v>
      </c>
      <c r="C126" s="4"/>
      <c r="F126" s="418">
        <v>0</v>
      </c>
      <c r="G126" s="470"/>
      <c r="H126" s="470"/>
      <c r="I126" s="470"/>
      <c r="J126" s="470"/>
      <c r="K126" s="470"/>
      <c r="L126" s="470"/>
      <c r="M126" s="470"/>
      <c r="N126" s="470"/>
      <c r="O126" s="470"/>
      <c r="P126" s="399"/>
    </row>
    <row r="127" spans="1:20" x14ac:dyDescent="0.15">
      <c r="A127" s="240" t="s">
        <v>824</v>
      </c>
      <c r="C127" s="4"/>
      <c r="F127" s="25">
        <f ca="1">(F58/2)*F125*(F110+2*F126)*F126/1000*2.7*0.5</f>
        <v>0</v>
      </c>
      <c r="G127" s="470"/>
      <c r="H127" s="470"/>
      <c r="I127" s="470"/>
      <c r="J127" s="470"/>
      <c r="K127" s="470"/>
      <c r="L127" s="470"/>
      <c r="M127" s="470"/>
      <c r="N127" s="470"/>
      <c r="O127" s="470"/>
      <c r="P127" s="399"/>
    </row>
    <row r="128" spans="1:20" x14ac:dyDescent="0.15">
      <c r="A128" s="7" t="s">
        <v>172</v>
      </c>
      <c r="C128" s="4"/>
      <c r="F128" s="25">
        <f ca="1">IF(F55="EG-W",2.7,1.1)*F124*(F129*F130+F129*F131+IF(F55="CA",0,F130*F131))*2/1000</f>
        <v>0</v>
      </c>
      <c r="G128" s="470"/>
      <c r="H128" s="470"/>
      <c r="I128" s="470"/>
      <c r="J128" s="470"/>
      <c r="K128" s="470"/>
      <c r="L128" s="470"/>
      <c r="M128" s="470"/>
      <c r="N128" s="470"/>
      <c r="O128" s="470"/>
    </row>
    <row r="129" spans="1:16" x14ac:dyDescent="0.15">
      <c r="A129" s="7" t="s">
        <v>256</v>
      </c>
      <c r="C129" s="4"/>
      <c r="F129" s="25">
        <f ca="1">F111+2</f>
        <v>258.32831163920878</v>
      </c>
      <c r="G129" s="470"/>
      <c r="H129" s="470"/>
      <c r="I129" s="470"/>
      <c r="J129" s="470"/>
      <c r="K129" s="470"/>
      <c r="L129" s="470"/>
      <c r="M129" s="470"/>
      <c r="N129" s="470"/>
      <c r="O129" s="470"/>
    </row>
    <row r="130" spans="1:16" x14ac:dyDescent="0.15">
      <c r="A130" s="7" t="s">
        <v>257</v>
      </c>
      <c r="C130" s="4"/>
      <c r="F130" s="25">
        <f ca="1">(F33+F126/2)*(F58+1)+1</f>
        <v>3216.821230526275</v>
      </c>
      <c r="G130" s="470"/>
      <c r="H130" s="470"/>
      <c r="I130" s="470"/>
      <c r="J130" s="470"/>
      <c r="K130" s="470"/>
      <c r="L130" s="470"/>
      <c r="M130" s="470"/>
      <c r="N130" s="470"/>
      <c r="O130" s="470"/>
      <c r="P130" s="399"/>
    </row>
    <row r="131" spans="1:16" x14ac:dyDescent="0.15">
      <c r="A131" s="7" t="s">
        <v>258</v>
      </c>
      <c r="C131" s="4"/>
      <c r="F131" s="25">
        <f ca="1">F110+2*F124+'Flow and System'!C73</f>
        <v>260.52831163920871</v>
      </c>
      <c r="G131" s="470"/>
      <c r="H131" s="470"/>
      <c r="I131" s="470"/>
      <c r="J131" s="470"/>
      <c r="K131" s="470"/>
      <c r="L131" s="470"/>
      <c r="M131" s="470"/>
      <c r="N131" s="470"/>
      <c r="O131" s="470"/>
      <c r="P131" s="399"/>
    </row>
    <row r="132" spans="1:16" x14ac:dyDescent="0.15">
      <c r="A132" s="7" t="s">
        <v>305</v>
      </c>
      <c r="C132" s="4"/>
      <c r="F132" s="181">
        <f ca="1">F129*F130*F131/1000000</f>
        <v>216.49798416254754</v>
      </c>
      <c r="G132" s="470"/>
      <c r="H132" s="470"/>
      <c r="I132" s="470"/>
      <c r="J132" s="470"/>
      <c r="K132" s="470"/>
      <c r="L132" s="470"/>
      <c r="M132" s="470"/>
      <c r="N132" s="470"/>
      <c r="O132" s="470"/>
      <c r="P132" s="255"/>
    </row>
    <row r="133" spans="1:16" x14ac:dyDescent="0.15">
      <c r="A133" s="240" t="s">
        <v>513</v>
      </c>
      <c r="C133" s="4"/>
      <c r="F133" s="181">
        <f t="shared" ref="F133" ca="1" si="27">((F116*F58/F59+1)+F58*F31+F117+F120+F127+F128)/1000</f>
        <v>285.18221875532987</v>
      </c>
      <c r="G133" s="470"/>
      <c r="H133" s="470"/>
      <c r="I133" s="470"/>
      <c r="J133" s="470"/>
      <c r="K133" s="470"/>
      <c r="L133" s="470"/>
      <c r="M133" s="470"/>
      <c r="N133" s="470"/>
      <c r="O133" s="470"/>
    </row>
    <row r="134" spans="1:16" ht="16" x14ac:dyDescent="0.2">
      <c r="A134" s="18" t="s">
        <v>459</v>
      </c>
      <c r="C134" s="4"/>
      <c r="F134" s="6"/>
      <c r="G134" s="470"/>
      <c r="H134" s="470"/>
      <c r="I134" s="470"/>
      <c r="J134" s="470"/>
      <c r="K134" s="470"/>
      <c r="L134" s="470"/>
      <c r="M134" s="470"/>
      <c r="N134" s="470"/>
      <c r="O134" s="470"/>
    </row>
    <row r="135" spans="1:16" x14ac:dyDescent="0.15">
      <c r="A135" s="240" t="s">
        <v>510</v>
      </c>
      <c r="C135" s="4"/>
      <c r="E135" s="419"/>
      <c r="F135" s="6">
        <f t="shared" ref="F135" ca="1" si="28">F115*F63</f>
        <v>34894.480897858928</v>
      </c>
      <c r="G135" s="470"/>
      <c r="H135" s="470"/>
      <c r="I135" s="470"/>
      <c r="J135" s="470"/>
      <c r="K135" s="470"/>
      <c r="L135" s="470"/>
      <c r="M135" s="470"/>
      <c r="N135" s="470"/>
      <c r="O135" s="470"/>
    </row>
    <row r="136" spans="1:16" x14ac:dyDescent="0.15">
      <c r="A136" s="240" t="s">
        <v>460</v>
      </c>
      <c r="F136" s="20">
        <f ca="1">F76*F63*(F139-F66/F59*F77/5*F89/F102/F63)/1000</f>
        <v>106.84350459525008</v>
      </c>
      <c r="G136" s="470"/>
      <c r="H136" s="470"/>
      <c r="I136" s="470"/>
      <c r="J136" s="470"/>
      <c r="K136" s="470"/>
      <c r="L136" s="470"/>
      <c r="M136" s="470"/>
      <c r="N136" s="470"/>
      <c r="O136" s="470"/>
      <c r="P136" s="399"/>
    </row>
    <row r="137" spans="1:16" x14ac:dyDescent="0.15">
      <c r="A137" t="s">
        <v>350</v>
      </c>
      <c r="F137" s="20">
        <f ca="1">'Flow and System'!C11</f>
        <v>103.15978665766556</v>
      </c>
      <c r="G137" s="470"/>
      <c r="H137" s="470"/>
      <c r="I137" s="470"/>
      <c r="J137" s="470"/>
      <c r="K137" s="470"/>
      <c r="L137" s="470"/>
      <c r="M137" s="470"/>
      <c r="N137" s="470"/>
      <c r="O137" s="470"/>
    </row>
    <row r="138" spans="1:16" x14ac:dyDescent="0.15">
      <c r="A138" t="s">
        <v>379</v>
      </c>
      <c r="F138" s="6">
        <f t="shared" ref="F138" si="29">F66/F59*F44/F63</f>
        <v>5.25</v>
      </c>
      <c r="G138" s="470"/>
      <c r="H138" s="470"/>
      <c r="I138" s="470"/>
      <c r="J138" s="470"/>
      <c r="K138" s="470"/>
      <c r="L138" s="470"/>
      <c r="M138" s="470"/>
      <c r="N138" s="470"/>
      <c r="O138" s="470"/>
    </row>
    <row r="139" spans="1:16" x14ac:dyDescent="0.15">
      <c r="A139" t="s">
        <v>161</v>
      </c>
      <c r="F139" s="6">
        <f>F66/F59*F45/F63</f>
        <v>6.8000000000000007</v>
      </c>
      <c r="G139" s="470"/>
      <c r="H139" s="470"/>
      <c r="I139" s="470"/>
      <c r="J139" s="470"/>
      <c r="K139" s="470"/>
      <c r="L139" s="470"/>
      <c r="M139" s="470"/>
      <c r="N139" s="470"/>
      <c r="O139" s="470"/>
    </row>
    <row r="140" spans="1:16" x14ac:dyDescent="0.15">
      <c r="A140" t="s">
        <v>419</v>
      </c>
      <c r="F140" s="6">
        <f ca="1">+(F138^2*F63^2*F59^2/'Battery Design'!F66*'Battery Design'!F51/100*(100-'Battery Design'!F51)/100)/('Battery Design'!F88/'Battery Design'!F102)/1000</f>
        <v>1.2517170323729312</v>
      </c>
      <c r="G140" s="470"/>
      <c r="H140" s="470"/>
      <c r="I140" s="470"/>
      <c r="J140" s="470"/>
      <c r="K140" s="470"/>
      <c r="L140" s="470"/>
      <c r="M140" s="470"/>
      <c r="N140" s="470"/>
      <c r="O140" s="470"/>
    </row>
    <row r="141" spans="1:16" x14ac:dyDescent="0.15">
      <c r="A141" t="s">
        <v>282</v>
      </c>
      <c r="F141" s="4">
        <f t="shared" ref="F141" ca="1" si="30">IF(MAX(F95,F96)&lt;F48,F57*1000/F138/F51*100,F57*1000/F138/F52*100)</f>
        <v>1239.0977443609022</v>
      </c>
      <c r="G141" s="470"/>
      <c r="H141" s="470"/>
      <c r="I141" s="470"/>
      <c r="J141" s="470"/>
      <c r="K141" s="470"/>
      <c r="L141" s="470"/>
      <c r="M141" s="470"/>
      <c r="N141" s="470"/>
      <c r="O141" s="470"/>
    </row>
    <row r="142" spans="1:16" ht="15" x14ac:dyDescent="0.15">
      <c r="A142" t="s">
        <v>319</v>
      </c>
      <c r="F142" s="20">
        <f ca="1">F141*1000/F102/F59/F63</f>
        <v>2.976262172837226</v>
      </c>
      <c r="G142" s="470"/>
      <c r="H142" s="470"/>
      <c r="I142" s="470"/>
      <c r="J142" s="470"/>
      <c r="K142" s="470"/>
      <c r="L142" s="470"/>
      <c r="M142" s="470"/>
      <c r="N142" s="470"/>
      <c r="O142" s="470"/>
    </row>
    <row r="143" spans="1:16" x14ac:dyDescent="0.15">
      <c r="A143" t="s">
        <v>242</v>
      </c>
      <c r="F143" s="6">
        <f ca="1">F141/F76/F63</f>
        <v>3.5509848906705797E-2</v>
      </c>
      <c r="G143" s="470"/>
      <c r="H143" s="470"/>
      <c r="I143" s="470"/>
      <c r="J143" s="470"/>
      <c r="K143" s="470"/>
      <c r="L143" s="470"/>
      <c r="M143" s="470"/>
      <c r="N143" s="470"/>
      <c r="O143" s="470"/>
    </row>
    <row r="144" spans="1:16" x14ac:dyDescent="0.15">
      <c r="A144" t="s">
        <v>428</v>
      </c>
      <c r="F144" s="135">
        <v>0</v>
      </c>
      <c r="G144" s="470"/>
      <c r="H144" s="470"/>
      <c r="I144" s="470"/>
      <c r="J144" s="470"/>
      <c r="K144" s="470"/>
      <c r="L144" s="470"/>
      <c r="M144" s="470"/>
      <c r="N144" s="470"/>
      <c r="O144" s="470"/>
      <c r="P144" s="399"/>
    </row>
    <row r="145" spans="1:20" x14ac:dyDescent="0.15">
      <c r="A145" t="s">
        <v>335</v>
      </c>
      <c r="F145" s="211">
        <v>0</v>
      </c>
      <c r="G145" s="470"/>
      <c r="H145" s="470"/>
      <c r="I145" s="470"/>
      <c r="J145" s="470"/>
      <c r="K145" s="470"/>
      <c r="L145" s="470"/>
      <c r="M145" s="470"/>
      <c r="N145" s="470"/>
      <c r="O145" s="470"/>
    </row>
    <row r="146" spans="1:20" x14ac:dyDescent="0.15">
      <c r="A146" t="s">
        <v>444</v>
      </c>
      <c r="F146" s="4">
        <f ca="1">F60*F130+2*F70+2*F145</f>
        <v>3216.821230526275</v>
      </c>
      <c r="G146" s="470"/>
      <c r="H146" s="470"/>
      <c r="I146" s="470"/>
      <c r="J146" s="470"/>
      <c r="K146" s="470"/>
      <c r="L146" s="470"/>
      <c r="M146" s="470"/>
      <c r="N146" s="470"/>
      <c r="O146" s="470"/>
      <c r="P146" s="399"/>
    </row>
    <row r="147" spans="1:20" x14ac:dyDescent="0.15">
      <c r="A147" t="s">
        <v>445</v>
      </c>
      <c r="F147" s="4">
        <f ca="1">F61*F129+IF(F61=1,8,IF(F61=2,10,IF(F61=4,20)))+2*F70</f>
        <v>266.32831163920878</v>
      </c>
      <c r="G147" s="470"/>
      <c r="H147" s="470"/>
      <c r="I147" s="470"/>
      <c r="J147" s="470"/>
      <c r="K147" s="470"/>
      <c r="L147" s="470"/>
      <c r="M147" s="470"/>
      <c r="N147" s="470"/>
      <c r="O147" s="470"/>
    </row>
    <row r="148" spans="1:20" x14ac:dyDescent="0.15">
      <c r="A148" t="s">
        <v>446</v>
      </c>
      <c r="F148" s="4">
        <f ca="1">F131+2*F70</f>
        <v>260.52831163920871</v>
      </c>
      <c r="G148" s="470"/>
      <c r="H148" s="470"/>
      <c r="I148" s="470"/>
      <c r="J148" s="470"/>
      <c r="K148" s="470"/>
      <c r="L148" s="470"/>
      <c r="M148" s="470"/>
      <c r="N148" s="470"/>
      <c r="O148" s="470"/>
      <c r="P148" s="399"/>
    </row>
    <row r="149" spans="1:20" x14ac:dyDescent="0.15">
      <c r="A149" t="s">
        <v>529</v>
      </c>
      <c r="F149" s="176">
        <v>0</v>
      </c>
      <c r="G149" s="470"/>
      <c r="H149" s="470"/>
      <c r="I149" s="470"/>
      <c r="J149" s="470"/>
      <c r="K149" s="470"/>
      <c r="L149" s="470"/>
      <c r="M149" s="470"/>
      <c r="N149" s="470"/>
      <c r="O149" s="470"/>
    </row>
    <row r="150" spans="1:20" x14ac:dyDescent="0.15">
      <c r="A150" t="s">
        <v>442</v>
      </c>
      <c r="F150" s="4">
        <v>0</v>
      </c>
      <c r="G150" s="470"/>
      <c r="H150" s="470"/>
      <c r="I150" s="470"/>
      <c r="J150" s="470"/>
      <c r="K150" s="470"/>
      <c r="L150" s="470"/>
      <c r="M150" s="470"/>
      <c r="N150" s="470"/>
      <c r="O150" s="470"/>
      <c r="P150" s="399"/>
    </row>
    <row r="151" spans="1:20" x14ac:dyDescent="0.15">
      <c r="A151" t="s">
        <v>443</v>
      </c>
      <c r="F151" s="6">
        <f t="shared" ref="F151" ca="1" si="31">F146*F149*F150*2/1000000</f>
        <v>0</v>
      </c>
      <c r="G151" s="470"/>
      <c r="H151" s="470"/>
      <c r="I151" s="470"/>
      <c r="J151" s="470"/>
      <c r="K151" s="470"/>
      <c r="L151" s="470"/>
      <c r="M151" s="470"/>
      <c r="N151" s="470"/>
      <c r="O151" s="470"/>
    </row>
    <row r="152" spans="1:20" x14ac:dyDescent="0.15">
      <c r="A152" t="s">
        <v>564</v>
      </c>
      <c r="D152" s="3"/>
      <c r="F152" s="135">
        <f>IF(OR(F54="PHEV",F54="EV"),4,IF(OR(F54="HEV-HP",F54="microHEV"),2))*IF(F64=2,1.5,IF(F64=3,2,1))</f>
        <v>0</v>
      </c>
      <c r="G152" s="470"/>
      <c r="H152" s="470"/>
      <c r="I152" s="470"/>
      <c r="J152" s="470"/>
      <c r="K152" s="470"/>
      <c r="L152" s="470"/>
      <c r="M152" s="470"/>
      <c r="N152" s="470"/>
      <c r="O152" s="470"/>
    </row>
    <row r="153" spans="1:20" x14ac:dyDescent="0.15">
      <c r="A153" t="s">
        <v>566</v>
      </c>
      <c r="F153" s="6">
        <f ca="1">F146*F147*F148/1000000+F151+F152</f>
        <v>223.20256819482091</v>
      </c>
      <c r="G153" s="470"/>
      <c r="H153" s="470"/>
      <c r="I153" s="470"/>
      <c r="J153" s="470"/>
      <c r="K153" s="470"/>
      <c r="L153" s="470"/>
      <c r="M153" s="470"/>
      <c r="N153" s="470"/>
      <c r="O153" s="470"/>
      <c r="R153" s="223"/>
      <c r="S153" s="223"/>
      <c r="T153" s="223"/>
    </row>
    <row r="154" spans="1:20" x14ac:dyDescent="0.15">
      <c r="A154" s="240" t="s">
        <v>514</v>
      </c>
      <c r="F154" s="4">
        <f t="shared" ref="F154" ca="1" si="32">(5/F118*F141*F119)*1.2</f>
        <v>206.47985732790067</v>
      </c>
      <c r="G154" s="470"/>
      <c r="H154" s="470"/>
      <c r="I154" s="470"/>
      <c r="J154" s="470"/>
      <c r="K154" s="470"/>
      <c r="L154" s="470"/>
      <c r="M154" s="470"/>
      <c r="N154" s="470"/>
      <c r="O154" s="470"/>
      <c r="R154" s="223"/>
      <c r="S154" s="223"/>
      <c r="T154" s="223"/>
    </row>
    <row r="155" spans="1:20" x14ac:dyDescent="0.15">
      <c r="A155" s="240" t="s">
        <v>515</v>
      </c>
      <c r="F155" s="4">
        <f ca="1">2*F145*(F147-2*F70)*(F148-2*F70)/1000*7.8</f>
        <v>0</v>
      </c>
      <c r="G155" s="470"/>
      <c r="H155" s="470"/>
      <c r="I155" s="470"/>
      <c r="J155" s="470"/>
      <c r="K155" s="470"/>
      <c r="L155" s="470"/>
      <c r="M155" s="470"/>
      <c r="N155" s="470"/>
      <c r="O155" s="470"/>
      <c r="R155" s="223"/>
      <c r="S155" s="223"/>
      <c r="T155" s="223"/>
    </row>
    <row r="156" spans="1:20" x14ac:dyDescent="0.15">
      <c r="A156" s="240" t="s">
        <v>575</v>
      </c>
      <c r="F156" s="4">
        <f ca="1">IF(AND(F61=1,F60&gt;0),((F146-2*F70)/10)^2*F141/600000/F68*8.92,0)</f>
        <v>63540.666858367564</v>
      </c>
      <c r="G156" s="470"/>
      <c r="H156" s="470"/>
      <c r="I156" s="470"/>
      <c r="J156" s="470"/>
      <c r="K156" s="470"/>
      <c r="L156" s="470"/>
      <c r="M156" s="470"/>
      <c r="N156" s="470"/>
      <c r="O156" s="470"/>
      <c r="P156" s="399"/>
      <c r="R156" s="223"/>
      <c r="S156" s="223"/>
      <c r="T156" s="223"/>
    </row>
    <row r="157" spans="1:20" x14ac:dyDescent="0.15">
      <c r="A157" t="s">
        <v>314</v>
      </c>
      <c r="D157" s="3"/>
      <c r="F157" s="197">
        <f t="shared" ref="F157" ca="1" si="33">(F62-1)*2*(3/F141*F119)</f>
        <v>0</v>
      </c>
      <c r="G157" s="470"/>
      <c r="H157" s="470"/>
      <c r="I157" s="470"/>
      <c r="J157" s="470"/>
      <c r="K157" s="470"/>
      <c r="L157" s="470"/>
      <c r="M157" s="470"/>
      <c r="N157" s="470"/>
      <c r="O157" s="470"/>
      <c r="R157" s="223"/>
      <c r="S157" s="223"/>
      <c r="T157" s="223"/>
    </row>
    <row r="158" spans="1:20" x14ac:dyDescent="0.15">
      <c r="A158" t="s">
        <v>517</v>
      </c>
      <c r="D158" s="3"/>
      <c r="F158" s="197">
        <f t="shared" ref="F158" ca="1" si="34">2*(3/F141*F119)</f>
        <v>2.5920203884588837E-6</v>
      </c>
      <c r="G158" s="470"/>
      <c r="H158" s="470"/>
      <c r="I158" s="470"/>
      <c r="J158" s="470"/>
      <c r="K158" s="470"/>
      <c r="L158" s="470"/>
      <c r="M158" s="470"/>
      <c r="N158" s="470"/>
      <c r="O158" s="470"/>
      <c r="R158" s="223"/>
      <c r="S158" s="223"/>
      <c r="T158" s="223"/>
    </row>
    <row r="159" spans="1:20" x14ac:dyDescent="0.15">
      <c r="A159" t="s">
        <v>370</v>
      </c>
      <c r="D159" s="3"/>
      <c r="F159" s="6">
        <v>3</v>
      </c>
      <c r="G159" s="470"/>
      <c r="H159" s="470"/>
      <c r="I159" s="470"/>
      <c r="J159" s="470"/>
      <c r="K159" s="470"/>
      <c r="L159" s="470"/>
      <c r="M159" s="470"/>
      <c r="N159" s="470"/>
      <c r="O159" s="470"/>
      <c r="P159" s="399"/>
      <c r="R159" s="223"/>
      <c r="S159" s="223"/>
      <c r="T159" s="223"/>
    </row>
    <row r="160" spans="1:20" s="7" customFormat="1" x14ac:dyDescent="0.15">
      <c r="A160" s="240" t="s">
        <v>576</v>
      </c>
      <c r="B160"/>
      <c r="C160"/>
      <c r="D160" s="3"/>
      <c r="E160"/>
      <c r="F160" s="20">
        <f t="shared" ref="F160" si="35">F159*0.1</f>
        <v>0.30000000000000004</v>
      </c>
      <c r="G160" s="470"/>
      <c r="H160" s="470"/>
      <c r="I160" s="470"/>
      <c r="J160" s="470"/>
      <c r="K160" s="470"/>
      <c r="L160" s="470"/>
      <c r="M160" s="470"/>
      <c r="N160" s="470"/>
      <c r="O160" s="470"/>
      <c r="P160" s="106"/>
      <c r="Q160" s="106"/>
      <c r="R160" s="106"/>
      <c r="S160" s="106"/>
      <c r="T160" s="106"/>
    </row>
    <row r="161" spans="1:20" s="7" customFormat="1" x14ac:dyDescent="0.15">
      <c r="A161" s="240" t="s">
        <v>577</v>
      </c>
      <c r="B161"/>
      <c r="C161"/>
      <c r="D161"/>
      <c r="E161"/>
      <c r="F161" s="20">
        <f ca="1">('Flow and System'!C73*F129*2/3*F130+(F58/2)*F125*(F110+2*F126)*F126*0.5)*F62*1.07*10^-6</f>
        <v>11.855542895198743</v>
      </c>
      <c r="G161" s="470"/>
      <c r="H161" s="470"/>
      <c r="I161" s="470"/>
      <c r="J161" s="470"/>
      <c r="K161" s="470"/>
      <c r="L161" s="470"/>
      <c r="M161" s="470"/>
      <c r="N161" s="470"/>
      <c r="O161" s="470"/>
      <c r="P161" s="399"/>
      <c r="Q161" s="106"/>
      <c r="R161" s="106"/>
      <c r="S161" s="106"/>
      <c r="T161" s="106"/>
    </row>
    <row r="162" spans="1:20" s="7" customFormat="1" ht="15" x14ac:dyDescent="0.15">
      <c r="A162" s="240" t="s">
        <v>578</v>
      </c>
      <c r="B162"/>
      <c r="C162"/>
      <c r="D162"/>
      <c r="E162"/>
      <c r="F162" s="20">
        <f t="shared" ref="F162" si="36">F69/10*0.032+(F70-F69)/10*2.7</f>
        <v>0</v>
      </c>
      <c r="G162" s="470"/>
      <c r="H162" s="470"/>
      <c r="I162" s="470"/>
      <c r="J162" s="470"/>
      <c r="K162" s="470"/>
      <c r="L162" s="470"/>
      <c r="M162" s="470"/>
      <c r="N162" s="470"/>
      <c r="O162" s="470"/>
      <c r="P162" s="106"/>
      <c r="Q162" s="106"/>
      <c r="R162" s="106"/>
      <c r="S162" s="106"/>
      <c r="T162" s="106"/>
    </row>
    <row r="163" spans="1:20" s="7" customFormat="1" x14ac:dyDescent="0.15">
      <c r="A163" s="240" t="s">
        <v>579</v>
      </c>
      <c r="B163"/>
      <c r="C163"/>
      <c r="D163"/>
      <c r="E163"/>
      <c r="F163" s="20">
        <v>0</v>
      </c>
      <c r="G163" s="470"/>
      <c r="H163" s="470"/>
      <c r="I163" s="470"/>
      <c r="J163" s="470"/>
      <c r="K163" s="470"/>
      <c r="L163" s="470"/>
      <c r="M163" s="470"/>
      <c r="N163" s="470"/>
      <c r="O163" s="470"/>
      <c r="P163" s="399"/>
      <c r="Q163" s="106"/>
      <c r="R163" s="106"/>
      <c r="S163" s="106"/>
      <c r="T163" s="106"/>
    </row>
    <row r="164" spans="1:20" s="7" customFormat="1" x14ac:dyDescent="0.15">
      <c r="A164" s="240" t="s">
        <v>580</v>
      </c>
      <c r="B164"/>
      <c r="C164"/>
      <c r="D164"/>
      <c r="E164"/>
      <c r="F164" s="135">
        <v>0</v>
      </c>
      <c r="G164" s="470">
        <f ca="1">(2*(F146-F70)*(F147-F70)+2*(F146-F70)*(F148-F70)+2*(F147-F70)*(F148-F70))/100*F162/1000+(F62+1)*F154/1000+F155/1000+F156/1000+F163</f>
        <v>63.953626573023364</v>
      </c>
      <c r="H164" s="470"/>
      <c r="I164" s="470"/>
      <c r="J164" s="470"/>
      <c r="K164" s="470"/>
      <c r="L164" s="470"/>
      <c r="M164" s="470"/>
      <c r="N164" s="470"/>
      <c r="O164" s="470"/>
      <c r="P164" s="106"/>
      <c r="Q164" s="106"/>
      <c r="R164" s="106"/>
      <c r="S164" s="106"/>
      <c r="T164" s="106"/>
    </row>
    <row r="165" spans="1:20" s="7" customFormat="1" x14ac:dyDescent="0.15">
      <c r="A165" t="s">
        <v>565</v>
      </c>
      <c r="B165"/>
      <c r="C165"/>
      <c r="D165" s="3"/>
      <c r="E165"/>
      <c r="F165" s="135">
        <f>F152</f>
        <v>0</v>
      </c>
      <c r="G165" s="470"/>
      <c r="H165" s="470"/>
      <c r="I165" s="470"/>
      <c r="J165" s="470"/>
      <c r="K165" s="470"/>
      <c r="L165" s="470"/>
      <c r="M165" s="470"/>
      <c r="N165" s="470"/>
      <c r="O165" s="470"/>
      <c r="P165" s="106"/>
      <c r="Q165" s="106"/>
      <c r="R165" s="106"/>
      <c r="S165" s="106"/>
      <c r="T165" s="106"/>
    </row>
    <row r="166" spans="1:20" s="7" customFormat="1" x14ac:dyDescent="0.15">
      <c r="A166" s="240" t="s">
        <v>523</v>
      </c>
      <c r="B166"/>
      <c r="C166"/>
      <c r="D166" s="3"/>
      <c r="E166"/>
      <c r="F166" s="135">
        <f ca="1">F62*F133+F161+F164+F165</f>
        <v>297.03776165052864</v>
      </c>
      <c r="G166" s="470"/>
      <c r="H166" s="470"/>
      <c r="I166" s="470"/>
      <c r="J166" s="470"/>
      <c r="K166" s="470"/>
      <c r="L166" s="470"/>
      <c r="M166" s="470"/>
      <c r="N166" s="470"/>
      <c r="O166" s="470"/>
      <c r="P166" s="106"/>
      <c r="Q166" s="106"/>
      <c r="R166" s="106"/>
      <c r="S166" s="106"/>
      <c r="T166" s="106"/>
    </row>
    <row r="167" spans="1:20" s="240" customFormat="1" x14ac:dyDescent="0.15">
      <c r="A167" s="240" t="s">
        <v>690</v>
      </c>
      <c r="D167" s="234"/>
      <c r="F167" s="135">
        <f ca="1">F153*F64</f>
        <v>223.20256819482091</v>
      </c>
      <c r="G167" s="470"/>
      <c r="H167" s="470"/>
      <c r="I167" s="470"/>
      <c r="J167" s="470"/>
      <c r="K167" s="470"/>
      <c r="L167" s="470"/>
      <c r="M167" s="470"/>
      <c r="N167" s="470"/>
      <c r="O167" s="470"/>
      <c r="P167" s="255"/>
      <c r="Q167" s="255"/>
      <c r="R167" s="255"/>
      <c r="S167" s="255"/>
      <c r="T167" s="255"/>
    </row>
    <row r="168" spans="1:20" x14ac:dyDescent="0.15">
      <c r="A168" s="240" t="s">
        <v>691</v>
      </c>
      <c r="D168" s="244"/>
      <c r="F168" s="135">
        <f ca="1">F166*F64</f>
        <v>297.03776165052864</v>
      </c>
      <c r="G168" s="470"/>
      <c r="H168" s="470"/>
      <c r="I168" s="470"/>
      <c r="J168" s="470"/>
      <c r="K168" s="470"/>
      <c r="L168" s="470"/>
      <c r="M168" s="470"/>
      <c r="N168" s="470"/>
      <c r="O168" s="470"/>
      <c r="Q168" s="223"/>
    </row>
    <row r="169" spans="1:20" ht="16" x14ac:dyDescent="0.2">
      <c r="A169" s="18" t="s">
        <v>674</v>
      </c>
      <c r="D169" s="244"/>
      <c r="F169" s="135"/>
      <c r="G169" s="470"/>
      <c r="H169" s="470"/>
      <c r="I169" s="470"/>
      <c r="J169" s="470"/>
      <c r="K169" s="470"/>
      <c r="L169" s="470"/>
      <c r="M169" s="470"/>
      <c r="N169" s="470"/>
      <c r="O169" s="470"/>
      <c r="Q169" s="223"/>
    </row>
    <row r="170" spans="1:20" x14ac:dyDescent="0.15">
      <c r="A170" s="240" t="s">
        <v>791</v>
      </c>
      <c r="D170" s="244"/>
      <c r="F170" s="135">
        <f>Components!$B$10</f>
        <v>60</v>
      </c>
      <c r="G170" s="470"/>
      <c r="H170" s="470"/>
      <c r="I170" s="470"/>
      <c r="J170" s="470"/>
      <c r="K170" s="470"/>
      <c r="L170" s="470"/>
      <c r="M170" s="470"/>
      <c r="N170" s="470"/>
      <c r="O170" s="470"/>
      <c r="Q170" s="223"/>
    </row>
    <row r="171" spans="1:20" x14ac:dyDescent="0.15">
      <c r="A171" s="240" t="s">
        <v>792</v>
      </c>
      <c r="D171" s="244"/>
      <c r="F171" s="135">
        <f>Components!$C$10</f>
        <v>60</v>
      </c>
      <c r="G171" s="470"/>
      <c r="H171" s="470"/>
      <c r="I171" s="470"/>
      <c r="J171" s="470"/>
      <c r="K171" s="470"/>
      <c r="L171" s="470"/>
      <c r="M171" s="470"/>
      <c r="N171" s="470"/>
      <c r="O171" s="470"/>
      <c r="Q171" s="223"/>
    </row>
    <row r="172" spans="1:20" x14ac:dyDescent="0.15">
      <c r="A172" s="240" t="s">
        <v>693</v>
      </c>
      <c r="D172" s="244"/>
      <c r="F172" s="135">
        <f ca="1">F170+F167</f>
        <v>283.20256819482091</v>
      </c>
      <c r="G172" s="470"/>
      <c r="H172" s="470"/>
      <c r="I172" s="470"/>
      <c r="J172" s="470"/>
      <c r="K172" s="470"/>
      <c r="L172" s="470"/>
      <c r="M172" s="470"/>
      <c r="N172" s="470"/>
      <c r="O172" s="470"/>
      <c r="Q172" s="223"/>
    </row>
    <row r="173" spans="1:20" x14ac:dyDescent="0.15">
      <c r="A173" s="240" t="s">
        <v>692</v>
      </c>
      <c r="D173" s="244"/>
      <c r="F173" s="135">
        <f ca="1">F171+F168</f>
        <v>357.03776165052864</v>
      </c>
      <c r="G173" s="470"/>
      <c r="H173" s="470"/>
      <c r="I173" s="470"/>
      <c r="J173" s="470"/>
      <c r="K173" s="470"/>
      <c r="L173" s="470"/>
      <c r="M173" s="470"/>
      <c r="N173" s="470"/>
      <c r="O173" s="470"/>
      <c r="Q173" s="223"/>
    </row>
    <row r="174" spans="1:20" ht="16" x14ac:dyDescent="0.2">
      <c r="A174" s="18"/>
      <c r="D174" s="3"/>
      <c r="E174" s="240"/>
      <c r="G174" s="470"/>
      <c r="H174" s="470"/>
      <c r="I174" s="470"/>
      <c r="J174" s="470"/>
      <c r="K174" s="470"/>
      <c r="L174" s="470"/>
      <c r="M174" s="470"/>
      <c r="N174" s="470"/>
      <c r="O174" s="470"/>
      <c r="Q174" s="223"/>
    </row>
    <row r="175" spans="1:20" x14ac:dyDescent="0.15">
      <c r="A175" s="338"/>
      <c r="F175" s="172"/>
      <c r="G175" s="470"/>
      <c r="H175" s="470"/>
      <c r="I175" s="470"/>
      <c r="J175" s="470"/>
      <c r="K175" s="470"/>
      <c r="L175" s="470"/>
      <c r="M175" s="470"/>
      <c r="N175" s="470"/>
      <c r="O175" s="470"/>
      <c r="P175" s="399"/>
      <c r="Q175" s="223"/>
    </row>
    <row r="176" spans="1:20" x14ac:dyDescent="0.15">
      <c r="A176" s="240"/>
      <c r="D176" s="3"/>
      <c r="F176" s="137"/>
      <c r="G176" s="470"/>
      <c r="H176" s="470"/>
      <c r="I176" s="470"/>
      <c r="J176" s="470"/>
      <c r="K176" s="470"/>
      <c r="L176" s="470"/>
      <c r="M176" s="470"/>
      <c r="N176" s="470"/>
      <c r="O176" s="470"/>
      <c r="P176" s="399"/>
      <c r="Q176" s="223"/>
    </row>
    <row r="177" spans="1:16" x14ac:dyDescent="0.15">
      <c r="A177" s="240"/>
      <c r="D177" s="3"/>
      <c r="F177" s="102"/>
      <c r="G177" s="470"/>
      <c r="H177" s="470"/>
      <c r="I177" s="470"/>
      <c r="J177" s="470"/>
      <c r="K177" s="470"/>
      <c r="L177" s="470"/>
      <c r="M177" s="470"/>
      <c r="N177" s="470"/>
      <c r="O177" s="470"/>
    </row>
    <row r="178" spans="1:16" x14ac:dyDescent="0.15">
      <c r="A178" s="240"/>
      <c r="D178" s="3"/>
      <c r="F178" s="135"/>
      <c r="G178" s="470"/>
      <c r="H178" s="470"/>
      <c r="I178" s="470"/>
      <c r="J178" s="470"/>
      <c r="K178" s="470"/>
      <c r="L178" s="470"/>
      <c r="M178" s="470"/>
      <c r="N178" s="470"/>
      <c r="O178" s="470"/>
      <c r="P178" s="399"/>
    </row>
    <row r="179" spans="1:16" x14ac:dyDescent="0.15">
      <c r="D179" s="3"/>
      <c r="F179" s="135"/>
      <c r="G179" s="470"/>
      <c r="H179" s="470"/>
      <c r="I179" s="470"/>
      <c r="J179" s="470"/>
      <c r="K179" s="470"/>
      <c r="L179" s="470"/>
      <c r="M179" s="470"/>
      <c r="N179" s="470"/>
      <c r="O179" s="470"/>
      <c r="P179" s="399"/>
    </row>
    <row r="180" spans="1:16" x14ac:dyDescent="0.15">
      <c r="D180" s="244"/>
      <c r="F180" s="135"/>
      <c r="G180" s="470"/>
      <c r="H180" s="470"/>
      <c r="I180" s="470"/>
      <c r="J180" s="470"/>
      <c r="K180" s="470"/>
      <c r="L180" s="470"/>
      <c r="M180" s="470"/>
      <c r="N180" s="470"/>
      <c r="O180" s="470"/>
    </row>
    <row r="181" spans="1:16" ht="16" x14ac:dyDescent="0.2">
      <c r="A181" s="18" t="s">
        <v>181</v>
      </c>
      <c r="D181" s="3"/>
      <c r="E181" s="106"/>
      <c r="F181" s="6"/>
      <c r="G181" s="470"/>
      <c r="H181" s="470"/>
      <c r="I181" s="470"/>
      <c r="J181" s="470"/>
      <c r="K181" s="470"/>
      <c r="L181" s="470"/>
      <c r="M181" s="470"/>
      <c r="N181" s="470"/>
      <c r="O181" s="470"/>
      <c r="P181" s="223"/>
    </row>
    <row r="182" spans="1:16" x14ac:dyDescent="0.15">
      <c r="A182" s="240" t="s">
        <v>525</v>
      </c>
      <c r="B182" s="240"/>
      <c r="C182" s="240"/>
      <c r="D182" s="234"/>
      <c r="E182" s="133"/>
      <c r="F182" s="257">
        <v>0</v>
      </c>
      <c r="G182" s="470"/>
      <c r="H182" s="470"/>
      <c r="I182" s="470"/>
      <c r="J182" s="470"/>
      <c r="K182" s="470"/>
      <c r="L182" s="470"/>
      <c r="M182" s="470"/>
      <c r="N182" s="470"/>
      <c r="O182" s="470"/>
      <c r="P182" s="223"/>
    </row>
    <row r="183" spans="1:16" x14ac:dyDescent="0.15">
      <c r="A183" s="240" t="s">
        <v>458</v>
      </c>
      <c r="B183" s="7"/>
      <c r="C183" s="7"/>
      <c r="D183" s="9"/>
      <c r="E183" s="152"/>
      <c r="F183" s="287">
        <f t="shared" ref="F183" si="37">(F182/F64)</f>
        <v>0</v>
      </c>
      <c r="G183" s="470"/>
      <c r="H183" s="470"/>
      <c r="I183" s="470"/>
      <c r="J183" s="470"/>
      <c r="K183" s="470"/>
      <c r="L183" s="470"/>
      <c r="M183" s="470"/>
      <c r="N183" s="470"/>
      <c r="O183" s="470"/>
      <c r="P183" s="223"/>
    </row>
    <row r="184" spans="1:16" x14ac:dyDescent="0.15">
      <c r="A184" s="7" t="s">
        <v>182</v>
      </c>
      <c r="B184" s="7"/>
      <c r="C184" s="7"/>
      <c r="D184" s="9"/>
      <c r="E184" s="7"/>
      <c r="F184" s="161">
        <f>Chem!$E65</f>
        <v>95</v>
      </c>
      <c r="G184" s="470"/>
      <c r="H184" s="470"/>
      <c r="I184" s="470"/>
      <c r="J184" s="470"/>
      <c r="K184" s="470"/>
      <c r="L184" s="470"/>
      <c r="M184" s="470"/>
      <c r="N184" s="470"/>
      <c r="O184" s="470"/>
      <c r="P184" s="223"/>
    </row>
    <row r="185" spans="1:16" x14ac:dyDescent="0.15">
      <c r="A185" s="240" t="s">
        <v>183</v>
      </c>
      <c r="F185" s="20" t="e">
        <f ca="1">F136*F184/100/F183*1000</f>
        <v>#DIV/0!</v>
      </c>
      <c r="G185" s="470" t="s">
        <v>885</v>
      </c>
      <c r="H185" s="470"/>
      <c r="I185" s="470"/>
      <c r="J185" s="470"/>
      <c r="K185" s="470"/>
      <c r="L185" s="470"/>
      <c r="M185" s="470"/>
      <c r="N185" s="470"/>
      <c r="O185" s="470"/>
      <c r="P185" s="223"/>
    </row>
    <row r="186" spans="1:16" ht="16" x14ac:dyDescent="0.2">
      <c r="A186" s="18" t="s">
        <v>479</v>
      </c>
      <c r="E186" s="301"/>
      <c r="F186" s="230"/>
      <c r="G186" s="470"/>
      <c r="H186" s="470"/>
      <c r="I186" s="470"/>
      <c r="J186" s="470"/>
      <c r="K186" s="470"/>
      <c r="L186" s="470"/>
      <c r="M186" s="470"/>
      <c r="N186" s="470"/>
      <c r="O186" s="470"/>
      <c r="P186" s="223"/>
    </row>
    <row r="187" spans="1:16" x14ac:dyDescent="0.15">
      <c r="A187" s="58" t="s">
        <v>308</v>
      </c>
      <c r="B187" s="45"/>
      <c r="C187" s="45"/>
      <c r="D187" s="7"/>
      <c r="E187" s="7"/>
      <c r="F187" s="179"/>
      <c r="G187" s="470"/>
      <c r="H187" s="470"/>
      <c r="I187" s="470"/>
      <c r="J187" s="470"/>
      <c r="K187" s="470"/>
      <c r="L187" s="470"/>
      <c r="M187" s="470"/>
      <c r="N187" s="470"/>
      <c r="O187" s="470"/>
    </row>
    <row r="188" spans="1:16" x14ac:dyDescent="0.15">
      <c r="A188" s="58" t="s">
        <v>480</v>
      </c>
      <c r="B188" s="45"/>
      <c r="C188" s="45"/>
      <c r="D188" s="7"/>
      <c r="E188" s="7"/>
      <c r="F188" s="199"/>
      <c r="G188" s="470"/>
      <c r="H188" s="470"/>
      <c r="I188" s="470"/>
      <c r="J188" s="470"/>
      <c r="K188" s="470"/>
      <c r="L188" s="470"/>
      <c r="M188" s="470"/>
      <c r="N188" s="470"/>
      <c r="O188" s="470"/>
    </row>
    <row r="189" spans="1:16" x14ac:dyDescent="0.15">
      <c r="A189" s="5" t="s">
        <v>481</v>
      </c>
      <c r="B189" s="7"/>
      <c r="C189" s="7"/>
      <c r="D189" s="7"/>
      <c r="E189" s="252"/>
      <c r="F189" s="200">
        <f>'Flow and System'!C10</f>
        <v>110</v>
      </c>
      <c r="G189" s="470"/>
      <c r="H189" s="470"/>
      <c r="I189" s="470"/>
      <c r="J189" s="470"/>
      <c r="K189" s="470"/>
      <c r="L189" s="470"/>
      <c r="M189" s="470"/>
      <c r="N189" s="470"/>
      <c r="O189" s="470"/>
    </row>
    <row r="190" spans="1:16" x14ac:dyDescent="0.15">
      <c r="A190" s="5" t="s">
        <v>316</v>
      </c>
      <c r="B190" s="7"/>
      <c r="C190" s="7"/>
      <c r="D190" s="7"/>
      <c r="E190" s="7"/>
      <c r="F190" s="201"/>
      <c r="G190" s="470"/>
      <c r="H190" s="470"/>
      <c r="I190" s="470"/>
      <c r="J190" s="470"/>
      <c r="K190" s="470"/>
      <c r="L190" s="470"/>
      <c r="M190" s="470"/>
      <c r="N190" s="470"/>
      <c r="O190" s="470"/>
    </row>
    <row r="191" spans="1:16" x14ac:dyDescent="0.15">
      <c r="A191" s="240" t="s">
        <v>439</v>
      </c>
      <c r="B191" s="7"/>
      <c r="C191" s="7"/>
      <c r="D191" s="7"/>
      <c r="E191" s="7"/>
      <c r="F191" s="253">
        <f t="shared" ref="F191" ca="1" si="38">F76</f>
        <v>34894.480897858928</v>
      </c>
      <c r="G191" s="470"/>
      <c r="H191" s="470"/>
      <c r="I191" s="470"/>
      <c r="J191" s="470"/>
      <c r="K191" s="470"/>
      <c r="L191" s="470"/>
      <c r="M191" s="470"/>
      <c r="N191" s="470"/>
      <c r="O191" s="470"/>
      <c r="P191" s="399"/>
    </row>
    <row r="192" spans="1:16" x14ac:dyDescent="0.15">
      <c r="A192" s="7" t="s">
        <v>2</v>
      </c>
      <c r="F192" s="66">
        <f ca="1">F191</f>
        <v>34894.480897858928</v>
      </c>
      <c r="G192" s="470"/>
      <c r="H192" s="470"/>
      <c r="I192" s="470"/>
      <c r="J192" s="470"/>
      <c r="K192" s="470"/>
      <c r="L192" s="470"/>
      <c r="M192" s="470"/>
      <c r="N192" s="470"/>
      <c r="O192" s="470"/>
      <c r="P192" s="399"/>
    </row>
    <row r="193" spans="1:17" x14ac:dyDescent="0.15">
      <c r="A193" s="7" t="s">
        <v>244</v>
      </c>
      <c r="F193" s="66">
        <f t="shared" ref="F193" ca="1" si="39">F192</f>
        <v>34894.480897858928</v>
      </c>
      <c r="G193" s="470"/>
      <c r="H193" s="470"/>
      <c r="I193" s="470"/>
      <c r="J193" s="470"/>
      <c r="K193" s="470"/>
      <c r="L193" s="470"/>
      <c r="M193" s="470"/>
      <c r="N193" s="470"/>
      <c r="O193" s="470"/>
    </row>
    <row r="194" spans="1:17" x14ac:dyDescent="0.15">
      <c r="A194" s="7" t="s">
        <v>246</v>
      </c>
      <c r="F194" s="6">
        <f ca="1">F97</f>
        <v>517.74544554591682</v>
      </c>
      <c r="G194" s="470"/>
      <c r="H194" s="470"/>
      <c r="I194" s="470"/>
      <c r="J194" s="470"/>
      <c r="K194" s="470"/>
      <c r="L194" s="470"/>
      <c r="M194" s="470"/>
      <c r="N194" s="470"/>
      <c r="O194" s="470"/>
      <c r="P194" s="399"/>
    </row>
    <row r="195" spans="1:17" x14ac:dyDescent="0.15">
      <c r="A195" s="7"/>
      <c r="F195" s="6"/>
      <c r="G195" s="470"/>
      <c r="H195" s="470"/>
      <c r="I195" s="470"/>
      <c r="J195" s="470"/>
      <c r="K195" s="470"/>
      <c r="L195" s="470"/>
      <c r="M195" s="470"/>
      <c r="N195" s="470"/>
      <c r="O195" s="470"/>
    </row>
    <row r="196" spans="1:17" x14ac:dyDescent="0.15">
      <c r="A196" s="7" t="s">
        <v>245</v>
      </c>
      <c r="F196" s="20">
        <v>0.3</v>
      </c>
      <c r="G196" s="470"/>
      <c r="H196" s="470"/>
      <c r="I196" s="470"/>
      <c r="J196" s="470"/>
      <c r="K196" s="470"/>
      <c r="L196" s="470"/>
      <c r="M196" s="470"/>
      <c r="N196" s="470"/>
      <c r="O196" s="470"/>
    </row>
    <row r="197" spans="1:17" ht="16" x14ac:dyDescent="0.2">
      <c r="A197" s="7"/>
      <c r="E197" s="150" t="s">
        <v>318</v>
      </c>
      <c r="F197" s="398">
        <v>0</v>
      </c>
      <c r="G197" s="470"/>
      <c r="H197" s="470"/>
      <c r="I197" s="470"/>
      <c r="J197" s="470"/>
      <c r="K197" s="470"/>
      <c r="L197" s="470"/>
      <c r="M197" s="470"/>
      <c r="N197" s="470"/>
      <c r="O197" s="470"/>
      <c r="P197" s="255"/>
    </row>
    <row r="198" spans="1:17" x14ac:dyDescent="0.15">
      <c r="F198" s="412"/>
      <c r="G198" s="470"/>
      <c r="H198" s="470"/>
      <c r="I198" s="470"/>
      <c r="J198" s="470"/>
      <c r="K198" s="470"/>
      <c r="L198" s="470"/>
      <c r="M198" s="470"/>
      <c r="N198" s="470"/>
      <c r="O198" s="470"/>
      <c r="P198" s="238"/>
    </row>
    <row r="199" spans="1:17" ht="16" x14ac:dyDescent="0.2">
      <c r="C199" s="17"/>
      <c r="D199" s="17"/>
      <c r="E199" s="459" t="s">
        <v>531</v>
      </c>
      <c r="F199" s="53"/>
      <c r="G199" s="470"/>
      <c r="H199" s="470"/>
      <c r="I199" s="470"/>
      <c r="J199" s="470"/>
      <c r="K199" s="470"/>
      <c r="L199" s="470"/>
      <c r="M199" s="470"/>
      <c r="N199" s="470"/>
      <c r="O199" s="470"/>
      <c r="P199" s="238"/>
      <c r="Q199" s="238"/>
    </row>
    <row r="200" spans="1:17" x14ac:dyDescent="0.15">
      <c r="C200" s="17"/>
      <c r="D200" s="17"/>
      <c r="E200" s="387" t="s">
        <v>532</v>
      </c>
      <c r="F200" s="367">
        <f>'Summary of Results'!F17</f>
        <v>6.18</v>
      </c>
      <c r="G200" s="470"/>
      <c r="H200" s="470"/>
      <c r="I200" s="470"/>
      <c r="J200" s="470"/>
      <c r="K200" s="470"/>
      <c r="L200" s="470"/>
      <c r="M200" s="470"/>
      <c r="N200" s="470"/>
      <c r="O200" s="470"/>
      <c r="P200" s="137"/>
      <c r="Q200" s="137"/>
    </row>
    <row r="201" spans="1:17" x14ac:dyDescent="0.15">
      <c r="C201" s="17"/>
      <c r="D201" s="17"/>
      <c r="E201" s="387" t="s">
        <v>842</v>
      </c>
      <c r="F201" s="53">
        <f ca="1">'Summary of Results'!F9</f>
        <v>69.468343547171244</v>
      </c>
      <c r="G201" s="470"/>
      <c r="H201" s="470"/>
      <c r="I201" s="470"/>
      <c r="J201" s="470"/>
      <c r="K201" s="470"/>
      <c r="L201" s="470"/>
      <c r="M201" s="470"/>
      <c r="N201" s="470"/>
      <c r="O201" s="470"/>
      <c r="P201" s="137"/>
      <c r="Q201" s="137"/>
    </row>
    <row r="202" spans="1:17" x14ac:dyDescent="0.15">
      <c r="C202" s="17"/>
      <c r="D202" s="17"/>
      <c r="E202" s="387" t="s">
        <v>843</v>
      </c>
      <c r="F202" s="409">
        <f t="shared" ref="F202" ca="1" si="40">F137</f>
        <v>103.15978665766556</v>
      </c>
      <c r="G202" s="470"/>
      <c r="H202" s="470"/>
      <c r="I202" s="470"/>
      <c r="J202" s="470"/>
      <c r="K202" s="470"/>
      <c r="L202" s="470"/>
      <c r="M202" s="470"/>
      <c r="N202" s="470"/>
      <c r="O202" s="470"/>
      <c r="P202" s="137"/>
      <c r="Q202" s="137"/>
    </row>
    <row r="203" spans="1:17" x14ac:dyDescent="0.15">
      <c r="C203" s="17"/>
      <c r="D203" s="17"/>
      <c r="E203" s="387" t="s">
        <v>695</v>
      </c>
      <c r="F203" s="367">
        <f ca="1">F77*1000/F102</f>
        <v>83.815117903111627</v>
      </c>
      <c r="G203" s="470"/>
      <c r="H203" s="470"/>
      <c r="I203" s="470"/>
      <c r="J203" s="470"/>
      <c r="K203" s="470"/>
      <c r="L203" s="470"/>
      <c r="M203" s="470"/>
      <c r="N203" s="470"/>
      <c r="O203" s="470"/>
      <c r="P203" s="137"/>
      <c r="Q203" s="137"/>
    </row>
    <row r="204" spans="1:17" x14ac:dyDescent="0.15">
      <c r="C204" s="17"/>
      <c r="D204" s="17"/>
      <c r="E204" s="387" t="s">
        <v>790</v>
      </c>
      <c r="F204" s="352">
        <f ca="1">'Iterative I-V'!C137</f>
        <v>208.16340638091179</v>
      </c>
      <c r="G204" s="470"/>
      <c r="H204" s="470"/>
      <c r="I204" s="470"/>
      <c r="J204" s="470"/>
      <c r="K204" s="470"/>
      <c r="L204" s="470"/>
      <c r="M204" s="470"/>
      <c r="N204" s="470"/>
      <c r="O204" s="470"/>
      <c r="P204" s="448"/>
      <c r="Q204" s="137"/>
    </row>
    <row r="205" spans="1:17" x14ac:dyDescent="0.15">
      <c r="C205" s="17"/>
      <c r="D205" s="26" t="s">
        <v>617</v>
      </c>
      <c r="E205" s="387" t="s">
        <v>571</v>
      </c>
      <c r="F205" s="352">
        <f ca="1">F168</f>
        <v>297.03776165052864</v>
      </c>
      <c r="G205" s="470"/>
      <c r="H205" s="470"/>
      <c r="I205" s="470"/>
      <c r="J205" s="470"/>
      <c r="K205" s="470"/>
      <c r="L205" s="470"/>
      <c r="M205" s="470"/>
      <c r="N205" s="470"/>
      <c r="O205" s="470"/>
      <c r="P205" s="137"/>
      <c r="Q205" s="137"/>
    </row>
    <row r="206" spans="1:17" x14ac:dyDescent="0.15">
      <c r="C206" s="17"/>
      <c r="D206" s="26" t="s">
        <v>617</v>
      </c>
      <c r="E206" s="387" t="s">
        <v>416</v>
      </c>
      <c r="F206" s="352">
        <f t="shared" ref="F206" ca="1" si="41">F167</f>
        <v>223.20256819482091</v>
      </c>
      <c r="G206" s="470"/>
      <c r="H206" s="470"/>
      <c r="I206" s="470"/>
      <c r="J206" s="470"/>
      <c r="K206" s="470"/>
      <c r="L206" s="470"/>
      <c r="M206" s="470"/>
      <c r="N206" s="470"/>
      <c r="O206" s="470"/>
      <c r="P206" s="137"/>
      <c r="Q206" s="137"/>
    </row>
    <row r="207" spans="1:17" x14ac:dyDescent="0.15">
      <c r="C207" s="17"/>
      <c r="D207" s="26" t="s">
        <v>617</v>
      </c>
      <c r="E207" s="387" t="s">
        <v>440</v>
      </c>
      <c r="F207" s="352">
        <f ca="1">F202*1000/F205</f>
        <v>347.29519265309875</v>
      </c>
      <c r="G207" s="470"/>
      <c r="H207" s="470"/>
      <c r="I207" s="470"/>
      <c r="J207" s="470"/>
      <c r="K207" s="470"/>
      <c r="L207" s="470"/>
      <c r="M207" s="470"/>
      <c r="N207" s="470"/>
      <c r="O207" s="470"/>
      <c r="P207" s="137"/>
      <c r="Q207" s="137"/>
    </row>
    <row r="208" spans="1:17" x14ac:dyDescent="0.15">
      <c r="C208" s="17"/>
      <c r="D208" s="26" t="s">
        <v>617</v>
      </c>
      <c r="E208" s="387" t="s">
        <v>533</v>
      </c>
      <c r="F208" s="352">
        <f ca="1">F202*1000/F206</f>
        <v>462.18010613400833</v>
      </c>
      <c r="G208" s="470"/>
      <c r="H208" s="470"/>
      <c r="I208" s="470"/>
      <c r="J208" s="470"/>
      <c r="K208" s="470"/>
      <c r="L208" s="470"/>
      <c r="M208" s="470"/>
      <c r="N208" s="470"/>
      <c r="O208" s="470"/>
      <c r="P208" s="137"/>
      <c r="Q208" s="137"/>
    </row>
    <row r="209" spans="3:20" s="240" customFormat="1" x14ac:dyDescent="0.15">
      <c r="C209" s="26"/>
      <c r="D209" s="26" t="s">
        <v>617</v>
      </c>
      <c r="E209" s="387" t="s">
        <v>367</v>
      </c>
      <c r="F209" s="352">
        <f ca="1">F210/F202</f>
        <v>18.737961968593261</v>
      </c>
      <c r="G209" s="470"/>
      <c r="H209" s="470"/>
      <c r="I209" s="470"/>
      <c r="J209" s="470"/>
      <c r="K209" s="470"/>
      <c r="L209" s="470"/>
      <c r="M209" s="470"/>
      <c r="N209" s="470"/>
      <c r="O209" s="470"/>
      <c r="P209" s="137"/>
      <c r="Q209" s="137"/>
      <c r="R209" s="255"/>
      <c r="S209" s="255"/>
      <c r="T209" s="255"/>
    </row>
    <row r="210" spans="3:20" x14ac:dyDescent="0.15">
      <c r="C210" s="17"/>
      <c r="D210" s="26"/>
      <c r="E210" s="387" t="s">
        <v>526</v>
      </c>
      <c r="F210" s="30">
        <f ca="1">'Summary of Results'!F70+'Summary of Results'!F71</f>
        <v>1996.3595335315354</v>
      </c>
      <c r="G210" s="470"/>
      <c r="H210" s="470"/>
      <c r="I210" s="470"/>
      <c r="J210" s="470"/>
      <c r="K210" s="470"/>
      <c r="L210" s="470"/>
      <c r="M210" s="470"/>
      <c r="N210" s="470"/>
      <c r="O210" s="470"/>
    </row>
    <row r="211" spans="3:20" x14ac:dyDescent="0.15">
      <c r="C211" s="17"/>
      <c r="D211" s="26" t="s">
        <v>417</v>
      </c>
      <c r="E211" s="387" t="s">
        <v>571</v>
      </c>
      <c r="F211" s="53">
        <f t="shared" ref="F211" ca="1" si="42">F173</f>
        <v>357.03776165052864</v>
      </c>
      <c r="G211" s="470"/>
      <c r="H211" s="470"/>
      <c r="I211" s="470"/>
      <c r="J211" s="470"/>
      <c r="K211" s="470"/>
      <c r="L211" s="470"/>
      <c r="M211" s="470"/>
      <c r="N211" s="470"/>
      <c r="O211" s="470"/>
    </row>
    <row r="212" spans="3:20" x14ac:dyDescent="0.15">
      <c r="C212" s="17"/>
      <c r="D212" s="26" t="s">
        <v>417</v>
      </c>
      <c r="E212" s="387" t="s">
        <v>416</v>
      </c>
      <c r="F212" s="367">
        <f ca="1">F172</f>
        <v>283.20256819482091</v>
      </c>
      <c r="G212" s="470"/>
      <c r="H212" s="470"/>
      <c r="I212" s="470"/>
      <c r="J212" s="470"/>
      <c r="K212" s="470"/>
      <c r="L212" s="470"/>
      <c r="M212" s="470"/>
      <c r="N212" s="470"/>
      <c r="O212" s="470"/>
    </row>
    <row r="213" spans="3:20" x14ac:dyDescent="0.15">
      <c r="C213" s="17"/>
      <c r="D213" s="26" t="s">
        <v>417</v>
      </c>
      <c r="E213" s="387" t="s">
        <v>440</v>
      </c>
      <c r="F213" s="352">
        <f ca="1">F202/F211*1000</f>
        <v>288.93242602904053</v>
      </c>
      <c r="G213" s="470"/>
      <c r="H213" s="470"/>
      <c r="I213" s="470"/>
      <c r="J213" s="470"/>
      <c r="K213" s="470"/>
      <c r="L213" s="470"/>
      <c r="M213" s="470"/>
      <c r="N213" s="470"/>
      <c r="O213" s="470"/>
    </row>
    <row r="214" spans="3:20" x14ac:dyDescent="0.15">
      <c r="C214" s="17"/>
      <c r="D214" s="26" t="s">
        <v>417</v>
      </c>
      <c r="E214" s="387" t="s">
        <v>533</v>
      </c>
      <c r="F214" s="352">
        <f ca="1">F202*1000/F212</f>
        <v>364.261480096112</v>
      </c>
      <c r="G214" s="470"/>
      <c r="H214" s="470"/>
      <c r="I214" s="470"/>
      <c r="J214" s="470"/>
      <c r="K214" s="470"/>
      <c r="L214" s="470"/>
      <c r="M214" s="470"/>
      <c r="N214" s="470"/>
      <c r="O214" s="470"/>
    </row>
    <row r="215" spans="3:20" x14ac:dyDescent="0.15">
      <c r="C215" s="26" t="s">
        <v>874</v>
      </c>
      <c r="D215" s="26" t="s">
        <v>417</v>
      </c>
      <c r="E215" s="387" t="s">
        <v>367</v>
      </c>
      <c r="F215" s="352">
        <f ca="1">'Summary of Results'!F73/F202</f>
        <v>25.653014796486985</v>
      </c>
      <c r="G215" s="470"/>
      <c r="H215" s="470"/>
      <c r="I215" s="470"/>
      <c r="J215" s="470"/>
      <c r="K215" s="470"/>
      <c r="L215" s="470"/>
      <c r="M215" s="470"/>
      <c r="N215" s="470"/>
      <c r="O215" s="470"/>
      <c r="P215" s="137"/>
    </row>
    <row r="216" spans="3:20" x14ac:dyDescent="0.15">
      <c r="C216" s="26" t="s">
        <v>826</v>
      </c>
      <c r="D216" s="76" t="s">
        <v>417</v>
      </c>
      <c r="E216" s="421" t="s">
        <v>367</v>
      </c>
      <c r="F216" s="352">
        <f ca="1">45000*F219/1000/F202+F215</f>
        <v>28.355589137847222</v>
      </c>
      <c r="G216" s="470"/>
      <c r="H216" s="470"/>
      <c r="I216" s="470"/>
      <c r="J216" s="470"/>
      <c r="K216" s="470"/>
      <c r="L216" s="470"/>
      <c r="M216" s="470"/>
      <c r="N216" s="470"/>
      <c r="O216" s="470"/>
      <c r="P216" s="137"/>
    </row>
    <row r="217" spans="3:20" x14ac:dyDescent="0.15">
      <c r="C217" s="17"/>
      <c r="D217" s="26" t="s">
        <v>417</v>
      </c>
      <c r="E217" s="387" t="s">
        <v>845</v>
      </c>
      <c r="F217" s="410">
        <f t="shared" ref="F217" ca="1" si="43">F211-F67/1000*(F12-F13)</f>
        <v>405.92778091953483</v>
      </c>
      <c r="G217" s="470"/>
      <c r="H217" s="470"/>
      <c r="I217" s="470"/>
      <c r="J217" s="470"/>
      <c r="K217" s="470"/>
      <c r="L217" s="470"/>
      <c r="M217" s="470"/>
      <c r="N217" s="470"/>
      <c r="O217" s="470"/>
    </row>
    <row r="218" spans="3:20" x14ac:dyDescent="0.15">
      <c r="C218" s="17"/>
      <c r="D218" s="26" t="s">
        <v>417</v>
      </c>
      <c r="E218" s="387" t="s">
        <v>844</v>
      </c>
      <c r="F218" s="410">
        <f ca="1">F202*1000/F217</f>
        <v>254.1333495923366</v>
      </c>
      <c r="G218" s="470"/>
      <c r="H218" s="470"/>
      <c r="I218" s="470"/>
      <c r="J218" s="470"/>
      <c r="K218" s="470"/>
      <c r="L218" s="470"/>
      <c r="M218" s="470"/>
      <c r="N218" s="470"/>
      <c r="O218" s="470"/>
    </row>
    <row r="219" spans="3:20" x14ac:dyDescent="0.15">
      <c r="C219" s="26" t="s">
        <v>827</v>
      </c>
      <c r="D219" s="17">
        <f>1</f>
        <v>1</v>
      </c>
      <c r="E219" s="413" t="s">
        <v>828</v>
      </c>
      <c r="F219" s="410">
        <f t="shared" ref="F219" ca="1" si="44">F141*F67/F63/$D$219/1000</f>
        <v>6.1954887218045114</v>
      </c>
      <c r="G219" s="470"/>
      <c r="H219" s="470"/>
      <c r="I219" s="470"/>
      <c r="J219" s="470"/>
      <c r="K219" s="470"/>
      <c r="L219" s="470"/>
      <c r="M219" s="470"/>
      <c r="N219" s="470"/>
      <c r="O219" s="470"/>
    </row>
    <row r="220" spans="3:20" x14ac:dyDescent="0.15">
      <c r="C220" s="17"/>
      <c r="D220" s="17"/>
      <c r="E220" s="411"/>
      <c r="F220" s="410"/>
      <c r="G220" s="410"/>
      <c r="H220" s="410"/>
      <c r="I220" s="410"/>
      <c r="J220" s="410"/>
      <c r="K220" s="410"/>
      <c r="L220" s="410"/>
      <c r="M220" s="410"/>
      <c r="N220" s="410"/>
      <c r="O220" s="410"/>
    </row>
    <row r="221" spans="3:20" x14ac:dyDescent="0.15">
      <c r="C221" s="17"/>
      <c r="D221" s="17"/>
      <c r="E221" s="411"/>
      <c r="F221" s="410"/>
      <c r="G221" s="410"/>
      <c r="H221" s="410"/>
      <c r="I221" s="410"/>
      <c r="J221" s="410"/>
      <c r="K221" s="410"/>
      <c r="L221" s="410"/>
      <c r="M221" s="410"/>
      <c r="N221" s="410"/>
      <c r="O221" s="410"/>
    </row>
    <row r="222" spans="3:20" x14ac:dyDescent="0.15">
      <c r="C222" s="17"/>
      <c r="D222" s="26"/>
      <c r="E222" s="411"/>
      <c r="F222" s="410"/>
      <c r="G222" s="410"/>
      <c r="H222" s="410"/>
      <c r="I222" s="410"/>
      <c r="J222" s="410"/>
      <c r="K222" s="410"/>
      <c r="L222" s="410"/>
      <c r="M222" s="410"/>
      <c r="N222" s="410"/>
      <c r="O222" s="410"/>
    </row>
    <row r="223" spans="3:20" x14ac:dyDescent="0.15">
      <c r="C223" s="17"/>
      <c r="D223" s="17"/>
      <c r="E223" s="411"/>
      <c r="F223" s="410"/>
      <c r="G223" s="410"/>
      <c r="H223" s="410"/>
      <c r="I223" s="410"/>
      <c r="J223" s="410"/>
      <c r="K223" s="410"/>
      <c r="L223" s="410"/>
      <c r="M223" s="410"/>
      <c r="N223" s="410"/>
      <c r="O223" s="410"/>
    </row>
    <row r="224" spans="3:20" x14ac:dyDescent="0.15">
      <c r="C224" s="17"/>
      <c r="D224" s="17"/>
      <c r="E224" s="387"/>
      <c r="F224" s="367"/>
      <c r="G224" s="367"/>
      <c r="H224" s="367"/>
      <c r="I224" s="367"/>
      <c r="J224" s="367"/>
      <c r="K224" s="6"/>
      <c r="L224" s="6"/>
      <c r="M224" s="6"/>
      <c r="N224" s="6"/>
      <c r="O224" s="6"/>
    </row>
    <row r="225" spans="3:16" x14ac:dyDescent="0.15">
      <c r="C225" s="17"/>
      <c r="D225" s="17"/>
      <c r="E225" s="387"/>
      <c r="F225" s="367"/>
      <c r="G225" s="367"/>
      <c r="H225" s="367"/>
      <c r="I225" s="367"/>
      <c r="J225" s="367"/>
      <c r="K225" s="6"/>
      <c r="L225" s="6"/>
      <c r="M225" s="6"/>
      <c r="N225" s="6"/>
      <c r="O225" s="6"/>
    </row>
    <row r="226" spans="3:16" x14ac:dyDescent="0.15">
      <c r="C226" s="17"/>
      <c r="D226" s="17"/>
      <c r="E226" s="387"/>
      <c r="F226" s="367"/>
      <c r="G226" s="367"/>
      <c r="H226" s="367"/>
      <c r="I226" s="367"/>
      <c r="J226" s="367"/>
      <c r="K226" s="6"/>
      <c r="L226" s="6"/>
      <c r="M226" s="6"/>
      <c r="N226" s="6"/>
      <c r="O226" s="6"/>
    </row>
    <row r="227" spans="3:16" x14ac:dyDescent="0.15">
      <c r="C227" s="17"/>
      <c r="D227" s="26"/>
      <c r="E227" s="387"/>
      <c r="F227" s="367"/>
      <c r="G227" s="367"/>
      <c r="H227" s="367"/>
      <c r="I227" s="367"/>
      <c r="J227" s="367"/>
      <c r="K227" s="367"/>
      <c r="L227" s="367"/>
      <c r="M227" s="367"/>
      <c r="N227" s="367"/>
      <c r="O227" s="367"/>
    </row>
    <row r="228" spans="3:16" x14ac:dyDescent="0.15">
      <c r="C228" s="17"/>
      <c r="D228" s="26"/>
      <c r="E228" s="387"/>
      <c r="F228" s="367"/>
      <c r="G228" s="367"/>
      <c r="H228" s="367"/>
      <c r="I228" s="367"/>
      <c r="J228" s="367"/>
      <c r="K228" s="367"/>
      <c r="L228" s="367"/>
      <c r="M228" s="367"/>
      <c r="N228" s="367"/>
      <c r="O228" s="367"/>
    </row>
    <row r="229" spans="3:16" x14ac:dyDescent="0.15">
      <c r="C229" s="17"/>
      <c r="D229" s="26"/>
      <c r="E229" s="387"/>
      <c r="F229" s="367"/>
      <c r="G229" s="367"/>
      <c r="H229" s="367"/>
      <c r="I229" s="367"/>
      <c r="J229" s="367"/>
      <c r="K229" s="6"/>
      <c r="L229" s="6"/>
      <c r="M229" s="6"/>
      <c r="N229" s="6"/>
      <c r="O229" s="6"/>
    </row>
    <row r="230" spans="3:16" x14ac:dyDescent="0.15">
      <c r="C230" s="17"/>
      <c r="D230" s="17"/>
      <c r="E230" s="387"/>
      <c r="F230" s="367"/>
      <c r="G230" s="367"/>
      <c r="H230" s="367"/>
      <c r="I230" s="367"/>
      <c r="J230" s="367"/>
      <c r="K230" s="6"/>
      <c r="L230" s="6"/>
      <c r="M230" s="6"/>
      <c r="N230" s="6"/>
      <c r="O230" s="6"/>
    </row>
    <row r="231" spans="3:16" x14ac:dyDescent="0.15">
      <c r="C231" s="17"/>
      <c r="D231" s="17"/>
      <c r="E231" s="387"/>
      <c r="F231" s="367"/>
      <c r="G231" s="367"/>
      <c r="H231" s="367"/>
      <c r="I231" s="367"/>
      <c r="J231" s="367"/>
      <c r="K231" s="6"/>
      <c r="L231" s="6"/>
      <c r="M231" s="6"/>
      <c r="N231" s="6"/>
      <c r="O231" s="6"/>
    </row>
    <row r="232" spans="3:16" x14ac:dyDescent="0.15">
      <c r="C232" s="17"/>
      <c r="D232" s="17"/>
      <c r="E232" s="387"/>
      <c r="F232" s="367"/>
      <c r="G232" s="367"/>
      <c r="H232" s="367"/>
      <c r="I232" s="367"/>
      <c r="J232" s="367"/>
      <c r="K232" s="6"/>
      <c r="L232" s="6"/>
      <c r="M232" s="6"/>
      <c r="N232" s="6"/>
      <c r="O232" s="6"/>
    </row>
    <row r="233" spans="3:16" x14ac:dyDescent="0.15">
      <c r="C233" s="17"/>
      <c r="D233" s="17"/>
      <c r="E233" s="387"/>
      <c r="F233" s="53"/>
      <c r="G233" s="53"/>
      <c r="H233" s="53"/>
      <c r="I233" s="53"/>
      <c r="J233" s="53"/>
      <c r="K233" s="53"/>
      <c r="L233" s="53"/>
      <c r="M233" s="53"/>
      <c r="N233" s="53"/>
      <c r="O233" s="53"/>
      <c r="P233" s="448"/>
    </row>
    <row r="234" spans="3:16" x14ac:dyDescent="0.15">
      <c r="C234" s="17"/>
      <c r="D234" s="17"/>
      <c r="E234" s="387"/>
      <c r="F234" s="367"/>
      <c r="G234" s="367"/>
      <c r="H234" s="367"/>
      <c r="I234" s="367"/>
      <c r="J234" s="367"/>
      <c r="K234" s="6"/>
      <c r="L234" s="6"/>
      <c r="M234" s="6"/>
      <c r="N234" s="6"/>
      <c r="O234" s="6"/>
    </row>
    <row r="235" spans="3:16" x14ac:dyDescent="0.15">
      <c r="C235" s="17"/>
      <c r="D235" s="17"/>
      <c r="E235" s="387"/>
      <c r="F235" s="53"/>
      <c r="G235" s="53"/>
      <c r="H235" s="53"/>
      <c r="I235" s="53"/>
      <c r="J235" s="53"/>
      <c r="K235" s="53"/>
      <c r="L235" s="53"/>
      <c r="M235" s="53"/>
      <c r="N235" s="53"/>
      <c r="O235" s="53"/>
      <c r="P235" s="448"/>
    </row>
    <row r="236" spans="3:16" x14ac:dyDescent="0.15">
      <c r="C236" s="17"/>
      <c r="D236" s="17"/>
      <c r="E236" s="387"/>
      <c r="F236" s="367"/>
      <c r="G236" s="367"/>
      <c r="H236" s="367"/>
      <c r="I236" s="367"/>
      <c r="J236" s="367"/>
      <c r="K236" s="6"/>
      <c r="L236" s="6"/>
      <c r="M236" s="6"/>
      <c r="N236" s="6"/>
      <c r="O236" s="6"/>
    </row>
    <row r="237" spans="3:16" x14ac:dyDescent="0.15">
      <c r="C237" s="17"/>
      <c r="D237" s="17"/>
      <c r="E237" s="387"/>
      <c r="F237" s="367"/>
      <c r="G237" s="367"/>
      <c r="H237" s="367"/>
      <c r="I237" s="367"/>
      <c r="J237" s="367"/>
      <c r="K237" s="6"/>
      <c r="L237" s="6"/>
      <c r="M237" s="6"/>
      <c r="N237" s="6"/>
      <c r="O237" s="6"/>
    </row>
    <row r="238" spans="3:16" x14ac:dyDescent="0.15">
      <c r="C238" s="17"/>
      <c r="D238" s="17"/>
      <c r="E238" s="387"/>
      <c r="F238" s="367"/>
      <c r="G238" s="367"/>
      <c r="H238" s="367"/>
      <c r="I238" s="367"/>
      <c r="J238" s="367"/>
      <c r="K238" s="6"/>
      <c r="L238" s="6"/>
      <c r="M238" s="6"/>
      <c r="N238" s="6"/>
      <c r="O238" s="6"/>
    </row>
    <row r="239" spans="3:16" x14ac:dyDescent="0.15">
      <c r="C239" s="17"/>
      <c r="D239" s="17"/>
      <c r="E239" s="387"/>
      <c r="F239" s="367"/>
      <c r="G239" s="367"/>
      <c r="H239" s="367"/>
      <c r="I239" s="367"/>
      <c r="J239" s="367"/>
      <c r="K239" s="6"/>
      <c r="L239" s="6"/>
      <c r="M239" s="6"/>
      <c r="N239" s="6"/>
      <c r="O239" s="6"/>
    </row>
    <row r="240" spans="3:16" x14ac:dyDescent="0.15">
      <c r="C240" s="17"/>
      <c r="D240" s="17"/>
      <c r="E240" s="387"/>
      <c r="F240" s="21"/>
      <c r="G240" s="21"/>
      <c r="H240" s="21"/>
      <c r="I240" s="21"/>
      <c r="J240" s="21"/>
      <c r="K240" s="66"/>
      <c r="L240" s="66"/>
      <c r="M240" s="66"/>
      <c r="N240" s="66"/>
      <c r="O240" s="66"/>
    </row>
    <row r="241" spans="3:15" x14ac:dyDescent="0.15">
      <c r="C241" s="17"/>
      <c r="D241" s="17"/>
      <c r="E241" s="387"/>
      <c r="F241" s="367"/>
      <c r="G241" s="367"/>
      <c r="H241" s="367"/>
      <c r="I241" s="367"/>
      <c r="J241" s="367"/>
      <c r="K241" s="6"/>
      <c r="L241" s="6"/>
      <c r="M241" s="6"/>
      <c r="N241" s="6"/>
      <c r="O241" s="6"/>
    </row>
    <row r="242" spans="3:15" x14ac:dyDescent="0.15">
      <c r="C242" s="17"/>
      <c r="D242" s="17"/>
      <c r="E242" s="387"/>
      <c r="F242" s="34"/>
      <c r="G242" s="34"/>
      <c r="H242" s="34"/>
      <c r="I242" s="34"/>
      <c r="J242" s="34"/>
      <c r="K242" s="34"/>
      <c r="L242" s="6"/>
      <c r="M242" s="6"/>
      <c r="N242" s="6"/>
      <c r="O242" s="6"/>
    </row>
    <row r="243" spans="3:15" x14ac:dyDescent="0.15">
      <c r="C243" s="17"/>
      <c r="D243" s="26"/>
      <c r="E243" s="387"/>
      <c r="F243" s="367"/>
      <c r="G243" s="367"/>
      <c r="H243" s="367"/>
      <c r="I243" s="367"/>
      <c r="J243" s="367"/>
      <c r="K243" s="6"/>
      <c r="L243" s="6"/>
      <c r="M243" s="6"/>
      <c r="N243" s="6"/>
      <c r="O243" s="6"/>
    </row>
    <row r="244" spans="3:15" x14ac:dyDescent="0.15">
      <c r="C244" s="17"/>
      <c r="D244" s="17"/>
      <c r="E244" s="411"/>
      <c r="F244" s="352"/>
      <c r="G244" s="352"/>
      <c r="H244" s="352"/>
      <c r="I244" s="352"/>
      <c r="J244" s="352"/>
      <c r="K244" s="4"/>
      <c r="L244" s="4"/>
      <c r="M244" s="4"/>
      <c r="N244" s="4"/>
      <c r="O244" s="4"/>
    </row>
    <row r="245" spans="3:15" x14ac:dyDescent="0.15">
      <c r="C245" s="17"/>
      <c r="D245" s="17"/>
      <c r="E245" s="387"/>
      <c r="F245" s="367"/>
      <c r="G245" s="367"/>
      <c r="H245" s="367"/>
      <c r="I245" s="367"/>
      <c r="J245" s="367"/>
      <c r="K245" s="6"/>
      <c r="L245" s="6"/>
      <c r="M245" s="6"/>
      <c r="N245" s="6"/>
      <c r="O245" s="6"/>
    </row>
    <row r="246" spans="3:15" x14ac:dyDescent="0.15">
      <c r="C246" s="17"/>
      <c r="D246" s="17"/>
      <c r="E246" s="387"/>
      <c r="F246" s="367"/>
      <c r="G246" s="367"/>
      <c r="H246" s="367"/>
      <c r="I246" s="367"/>
      <c r="J246" s="367"/>
      <c r="K246" s="6"/>
      <c r="L246" s="6"/>
      <c r="M246" s="6"/>
      <c r="N246" s="6"/>
      <c r="O246" s="6"/>
    </row>
    <row r="247" spans="3:15" x14ac:dyDescent="0.15">
      <c r="C247" s="17"/>
      <c r="D247" s="17"/>
      <c r="E247" s="17"/>
      <c r="F247" s="410"/>
      <c r="G247" s="17"/>
      <c r="H247" s="17"/>
      <c r="I247" s="410"/>
      <c r="J247" s="410"/>
    </row>
    <row r="248" spans="3:15" x14ac:dyDescent="0.15">
      <c r="C248" s="17"/>
      <c r="D248" s="26"/>
      <c r="E248" s="26"/>
      <c r="F248" s="410"/>
      <c r="G248" s="410"/>
      <c r="H248" s="410"/>
      <c r="I248" s="410"/>
      <c r="J248" s="410"/>
      <c r="K248" s="39"/>
      <c r="L248" s="39"/>
      <c r="M248" s="39"/>
      <c r="N248" s="39"/>
      <c r="O248" s="39"/>
    </row>
    <row r="249" spans="3:15" x14ac:dyDescent="0.15">
      <c r="C249" s="17"/>
      <c r="D249" s="17"/>
      <c r="E249" s="26"/>
      <c r="F249" s="410"/>
      <c r="G249" s="410"/>
      <c r="H249" s="410"/>
      <c r="I249" s="410"/>
      <c r="J249" s="410"/>
      <c r="K249" s="39"/>
      <c r="L249" s="39"/>
      <c r="M249" s="39"/>
      <c r="N249" s="39"/>
      <c r="O249" s="39"/>
    </row>
    <row r="250" spans="3:15" x14ac:dyDescent="0.15">
      <c r="C250" s="17"/>
      <c r="D250" s="17"/>
      <c r="E250" s="17"/>
      <c r="F250" s="17"/>
      <c r="G250" s="17"/>
      <c r="H250" s="17"/>
      <c r="I250" s="17"/>
      <c r="J250" s="17"/>
    </row>
    <row r="251" spans="3:15" x14ac:dyDescent="0.15">
      <c r="C251" s="17"/>
      <c r="D251" s="460"/>
      <c r="E251" s="460"/>
      <c r="F251" s="410"/>
      <c r="G251" s="410"/>
      <c r="H251" s="410"/>
      <c r="I251" s="410"/>
      <c r="J251" s="410"/>
      <c r="K251" s="39"/>
      <c r="L251" s="39"/>
      <c r="M251" s="39"/>
      <c r="N251" s="39"/>
      <c r="O251" s="39"/>
    </row>
    <row r="252" spans="3:15" x14ac:dyDescent="0.15">
      <c r="C252" s="17"/>
      <c r="D252" s="17"/>
      <c r="E252" s="460"/>
      <c r="F252" s="410"/>
      <c r="G252" s="410"/>
      <c r="H252" s="410"/>
      <c r="I252" s="410"/>
      <c r="J252" s="410"/>
      <c r="K252" s="39"/>
      <c r="L252" s="39"/>
      <c r="M252" s="39"/>
      <c r="N252" s="39"/>
      <c r="O252" s="39"/>
    </row>
    <row r="253" spans="3:15" x14ac:dyDescent="0.15">
      <c r="C253" s="17"/>
      <c r="D253" s="17"/>
      <c r="E253" s="460"/>
      <c r="F253" s="410"/>
      <c r="G253" s="410"/>
      <c r="H253" s="410"/>
      <c r="I253" s="410"/>
      <c r="J253" s="410"/>
      <c r="K253" s="39"/>
      <c r="L253" s="39"/>
      <c r="M253" s="39"/>
      <c r="N253" s="39"/>
      <c r="O253" s="39"/>
    </row>
    <row r="254" spans="3:15" x14ac:dyDescent="0.15">
      <c r="C254" s="17"/>
      <c r="D254" s="17"/>
      <c r="E254" s="460"/>
      <c r="F254" s="409"/>
      <c r="G254" s="409"/>
      <c r="H254" s="409"/>
      <c r="I254" s="409"/>
      <c r="J254" s="409"/>
      <c r="K254" s="89"/>
      <c r="L254" s="89"/>
      <c r="M254" s="89"/>
      <c r="N254" s="89"/>
      <c r="O254" s="89"/>
    </row>
    <row r="255" spans="3:15" x14ac:dyDescent="0.15">
      <c r="C255" s="17"/>
      <c r="D255" s="17"/>
      <c r="E255" s="460"/>
      <c r="F255" s="409"/>
      <c r="G255" s="409"/>
      <c r="H255" s="409"/>
      <c r="I255" s="409"/>
      <c r="J255" s="409"/>
      <c r="K255" s="89"/>
      <c r="L255" s="89"/>
      <c r="M255" s="89"/>
      <c r="N255" s="89"/>
      <c r="O255" s="89"/>
    </row>
    <row r="256" spans="3:15" x14ac:dyDescent="0.15">
      <c r="C256" s="17"/>
      <c r="D256" s="17"/>
      <c r="E256" s="460"/>
      <c r="F256" s="409"/>
      <c r="G256" s="409"/>
      <c r="H256" s="409"/>
      <c r="I256" s="409"/>
      <c r="J256" s="409"/>
      <c r="K256" s="89"/>
      <c r="L256" s="89"/>
      <c r="M256" s="89"/>
      <c r="N256" s="89"/>
      <c r="O256" s="89"/>
    </row>
    <row r="257" spans="3:18" x14ac:dyDescent="0.15">
      <c r="E257" s="339"/>
      <c r="F257" s="178"/>
      <c r="G257" s="178"/>
      <c r="H257" s="178"/>
      <c r="I257" s="178"/>
      <c r="J257" s="178"/>
      <c r="K257" s="178"/>
      <c r="L257" s="178"/>
      <c r="M257" s="178"/>
      <c r="N257" s="178"/>
      <c r="O257" s="178"/>
    </row>
    <row r="258" spans="3:18" x14ac:dyDescent="0.15">
      <c r="E258" s="339"/>
      <c r="F258" s="136"/>
      <c r="G258" s="136"/>
      <c r="H258" s="136"/>
      <c r="I258" s="136"/>
      <c r="J258" s="136"/>
      <c r="K258" s="136"/>
      <c r="L258" s="136"/>
      <c r="M258" s="136"/>
      <c r="N258" s="136"/>
      <c r="O258" s="136"/>
    </row>
    <row r="259" spans="3:18" x14ac:dyDescent="0.15">
      <c r="C259" s="39"/>
      <c r="E259" s="339"/>
    </row>
    <row r="260" spans="3:18" x14ac:dyDescent="0.15">
      <c r="C260" s="414"/>
      <c r="D260" s="39"/>
      <c r="E260" s="339"/>
      <c r="F260" s="39"/>
      <c r="G260" s="39"/>
      <c r="H260" s="39"/>
      <c r="I260" s="39"/>
      <c r="J260" s="39"/>
      <c r="K260" s="39"/>
      <c r="L260" s="39"/>
      <c r="M260" s="39"/>
      <c r="N260" s="39"/>
      <c r="O260" s="39"/>
      <c r="P260" s="39"/>
    </row>
    <row r="261" spans="3:18" x14ac:dyDescent="0.15">
      <c r="C261" s="414"/>
      <c r="D261" s="39"/>
      <c r="E261" s="339"/>
      <c r="F261" s="39"/>
      <c r="G261" s="39"/>
      <c r="H261" s="39"/>
      <c r="I261" s="39"/>
      <c r="J261" s="39"/>
      <c r="K261" s="39"/>
      <c r="L261" s="39"/>
      <c r="M261" s="39"/>
      <c r="N261" s="39"/>
      <c r="O261" s="39"/>
    </row>
    <row r="262" spans="3:18" x14ac:dyDescent="0.15">
      <c r="C262" s="414"/>
      <c r="D262" s="39"/>
      <c r="E262" s="339"/>
      <c r="F262" s="39"/>
      <c r="G262" s="39"/>
      <c r="H262" s="39"/>
      <c r="I262" s="39"/>
      <c r="J262" s="39"/>
      <c r="K262" s="39"/>
      <c r="L262" s="39"/>
      <c r="M262" s="39"/>
      <c r="N262" s="39"/>
      <c r="O262" s="39"/>
    </row>
    <row r="263" spans="3:18" x14ac:dyDescent="0.15">
      <c r="C263" s="414"/>
      <c r="D263" s="39"/>
      <c r="E263" s="339"/>
      <c r="F263" s="39"/>
      <c r="G263" s="39"/>
      <c r="H263" s="39"/>
      <c r="I263" s="39"/>
      <c r="J263" s="39"/>
      <c r="K263" s="39"/>
      <c r="L263" s="39"/>
      <c r="M263" s="39"/>
      <c r="N263" s="39"/>
      <c r="O263" s="39"/>
    </row>
    <row r="264" spans="3:18" x14ac:dyDescent="0.15">
      <c r="C264" s="414"/>
      <c r="D264" s="39"/>
      <c r="E264" s="339"/>
      <c r="F264" s="39"/>
      <c r="G264" s="39"/>
      <c r="H264" s="39"/>
      <c r="I264" s="39"/>
      <c r="J264" s="39"/>
      <c r="K264" s="39"/>
      <c r="L264" s="39"/>
      <c r="M264" s="39"/>
      <c r="N264" s="39"/>
      <c r="O264" s="39"/>
    </row>
    <row r="265" spans="3:18" x14ac:dyDescent="0.15">
      <c r="C265" s="414"/>
      <c r="D265" s="39"/>
      <c r="E265" s="339"/>
      <c r="F265" s="39"/>
      <c r="G265" s="39"/>
      <c r="H265" s="39"/>
      <c r="I265" s="39"/>
      <c r="J265" s="39"/>
      <c r="K265" s="39"/>
      <c r="L265" s="39"/>
      <c r="M265" s="39"/>
      <c r="N265" s="39"/>
      <c r="O265" s="39"/>
    </row>
    <row r="266" spans="3:18" x14ac:dyDescent="0.15">
      <c r="C266" s="414"/>
      <c r="D266" s="39"/>
      <c r="E266" s="339"/>
      <c r="F266" s="39"/>
      <c r="G266" s="39"/>
      <c r="H266" s="39"/>
      <c r="I266" s="39"/>
      <c r="J266" s="39"/>
      <c r="K266" s="39"/>
      <c r="L266" s="39"/>
      <c r="M266" s="39"/>
      <c r="N266" s="39"/>
      <c r="O266" s="39"/>
    </row>
    <row r="267" spans="3:18" x14ac:dyDescent="0.15">
      <c r="C267" s="414"/>
      <c r="D267" s="39"/>
      <c r="E267" s="339"/>
      <c r="F267" s="39"/>
      <c r="G267" s="39"/>
      <c r="H267" s="39"/>
      <c r="I267" s="39"/>
      <c r="J267" s="39"/>
      <c r="K267" s="39"/>
      <c r="L267" s="39"/>
      <c r="M267" s="39"/>
      <c r="N267" s="39"/>
      <c r="O267" s="39"/>
    </row>
    <row r="268" spans="3:18" x14ac:dyDescent="0.15">
      <c r="C268" s="39"/>
      <c r="E268" s="339"/>
      <c r="H268" s="39"/>
      <c r="J268" s="39"/>
      <c r="K268" s="39"/>
      <c r="L268" s="39"/>
      <c r="M268" s="39"/>
      <c r="N268" s="39"/>
      <c r="O268" s="39"/>
      <c r="P268" s="39"/>
      <c r="Q268" s="39"/>
      <c r="R268" s="39"/>
    </row>
    <row r="270" spans="3:18" x14ac:dyDescent="0.15">
      <c r="E270" s="339"/>
      <c r="F270" s="39"/>
      <c r="G270" s="93"/>
      <c r="J270" s="39"/>
      <c r="K270" s="39"/>
      <c r="L270" s="136"/>
      <c r="M270" s="89"/>
      <c r="N270" s="136"/>
      <c r="O270" s="136"/>
      <c r="P270" s="136"/>
      <c r="Q270" s="136"/>
      <c r="R270" s="228"/>
    </row>
    <row r="271" spans="3:18" x14ac:dyDescent="0.15">
      <c r="C271" s="414"/>
      <c r="D271" s="39"/>
      <c r="E271" s="339"/>
      <c r="F271" s="39"/>
      <c r="G271" s="93"/>
      <c r="H271" s="39"/>
      <c r="I271" s="39"/>
    </row>
    <row r="272" spans="3:18" x14ac:dyDescent="0.15">
      <c r="C272" s="414"/>
      <c r="D272" s="39"/>
      <c r="E272" s="339"/>
      <c r="F272" s="39"/>
      <c r="G272" s="93"/>
      <c r="H272" s="39"/>
      <c r="I272" s="39"/>
    </row>
    <row r="273" spans="3:12" x14ac:dyDescent="0.15">
      <c r="C273" s="414"/>
      <c r="D273" s="39"/>
      <c r="E273" s="339"/>
      <c r="F273" s="39"/>
      <c r="G273" s="93"/>
      <c r="H273" s="39"/>
      <c r="I273" s="39"/>
    </row>
    <row r="274" spans="3:12" x14ac:dyDescent="0.15">
      <c r="C274" s="414"/>
      <c r="D274" s="39"/>
      <c r="E274" s="339"/>
      <c r="F274" s="39"/>
      <c r="G274" s="93"/>
      <c r="H274" s="39"/>
      <c r="I274" s="39"/>
    </row>
    <row r="275" spans="3:12" x14ac:dyDescent="0.15">
      <c r="C275" s="414"/>
      <c r="D275" s="39"/>
      <c r="E275" s="339"/>
      <c r="F275" s="39"/>
      <c r="G275" s="93"/>
      <c r="H275" s="39"/>
      <c r="I275" s="39"/>
    </row>
    <row r="276" spans="3:12" x14ac:dyDescent="0.15">
      <c r="C276" s="414"/>
      <c r="D276" s="39"/>
      <c r="E276" s="339"/>
      <c r="F276" s="39"/>
      <c r="G276" s="93"/>
      <c r="H276" s="39"/>
      <c r="I276" s="39"/>
    </row>
    <row r="277" spans="3:12" x14ac:dyDescent="0.15">
      <c r="C277" s="414"/>
      <c r="D277" s="39"/>
      <c r="E277" s="245"/>
      <c r="F277" s="39"/>
      <c r="G277" s="93"/>
      <c r="H277" s="39"/>
      <c r="I277" s="39"/>
    </row>
    <row r="278" spans="3:12" x14ac:dyDescent="0.15">
      <c r="C278" s="414"/>
      <c r="D278" s="39"/>
      <c r="E278" s="339"/>
      <c r="F278" s="39"/>
      <c r="G278" s="93"/>
      <c r="H278" s="39"/>
      <c r="I278" s="39"/>
    </row>
    <row r="281" spans="3:12" x14ac:dyDescent="0.15">
      <c r="D281" s="245"/>
      <c r="F281" s="39"/>
      <c r="G281" s="39"/>
      <c r="H281" s="39"/>
      <c r="I281" s="39"/>
      <c r="J281" s="39"/>
    </row>
    <row r="282" spans="3:12" x14ac:dyDescent="0.15">
      <c r="F282" s="89"/>
      <c r="G282" s="89"/>
      <c r="H282" s="89"/>
      <c r="I282" s="89"/>
      <c r="J282" s="89"/>
    </row>
    <row r="283" spans="3:12" x14ac:dyDescent="0.15">
      <c r="F283" s="39"/>
      <c r="G283" s="39"/>
      <c r="H283" s="39"/>
      <c r="I283" s="39"/>
      <c r="J283" s="39"/>
    </row>
    <row r="284" spans="3:12" x14ac:dyDescent="0.15">
      <c r="F284" s="39"/>
      <c r="G284" s="39"/>
      <c r="H284" s="39"/>
      <c r="I284" s="39"/>
      <c r="J284" s="39"/>
    </row>
    <row r="285" spans="3:12" x14ac:dyDescent="0.15">
      <c r="E285" s="240"/>
      <c r="F285" s="39"/>
      <c r="G285" s="39"/>
      <c r="H285" s="39"/>
      <c r="I285" s="39"/>
      <c r="J285" s="39"/>
    </row>
    <row r="286" spans="3:12" x14ac:dyDescent="0.15">
      <c r="E286" s="240"/>
      <c r="F286" s="136"/>
      <c r="G286" s="136"/>
      <c r="H286" s="136"/>
      <c r="I286" s="136"/>
      <c r="J286" s="136"/>
      <c r="L286" s="136"/>
    </row>
    <row r="287" spans="3:12" x14ac:dyDescent="0.15">
      <c r="E287" s="240"/>
      <c r="F287" s="136"/>
      <c r="G287" s="136"/>
      <c r="H287" s="136"/>
      <c r="I287" s="136"/>
      <c r="J287" s="136"/>
    </row>
    <row r="288" spans="3:12" x14ac:dyDescent="0.15">
      <c r="E288" s="240"/>
      <c r="F288" s="136"/>
      <c r="G288" s="136"/>
      <c r="H288" s="136"/>
      <c r="I288" s="136"/>
      <c r="J288" s="136"/>
    </row>
    <row r="290" spans="3:18" x14ac:dyDescent="0.15">
      <c r="C290" s="466"/>
      <c r="D290" s="39"/>
      <c r="F290" s="136"/>
      <c r="G290" s="136"/>
      <c r="H290" s="136"/>
      <c r="I290" s="136"/>
      <c r="J290" s="136"/>
    </row>
    <row r="291" spans="3:18" x14ac:dyDescent="0.15">
      <c r="C291" s="467"/>
      <c r="D291" s="93"/>
      <c r="F291" s="136"/>
      <c r="G291" s="136"/>
      <c r="H291" s="136"/>
      <c r="I291" s="136"/>
      <c r="J291" s="136"/>
    </row>
    <row r="292" spans="3:18" x14ac:dyDescent="0.15">
      <c r="C292" s="467"/>
      <c r="D292" s="93"/>
      <c r="F292" s="136"/>
      <c r="G292" s="136"/>
      <c r="H292" s="136"/>
      <c r="I292" s="136"/>
      <c r="J292" s="136"/>
    </row>
    <row r="293" spans="3:18" x14ac:dyDescent="0.15">
      <c r="C293" s="467"/>
      <c r="D293" s="93"/>
      <c r="F293" s="136"/>
      <c r="G293" s="136"/>
      <c r="H293" s="136"/>
      <c r="I293" s="136"/>
      <c r="J293" s="136"/>
    </row>
    <row r="294" spans="3:18" x14ac:dyDescent="0.15">
      <c r="C294" s="467"/>
      <c r="D294" s="93"/>
      <c r="F294" s="136"/>
      <c r="G294" s="136"/>
      <c r="H294" s="136"/>
      <c r="I294" s="136"/>
      <c r="J294" s="136"/>
    </row>
    <row r="295" spans="3:18" x14ac:dyDescent="0.15">
      <c r="C295" s="467"/>
      <c r="D295" s="93"/>
      <c r="F295" s="136"/>
      <c r="G295" s="136"/>
      <c r="H295" s="136"/>
      <c r="I295" s="136"/>
      <c r="J295" s="136"/>
    </row>
    <row r="296" spans="3:18" x14ac:dyDescent="0.15">
      <c r="C296" s="467"/>
      <c r="D296" s="93"/>
      <c r="F296" s="136"/>
      <c r="G296" s="136"/>
      <c r="H296" s="136"/>
      <c r="I296" s="136"/>
      <c r="J296" s="136"/>
    </row>
    <row r="297" spans="3:18" x14ac:dyDescent="0.15">
      <c r="C297" s="467"/>
      <c r="D297" s="93"/>
      <c r="F297" s="136"/>
      <c r="G297" s="136"/>
      <c r="H297" s="136"/>
      <c r="I297" s="136"/>
      <c r="J297" s="136"/>
    </row>
    <row r="298" spans="3:18" x14ac:dyDescent="0.15">
      <c r="C298" s="39"/>
      <c r="F298" s="136"/>
      <c r="G298" s="136"/>
      <c r="H298" s="136"/>
      <c r="I298" s="136"/>
      <c r="J298" s="136"/>
      <c r="K298" s="136"/>
      <c r="L298" s="136"/>
      <c r="M298" s="136"/>
      <c r="N298" s="136"/>
      <c r="O298" s="136"/>
      <c r="P298" s="136"/>
      <c r="Q298" s="136"/>
      <c r="R298" s="136"/>
    </row>
    <row r="300" spans="3:18" x14ac:dyDescent="0.15">
      <c r="E300" s="339"/>
      <c r="F300" s="39"/>
      <c r="G300" s="39"/>
      <c r="J300" s="39"/>
      <c r="K300" s="39"/>
      <c r="L300" s="39"/>
      <c r="M300" s="39"/>
      <c r="N300" s="39"/>
      <c r="O300" s="39"/>
      <c r="P300" s="39"/>
      <c r="Q300" s="39"/>
      <c r="R300" s="39"/>
    </row>
    <row r="301" spans="3:18" x14ac:dyDescent="0.15">
      <c r="C301" s="414"/>
      <c r="D301" s="39"/>
      <c r="E301" s="339"/>
      <c r="F301" s="39"/>
      <c r="G301" s="93"/>
      <c r="H301" s="39"/>
      <c r="I301" s="39"/>
    </row>
    <row r="302" spans="3:18" x14ac:dyDescent="0.15">
      <c r="C302" s="414"/>
      <c r="D302" s="39"/>
      <c r="E302" s="339"/>
      <c r="F302" s="39"/>
      <c r="G302" s="93"/>
      <c r="H302" s="39"/>
      <c r="I302" s="39"/>
    </row>
    <row r="303" spans="3:18" x14ac:dyDescent="0.15">
      <c r="C303" s="414"/>
      <c r="D303" s="39"/>
      <c r="E303" s="339"/>
      <c r="F303" s="39"/>
      <c r="G303" s="93"/>
      <c r="H303" s="39"/>
      <c r="I303" s="39"/>
    </row>
    <row r="304" spans="3:18" x14ac:dyDescent="0.15">
      <c r="C304" s="414"/>
      <c r="D304" s="39"/>
      <c r="E304" s="339"/>
      <c r="F304" s="39"/>
      <c r="G304" s="93"/>
      <c r="H304" s="39"/>
      <c r="I304" s="39"/>
    </row>
    <row r="305" spans="3:12" x14ac:dyDescent="0.15">
      <c r="C305" s="414"/>
      <c r="D305" s="39"/>
      <c r="E305" s="339"/>
      <c r="F305" s="39"/>
      <c r="G305" s="93"/>
      <c r="H305" s="39"/>
      <c r="I305" s="39"/>
    </row>
    <row r="306" spans="3:12" x14ac:dyDescent="0.15">
      <c r="C306" s="414"/>
      <c r="D306" s="39"/>
      <c r="E306" s="339"/>
      <c r="F306" s="39"/>
      <c r="G306" s="93"/>
      <c r="H306" s="39"/>
      <c r="I306" s="39"/>
    </row>
    <row r="307" spans="3:12" x14ac:dyDescent="0.15">
      <c r="C307" s="414"/>
      <c r="D307" s="39"/>
      <c r="E307" s="245"/>
      <c r="F307" s="39"/>
      <c r="G307" s="93"/>
      <c r="H307" s="39"/>
      <c r="I307" s="39"/>
    </row>
    <row r="308" spans="3:12" x14ac:dyDescent="0.15">
      <c r="C308" s="414"/>
      <c r="D308" s="39"/>
      <c r="E308" s="339"/>
      <c r="F308" s="39"/>
      <c r="G308" s="93"/>
      <c r="H308" s="39"/>
      <c r="I308" s="39"/>
    </row>
    <row r="309" spans="3:12" x14ac:dyDescent="0.15">
      <c r="G309" s="39"/>
    </row>
    <row r="311" spans="3:12" x14ac:dyDescent="0.15">
      <c r="C311" s="240"/>
      <c r="D311" s="240"/>
      <c r="E311" s="416"/>
      <c r="F311" s="240"/>
      <c r="G311" s="240"/>
      <c r="H311" s="240"/>
      <c r="I311" s="240"/>
      <c r="J311" s="240"/>
      <c r="K311" s="240"/>
      <c r="L311" s="240"/>
    </row>
    <row r="312" spans="3:12" x14ac:dyDescent="0.15">
      <c r="D312" s="417"/>
      <c r="E312" s="39"/>
      <c r="F312" s="39"/>
      <c r="G312" s="39"/>
      <c r="I312" s="39"/>
      <c r="K312" s="39"/>
      <c r="L312" s="39"/>
    </row>
  </sheetData>
  <mergeCells count="2">
    <mergeCell ref="A1:F1"/>
    <mergeCell ref="A2:F2"/>
  </mergeCells>
  <phoneticPr fontId="6" type="noConversion"/>
  <pageMargins left="0.5" right="0.5" top="0.75" bottom="0.5" header="0.5" footer="0.5"/>
  <pageSetup orientation="portrait" horizontalDpi="4294967292" verticalDpi="4294967292"/>
  <headerFooter alignWithMargins="0">
    <oddFooter>&amp;C &amp;P&amp;R&amp;F, &amp;D</oddFooter>
  </headerFooter>
  <rowBreaks count="6" manualBreakCount="6">
    <brk id="42" max="11" man="1"/>
    <brk id="73" max="11" man="1"/>
    <brk id="113" max="11" man="1"/>
    <brk id="133" max="9" man="1"/>
    <brk id="173" max="11" man="1"/>
    <brk id="196" max="9"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4"/>
  </sheetPr>
  <dimension ref="A1:AD95"/>
  <sheetViews>
    <sheetView topLeftCell="A21" workbookViewId="0">
      <selection activeCell="F73" sqref="F73:G73"/>
    </sheetView>
  </sheetViews>
  <sheetFormatPr baseColWidth="10" defaultColWidth="8.83203125" defaultRowHeight="13" x14ac:dyDescent="0.15"/>
  <cols>
    <col min="1" max="1" width="9" customWidth="1"/>
    <col min="2" max="3" width="8.5" customWidth="1"/>
    <col min="4" max="4" width="9.6640625" customWidth="1"/>
    <col min="5" max="5" width="10" customWidth="1"/>
    <col min="6" max="15" width="10.6640625" customWidth="1"/>
  </cols>
  <sheetData>
    <row r="1" spans="1:15" ht="15.75" customHeight="1" x14ac:dyDescent="0.2">
      <c r="A1" s="482" t="s">
        <v>154</v>
      </c>
      <c r="B1" s="482"/>
      <c r="C1" s="482"/>
      <c r="D1" s="482"/>
      <c r="E1" s="482"/>
      <c r="F1" s="482"/>
      <c r="G1" s="468"/>
      <c r="H1" s="468"/>
      <c r="I1" s="468"/>
      <c r="J1" s="468"/>
      <c r="K1" s="468"/>
      <c r="L1" s="468"/>
    </row>
    <row r="2" spans="1:15" ht="15.75" customHeight="1" x14ac:dyDescent="0.2">
      <c r="A2" s="484" t="str">
        <f>'Battery Design'!A2:J2</f>
        <v>Fe/O2 open architecture system</v>
      </c>
      <c r="B2" s="484"/>
      <c r="C2" s="484"/>
      <c r="D2" s="484"/>
      <c r="E2" s="484"/>
      <c r="F2" s="484"/>
      <c r="G2" s="469"/>
      <c r="H2" s="469"/>
      <c r="I2" s="469"/>
      <c r="J2" s="469"/>
      <c r="K2" s="469"/>
      <c r="L2" s="469"/>
    </row>
    <row r="3" spans="1:15" x14ac:dyDescent="0.15">
      <c r="A3" s="55"/>
      <c r="B3" s="55"/>
      <c r="C3" s="55"/>
      <c r="D3" s="55"/>
      <c r="E3" s="55"/>
      <c r="F3" s="56" t="s">
        <v>106</v>
      </c>
      <c r="G3" s="470"/>
      <c r="H3" s="470"/>
      <c r="I3" s="470"/>
      <c r="J3" s="470"/>
      <c r="K3" s="470"/>
      <c r="L3" s="470"/>
      <c r="M3" s="470"/>
      <c r="N3" s="470"/>
      <c r="O3" s="470"/>
    </row>
    <row r="4" spans="1:15" ht="16" x14ac:dyDescent="0.2">
      <c r="A4" s="18" t="s">
        <v>20</v>
      </c>
      <c r="F4" s="3"/>
      <c r="G4" s="470"/>
      <c r="H4" s="470"/>
      <c r="I4" s="470"/>
      <c r="J4" s="470"/>
      <c r="K4" s="470"/>
      <c r="L4" s="470"/>
      <c r="M4" s="470"/>
      <c r="N4" s="470"/>
      <c r="O4" s="470"/>
    </row>
    <row r="5" spans="1:15" x14ac:dyDescent="0.15">
      <c r="A5" t="s">
        <v>183</v>
      </c>
      <c r="D5" s="3"/>
      <c r="F5" s="127" t="e">
        <f ca="1">'Battery Design'!F185</f>
        <v>#DIV/0!</v>
      </c>
      <c r="G5" s="470"/>
      <c r="H5" s="470"/>
      <c r="I5" s="470"/>
      <c r="J5" s="470"/>
      <c r="K5" s="470"/>
      <c r="L5" s="470"/>
      <c r="M5" s="470"/>
      <c r="N5" s="470"/>
      <c r="O5" s="470"/>
    </row>
    <row r="6" spans="1:15" x14ac:dyDescent="0.15">
      <c r="A6" s="240" t="s">
        <v>461</v>
      </c>
      <c r="F6" s="220">
        <f>'Battery Design'!F64</f>
        <v>1</v>
      </c>
      <c r="G6" s="470"/>
      <c r="H6" s="470"/>
      <c r="I6" s="470"/>
      <c r="J6" s="470"/>
      <c r="K6" s="470"/>
      <c r="L6" s="470"/>
      <c r="M6" s="470"/>
      <c r="N6" s="470"/>
      <c r="O6" s="470"/>
    </row>
    <row r="7" spans="1:15" x14ac:dyDescent="0.15">
      <c r="A7" s="240" t="s">
        <v>491</v>
      </c>
      <c r="F7" s="263" t="str">
        <f>IF(F6=1," ",IF('Battery Design'!F65="P","parallel",IF('Battery Design'!F65="S","series"," ")))</f>
        <v xml:space="preserve"> </v>
      </c>
      <c r="G7" s="470"/>
      <c r="H7" s="470"/>
      <c r="I7" s="470"/>
      <c r="J7" s="470"/>
      <c r="K7" s="470"/>
      <c r="L7" s="470"/>
      <c r="M7" s="470"/>
      <c r="N7" s="470"/>
      <c r="O7" s="470"/>
    </row>
    <row r="8" spans="1:15" x14ac:dyDescent="0.15">
      <c r="A8" t="s">
        <v>511</v>
      </c>
      <c r="F8" s="128">
        <f>'Battery Design'!F66</f>
        <v>5</v>
      </c>
      <c r="G8" s="470"/>
      <c r="H8" s="470"/>
      <c r="I8" s="470"/>
      <c r="J8" s="470"/>
      <c r="K8" s="470"/>
      <c r="L8" s="470"/>
      <c r="M8" s="470"/>
      <c r="N8" s="470"/>
      <c r="O8" s="470"/>
    </row>
    <row r="9" spans="1:15" x14ac:dyDescent="0.15">
      <c r="A9" s="240" t="s">
        <v>462</v>
      </c>
      <c r="F9" s="127">
        <f ca="1">'Battery Design'!F136*F6</f>
        <v>106.84350459525008</v>
      </c>
      <c r="G9" s="470"/>
      <c r="H9" s="470"/>
      <c r="I9" s="470"/>
      <c r="J9" s="470"/>
      <c r="K9" s="470"/>
      <c r="L9" s="470"/>
      <c r="M9" s="470"/>
      <c r="N9" s="470"/>
      <c r="O9" s="470"/>
    </row>
    <row r="10" spans="1:15" x14ac:dyDescent="0.15">
      <c r="A10" s="240" t="s">
        <v>457</v>
      </c>
      <c r="F10" s="127">
        <f ca="1">'Battery Design'!F77</f>
        <v>34894.480897858928</v>
      </c>
      <c r="G10" s="470"/>
      <c r="H10" s="470"/>
      <c r="I10" s="470"/>
      <c r="J10" s="470"/>
      <c r="K10" s="470"/>
      <c r="L10" s="470"/>
      <c r="M10" s="470"/>
      <c r="N10" s="470"/>
      <c r="O10" s="470"/>
    </row>
    <row r="11" spans="1:15" x14ac:dyDescent="0.15">
      <c r="A11" s="240" t="s">
        <v>509</v>
      </c>
      <c r="F11" s="127">
        <f ca="1">'Battery Design'!F76</f>
        <v>34894.480897858928</v>
      </c>
      <c r="G11" s="470"/>
      <c r="H11" s="470"/>
      <c r="I11" s="470"/>
      <c r="J11" s="470"/>
      <c r="K11" s="470"/>
      <c r="L11" s="470"/>
      <c r="M11" s="470"/>
      <c r="N11" s="470"/>
      <c r="O11" s="470"/>
    </row>
    <row r="12" spans="1:15" x14ac:dyDescent="0.15">
      <c r="A12" s="240" t="s">
        <v>470</v>
      </c>
      <c r="F12" s="127">
        <f ca="1">'Battery Design'!F115</f>
        <v>34894.480897858928</v>
      </c>
      <c r="G12" s="470"/>
      <c r="H12" s="470"/>
      <c r="I12" s="470"/>
      <c r="J12" s="470"/>
      <c r="K12" s="470"/>
      <c r="L12" s="470"/>
      <c r="M12" s="470"/>
      <c r="N12" s="470"/>
      <c r="O12" s="470"/>
    </row>
    <row r="13" spans="1:15" x14ac:dyDescent="0.15">
      <c r="A13" s="240" t="s">
        <v>501</v>
      </c>
      <c r="F13" s="127">
        <f ca="1">'Battery Design'!F135</f>
        <v>34894.480897858928</v>
      </c>
      <c r="G13" s="470"/>
      <c r="H13" s="470"/>
      <c r="I13" s="470"/>
      <c r="J13" s="470"/>
      <c r="K13" s="470"/>
      <c r="L13" s="470"/>
      <c r="M13" s="470"/>
      <c r="N13" s="470"/>
      <c r="O13" s="470"/>
    </row>
    <row r="14" spans="1:15" x14ac:dyDescent="0.15">
      <c r="A14" s="240" t="s">
        <v>499</v>
      </c>
      <c r="F14" s="127">
        <f t="shared" ref="F14" ca="1" si="0">IF(F7="parallel",F6*F13,F13)</f>
        <v>34894.480897858928</v>
      </c>
      <c r="G14" s="470"/>
      <c r="H14" s="470"/>
      <c r="I14" s="470"/>
      <c r="J14" s="470"/>
      <c r="K14" s="470"/>
      <c r="L14" s="470"/>
      <c r="M14" s="470"/>
      <c r="N14" s="470"/>
      <c r="O14" s="470"/>
    </row>
    <row r="15" spans="1:15" x14ac:dyDescent="0.15">
      <c r="A15" s="240" t="s">
        <v>492</v>
      </c>
      <c r="F15" s="128">
        <f>'Battery Design'!F139*IF('Battery Design'!F65="S",'Battery Design'!F64,1)</f>
        <v>6.8000000000000007</v>
      </c>
      <c r="G15" s="470"/>
      <c r="H15" s="470"/>
      <c r="I15" s="470"/>
      <c r="J15" s="470"/>
      <c r="K15" s="470"/>
      <c r="L15" s="470"/>
      <c r="M15" s="470"/>
      <c r="N15" s="470"/>
      <c r="O15" s="470"/>
    </row>
    <row r="16" spans="1:15" x14ac:dyDescent="0.15">
      <c r="A16" s="240" t="s">
        <v>463</v>
      </c>
      <c r="F16" s="127">
        <f ca="1">'Battery Design'!F140*F6</f>
        <v>1.2517170323729312</v>
      </c>
      <c r="G16" s="470"/>
      <c r="H16" s="470"/>
      <c r="I16" s="470"/>
      <c r="J16" s="470"/>
      <c r="K16" s="470"/>
      <c r="L16" s="470"/>
      <c r="M16" s="470"/>
      <c r="N16" s="470"/>
      <c r="O16" s="470"/>
    </row>
    <row r="17" spans="1:16" x14ac:dyDescent="0.15">
      <c r="A17" s="255" t="s">
        <v>464</v>
      </c>
      <c r="B17" s="106"/>
      <c r="C17" s="106"/>
      <c r="D17" s="106"/>
      <c r="E17" s="106"/>
      <c r="F17" s="302">
        <f>'Battery Design'!F57*F6</f>
        <v>6.18</v>
      </c>
      <c r="G17" s="470"/>
      <c r="H17" s="470"/>
      <c r="I17" s="470"/>
      <c r="J17" s="470"/>
      <c r="K17" s="470"/>
      <c r="L17" s="470"/>
      <c r="M17" s="470"/>
      <c r="N17" s="470"/>
      <c r="O17" s="470"/>
    </row>
    <row r="18" spans="1:16" x14ac:dyDescent="0.15">
      <c r="A18" s="148" t="s">
        <v>281</v>
      </c>
      <c r="B18" s="106"/>
      <c r="C18" s="106"/>
      <c r="D18" s="106"/>
      <c r="E18" s="106"/>
      <c r="F18" s="302">
        <f>'Battery Design'!F51</f>
        <v>95</v>
      </c>
      <c r="G18" s="470"/>
      <c r="H18" s="470"/>
      <c r="I18" s="470"/>
      <c r="J18" s="470"/>
      <c r="K18" s="470"/>
      <c r="L18" s="470"/>
      <c r="M18" s="470"/>
      <c r="N18" s="470"/>
      <c r="O18" s="470"/>
    </row>
    <row r="19" spans="1:16" x14ac:dyDescent="0.15">
      <c r="A19" s="106" t="s">
        <v>283</v>
      </c>
      <c r="B19" s="106"/>
      <c r="C19" s="106"/>
      <c r="D19" s="106"/>
      <c r="E19" s="106"/>
      <c r="F19" s="302">
        <f ca="1">'Battery Design'!F52</f>
        <v>81.832455173418808</v>
      </c>
      <c r="G19" s="470"/>
      <c r="H19" s="470"/>
      <c r="I19" s="470"/>
      <c r="J19" s="470"/>
      <c r="K19" s="470"/>
      <c r="L19" s="470"/>
      <c r="M19" s="470"/>
      <c r="N19" s="470"/>
      <c r="O19" s="470"/>
    </row>
    <row r="20" spans="1:16" x14ac:dyDescent="0.15">
      <c r="A20" s="240" t="s">
        <v>507</v>
      </c>
      <c r="D20" s="3"/>
      <c r="F20" s="127">
        <f ca="1">'Battery Design'!F167</f>
        <v>223.20256819482091</v>
      </c>
      <c r="G20" s="470"/>
      <c r="H20" s="470"/>
      <c r="I20" s="470"/>
      <c r="J20" s="470"/>
      <c r="K20" s="470"/>
      <c r="L20" s="470"/>
      <c r="M20" s="470"/>
      <c r="N20" s="470"/>
      <c r="O20" s="470"/>
    </row>
    <row r="21" spans="1:16" x14ac:dyDescent="0.15">
      <c r="A21" s="240" t="s">
        <v>524</v>
      </c>
      <c r="D21" s="3"/>
      <c r="F21" s="127">
        <f ca="1">'Battery Design'!F168</f>
        <v>297.03776165052864</v>
      </c>
      <c r="G21" s="470"/>
      <c r="H21" s="470"/>
      <c r="I21" s="470"/>
      <c r="J21" s="470"/>
      <c r="K21" s="470"/>
      <c r="L21" s="470"/>
      <c r="M21" s="470"/>
      <c r="N21" s="470"/>
      <c r="O21" s="470"/>
    </row>
    <row r="22" spans="1:16" x14ac:dyDescent="0.15">
      <c r="D22" s="3"/>
      <c r="F22" s="128"/>
      <c r="G22" s="470"/>
      <c r="H22" s="470"/>
      <c r="I22" s="470"/>
      <c r="J22" s="470"/>
      <c r="K22" s="470"/>
      <c r="L22" s="470"/>
      <c r="M22" s="470"/>
      <c r="N22" s="470"/>
      <c r="O22" s="470"/>
      <c r="P22" s="5"/>
    </row>
    <row r="23" spans="1:16" ht="16" x14ac:dyDescent="0.2">
      <c r="A23" s="18" t="s">
        <v>62</v>
      </c>
      <c r="B23" s="5"/>
      <c r="C23" s="5"/>
      <c r="D23" s="71"/>
      <c r="E23" s="20"/>
      <c r="F23" s="71"/>
      <c r="G23" s="470"/>
      <c r="H23" s="470"/>
      <c r="I23" s="470"/>
      <c r="J23" s="470"/>
      <c r="K23" s="470"/>
      <c r="L23" s="470"/>
      <c r="M23" s="470"/>
      <c r="N23" s="470"/>
      <c r="O23" s="470"/>
    </row>
    <row r="24" spans="1:16" x14ac:dyDescent="0.15">
      <c r="A24" s="7" t="s">
        <v>150</v>
      </c>
      <c r="B24" s="7"/>
      <c r="C24" s="7"/>
      <c r="D24" s="71"/>
      <c r="E24" s="20"/>
      <c r="F24" s="71">
        <f ca="1">'Manufacturing Cost Calculations'!F259</f>
        <v>44.857823890538953</v>
      </c>
      <c r="G24" s="470"/>
      <c r="H24" s="470"/>
      <c r="I24" s="470"/>
      <c r="J24" s="470"/>
      <c r="K24" s="470"/>
      <c r="L24" s="470"/>
      <c r="M24" s="470"/>
      <c r="N24" s="470"/>
      <c r="O24" s="470"/>
    </row>
    <row r="25" spans="1:16" x14ac:dyDescent="0.15">
      <c r="A25" s="7" t="s">
        <v>157</v>
      </c>
      <c r="B25" s="7"/>
      <c r="C25" s="7"/>
      <c r="D25" s="71"/>
      <c r="E25" s="20"/>
      <c r="F25" s="71"/>
      <c r="G25" s="470"/>
      <c r="H25" s="470"/>
      <c r="I25" s="470"/>
      <c r="J25" s="470"/>
      <c r="K25" s="470"/>
      <c r="L25" s="470"/>
      <c r="M25" s="470"/>
      <c r="N25" s="470"/>
      <c r="O25" s="470"/>
    </row>
    <row r="26" spans="1:16" ht="15" x14ac:dyDescent="0.15">
      <c r="A26" s="7" t="s">
        <v>239</v>
      </c>
      <c r="B26" s="7"/>
      <c r="C26" s="7"/>
      <c r="D26" s="71"/>
      <c r="E26" s="20"/>
      <c r="F26" s="71">
        <f ca="1">'Manufacturing Cost Calculations'!F260</f>
        <v>6372.7961678315678</v>
      </c>
      <c r="G26" s="470"/>
      <c r="H26" s="470"/>
      <c r="I26" s="470"/>
      <c r="J26" s="470"/>
      <c r="K26" s="470"/>
      <c r="L26" s="470"/>
      <c r="M26" s="470"/>
      <c r="N26" s="470"/>
      <c r="O26" s="470"/>
    </row>
    <row r="27" spans="1:16" ht="15" x14ac:dyDescent="0.15">
      <c r="A27" s="7" t="s">
        <v>149</v>
      </c>
      <c r="B27" s="7"/>
      <c r="C27" s="7"/>
      <c r="D27" s="71"/>
      <c r="E27" s="20"/>
      <c r="F27" s="71">
        <f>'Cost Input'!$J32</f>
        <v>3000</v>
      </c>
      <c r="G27" s="470"/>
      <c r="H27" s="470"/>
      <c r="I27" s="470"/>
      <c r="J27" s="470"/>
      <c r="K27" s="470"/>
      <c r="L27" s="470"/>
      <c r="M27" s="470"/>
      <c r="N27" s="470"/>
      <c r="O27" s="470"/>
    </row>
    <row r="28" spans="1:16" x14ac:dyDescent="0.15">
      <c r="A28" s="7" t="s">
        <v>158</v>
      </c>
      <c r="B28" s="7"/>
      <c r="C28" s="7"/>
      <c r="D28" s="71"/>
      <c r="E28" s="20"/>
      <c r="F28" s="85">
        <f t="shared" ref="F28" ca="1" si="1">F26*F27/1000000</f>
        <v>19.118388503494703</v>
      </c>
      <c r="G28" s="470"/>
      <c r="H28" s="470"/>
      <c r="I28" s="470"/>
      <c r="J28" s="470"/>
      <c r="K28" s="470"/>
      <c r="L28" s="470"/>
      <c r="M28" s="470"/>
      <c r="N28" s="470"/>
      <c r="O28" s="470"/>
    </row>
    <row r="29" spans="1:16" x14ac:dyDescent="0.15">
      <c r="A29" s="7" t="s">
        <v>124</v>
      </c>
      <c r="B29" s="7"/>
      <c r="C29" s="7"/>
      <c r="D29" s="71"/>
      <c r="E29" s="20"/>
      <c r="F29" s="71"/>
      <c r="G29" s="470"/>
      <c r="H29" s="470"/>
      <c r="I29" s="470"/>
      <c r="J29" s="470"/>
      <c r="K29" s="470"/>
      <c r="L29" s="470"/>
      <c r="M29" s="470"/>
      <c r="N29" s="470"/>
      <c r="O29" s="470"/>
    </row>
    <row r="30" spans="1:16" x14ac:dyDescent="0.15">
      <c r="A30" s="7" t="s">
        <v>125</v>
      </c>
      <c r="B30" s="7"/>
      <c r="C30" s="7"/>
      <c r="D30" s="71"/>
      <c r="E30" s="20"/>
      <c r="F30" s="71"/>
      <c r="G30" s="470"/>
      <c r="H30" s="470"/>
      <c r="I30" s="470"/>
      <c r="J30" s="470"/>
      <c r="K30" s="470"/>
      <c r="L30" s="470"/>
      <c r="M30" s="470"/>
      <c r="N30" s="470"/>
      <c r="O30" s="470"/>
    </row>
    <row r="31" spans="1:16" x14ac:dyDescent="0.15">
      <c r="A31" s="7" t="s">
        <v>126</v>
      </c>
      <c r="B31" s="7"/>
      <c r="C31" s="7"/>
      <c r="D31" s="71"/>
      <c r="E31" s="20"/>
      <c r="F31" s="183">
        <f ca="1">('Cost Input'!$J34/100*F41+'Cost Input'!$J35/100*(F50+F51))*'Manufacturing Cost Calculations'!F5/1000000</f>
        <v>7.231081155589294</v>
      </c>
      <c r="G31" s="470"/>
      <c r="H31" s="470"/>
      <c r="I31" s="470"/>
      <c r="J31" s="470"/>
      <c r="K31" s="470"/>
      <c r="L31" s="470"/>
      <c r="M31" s="470"/>
      <c r="N31" s="470"/>
      <c r="O31" s="470"/>
    </row>
    <row r="32" spans="1:16" x14ac:dyDescent="0.15">
      <c r="A32" s="240" t="s">
        <v>484</v>
      </c>
      <c r="B32" s="7"/>
      <c r="C32" s="7"/>
      <c r="D32" s="71"/>
      <c r="E32" s="20"/>
      <c r="F32" s="183">
        <f ca="1">F52*'Manufacturing Cost Calculations'!F5/1000000*'Cost Input'!$J$36/100</f>
        <v>20.551476872178888</v>
      </c>
      <c r="G32" s="470"/>
      <c r="H32" s="470"/>
      <c r="I32" s="470"/>
      <c r="J32" s="470"/>
      <c r="K32" s="470"/>
      <c r="L32" s="470"/>
      <c r="M32" s="470"/>
      <c r="N32" s="470"/>
      <c r="O32" s="470"/>
    </row>
    <row r="33" spans="1:15" x14ac:dyDescent="0.15">
      <c r="A33" s="7" t="s">
        <v>160</v>
      </c>
      <c r="B33" s="7"/>
      <c r="C33" s="7"/>
      <c r="D33" s="71"/>
      <c r="E33" s="20"/>
      <c r="F33" s="183">
        <f t="shared" ref="F33" ca="1" si="2">F24+F28+F31+F32</f>
        <v>91.758770421801842</v>
      </c>
      <c r="G33" s="470"/>
      <c r="H33" s="470"/>
      <c r="I33" s="470"/>
      <c r="J33" s="470"/>
      <c r="K33" s="470"/>
      <c r="L33" s="470"/>
      <c r="M33" s="470"/>
      <c r="N33" s="470"/>
      <c r="O33" s="470"/>
    </row>
    <row r="34" spans="1:15" ht="16" x14ac:dyDescent="0.2">
      <c r="A34" s="18" t="s">
        <v>151</v>
      </c>
      <c r="B34" s="5"/>
      <c r="C34" s="5"/>
      <c r="D34" s="71"/>
      <c r="E34" s="20"/>
      <c r="F34" s="86"/>
      <c r="G34" s="470"/>
      <c r="H34" s="470"/>
      <c r="I34" s="470"/>
      <c r="J34" s="470"/>
      <c r="K34" s="470"/>
      <c r="L34" s="470"/>
      <c r="M34" s="470"/>
      <c r="N34" s="470"/>
      <c r="O34" s="470"/>
    </row>
    <row r="35" spans="1:15" x14ac:dyDescent="0.15">
      <c r="A35" s="75" t="s">
        <v>176</v>
      </c>
      <c r="B35" s="75"/>
      <c r="C35" s="75"/>
      <c r="D35" s="71"/>
      <c r="E35" s="20"/>
      <c r="F35" s="71"/>
      <c r="G35" s="470"/>
      <c r="H35" s="470"/>
      <c r="I35" s="470"/>
      <c r="J35" s="470"/>
      <c r="K35" s="470"/>
      <c r="L35" s="470"/>
      <c r="M35" s="470"/>
      <c r="N35" s="470"/>
      <c r="O35" s="470"/>
    </row>
    <row r="36" spans="1:15" x14ac:dyDescent="0.15">
      <c r="A36" s="7" t="s">
        <v>127</v>
      </c>
      <c r="B36" s="7"/>
      <c r="C36" s="7"/>
      <c r="D36" s="71"/>
      <c r="E36" s="20"/>
      <c r="F36" s="71"/>
      <c r="G36" s="470" t="s">
        <v>367</v>
      </c>
      <c r="H36" s="470"/>
      <c r="I36" s="470"/>
      <c r="J36" s="470"/>
      <c r="K36" s="470"/>
      <c r="L36" s="470"/>
      <c r="M36" s="470"/>
      <c r="N36" s="470"/>
      <c r="O36" s="470"/>
    </row>
    <row r="37" spans="1:15" x14ac:dyDescent="0.15">
      <c r="A37" s="7" t="s">
        <v>128</v>
      </c>
      <c r="B37" s="7"/>
      <c r="C37" s="7"/>
      <c r="D37" s="71"/>
      <c r="E37" s="20"/>
      <c r="F37" s="71">
        <f ca="1">SUM('Cost Breakdown'!F21:F27)</f>
        <v>440.17954422981182</v>
      </c>
      <c r="G37" s="488">
        <f ca="1">F37/'Battery Design'!$F$202</f>
        <v>4.2669683458200822</v>
      </c>
      <c r="H37" s="470"/>
      <c r="I37" s="470"/>
      <c r="J37" s="470"/>
      <c r="K37" s="470"/>
      <c r="L37" s="470"/>
      <c r="M37" s="470"/>
      <c r="N37" s="470"/>
      <c r="O37" s="470"/>
    </row>
    <row r="38" spans="1:15" x14ac:dyDescent="0.15">
      <c r="A38" s="7" t="s">
        <v>129</v>
      </c>
      <c r="B38" s="7"/>
      <c r="C38" s="7"/>
      <c r="D38" s="71"/>
      <c r="E38" s="20"/>
      <c r="F38" s="71">
        <f ca="1">'Cost Breakdown'!F28</f>
        <v>17.447450285616519</v>
      </c>
      <c r="G38" s="488">
        <f ca="1">F38/'Battery Design'!$F$202</f>
        <v>0.16913034478750583</v>
      </c>
      <c r="H38" s="470"/>
      <c r="I38" s="470"/>
      <c r="J38" s="470"/>
      <c r="K38" s="470"/>
      <c r="L38" s="470"/>
      <c r="M38" s="470"/>
      <c r="N38" s="470"/>
      <c r="O38" s="470"/>
    </row>
    <row r="39" spans="1:15" x14ac:dyDescent="0.15">
      <c r="A39" s="7" t="s">
        <v>340</v>
      </c>
      <c r="B39" s="7"/>
      <c r="C39" s="7"/>
      <c r="D39" s="71"/>
      <c r="E39" s="20"/>
      <c r="F39" s="71">
        <f ca="1">'Manufacturing Cost Calculations'!F96*'Battery Design'!F62</f>
        <v>880.19649421767087</v>
      </c>
      <c r="G39" s="488">
        <f ca="1">F39/'Battery Design'!$F$202</f>
        <v>8.5323605518746533</v>
      </c>
      <c r="H39" s="470"/>
      <c r="I39" s="470"/>
      <c r="J39" s="470"/>
      <c r="K39" s="470"/>
      <c r="L39" s="470"/>
      <c r="M39" s="470"/>
      <c r="N39" s="470"/>
      <c r="O39" s="470"/>
    </row>
    <row r="40" spans="1:15" x14ac:dyDescent="0.15">
      <c r="A40" s="7" t="s">
        <v>410</v>
      </c>
      <c r="B40" s="7"/>
      <c r="C40" s="7"/>
      <c r="D40" s="71"/>
      <c r="E40" s="20"/>
      <c r="F40" s="71">
        <f ca="1">'Manufacturing Cost Calculations'!F105</f>
        <v>83.323992866395031</v>
      </c>
      <c r="G40" s="488">
        <f ca="1">F40/'Battery Design'!$F$202</f>
        <v>0.80771777032560799</v>
      </c>
      <c r="H40" s="470"/>
      <c r="I40" s="470"/>
      <c r="J40" s="470"/>
      <c r="K40" s="470"/>
      <c r="L40" s="470"/>
      <c r="M40" s="470"/>
      <c r="N40" s="470"/>
      <c r="O40" s="470"/>
    </row>
    <row r="41" spans="1:15" x14ac:dyDescent="0.15">
      <c r="A41" s="7" t="s">
        <v>79</v>
      </c>
      <c r="B41" s="7"/>
      <c r="C41" s="7"/>
      <c r="D41" s="71"/>
      <c r="E41" s="20"/>
      <c r="F41" s="71">
        <f t="shared" ref="F41" ca="1" si="3">SUM(F37:F40)</f>
        <v>1421.1474815994941</v>
      </c>
      <c r="G41" s="488">
        <f ca="1">F41/'Battery Design'!$F$202</f>
        <v>13.776177012807848</v>
      </c>
      <c r="H41" s="470"/>
      <c r="I41" s="470"/>
      <c r="J41" s="470"/>
      <c r="K41" s="470"/>
      <c r="L41" s="470"/>
      <c r="M41" s="470"/>
      <c r="N41" s="470"/>
      <c r="O41" s="470"/>
    </row>
    <row r="42" spans="1:15" x14ac:dyDescent="0.15">
      <c r="A42" s="240" t="s">
        <v>485</v>
      </c>
      <c r="B42" s="7"/>
      <c r="C42" s="7">
        <f>'Cost Input'!J39</f>
        <v>18</v>
      </c>
      <c r="D42" s="41" t="s">
        <v>486</v>
      </c>
      <c r="E42" s="20"/>
      <c r="F42" s="71"/>
      <c r="G42" s="488">
        <f ca="1">F42/'Battery Design'!$F$202</f>
        <v>0</v>
      </c>
      <c r="H42" s="470"/>
      <c r="I42" s="470"/>
      <c r="J42" s="470"/>
      <c r="K42" s="470"/>
      <c r="L42" s="470"/>
      <c r="M42" s="470"/>
      <c r="N42" s="470"/>
      <c r="O42" s="470"/>
    </row>
    <row r="43" spans="1:15" x14ac:dyDescent="0.15">
      <c r="A43" s="7" t="s">
        <v>130</v>
      </c>
      <c r="B43" s="7"/>
      <c r="C43" s="7"/>
      <c r="D43" s="71"/>
      <c r="E43" s="20"/>
      <c r="F43" s="71">
        <f ca="1">'Cost Input'!$J$39/'Manufacturing Cost Calculations'!F$5*('Manufacturing Cost Calculations'!F136+'Manufacturing Cost Calculations'!F141+'Manufacturing Cost Calculations'!F148+'Manufacturing Cost Calculations'!F154+'Manufacturing Cost Calculations'!F159+'Manufacturing Cost Calculations'!F165+'Manufacturing Cost Calculations'!F170+'Manufacturing Cost Calculations'!F175+'Manufacturing Cost Calculations'!F180+'Manufacturing Cost Calculations'!F185)</f>
        <v>16.280847379533363</v>
      </c>
      <c r="G43" s="488">
        <f ca="1">F43/'Battery Design'!$F$202</f>
        <v>0.15782164646735017</v>
      </c>
      <c r="H43" s="470"/>
      <c r="I43" s="470"/>
      <c r="J43" s="470"/>
      <c r="K43" s="470"/>
      <c r="L43" s="470"/>
      <c r="M43" s="470"/>
      <c r="N43" s="470"/>
      <c r="O43" s="470"/>
    </row>
    <row r="44" spans="1:15" x14ac:dyDescent="0.15">
      <c r="A44" s="7" t="s">
        <v>131</v>
      </c>
      <c r="B44" s="7"/>
      <c r="C44" s="7"/>
      <c r="D44" s="71"/>
      <c r="E44" s="20"/>
      <c r="F44" s="71">
        <f ca="1">'Cost Input'!$J$39/'Manufacturing Cost Calculations'!F$5*('Manufacturing Cost Calculations'!F197+'Manufacturing Cost Calculations'!F202+'Manufacturing Cost Calculations'!F207+'Manufacturing Cost Calculations'!F212+'Manufacturing Cost Calculations'!F217)</f>
        <v>3.3449153622755055</v>
      </c>
      <c r="G44" s="488">
        <f ca="1">F44/'Battery Design'!$F$202</f>
        <v>3.2424605271582856E-2</v>
      </c>
      <c r="H44" s="470"/>
      <c r="I44" s="470"/>
      <c r="J44" s="470"/>
      <c r="K44" s="470"/>
      <c r="L44" s="470"/>
      <c r="M44" s="470"/>
      <c r="N44" s="470"/>
      <c r="O44" s="470"/>
    </row>
    <row r="45" spans="1:15" x14ac:dyDescent="0.15">
      <c r="A45" s="7" t="s">
        <v>321</v>
      </c>
      <c r="B45" s="7"/>
      <c r="C45" s="7"/>
      <c r="D45" s="71"/>
      <c r="E45" s="20"/>
      <c r="F45" s="71">
        <f>'Cost Input'!$J$39/'Manufacturing Cost Calculations'!F$5*('Manufacturing Cost Calculations'!F223+'Manufacturing Cost Calculations'!F228+'Manufacturing Cost Calculations'!F233)</f>
        <v>1.8905615558580686</v>
      </c>
      <c r="G45" s="488">
        <f ca="1">F45/'Battery Design'!$F$202</f>
        <v>1.8326536115588075E-2</v>
      </c>
      <c r="H45" s="470"/>
      <c r="I45" s="470"/>
      <c r="J45" s="470"/>
      <c r="K45" s="470"/>
      <c r="L45" s="470"/>
      <c r="M45" s="470"/>
      <c r="N45" s="470"/>
      <c r="O45" s="470"/>
    </row>
    <row r="46" spans="1:15" x14ac:dyDescent="0.15">
      <c r="A46" s="7" t="s">
        <v>132</v>
      </c>
      <c r="B46" s="7"/>
      <c r="C46" s="7"/>
      <c r="D46" s="71"/>
      <c r="E46" s="20"/>
      <c r="F46" s="71">
        <f>'Cost Input'!$J$39/'Manufacturing Cost Calculations'!F$5*('Manufacturing Cost Calculations'!F238+'Manufacturing Cost Calculations'!F244)</f>
        <v>2.2447378419327282</v>
      </c>
      <c r="G46" s="488">
        <f ca="1">F46/'Battery Design'!$F$202</f>
        <v>2.1759814697774261E-2</v>
      </c>
      <c r="H46" s="470"/>
      <c r="I46" s="470"/>
      <c r="J46" s="470"/>
      <c r="K46" s="470"/>
      <c r="L46" s="470"/>
      <c r="M46" s="470"/>
      <c r="N46" s="470"/>
      <c r="O46" s="470"/>
    </row>
    <row r="47" spans="1:15" x14ac:dyDescent="0.15">
      <c r="A47" s="7" t="s">
        <v>432</v>
      </c>
      <c r="B47" s="7"/>
      <c r="C47" s="7"/>
      <c r="D47" s="71"/>
      <c r="E47" s="20"/>
      <c r="F47" s="71">
        <f>'Cost Input'!$J$39/'Manufacturing Cost Calculations'!F$5*('Manufacturing Cost Calculations'!F249)</f>
        <v>0.43122719198410014</v>
      </c>
      <c r="G47" s="488">
        <f ca="1">F47/'Battery Design'!$F$202</f>
        <v>4.1801869309319346E-3</v>
      </c>
      <c r="H47" s="470"/>
      <c r="I47" s="470"/>
      <c r="J47" s="470"/>
      <c r="K47" s="470"/>
      <c r="L47" s="470"/>
      <c r="M47" s="470"/>
      <c r="N47" s="470"/>
      <c r="O47" s="470"/>
    </row>
    <row r="48" spans="1:15" x14ac:dyDescent="0.15">
      <c r="A48" s="7" t="s">
        <v>133</v>
      </c>
      <c r="B48" s="7"/>
      <c r="C48" s="7"/>
      <c r="D48" s="71"/>
      <c r="E48" s="20"/>
      <c r="F48" s="71">
        <f>'Cost Input'!$J$39/'Manufacturing Cost Calculations'!F$5*('Manufacturing Cost Calculations'!F129+'Manufacturing Cost Calculations'!F254)</f>
        <v>10.322344091678366</v>
      </c>
      <c r="G48" s="488">
        <f ca="1">F48/'Battery Design'!$F$202</f>
        <v>0.10006170452768512</v>
      </c>
      <c r="H48" s="470"/>
      <c r="I48" s="470"/>
      <c r="J48" s="470"/>
      <c r="K48" s="470"/>
      <c r="L48" s="470"/>
      <c r="M48" s="470"/>
      <c r="N48" s="470"/>
      <c r="O48" s="470"/>
    </row>
    <row r="49" spans="1:15" x14ac:dyDescent="0.15">
      <c r="A49" s="7" t="s">
        <v>322</v>
      </c>
      <c r="B49" s="7"/>
      <c r="C49" s="7"/>
      <c r="D49" s="71"/>
      <c r="E49" s="20"/>
      <c r="F49" s="71">
        <f>'Cost Input'!$J$39/'Manufacturing Cost Calculations'!F$5*('Manufacturing Cost Calculations'!F190)</f>
        <v>7.0191691816054691</v>
      </c>
      <c r="G49" s="488">
        <f ca="1">F49/'Battery Design'!$F$202</f>
        <v>6.8041718667938816E-2</v>
      </c>
      <c r="H49" s="470"/>
      <c r="I49" s="470"/>
      <c r="J49" s="470"/>
      <c r="K49" s="470"/>
      <c r="L49" s="470"/>
      <c r="M49" s="470"/>
      <c r="N49" s="470"/>
      <c r="O49" s="470"/>
    </row>
    <row r="50" spans="1:15" x14ac:dyDescent="0.15">
      <c r="A50" s="90" t="s">
        <v>134</v>
      </c>
      <c r="B50" s="90"/>
      <c r="C50" s="90"/>
      <c r="E50" s="20"/>
      <c r="F50" s="71">
        <f t="shared" ref="F50" ca="1" si="4">SUM(F43:F49)</f>
        <v>41.533802604867596</v>
      </c>
      <c r="G50" s="488">
        <f ca="1">F50/'Battery Design'!$F$202</f>
        <v>0.40261621267885123</v>
      </c>
      <c r="H50" s="470"/>
      <c r="I50" s="470"/>
      <c r="J50" s="470"/>
      <c r="K50" s="470"/>
      <c r="L50" s="470"/>
      <c r="M50" s="470"/>
      <c r="N50" s="470"/>
      <c r="O50" s="470"/>
    </row>
    <row r="51" spans="1:15" x14ac:dyDescent="0.15">
      <c r="A51" s="7" t="s">
        <v>135</v>
      </c>
      <c r="B51" s="7"/>
      <c r="C51" s="7"/>
      <c r="D51" s="91"/>
      <c r="E51" s="71"/>
      <c r="F51" s="125">
        <f ca="1">F50*'Cost Input'!$J41/100+'Cost Input'!$J42/100*'Summary of Results'!F56</f>
        <v>33.458937571783665</v>
      </c>
      <c r="G51" s="488">
        <f ca="1">F51/'Battery Design'!$F$202</f>
        <v>0.32434089538025823</v>
      </c>
      <c r="H51" s="470"/>
      <c r="I51" s="470"/>
      <c r="J51" s="470"/>
      <c r="K51" s="470"/>
      <c r="L51" s="470"/>
      <c r="M51" s="470"/>
      <c r="N51" s="470"/>
      <c r="O51" s="470"/>
    </row>
    <row r="52" spans="1:15" x14ac:dyDescent="0.15">
      <c r="A52" s="7" t="s">
        <v>136</v>
      </c>
      <c r="B52" s="7"/>
      <c r="C52" s="7"/>
      <c r="D52" s="91"/>
      <c r="E52" s="71"/>
      <c r="F52" s="125">
        <f t="shared" ref="F52" ca="1" si="5">F41+F50+F51</f>
        <v>1496.1402217761454</v>
      </c>
      <c r="G52" s="488">
        <f ca="1">F52/'Battery Design'!$F$202</f>
        <v>14.503134120866958</v>
      </c>
      <c r="H52" s="470"/>
      <c r="I52" s="470"/>
      <c r="J52" s="470"/>
      <c r="K52" s="470"/>
      <c r="L52" s="470"/>
      <c r="M52" s="470"/>
      <c r="N52" s="470"/>
      <c r="O52" s="470"/>
    </row>
    <row r="53" spans="1:15" x14ac:dyDescent="0.15">
      <c r="A53" s="75" t="s">
        <v>68</v>
      </c>
      <c r="B53" s="75"/>
      <c r="C53" s="75"/>
      <c r="D53" s="71"/>
      <c r="E53" s="71"/>
      <c r="F53" s="221"/>
      <c r="G53" s="488">
        <f ca="1">F53/'Battery Design'!$F$202</f>
        <v>0</v>
      </c>
      <c r="H53" s="470"/>
      <c r="I53" s="470"/>
      <c r="J53" s="470"/>
      <c r="K53" s="470"/>
      <c r="L53" s="470"/>
      <c r="M53" s="470"/>
      <c r="N53" s="470"/>
      <c r="O53" s="470"/>
    </row>
    <row r="54" spans="1:15" x14ac:dyDescent="0.15">
      <c r="A54" s="7" t="s">
        <v>137</v>
      </c>
      <c r="B54" s="7"/>
      <c r="C54" s="7"/>
      <c r="D54" s="71"/>
      <c r="E54" s="71"/>
      <c r="F54" s="125">
        <f ca="1">'Cost Input'!$J45/100*(F50+F51)+'Cost Input'!$J46/100*F56</f>
        <v>39.8049557064586</v>
      </c>
      <c r="G54" s="488">
        <f ca="1">F54/'Battery Design'!$F$202</f>
        <v>0.38585728990067453</v>
      </c>
      <c r="H54" s="470"/>
      <c r="I54" s="470"/>
      <c r="J54" s="470"/>
      <c r="K54" s="470"/>
      <c r="L54" s="470"/>
      <c r="M54" s="470"/>
      <c r="N54" s="470"/>
      <c r="O54" s="470"/>
    </row>
    <row r="55" spans="1:15" x14ac:dyDescent="0.15">
      <c r="A55" s="7" t="s">
        <v>138</v>
      </c>
      <c r="B55" s="7"/>
      <c r="C55" s="7"/>
      <c r="D55" s="71"/>
      <c r="E55" s="71"/>
      <c r="F55" s="125">
        <f ca="1">F56*'Cost Input'!$J47/100</f>
        <v>33.69083305967326</v>
      </c>
      <c r="G55" s="488">
        <f ca="1">F55/'Battery Design'!$F$202</f>
        <v>0.32658882061743555</v>
      </c>
      <c r="H55" s="470"/>
      <c r="I55" s="470"/>
      <c r="J55" s="470"/>
      <c r="K55" s="470"/>
      <c r="L55" s="470"/>
      <c r="M55" s="470"/>
      <c r="N55" s="470"/>
      <c r="O55" s="470"/>
    </row>
    <row r="56" spans="1:15" x14ac:dyDescent="0.15">
      <c r="A56" s="7" t="s">
        <v>139</v>
      </c>
      <c r="B56" s="7"/>
      <c r="C56" s="7"/>
      <c r="D56" s="71"/>
      <c r="E56" s="71"/>
      <c r="F56" s="125">
        <f ca="1">('Cost Input'!$J49/100*F24+'Cost Input'!$J50/100*F28)*1000000/'Manufacturing Cost Calculations'!F5</f>
        <v>84.322234069312287</v>
      </c>
      <c r="G56" s="488">
        <f ca="1">F56/'Battery Design'!$F$202</f>
        <v>0.81739442084282843</v>
      </c>
      <c r="H56" s="470"/>
      <c r="I56" s="470"/>
      <c r="J56" s="470"/>
      <c r="K56" s="470"/>
      <c r="L56" s="470"/>
      <c r="M56" s="470"/>
      <c r="N56" s="470"/>
      <c r="O56" s="470"/>
    </row>
    <row r="57" spans="1:15" x14ac:dyDescent="0.15">
      <c r="A57" s="7" t="s">
        <v>140</v>
      </c>
      <c r="B57" s="7"/>
      <c r="C57" s="7"/>
      <c r="D57" s="71"/>
      <c r="E57" s="71"/>
      <c r="F57" s="93">
        <f t="shared" ref="F57" ca="1" si="6">F54+F55+F56</f>
        <v>157.81802283544414</v>
      </c>
      <c r="G57" s="488">
        <f ca="1">F57/'Battery Design'!$F$202</f>
        <v>1.5298405313609384</v>
      </c>
      <c r="H57" s="470"/>
      <c r="I57" s="470"/>
      <c r="J57" s="470"/>
      <c r="K57" s="470"/>
      <c r="L57" s="470"/>
      <c r="M57" s="470"/>
      <c r="N57" s="470"/>
      <c r="O57" s="470"/>
    </row>
    <row r="58" spans="1:15" x14ac:dyDescent="0.15">
      <c r="A58" s="7" t="s">
        <v>141</v>
      </c>
      <c r="B58" s="7"/>
      <c r="C58" s="7"/>
      <c r="D58" s="61"/>
      <c r="E58" s="71"/>
      <c r="F58" s="125">
        <f ca="1">'Cost Input'!$J51/100*F33*1000000/'Manufacturing Cost Calculations'!F5</f>
        <v>45.879385210900921</v>
      </c>
      <c r="G58" s="488">
        <f ca="1">F58/'Battery Design'!$F$202</f>
        <v>0.44474098577918814</v>
      </c>
      <c r="H58" s="470"/>
      <c r="I58" s="470"/>
      <c r="J58" s="470"/>
      <c r="K58" s="470"/>
      <c r="L58" s="470"/>
      <c r="M58" s="470"/>
      <c r="N58" s="470"/>
      <c r="O58" s="470"/>
    </row>
    <row r="59" spans="1:15" x14ac:dyDescent="0.15">
      <c r="A59" s="240" t="s">
        <v>449</v>
      </c>
      <c r="B59" s="7"/>
      <c r="C59" s="7"/>
      <c r="D59" s="71"/>
      <c r="E59" s="71"/>
      <c r="F59" s="93">
        <f t="shared" ref="F59" ca="1" si="7">F52+F57+F58</f>
        <v>1699.8376298224905</v>
      </c>
      <c r="G59" s="488">
        <f ca="1">F59/'Battery Design'!$F$202</f>
        <v>16.477715638007083</v>
      </c>
      <c r="H59" s="470"/>
      <c r="I59" s="470"/>
      <c r="J59" s="470"/>
      <c r="K59" s="470"/>
      <c r="L59" s="470"/>
      <c r="M59" s="470"/>
      <c r="N59" s="470"/>
      <c r="O59" s="470"/>
    </row>
    <row r="60" spans="1:15" ht="16" x14ac:dyDescent="0.2">
      <c r="A60" s="18" t="s">
        <v>152</v>
      </c>
      <c r="B60" s="5"/>
      <c r="C60" s="5"/>
      <c r="D60" s="71"/>
      <c r="E60" s="71"/>
      <c r="F60" s="66"/>
      <c r="G60" s="488">
        <f ca="1">F60/'Battery Design'!$F$202</f>
        <v>0</v>
      </c>
      <c r="H60" s="470"/>
      <c r="I60" s="470"/>
      <c r="J60" s="470"/>
      <c r="K60" s="470"/>
      <c r="L60" s="470"/>
      <c r="M60" s="470"/>
      <c r="N60" s="470"/>
      <c r="O60" s="470"/>
    </row>
    <row r="61" spans="1:15" x14ac:dyDescent="0.15">
      <c r="A61" s="7" t="s">
        <v>211</v>
      </c>
      <c r="B61" s="7"/>
      <c r="C61" s="7"/>
      <c r="E61" s="178"/>
      <c r="F61" s="93">
        <f t="shared" ref="F61" ca="1" si="8">F37</f>
        <v>440.17954422981182</v>
      </c>
      <c r="G61" s="488">
        <f ca="1">F61/'Battery Design'!$F$202</f>
        <v>4.2669683458200822</v>
      </c>
      <c r="H61" s="470"/>
      <c r="I61" s="470"/>
      <c r="J61" s="470"/>
      <c r="K61" s="470"/>
      <c r="L61" s="470"/>
      <c r="M61" s="470"/>
      <c r="N61" s="470"/>
      <c r="O61" s="470"/>
    </row>
    <row r="62" spans="1:15" x14ac:dyDescent="0.15">
      <c r="A62" s="240" t="s">
        <v>508</v>
      </c>
      <c r="B62" s="7"/>
      <c r="C62" s="7"/>
      <c r="E62" s="178"/>
      <c r="F62" s="93">
        <f ca="1">F38+F39+F40</f>
        <v>980.96793736968243</v>
      </c>
      <c r="G62" s="488">
        <f ca="1">F62/'Battery Design'!$F$202</f>
        <v>9.5092086669877673</v>
      </c>
      <c r="H62" s="470"/>
      <c r="I62" s="470"/>
      <c r="J62" s="470"/>
      <c r="K62" s="470"/>
      <c r="L62" s="470"/>
      <c r="M62" s="470"/>
      <c r="N62" s="470"/>
      <c r="O62" s="470"/>
    </row>
    <row r="63" spans="1:15" x14ac:dyDescent="0.15">
      <c r="A63" s="7" t="s">
        <v>142</v>
      </c>
      <c r="B63" s="7"/>
      <c r="C63" s="7"/>
      <c r="E63" s="178"/>
      <c r="F63" s="93">
        <f t="shared" ref="F63:F64" ca="1" si="9">F50</f>
        <v>41.533802604867596</v>
      </c>
      <c r="G63" s="488">
        <f ca="1">F63/'Battery Design'!$F$202</f>
        <v>0.40261621267885123</v>
      </c>
      <c r="H63" s="470"/>
      <c r="I63" s="470"/>
      <c r="J63" s="470"/>
      <c r="K63" s="470"/>
      <c r="L63" s="470"/>
      <c r="M63" s="470"/>
      <c r="N63" s="470"/>
      <c r="O63" s="470"/>
    </row>
    <row r="64" spans="1:15" x14ac:dyDescent="0.15">
      <c r="A64" s="7" t="s">
        <v>143</v>
      </c>
      <c r="B64" s="7"/>
      <c r="C64" s="7"/>
      <c r="E64" s="178"/>
      <c r="F64" s="93">
        <f t="shared" ca="1" si="9"/>
        <v>33.458937571783665</v>
      </c>
      <c r="G64" s="488">
        <f ca="1">F64/'Battery Design'!$F$202</f>
        <v>0.32434089538025823</v>
      </c>
      <c r="H64" s="470"/>
      <c r="I64" s="470"/>
      <c r="J64" s="470"/>
      <c r="K64" s="470"/>
      <c r="L64" s="470"/>
      <c r="M64" s="470"/>
      <c r="N64" s="470"/>
      <c r="O64" s="470"/>
    </row>
    <row r="65" spans="1:15" x14ac:dyDescent="0.15">
      <c r="A65" s="7" t="s">
        <v>137</v>
      </c>
      <c r="B65" s="7"/>
      <c r="C65" s="7"/>
      <c r="E65" s="178"/>
      <c r="F65" s="71">
        <f t="shared" ref="F65:F67" ca="1" si="10">F54</f>
        <v>39.8049557064586</v>
      </c>
      <c r="G65" s="488">
        <f ca="1">F65/'Battery Design'!$F$202</f>
        <v>0.38585728990067453</v>
      </c>
      <c r="H65" s="470"/>
      <c r="I65" s="470"/>
      <c r="J65" s="470"/>
      <c r="K65" s="470"/>
      <c r="L65" s="470"/>
      <c r="M65" s="470"/>
      <c r="N65" s="470"/>
      <c r="O65" s="470"/>
    </row>
    <row r="66" spans="1:15" x14ac:dyDescent="0.15">
      <c r="A66" s="7" t="s">
        <v>138</v>
      </c>
      <c r="B66" s="7"/>
      <c r="C66" s="7"/>
      <c r="E66" s="178"/>
      <c r="F66" s="93">
        <f t="shared" ca="1" si="10"/>
        <v>33.69083305967326</v>
      </c>
      <c r="G66" s="488">
        <f ca="1">F66/'Battery Design'!$F$202</f>
        <v>0.32658882061743555</v>
      </c>
      <c r="H66" s="470"/>
      <c r="I66" s="470"/>
      <c r="J66" s="470"/>
      <c r="K66" s="470"/>
      <c r="L66" s="470"/>
      <c r="M66" s="470"/>
      <c r="N66" s="470"/>
      <c r="O66" s="470"/>
    </row>
    <row r="67" spans="1:15" x14ac:dyDescent="0.15">
      <c r="A67" s="7" t="s">
        <v>139</v>
      </c>
      <c r="B67" s="7"/>
      <c r="C67" s="7"/>
      <c r="E67" s="178"/>
      <c r="F67" s="93">
        <f t="shared" ca="1" si="10"/>
        <v>84.322234069312287</v>
      </c>
      <c r="G67" s="488">
        <f ca="1">F67/'Battery Design'!$F$202</f>
        <v>0.81739442084282843</v>
      </c>
      <c r="H67" s="470"/>
      <c r="I67" s="470"/>
      <c r="J67" s="470"/>
      <c r="K67" s="470"/>
      <c r="L67" s="470"/>
      <c r="M67" s="470"/>
      <c r="N67" s="470"/>
      <c r="O67" s="470"/>
    </row>
    <row r="68" spans="1:15" x14ac:dyDescent="0.15">
      <c r="A68" s="7" t="s">
        <v>144</v>
      </c>
      <c r="B68" s="7"/>
      <c r="C68" s="7"/>
      <c r="E68" s="178"/>
      <c r="F68" s="193">
        <f t="shared" ref="F68" ca="1" si="11">F58</f>
        <v>45.879385210900921</v>
      </c>
      <c r="G68" s="488">
        <f ca="1">F68/'Battery Design'!$F$202</f>
        <v>0.44474098577918814</v>
      </c>
      <c r="H68" s="470"/>
      <c r="I68" s="470"/>
      <c r="J68" s="470"/>
      <c r="K68" s="470"/>
      <c r="L68" s="470"/>
      <c r="M68" s="470"/>
      <c r="N68" s="470"/>
      <c r="O68" s="470"/>
    </row>
    <row r="69" spans="1:15" x14ac:dyDescent="0.15">
      <c r="A69" s="240" t="s">
        <v>516</v>
      </c>
      <c r="B69" s="7"/>
      <c r="C69" s="7"/>
      <c r="E69" s="178"/>
      <c r="F69" s="94">
        <f ca="1">'Cost Input'!$J52/100*(SUM(F61:F68))</f>
        <v>95.190907270059469</v>
      </c>
      <c r="G69" s="488">
        <f ca="1">F69/'Battery Design'!$F$202</f>
        <v>0.92275207572839679</v>
      </c>
      <c r="H69" s="488"/>
      <c r="I69" s="470"/>
      <c r="J69" s="470"/>
      <c r="K69" s="470"/>
      <c r="L69" s="470"/>
      <c r="M69" s="470"/>
      <c r="N69" s="470"/>
      <c r="O69" s="470"/>
    </row>
    <row r="70" spans="1:15" x14ac:dyDescent="0.15">
      <c r="A70" s="7" t="s">
        <v>411</v>
      </c>
      <c r="E70" s="178"/>
      <c r="F70" s="93">
        <f ca="1">SUM(F61:F69)</f>
        <v>1795.0285370925501</v>
      </c>
      <c r="G70" s="488">
        <f ca="1">F70/'Battery Design'!$F$202</f>
        <v>17.400467713735484</v>
      </c>
      <c r="H70" s="470"/>
      <c r="I70" s="470"/>
      <c r="J70" s="470"/>
      <c r="K70" s="470"/>
      <c r="L70" s="470"/>
      <c r="M70" s="470"/>
      <c r="N70" s="470"/>
      <c r="O70" s="470"/>
    </row>
    <row r="71" spans="1:15" x14ac:dyDescent="0.15">
      <c r="A71" s="240" t="s">
        <v>504</v>
      </c>
      <c r="F71" s="193">
        <f>'Manufacturing Cost Calculations'!F113</f>
        <v>335</v>
      </c>
      <c r="G71" s="488">
        <f ca="1">F71/'Battery Design'!$F$202</f>
        <v>3.2473894223113628</v>
      </c>
      <c r="H71" s="470"/>
      <c r="I71" s="470"/>
      <c r="J71" s="470"/>
      <c r="K71" s="470"/>
      <c r="L71" s="470"/>
      <c r="M71" s="470"/>
      <c r="N71" s="470"/>
      <c r="O71" s="470"/>
    </row>
    <row r="72" spans="1:15" x14ac:dyDescent="0.15">
      <c r="A72" s="240" t="s">
        <v>786</v>
      </c>
      <c r="F72" s="94">
        <f>'Manufacturing Cost Calculations'!F116</f>
        <v>650</v>
      </c>
      <c r="G72" s="488">
        <f ca="1">F72/'Battery Design'!$F$202</f>
        <v>6.3009048492608528</v>
      </c>
      <c r="H72" s="470"/>
      <c r="I72" s="470"/>
      <c r="J72" s="470"/>
      <c r="K72" s="470"/>
      <c r="L72" s="470"/>
      <c r="M72" s="470"/>
      <c r="N72" s="470"/>
      <c r="O72" s="470"/>
    </row>
    <row r="73" spans="1:15" x14ac:dyDescent="0.15">
      <c r="A73" s="240" t="s">
        <v>503</v>
      </c>
      <c r="F73" s="39">
        <f ca="1">(F70+F71)*'Battery Design'!F64+F72</f>
        <v>2780.0285370925503</v>
      </c>
      <c r="G73" s="488">
        <f ca="1">F73/'Battery Design'!$F$202</f>
        <v>26.948761985307701</v>
      </c>
      <c r="H73" s="470"/>
      <c r="I73" s="470"/>
      <c r="J73" s="470"/>
      <c r="K73" s="470"/>
      <c r="L73" s="470"/>
      <c r="M73" s="470"/>
      <c r="N73" s="470"/>
      <c r="O73" s="470"/>
    </row>
    <row r="74" spans="1:15" x14ac:dyDescent="0.15">
      <c r="A74" s="240"/>
      <c r="F74" s="94"/>
      <c r="G74" s="470"/>
      <c r="H74" s="470"/>
      <c r="I74" s="470"/>
      <c r="J74" s="470"/>
      <c r="K74" s="470"/>
      <c r="L74" s="470"/>
      <c r="M74" s="470"/>
      <c r="N74" s="470"/>
      <c r="O74" s="470"/>
    </row>
    <row r="75" spans="1:15" x14ac:dyDescent="0.15">
      <c r="A75" s="240"/>
      <c r="F75" s="93"/>
      <c r="G75" s="470"/>
      <c r="H75" s="470"/>
      <c r="I75" s="470"/>
      <c r="J75" s="470"/>
      <c r="K75" s="470"/>
      <c r="L75" s="470"/>
      <c r="M75" s="470"/>
      <c r="N75" s="470"/>
      <c r="O75" s="470"/>
    </row>
    <row r="76" spans="1:15" x14ac:dyDescent="0.15">
      <c r="A76" s="7"/>
      <c r="F76" s="93"/>
      <c r="G76" s="470"/>
      <c r="H76" s="470"/>
      <c r="I76" s="470"/>
      <c r="J76" s="470"/>
      <c r="K76" s="470"/>
      <c r="L76" s="470"/>
      <c r="M76" s="470"/>
      <c r="N76" s="470"/>
      <c r="O76" s="470"/>
    </row>
    <row r="77" spans="1:15" x14ac:dyDescent="0.15">
      <c r="A77" s="248" t="s">
        <v>537</v>
      </c>
      <c r="F77" s="93"/>
      <c r="G77" s="470"/>
      <c r="H77" s="470"/>
      <c r="I77" s="470"/>
      <c r="J77" s="470"/>
      <c r="K77" s="470"/>
      <c r="L77" s="470"/>
      <c r="M77" s="470"/>
      <c r="N77" s="470"/>
      <c r="O77" s="470"/>
    </row>
    <row r="78" spans="1:15" x14ac:dyDescent="0.15">
      <c r="A78" s="240" t="s">
        <v>518</v>
      </c>
      <c r="F78" s="258">
        <v>20</v>
      </c>
      <c r="G78" s="470"/>
      <c r="H78" s="470"/>
      <c r="I78" s="470"/>
      <c r="J78" s="470"/>
      <c r="K78" s="470"/>
      <c r="L78" s="470"/>
      <c r="M78" s="470"/>
      <c r="N78" s="470"/>
      <c r="O78" s="470"/>
    </row>
    <row r="79" spans="1:15" x14ac:dyDescent="0.15">
      <c r="A79" s="248" t="s">
        <v>519</v>
      </c>
      <c r="F79" s="258">
        <v>10</v>
      </c>
      <c r="G79" s="470"/>
      <c r="H79" s="470"/>
      <c r="I79" s="470"/>
      <c r="J79" s="470"/>
      <c r="K79" s="470"/>
      <c r="L79" s="470"/>
      <c r="M79" s="470"/>
      <c r="N79" s="470"/>
      <c r="O79" s="470"/>
    </row>
    <row r="80" spans="1:15" x14ac:dyDescent="0.15">
      <c r="A80" s="251"/>
      <c r="F80" s="254"/>
      <c r="G80" s="470"/>
      <c r="H80" s="470"/>
      <c r="I80" s="470"/>
      <c r="J80" s="470"/>
      <c r="K80" s="470"/>
      <c r="L80" s="470"/>
      <c r="M80" s="470"/>
      <c r="N80" s="470"/>
      <c r="O80" s="470"/>
    </row>
    <row r="81" spans="1:30" x14ac:dyDescent="0.15">
      <c r="G81" s="470"/>
      <c r="H81" s="470"/>
      <c r="I81" s="470"/>
      <c r="J81" s="470"/>
      <c r="K81" s="470"/>
      <c r="L81" s="470"/>
      <c r="M81" s="470"/>
      <c r="N81" s="470"/>
      <c r="O81" s="470"/>
    </row>
    <row r="82" spans="1:30" x14ac:dyDescent="0.15">
      <c r="A82" s="240" t="s">
        <v>696</v>
      </c>
      <c r="F82" s="4">
        <f ca="1">'Battery Design'!F203</f>
        <v>83.815117903111627</v>
      </c>
      <c r="G82" s="470"/>
      <c r="H82" s="470"/>
      <c r="I82" s="470"/>
      <c r="J82" s="470"/>
      <c r="K82" s="470"/>
      <c r="L82" s="470"/>
      <c r="M82" s="470"/>
      <c r="N82" s="470"/>
      <c r="O82" s="470"/>
    </row>
    <row r="83" spans="1:30" x14ac:dyDescent="0.15">
      <c r="A83" s="240" t="s">
        <v>802</v>
      </c>
      <c r="F83" s="93">
        <f t="shared" ref="F83" si="12">F71</f>
        <v>335</v>
      </c>
      <c r="G83" s="470"/>
      <c r="H83" s="470"/>
      <c r="I83" s="470"/>
      <c r="J83" s="470"/>
      <c r="K83" s="470"/>
      <c r="L83" s="470"/>
      <c r="M83" s="470"/>
      <c r="N83" s="470"/>
      <c r="O83" s="470"/>
      <c r="R83" s="93"/>
      <c r="S83" s="93"/>
      <c r="T83" s="93"/>
      <c r="U83" s="93"/>
      <c r="V83" s="93"/>
      <c r="W83" s="93"/>
      <c r="X83" s="93"/>
      <c r="Y83" s="93"/>
      <c r="Z83" s="93"/>
      <c r="AA83" s="93"/>
      <c r="AB83" s="93"/>
      <c r="AC83" s="93"/>
      <c r="AD83" s="93"/>
    </row>
    <row r="84" spans="1:30" x14ac:dyDescent="0.15">
      <c r="A84" s="240" t="s">
        <v>803</v>
      </c>
      <c r="F84" s="93">
        <f t="shared" ref="F84" si="13">F72</f>
        <v>650</v>
      </c>
      <c r="G84" s="470"/>
      <c r="H84" s="470"/>
      <c r="I84" s="470"/>
      <c r="J84" s="470"/>
      <c r="K84" s="470"/>
      <c r="L84" s="470"/>
      <c r="M84" s="470"/>
      <c r="N84" s="470"/>
      <c r="O84" s="470"/>
      <c r="R84" s="93"/>
      <c r="S84" s="93"/>
      <c r="T84" s="93"/>
      <c r="U84" s="93"/>
      <c r="V84" s="93"/>
      <c r="W84" s="93"/>
      <c r="X84" s="93"/>
      <c r="Y84" s="93"/>
      <c r="Z84" s="93"/>
      <c r="AA84" s="93"/>
    </row>
    <row r="85" spans="1:30" ht="15.75" customHeight="1" x14ac:dyDescent="0.15">
      <c r="A85" s="240" t="s">
        <v>508</v>
      </c>
      <c r="F85" s="93">
        <f ca="1">F62</f>
        <v>980.96793736968243</v>
      </c>
      <c r="G85" s="470"/>
      <c r="H85" s="470"/>
      <c r="I85" s="470"/>
      <c r="J85" s="470"/>
      <c r="K85" s="470"/>
      <c r="L85" s="470"/>
      <c r="M85" s="470"/>
      <c r="N85" s="470"/>
      <c r="O85" s="470"/>
      <c r="R85" s="93"/>
      <c r="S85" s="93"/>
      <c r="T85" s="93"/>
      <c r="U85" s="93"/>
      <c r="V85" s="93"/>
      <c r="W85" s="93"/>
      <c r="X85" s="93"/>
      <c r="Y85" s="93"/>
      <c r="Z85" s="93"/>
      <c r="AA85" s="93"/>
    </row>
    <row r="86" spans="1:30" x14ac:dyDescent="0.15">
      <c r="A86" s="240" t="s">
        <v>804</v>
      </c>
      <c r="F86" s="93">
        <f ca="1">F73-SUM(F83:F85,F87)</f>
        <v>377.39514137552396</v>
      </c>
      <c r="G86" s="470"/>
      <c r="H86" s="470"/>
      <c r="I86" s="470"/>
      <c r="J86" s="470"/>
      <c r="K86" s="470"/>
      <c r="L86" s="470"/>
      <c r="M86" s="470"/>
      <c r="N86" s="470"/>
      <c r="O86" s="470"/>
      <c r="R86" s="93"/>
      <c r="S86" s="93"/>
      <c r="T86" s="93"/>
      <c r="U86" s="93"/>
      <c r="V86" s="93"/>
      <c r="W86" s="93"/>
      <c r="X86" s="93"/>
      <c r="Y86" s="93"/>
      <c r="Z86" s="93"/>
      <c r="AA86" s="93"/>
    </row>
    <row r="87" spans="1:30" x14ac:dyDescent="0.15">
      <c r="A87" s="7" t="s">
        <v>211</v>
      </c>
      <c r="F87" s="93">
        <f t="shared" ref="F87" ca="1" si="14">F61</f>
        <v>440.17954422981182</v>
      </c>
      <c r="G87" s="470"/>
      <c r="H87" s="470"/>
      <c r="I87" s="470"/>
      <c r="J87" s="470"/>
      <c r="K87" s="470"/>
      <c r="L87" s="470"/>
      <c r="M87" s="470"/>
      <c r="N87" s="470"/>
      <c r="O87" s="470"/>
      <c r="R87" s="93"/>
      <c r="S87" s="93"/>
      <c r="T87" s="93"/>
      <c r="U87" s="93"/>
      <c r="V87" s="93"/>
      <c r="W87" s="93"/>
      <c r="X87" s="93"/>
      <c r="Y87" s="93"/>
      <c r="Z87" s="93"/>
      <c r="AA87" s="93"/>
    </row>
    <row r="88" spans="1:30" x14ac:dyDescent="0.15">
      <c r="A88" s="7"/>
      <c r="G88" s="470"/>
      <c r="H88" s="470"/>
      <c r="I88" s="470"/>
      <c r="J88" s="470"/>
      <c r="K88" s="470"/>
      <c r="L88" s="470"/>
      <c r="M88" s="470"/>
      <c r="N88" s="470"/>
      <c r="O88" s="470"/>
    </row>
    <row r="89" spans="1:30" x14ac:dyDescent="0.15">
      <c r="A89" s="7"/>
      <c r="D89" s="240" t="s">
        <v>829</v>
      </c>
      <c r="F89" s="39">
        <f ca="1">('Cost Breakdown'!F21/'Battery Design'!F202)+('Battery Design'!F216-'Battery Design'!F215)</f>
        <v>2.7025743413602363</v>
      </c>
      <c r="G89" s="470"/>
      <c r="H89" s="470"/>
      <c r="I89" s="470"/>
      <c r="J89" s="470"/>
      <c r="K89" s="470"/>
      <c r="L89" s="470"/>
      <c r="M89" s="470"/>
      <c r="N89" s="470"/>
      <c r="O89" s="470"/>
    </row>
    <row r="90" spans="1:30" x14ac:dyDescent="0.15">
      <c r="A90" s="240"/>
      <c r="D90" s="240" t="s">
        <v>830</v>
      </c>
      <c r="F90" s="39">
        <f ca="1">'Cost Breakdown'!F22/'Battery Design'!F202</f>
        <v>1.3659790295693504</v>
      </c>
      <c r="G90" s="470"/>
      <c r="H90" s="470"/>
      <c r="I90" s="470"/>
      <c r="J90" s="470"/>
      <c r="K90" s="470"/>
      <c r="L90" s="470"/>
      <c r="M90" s="470"/>
      <c r="N90" s="470"/>
      <c r="O90" s="470"/>
    </row>
    <row r="91" spans="1:30" x14ac:dyDescent="0.15">
      <c r="D91" s="240" t="s">
        <v>831</v>
      </c>
      <c r="F91" s="39">
        <f ca="1">SUM('Cost Breakdown'!F23:F27)/'Battery Design'!F202</f>
        <v>2.9009893162507323</v>
      </c>
      <c r="G91" s="470"/>
      <c r="H91" s="470"/>
      <c r="I91" s="470"/>
      <c r="J91" s="470"/>
      <c r="K91" s="470"/>
      <c r="L91" s="470"/>
      <c r="M91" s="470"/>
      <c r="N91" s="470"/>
      <c r="O91" s="470"/>
    </row>
    <row r="92" spans="1:30" x14ac:dyDescent="0.15">
      <c r="D92" s="240" t="s">
        <v>508</v>
      </c>
      <c r="F92" s="39">
        <f ca="1">F62/'Battery Design'!F$202</f>
        <v>9.5092086669877673</v>
      </c>
      <c r="G92" s="470"/>
      <c r="H92" s="470"/>
      <c r="I92" s="470"/>
      <c r="J92" s="470"/>
      <c r="K92" s="470"/>
      <c r="L92" s="470"/>
      <c r="M92" s="470"/>
      <c r="N92" s="470"/>
      <c r="O92" s="470"/>
    </row>
    <row r="93" spans="1:30" x14ac:dyDescent="0.15">
      <c r="D93" s="240" t="s">
        <v>802</v>
      </c>
      <c r="F93" s="39">
        <f ca="1">F71/'Battery Design'!F$202</f>
        <v>3.2473894223113628</v>
      </c>
      <c r="G93" s="470"/>
      <c r="H93" s="470"/>
      <c r="I93" s="470"/>
      <c r="J93" s="470"/>
      <c r="K93" s="470"/>
      <c r="L93" s="470"/>
      <c r="M93" s="470"/>
      <c r="N93" s="470"/>
      <c r="O93" s="470"/>
    </row>
    <row r="94" spans="1:30" x14ac:dyDescent="0.15">
      <c r="D94" s="240" t="s">
        <v>804</v>
      </c>
      <c r="F94" s="39">
        <f ca="1">SUM(F63:F69)/'Battery Design'!F$202</f>
        <v>3.6242907009276326</v>
      </c>
      <c r="G94" s="470"/>
      <c r="H94" s="470"/>
      <c r="I94" s="470"/>
      <c r="J94" s="470"/>
      <c r="K94" s="470"/>
      <c r="L94" s="470"/>
      <c r="M94" s="470"/>
      <c r="N94" s="470"/>
      <c r="O94" s="470"/>
    </row>
    <row r="95" spans="1:30" x14ac:dyDescent="0.15">
      <c r="D95" s="240" t="s">
        <v>832</v>
      </c>
      <c r="F95" s="39">
        <f ca="1">F72/'Battery Design'!F$202</f>
        <v>6.3009048492608528</v>
      </c>
      <c r="G95" s="470"/>
      <c r="H95" s="470"/>
      <c r="I95" s="470"/>
      <c r="J95" s="470"/>
      <c r="K95" s="470"/>
      <c r="L95" s="470"/>
      <c r="M95" s="470"/>
      <c r="N95" s="470"/>
      <c r="O95" s="470"/>
    </row>
  </sheetData>
  <mergeCells count="2">
    <mergeCell ref="A1:F1"/>
    <mergeCell ref="A2:F2"/>
  </mergeCells>
  <phoneticPr fontId="6" type="noConversion"/>
  <pageMargins left="0.5" right="0.5" top="0.5" bottom="0.5" header="0.5" footer="0.5"/>
  <pageSetup orientation="portrait" r:id="rId1"/>
  <headerFooter alignWithMargins="0">
    <oddFooter>&amp;C &amp;P&amp;R&amp;F, &amp;D</oddFooter>
  </headerFooter>
  <rowBreaks count="2" manualBreakCount="2">
    <brk id="33" max="11" man="1"/>
    <brk id="59" max="11" man="1"/>
  </rowBreaks>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13"/>
  </sheetPr>
  <dimension ref="A1:T248"/>
  <sheetViews>
    <sheetView topLeftCell="A15" workbookViewId="0">
      <selection activeCell="M65" sqref="M65"/>
    </sheetView>
  </sheetViews>
  <sheetFormatPr baseColWidth="10" defaultColWidth="8.83203125" defaultRowHeight="13" x14ac:dyDescent="0.15"/>
  <cols>
    <col min="1" max="3" width="10.33203125" customWidth="1"/>
    <col min="4" max="5" width="10.6640625" customWidth="1"/>
    <col min="6" max="6" width="10.33203125" customWidth="1"/>
    <col min="7" max="7" width="17.1640625" customWidth="1"/>
    <col min="8" max="8" width="9.83203125" customWidth="1"/>
    <col min="9" max="9" width="14.5" customWidth="1"/>
    <col min="10" max="10" width="10.83203125" customWidth="1"/>
    <col min="11" max="11" width="21.83203125" customWidth="1"/>
    <col min="12" max="12" width="11" customWidth="1"/>
    <col min="15" max="15" width="10.83203125" customWidth="1"/>
    <col min="16" max="16" width="16.5" customWidth="1"/>
    <col min="17" max="17" width="11.6640625" customWidth="1"/>
  </cols>
  <sheetData>
    <row r="1" spans="1:16" ht="16" x14ac:dyDescent="0.2">
      <c r="A1" s="482" t="s">
        <v>233</v>
      </c>
      <c r="B1" s="482"/>
      <c r="C1" s="482"/>
      <c r="D1" s="482"/>
      <c r="E1" s="482"/>
      <c r="F1" s="482"/>
      <c r="G1" s="482"/>
      <c r="H1" s="482"/>
      <c r="I1" s="482"/>
      <c r="J1" s="482"/>
    </row>
    <row r="2" spans="1:16" ht="14" thickBot="1" x14ac:dyDescent="0.2">
      <c r="A2" s="55"/>
      <c r="B2" s="55"/>
      <c r="C2" s="55"/>
      <c r="D2" s="55"/>
      <c r="E2" s="55"/>
      <c r="F2" s="56"/>
      <c r="G2" s="56"/>
      <c r="H2" s="56"/>
      <c r="I2" s="56"/>
      <c r="J2" s="56"/>
    </row>
    <row r="3" spans="1:16" ht="16" x14ac:dyDescent="0.2">
      <c r="A3" s="315" t="s">
        <v>334</v>
      </c>
      <c r="B3" s="59"/>
      <c r="C3" s="59"/>
      <c r="F3" s="118" t="s">
        <v>173</v>
      </c>
      <c r="G3" s="113"/>
      <c r="H3" s="113"/>
      <c r="I3" s="114"/>
      <c r="J3" s="124"/>
    </row>
    <row r="4" spans="1:16" ht="14" thickBot="1" x14ac:dyDescent="0.2">
      <c r="A4" s="45" t="s">
        <v>23</v>
      </c>
      <c r="B4" s="45"/>
      <c r="C4" s="45"/>
      <c r="E4" s="96">
        <v>95</v>
      </c>
      <c r="F4" s="119" t="s">
        <v>174</v>
      </c>
      <c r="G4" s="115"/>
      <c r="H4" s="115"/>
      <c r="I4" s="116"/>
      <c r="J4" s="117"/>
      <c r="K4" s="167"/>
    </row>
    <row r="5" spans="1:16" x14ac:dyDescent="0.15">
      <c r="A5" s="5" t="s">
        <v>232</v>
      </c>
      <c r="F5" s="8" t="s">
        <v>188</v>
      </c>
      <c r="G5" s="8"/>
      <c r="H5" s="8" t="s">
        <v>332</v>
      </c>
      <c r="I5" s="8" t="s">
        <v>384</v>
      </c>
      <c r="J5" s="8" t="s">
        <v>101</v>
      </c>
      <c r="K5" s="169"/>
    </row>
    <row r="6" spans="1:16" x14ac:dyDescent="0.15">
      <c r="A6" s="5"/>
      <c r="F6" s="8" t="s">
        <v>330</v>
      </c>
      <c r="G6" s="63" t="s">
        <v>331</v>
      </c>
      <c r="H6" s="63" t="s">
        <v>213</v>
      </c>
      <c r="I6" s="63" t="s">
        <v>385</v>
      </c>
      <c r="J6" s="59" t="s">
        <v>333</v>
      </c>
      <c r="K6" s="169"/>
    </row>
    <row r="7" spans="1:16" x14ac:dyDescent="0.15">
      <c r="A7" s="7" t="s">
        <v>231</v>
      </c>
      <c r="B7" s="7"/>
      <c r="C7" s="7"/>
      <c r="E7" s="316">
        <f>ROUND(F7*G7*H7*I7/1000000,1)</f>
        <v>92.2</v>
      </c>
      <c r="F7" s="3">
        <v>99</v>
      </c>
      <c r="G7" s="60">
        <v>95</v>
      </c>
      <c r="H7" s="168">
        <v>99</v>
      </c>
      <c r="I7" s="168">
        <v>99</v>
      </c>
      <c r="J7" s="59"/>
      <c r="K7" s="171"/>
    </row>
    <row r="8" spans="1:16" x14ac:dyDescent="0.15">
      <c r="A8" s="7" t="s">
        <v>97</v>
      </c>
      <c r="B8" s="7"/>
      <c r="C8" s="7"/>
      <c r="E8" s="316">
        <f>ROUND(F8*G8*H8*I8/1000000,1)</f>
        <v>92.2</v>
      </c>
      <c r="F8" s="3">
        <v>99</v>
      </c>
      <c r="G8" s="60">
        <v>95</v>
      </c>
      <c r="H8" s="168">
        <v>99</v>
      </c>
      <c r="I8" s="168">
        <v>99</v>
      </c>
      <c r="J8" s="59"/>
      <c r="K8" s="171"/>
    </row>
    <row r="9" spans="1:16" x14ac:dyDescent="0.15">
      <c r="A9" s="7" t="s">
        <v>98</v>
      </c>
      <c r="B9" s="7"/>
      <c r="C9" s="7"/>
      <c r="E9" s="316">
        <f>ROUND(G9*H9*I9/10000,1)</f>
        <v>90.2</v>
      </c>
      <c r="F9" s="3"/>
      <c r="G9" s="3">
        <v>99</v>
      </c>
      <c r="H9" s="168">
        <v>92</v>
      </c>
      <c r="I9" s="168">
        <v>99</v>
      </c>
      <c r="J9" s="59"/>
      <c r="K9" s="171"/>
    </row>
    <row r="10" spans="1:16" x14ac:dyDescent="0.15">
      <c r="A10" s="7" t="s">
        <v>99</v>
      </c>
      <c r="B10" s="7"/>
      <c r="C10" s="7"/>
      <c r="E10" s="316">
        <f>ROUND(G10*H10*I10/10000,1)</f>
        <v>90.2</v>
      </c>
      <c r="F10" s="3"/>
      <c r="G10" s="60">
        <v>99</v>
      </c>
      <c r="H10" s="168">
        <v>92</v>
      </c>
      <c r="I10" s="168">
        <v>99</v>
      </c>
      <c r="J10" s="59"/>
      <c r="K10" s="171"/>
    </row>
    <row r="11" spans="1:16" x14ac:dyDescent="0.15">
      <c r="A11" s="7" t="s">
        <v>100</v>
      </c>
      <c r="B11" s="7"/>
      <c r="C11" s="7"/>
      <c r="E11" s="316">
        <f>I11</f>
        <v>98</v>
      </c>
      <c r="F11" s="3"/>
      <c r="G11" s="60"/>
      <c r="H11" s="168"/>
      <c r="I11" s="168">
        <v>98</v>
      </c>
      <c r="J11" s="59"/>
      <c r="K11" s="171"/>
    </row>
    <row r="12" spans="1:16" x14ac:dyDescent="0.15">
      <c r="A12" s="7" t="s">
        <v>101</v>
      </c>
      <c r="B12" s="7"/>
      <c r="C12" s="7"/>
      <c r="E12" s="316">
        <f>J12</f>
        <v>94</v>
      </c>
      <c r="F12" s="202"/>
      <c r="G12" s="168"/>
      <c r="H12" s="168"/>
      <c r="I12" s="168"/>
      <c r="J12" s="60">
        <v>94</v>
      </c>
      <c r="K12" s="171"/>
    </row>
    <row r="13" spans="1:16" x14ac:dyDescent="0.15">
      <c r="A13" s="7" t="s">
        <v>206</v>
      </c>
      <c r="B13" s="138"/>
      <c r="C13" s="138"/>
      <c r="D13" s="138"/>
      <c r="E13" s="317">
        <v>99.5</v>
      </c>
      <c r="F13" s="207"/>
      <c r="G13" s="48"/>
      <c r="H13" s="48"/>
      <c r="I13" s="48"/>
      <c r="P13" s="92"/>
    </row>
    <row r="14" spans="1:16" ht="16" x14ac:dyDescent="0.2">
      <c r="A14" s="18" t="s">
        <v>24</v>
      </c>
      <c r="E14" s="131"/>
      <c r="F14" s="57" t="s">
        <v>171</v>
      </c>
      <c r="L14" s="45"/>
      <c r="M14" s="45"/>
      <c r="N14" s="45"/>
      <c r="O14" s="58"/>
      <c r="P14" s="62"/>
    </row>
    <row r="15" spans="1:16" x14ac:dyDescent="0.15">
      <c r="A15" s="7" t="s">
        <v>26</v>
      </c>
      <c r="B15" s="7"/>
      <c r="C15" s="7"/>
      <c r="D15" s="8"/>
      <c r="E15" s="63" t="s">
        <v>27</v>
      </c>
      <c r="F15" s="45" t="s">
        <v>22</v>
      </c>
      <c r="G15" s="45"/>
      <c r="H15" s="45"/>
      <c r="I15" s="45"/>
      <c r="J15" s="474">
        <v>100000</v>
      </c>
      <c r="L15" s="157"/>
      <c r="M15" s="157"/>
      <c r="N15" s="157"/>
      <c r="O15" s="157"/>
      <c r="P15" s="60"/>
    </row>
    <row r="16" spans="1:16" x14ac:dyDescent="0.15">
      <c r="A16" s="7" t="s">
        <v>30</v>
      </c>
      <c r="B16" s="7"/>
      <c r="C16" s="7"/>
      <c r="D16" s="123">
        <f>Chem!D71</f>
        <v>0</v>
      </c>
      <c r="E16" s="123">
        <f>Chem!E71</f>
        <v>0.95</v>
      </c>
      <c r="F16" s="45" t="s">
        <v>207</v>
      </c>
      <c r="G16" s="45"/>
      <c r="H16" s="45"/>
      <c r="I16" s="58"/>
      <c r="J16" s="474">
        <v>300</v>
      </c>
      <c r="L16" s="157"/>
      <c r="M16" s="486"/>
      <c r="N16" s="486"/>
    </row>
    <row r="17" spans="1:14" x14ac:dyDescent="0.15">
      <c r="A17" s="7" t="s">
        <v>259</v>
      </c>
      <c r="B17" s="7"/>
      <c r="C17" s="7"/>
      <c r="D17" s="123">
        <f>Chem!D72</f>
        <v>3</v>
      </c>
      <c r="E17" s="123">
        <f>Chem!E72</f>
        <v>1</v>
      </c>
      <c r="F17" s="26" t="s">
        <v>553</v>
      </c>
      <c r="G17" s="45"/>
      <c r="H17" s="45"/>
      <c r="I17" s="58"/>
      <c r="J17" s="474">
        <v>3</v>
      </c>
      <c r="L17" s="157"/>
      <c r="M17" s="63"/>
      <c r="N17" s="63"/>
    </row>
    <row r="18" spans="1:14" x14ac:dyDescent="0.15">
      <c r="A18" s="7"/>
      <c r="B18" s="7"/>
      <c r="C18" s="7"/>
      <c r="D18" s="123"/>
      <c r="E18" s="123"/>
      <c r="F18" t="s">
        <v>209</v>
      </c>
      <c r="G18" s="48"/>
      <c r="H18" s="48"/>
      <c r="I18" s="58"/>
      <c r="J18" s="474">
        <v>900</v>
      </c>
      <c r="L18" s="157"/>
      <c r="M18" s="303"/>
      <c r="N18" s="303"/>
    </row>
    <row r="19" spans="1:14" x14ac:dyDescent="0.15">
      <c r="A19" s="7" t="s">
        <v>36</v>
      </c>
      <c r="B19" s="7"/>
      <c r="C19" s="7"/>
      <c r="D19" s="123">
        <f>Chem!D73</f>
        <v>5</v>
      </c>
      <c r="E19" s="123">
        <f>Chem!E73</f>
        <v>1</v>
      </c>
      <c r="F19" s="48" t="s">
        <v>221</v>
      </c>
      <c r="G19" s="48"/>
      <c r="H19" s="48"/>
      <c r="I19" s="203"/>
      <c r="J19" s="475">
        <v>6000000</v>
      </c>
      <c r="L19" s="157"/>
      <c r="M19" s="303"/>
      <c r="N19" s="303"/>
    </row>
    <row r="20" spans="1:14" x14ac:dyDescent="0.15">
      <c r="A20" s="7" t="s">
        <v>38</v>
      </c>
      <c r="B20" s="7"/>
      <c r="C20" s="7"/>
      <c r="D20" s="123">
        <f>Chem!D74</f>
        <v>3.1</v>
      </c>
      <c r="E20" s="123">
        <f>Chem!E74</f>
        <v>1</v>
      </c>
      <c r="F20" s="45" t="s">
        <v>75</v>
      </c>
      <c r="G20" s="48"/>
      <c r="H20" s="48"/>
      <c r="I20" s="58"/>
      <c r="J20" s="475">
        <v>24000000</v>
      </c>
      <c r="L20" s="157"/>
      <c r="M20" s="303"/>
      <c r="N20" s="303"/>
    </row>
    <row r="21" spans="1:14" x14ac:dyDescent="0.15">
      <c r="A21" s="7" t="s">
        <v>39</v>
      </c>
      <c r="B21" s="7"/>
      <c r="C21" s="7"/>
      <c r="D21" s="102"/>
      <c r="E21" s="102"/>
      <c r="F21" s="48" t="s">
        <v>76</v>
      </c>
      <c r="G21" s="48"/>
      <c r="H21" s="48"/>
      <c r="I21" s="229"/>
      <c r="J21" s="475">
        <v>25263158</v>
      </c>
      <c r="L21" s="157"/>
      <c r="M21" s="303"/>
      <c r="N21" s="303"/>
    </row>
    <row r="22" spans="1:14" ht="15" x14ac:dyDescent="0.15">
      <c r="A22" s="7" t="s">
        <v>30</v>
      </c>
      <c r="B22" s="7"/>
      <c r="C22" s="7"/>
      <c r="D22" s="123">
        <f>Chem!D76</f>
        <v>0.5</v>
      </c>
      <c r="E22" s="123">
        <f>Chem!E76</f>
        <v>0.95</v>
      </c>
      <c r="F22" s="48" t="s">
        <v>222</v>
      </c>
      <c r="G22" s="48"/>
      <c r="H22" s="48"/>
      <c r="I22" s="58"/>
      <c r="J22" s="475">
        <v>67669329.686634347</v>
      </c>
      <c r="L22" s="157"/>
      <c r="M22" s="303"/>
      <c r="N22" s="303"/>
    </row>
    <row r="23" spans="1:14" x14ac:dyDescent="0.15">
      <c r="A23" s="7" t="s">
        <v>34</v>
      </c>
      <c r="B23" s="7"/>
      <c r="C23" s="7"/>
      <c r="D23" s="123">
        <f>Chem!D77</f>
        <v>3</v>
      </c>
      <c r="E23" s="123">
        <f>Chem!E77</f>
        <v>1</v>
      </c>
      <c r="F23" s="48" t="s">
        <v>326</v>
      </c>
      <c r="G23" s="48"/>
      <c r="H23" s="48"/>
      <c r="I23" s="58"/>
      <c r="J23" s="475">
        <v>10193620.403506014</v>
      </c>
      <c r="L23" s="157"/>
      <c r="M23" s="303"/>
      <c r="N23" s="303"/>
    </row>
    <row r="24" spans="1:14" x14ac:dyDescent="0.15">
      <c r="A24" s="240" t="s">
        <v>292</v>
      </c>
      <c r="B24" s="7"/>
      <c r="C24" s="7"/>
      <c r="D24" s="123">
        <f>Chem!D78</f>
        <v>5</v>
      </c>
      <c r="E24" s="123">
        <f>Chem!E78</f>
        <v>1</v>
      </c>
      <c r="F24" s="48" t="s">
        <v>327</v>
      </c>
      <c r="G24" s="48"/>
      <c r="H24" s="48"/>
      <c r="I24" s="58"/>
      <c r="J24" s="475">
        <v>6564082.0085168201</v>
      </c>
      <c r="L24" s="157"/>
      <c r="M24" s="303"/>
      <c r="N24" s="303"/>
    </row>
    <row r="25" spans="1:14" x14ac:dyDescent="0.15">
      <c r="A25" s="7" t="s">
        <v>270</v>
      </c>
      <c r="B25" s="7"/>
      <c r="C25" s="7"/>
      <c r="D25" s="123">
        <f>Chem!D79</f>
        <v>0</v>
      </c>
      <c r="E25" s="123">
        <f>Chem!E79</f>
        <v>1</v>
      </c>
      <c r="F25" s="48" t="s">
        <v>338</v>
      </c>
      <c r="G25" s="48"/>
      <c r="H25" s="48"/>
      <c r="I25" s="58"/>
      <c r="J25" s="475">
        <v>13744207.285626091</v>
      </c>
      <c r="L25" s="157"/>
      <c r="M25" s="303"/>
      <c r="N25" s="303"/>
    </row>
    <row r="26" spans="1:14" ht="15" x14ac:dyDescent="0.15">
      <c r="A26" s="7" t="s">
        <v>145</v>
      </c>
      <c r="B26" s="7"/>
      <c r="C26" s="7"/>
      <c r="D26" s="123">
        <f>Chem!D80</f>
        <v>0.3</v>
      </c>
      <c r="E26" s="123">
        <f>Chem!E80</f>
        <v>1</v>
      </c>
      <c r="F26" s="48" t="s">
        <v>339</v>
      </c>
      <c r="G26" s="48"/>
      <c r="H26" s="48"/>
      <c r="I26" s="58"/>
      <c r="J26" s="476">
        <v>8291472.0107580908</v>
      </c>
      <c r="L26" s="157"/>
      <c r="M26" s="303"/>
      <c r="N26" s="303"/>
    </row>
    <row r="27" spans="1:14" ht="16" x14ac:dyDescent="0.2">
      <c r="A27" s="7" t="s">
        <v>146</v>
      </c>
      <c r="B27" s="7"/>
      <c r="C27" s="7"/>
      <c r="D27" s="123">
        <f>Chem!D81</f>
        <v>0.5</v>
      </c>
      <c r="E27" s="123">
        <f>Chem!E81</f>
        <v>1</v>
      </c>
      <c r="F27" s="48" t="s">
        <v>320</v>
      </c>
      <c r="J27" s="475">
        <v>6100</v>
      </c>
      <c r="L27" s="157"/>
      <c r="M27" s="303"/>
      <c r="N27" s="303"/>
    </row>
    <row r="28" spans="1:14" ht="16" x14ac:dyDescent="0.2">
      <c r="A28" s="7" t="s">
        <v>43</v>
      </c>
      <c r="B28" s="7"/>
      <c r="C28" s="7"/>
      <c r="D28" s="123">
        <v>0.3</v>
      </c>
      <c r="E28" s="123">
        <f>Chem!E82</f>
        <v>1</v>
      </c>
      <c r="G28" s="1"/>
      <c r="H28" s="1"/>
      <c r="I28" s="1"/>
      <c r="J28" s="266"/>
      <c r="L28" s="157"/>
      <c r="M28" s="303"/>
      <c r="N28" s="303"/>
    </row>
    <row r="29" spans="1:14" ht="16" x14ac:dyDescent="0.2">
      <c r="A29" s="7" t="s">
        <v>44</v>
      </c>
      <c r="B29" s="7"/>
      <c r="C29" s="7"/>
      <c r="D29" s="123">
        <f>Chem!D83</f>
        <v>3</v>
      </c>
      <c r="E29" s="123">
        <f>Chem!E83</f>
        <v>1</v>
      </c>
      <c r="F29" s="16"/>
      <c r="G29" s="319"/>
      <c r="H29" s="319"/>
      <c r="I29" s="319"/>
      <c r="J29" s="266"/>
      <c r="L29" s="157"/>
      <c r="M29" s="303"/>
      <c r="N29" s="303"/>
    </row>
    <row r="30" spans="1:14" ht="16" x14ac:dyDescent="0.2">
      <c r="A30" s="18" t="s">
        <v>148</v>
      </c>
      <c r="F30" s="16" t="s">
        <v>156</v>
      </c>
      <c r="G30" s="319"/>
      <c r="H30" s="319"/>
      <c r="I30" s="319"/>
      <c r="J30" s="266"/>
      <c r="L30" s="157"/>
      <c r="M30" s="303"/>
      <c r="N30" s="303"/>
    </row>
    <row r="31" spans="1:14" ht="16" x14ac:dyDescent="0.2">
      <c r="A31" s="206"/>
      <c r="C31" s="485" t="s">
        <v>25</v>
      </c>
      <c r="D31" s="485"/>
      <c r="F31" s="5" t="s">
        <v>62</v>
      </c>
      <c r="G31" s="1"/>
      <c r="H31" s="1"/>
      <c r="I31" s="1"/>
      <c r="J31" s="266"/>
      <c r="L31" s="157"/>
      <c r="M31" s="303"/>
      <c r="N31" s="303"/>
    </row>
    <row r="32" spans="1:14" ht="15" x14ac:dyDescent="0.15">
      <c r="C32" s="8" t="s">
        <v>28</v>
      </c>
      <c r="D32" s="8" t="s">
        <v>29</v>
      </c>
      <c r="F32" t="s">
        <v>159</v>
      </c>
      <c r="J32" s="99">
        <v>3000</v>
      </c>
      <c r="L32" s="157"/>
      <c r="M32" s="303"/>
      <c r="N32" s="303"/>
    </row>
    <row r="33" spans="1:14" x14ac:dyDescent="0.15">
      <c r="C33" s="8" t="s">
        <v>31</v>
      </c>
      <c r="D33" s="8" t="s">
        <v>32</v>
      </c>
      <c r="E33" s="8" t="s">
        <v>27</v>
      </c>
      <c r="F33" t="s">
        <v>63</v>
      </c>
      <c r="J33" s="3"/>
      <c r="L33" s="157"/>
      <c r="M33" s="303"/>
      <c r="N33" s="303"/>
    </row>
    <row r="34" spans="1:14" x14ac:dyDescent="0.15">
      <c r="A34" s="45" t="s">
        <v>33</v>
      </c>
      <c r="C34" s="97">
        <v>4</v>
      </c>
      <c r="D34" s="97">
        <v>0.25</v>
      </c>
      <c r="E34" s="97">
        <v>0.8</v>
      </c>
      <c r="F34" t="s">
        <v>569</v>
      </c>
      <c r="J34" s="99">
        <v>5</v>
      </c>
      <c r="L34" s="157"/>
      <c r="M34" s="303"/>
      <c r="N34" s="303"/>
    </row>
    <row r="35" spans="1:14" x14ac:dyDescent="0.15">
      <c r="A35" s="45" t="s">
        <v>35</v>
      </c>
      <c r="C35" s="97">
        <f>IF(D27&gt;D26,6,C34)</f>
        <v>6</v>
      </c>
      <c r="D35" s="97">
        <v>0.25</v>
      </c>
      <c r="E35" s="97">
        <v>0.8</v>
      </c>
      <c r="F35" t="s">
        <v>64</v>
      </c>
      <c r="J35" s="99">
        <v>10</v>
      </c>
      <c r="L35" s="157"/>
      <c r="M35" s="303"/>
      <c r="N35" s="303"/>
    </row>
    <row r="36" spans="1:14" x14ac:dyDescent="0.15">
      <c r="A36" s="45" t="s">
        <v>37</v>
      </c>
      <c r="C36" s="97">
        <v>3</v>
      </c>
      <c r="D36" s="97">
        <v>0.2</v>
      </c>
      <c r="E36" s="97">
        <v>0.8</v>
      </c>
      <c r="F36" t="s">
        <v>65</v>
      </c>
      <c r="J36" s="99">
        <v>15</v>
      </c>
      <c r="L36" s="157"/>
      <c r="M36" s="303"/>
      <c r="N36" s="303"/>
    </row>
    <row r="37" spans="1:14" x14ac:dyDescent="0.15">
      <c r="A37" s="48" t="s">
        <v>392</v>
      </c>
      <c r="C37" s="97">
        <v>4</v>
      </c>
      <c r="D37" s="97">
        <v>0.1</v>
      </c>
      <c r="E37" s="97">
        <v>0.8</v>
      </c>
      <c r="F37" s="5" t="s">
        <v>66</v>
      </c>
      <c r="J37" s="3"/>
      <c r="L37" s="157"/>
      <c r="M37" s="303"/>
      <c r="N37" s="303"/>
    </row>
    <row r="38" spans="1:14" x14ac:dyDescent="0.15">
      <c r="A38" s="48" t="s">
        <v>431</v>
      </c>
      <c r="B38" s="106"/>
      <c r="C38" s="102"/>
      <c r="D38" s="102"/>
      <c r="E38" s="102"/>
      <c r="F38" s="75" t="s">
        <v>176</v>
      </c>
      <c r="J38" s="3"/>
      <c r="L38" s="157"/>
      <c r="M38" s="303"/>
      <c r="N38" s="303"/>
    </row>
    <row r="39" spans="1:14" ht="16" x14ac:dyDescent="0.2">
      <c r="A39" s="18" t="s">
        <v>391</v>
      </c>
      <c r="B39" s="18"/>
      <c r="C39" s="18"/>
      <c r="D39" s="65"/>
      <c r="F39" t="s">
        <v>67</v>
      </c>
      <c r="J39" s="99">
        <v>18</v>
      </c>
      <c r="L39" s="157"/>
      <c r="M39" s="303"/>
      <c r="N39" s="303"/>
    </row>
    <row r="40" spans="1:14" x14ac:dyDescent="0.15">
      <c r="A40" s="7" t="s">
        <v>390</v>
      </c>
      <c r="F40" t="s">
        <v>414</v>
      </c>
      <c r="J40" s="133"/>
      <c r="L40" s="157"/>
      <c r="M40" s="303"/>
      <c r="N40" s="303"/>
    </row>
    <row r="41" spans="1:14" x14ac:dyDescent="0.15">
      <c r="A41" s="7" t="s">
        <v>41</v>
      </c>
      <c r="E41" s="97">
        <v>1</v>
      </c>
      <c r="F41" t="s">
        <v>413</v>
      </c>
      <c r="J41" s="99">
        <v>40</v>
      </c>
      <c r="L41" s="157"/>
      <c r="M41" s="303"/>
      <c r="N41" s="303"/>
    </row>
    <row r="42" spans="1:14" x14ac:dyDescent="0.15">
      <c r="A42" s="7" t="s">
        <v>429</v>
      </c>
      <c r="E42" s="98">
        <v>5.0000000000000001E-3</v>
      </c>
      <c r="F42" s="7" t="s">
        <v>433</v>
      </c>
      <c r="J42" s="99">
        <v>20</v>
      </c>
      <c r="L42" s="157"/>
      <c r="M42" s="303"/>
      <c r="N42" s="303"/>
    </row>
    <row r="43" spans="1:14" x14ac:dyDescent="0.15">
      <c r="A43" s="7" t="s">
        <v>381</v>
      </c>
      <c r="F43" s="75" t="s">
        <v>68</v>
      </c>
      <c r="J43" s="3"/>
      <c r="L43" s="157"/>
      <c r="M43" s="303"/>
      <c r="N43" s="303"/>
    </row>
    <row r="44" spans="1:14" x14ac:dyDescent="0.15">
      <c r="A44" s="7" t="s">
        <v>430</v>
      </c>
      <c r="E44" s="97">
        <v>1</v>
      </c>
      <c r="F44" s="7" t="s">
        <v>69</v>
      </c>
      <c r="J44" s="3"/>
      <c r="K44" s="157"/>
      <c r="L44" s="303"/>
      <c r="M44" s="303"/>
    </row>
    <row r="45" spans="1:14" x14ac:dyDescent="0.15">
      <c r="A45" s="7" t="s">
        <v>42</v>
      </c>
      <c r="E45" s="99">
        <v>0.75</v>
      </c>
      <c r="F45" s="7" t="s">
        <v>64</v>
      </c>
      <c r="J45" s="99">
        <v>25</v>
      </c>
      <c r="K45" s="157"/>
      <c r="L45" s="303"/>
      <c r="M45" s="303"/>
    </row>
    <row r="46" spans="1:14" x14ac:dyDescent="0.15">
      <c r="A46" s="7" t="s">
        <v>21</v>
      </c>
      <c r="F46" s="7" t="s">
        <v>70</v>
      </c>
      <c r="J46" s="99">
        <v>25</v>
      </c>
      <c r="K46" s="157"/>
      <c r="L46" s="303"/>
      <c r="M46" s="303"/>
    </row>
    <row r="47" spans="1:14" x14ac:dyDescent="0.15">
      <c r="A47" s="7" t="s">
        <v>430</v>
      </c>
      <c r="E47" s="97">
        <v>3</v>
      </c>
      <c r="F47" s="7" t="s">
        <v>71</v>
      </c>
      <c r="J47" s="99">
        <v>40</v>
      </c>
      <c r="K47" s="157"/>
      <c r="L47" s="303"/>
      <c r="M47" s="303"/>
    </row>
    <row r="48" spans="1:14" x14ac:dyDescent="0.15">
      <c r="A48" s="7" t="s">
        <v>42</v>
      </c>
      <c r="E48" s="97">
        <v>1</v>
      </c>
      <c r="F48" s="7" t="s">
        <v>72</v>
      </c>
      <c r="J48" s="3"/>
      <c r="K48" s="157"/>
      <c r="L48" s="303"/>
      <c r="M48" s="303"/>
    </row>
    <row r="49" spans="1:14" ht="16" x14ac:dyDescent="0.2">
      <c r="A49" s="18" t="s">
        <v>424</v>
      </c>
      <c r="E49" s="97"/>
      <c r="F49" s="7" t="s">
        <v>388</v>
      </c>
      <c r="J49" s="170">
        <f>16+2/3</f>
        <v>16.666666666666668</v>
      </c>
      <c r="K49" s="157"/>
      <c r="L49" s="303"/>
      <c r="M49" s="303"/>
    </row>
    <row r="50" spans="1:14" x14ac:dyDescent="0.15">
      <c r="A50" s="7" t="s">
        <v>427</v>
      </c>
      <c r="E50" s="97"/>
      <c r="F50" s="7" t="s">
        <v>389</v>
      </c>
      <c r="J50" s="99">
        <v>5</v>
      </c>
      <c r="K50" s="157"/>
      <c r="L50" s="303"/>
      <c r="M50" s="303"/>
    </row>
    <row r="51" spans="1:14" x14ac:dyDescent="0.15">
      <c r="A51" s="7" t="s">
        <v>430</v>
      </c>
      <c r="E51" s="97">
        <v>5</v>
      </c>
      <c r="F51" s="75" t="s">
        <v>73</v>
      </c>
      <c r="J51" s="99">
        <v>5</v>
      </c>
      <c r="K51" s="157"/>
      <c r="L51" s="303"/>
      <c r="M51" s="303"/>
    </row>
    <row r="52" spans="1:14" x14ac:dyDescent="0.15">
      <c r="A52" s="7" t="s">
        <v>405</v>
      </c>
      <c r="E52" s="97">
        <v>1</v>
      </c>
      <c r="F52" s="75" t="s">
        <v>294</v>
      </c>
      <c r="J52" s="99">
        <v>5.6</v>
      </c>
      <c r="K52" s="157"/>
      <c r="L52" s="303"/>
      <c r="M52" s="303"/>
    </row>
    <row r="53" spans="1:14" ht="16" x14ac:dyDescent="0.2">
      <c r="A53" t="s">
        <v>425</v>
      </c>
      <c r="E53" s="97">
        <v>2</v>
      </c>
      <c r="F53" s="214" t="s">
        <v>568</v>
      </c>
      <c r="K53" s="157"/>
      <c r="L53" s="63"/>
      <c r="M53" s="63"/>
    </row>
    <row r="54" spans="1:14" x14ac:dyDescent="0.15">
      <c r="A54" s="7" t="s">
        <v>400</v>
      </c>
      <c r="B54" s="191"/>
      <c r="E54" s="99"/>
      <c r="H54" s="3"/>
      <c r="I54" s="3"/>
      <c r="J54" s="3" t="s">
        <v>368</v>
      </c>
      <c r="K54" s="157"/>
      <c r="L54" s="215"/>
      <c r="M54" s="215"/>
    </row>
    <row r="55" spans="1:14" x14ac:dyDescent="0.15">
      <c r="A55" s="7" t="s">
        <v>369</v>
      </c>
      <c r="E55" s="219">
        <v>15</v>
      </c>
      <c r="H55" s="3" t="s">
        <v>393</v>
      </c>
      <c r="I55" s="3" t="s">
        <v>394</v>
      </c>
      <c r="J55" s="3" t="s">
        <v>395</v>
      </c>
      <c r="K55" s="157"/>
      <c r="L55" s="215"/>
      <c r="M55" s="215"/>
    </row>
    <row r="56" spans="1:14" x14ac:dyDescent="0.15">
      <c r="A56" s="7" t="s">
        <v>426</v>
      </c>
      <c r="E56" s="99">
        <v>0.02</v>
      </c>
      <c r="F56" t="s">
        <v>399</v>
      </c>
      <c r="H56" s="99">
        <v>40</v>
      </c>
      <c r="I56" s="99">
        <v>70</v>
      </c>
      <c r="J56" s="99">
        <v>100</v>
      </c>
      <c r="K56" s="157"/>
      <c r="L56" s="215"/>
      <c r="M56" s="215"/>
    </row>
    <row r="57" spans="1:14" x14ac:dyDescent="0.15">
      <c r="A57" s="240" t="s">
        <v>450</v>
      </c>
      <c r="F57" t="s">
        <v>398</v>
      </c>
      <c r="H57" s="99">
        <v>10</v>
      </c>
      <c r="I57" s="99">
        <v>10</v>
      </c>
      <c r="J57" s="99">
        <v>20</v>
      </c>
      <c r="K57" s="157"/>
      <c r="L57" s="215"/>
      <c r="M57" s="215"/>
    </row>
    <row r="58" spans="1:14" x14ac:dyDescent="0.15">
      <c r="A58" s="240" t="s">
        <v>451</v>
      </c>
      <c r="E58" s="97">
        <v>20</v>
      </c>
      <c r="F58" t="s">
        <v>403</v>
      </c>
      <c r="H58" s="99">
        <v>50</v>
      </c>
      <c r="I58" s="99">
        <v>70</v>
      </c>
      <c r="J58" s="99">
        <v>200</v>
      </c>
      <c r="K58" s="157"/>
      <c r="L58" s="215"/>
      <c r="M58" s="215"/>
    </row>
    <row r="59" spans="1:14" ht="16" x14ac:dyDescent="0.2">
      <c r="A59" s="7" t="s">
        <v>376</v>
      </c>
      <c r="F59" t="s">
        <v>475</v>
      </c>
      <c r="H59" s="99">
        <v>15</v>
      </c>
      <c r="I59" s="99">
        <v>15</v>
      </c>
      <c r="J59" s="99">
        <v>15</v>
      </c>
      <c r="K59" s="214"/>
      <c r="L59" s="214"/>
      <c r="M59" s="216"/>
    </row>
    <row r="60" spans="1:14" x14ac:dyDescent="0.15">
      <c r="A60" s="7" t="s">
        <v>386</v>
      </c>
      <c r="E60" s="97">
        <v>7</v>
      </c>
      <c r="F60" t="s">
        <v>455</v>
      </c>
      <c r="J60" s="99">
        <v>100</v>
      </c>
      <c r="K60" s="157"/>
      <c r="L60" s="157"/>
      <c r="M60" s="157"/>
    </row>
    <row r="61" spans="1:14" ht="16" x14ac:dyDescent="0.2">
      <c r="A61" s="7" t="s">
        <v>45</v>
      </c>
      <c r="E61" s="97">
        <v>30</v>
      </c>
      <c r="F61" s="18" t="s">
        <v>397</v>
      </c>
      <c r="H61" s="3"/>
      <c r="I61" s="3"/>
      <c r="J61" s="3" t="s">
        <v>368</v>
      </c>
      <c r="K61" s="157"/>
      <c r="L61" s="157"/>
      <c r="M61" s="157"/>
    </row>
    <row r="62" spans="1:14" ht="16" x14ac:dyDescent="0.2">
      <c r="A62" s="324" t="s">
        <v>551</v>
      </c>
      <c r="B62" s="324"/>
      <c r="C62" s="324"/>
      <c r="D62" s="322"/>
      <c r="E62" s="323"/>
      <c r="H62" s="3" t="s">
        <v>393</v>
      </c>
      <c r="I62" s="3" t="s">
        <v>394</v>
      </c>
      <c r="J62" s="3" t="s">
        <v>395</v>
      </c>
      <c r="N62" s="20"/>
    </row>
    <row r="63" spans="1:14" x14ac:dyDescent="0.15">
      <c r="A63" s="487" t="s">
        <v>487</v>
      </c>
      <c r="B63" s="487"/>
      <c r="C63" s="487"/>
      <c r="D63" s="273"/>
      <c r="E63" s="320" t="s">
        <v>552</v>
      </c>
      <c r="F63" t="s">
        <v>473</v>
      </c>
      <c r="H63" s="99">
        <v>30</v>
      </c>
      <c r="I63" s="99">
        <v>80</v>
      </c>
      <c r="J63" s="99">
        <v>120</v>
      </c>
    </row>
    <row r="64" spans="1:14" x14ac:dyDescent="0.15">
      <c r="A64" s="271" t="s">
        <v>543</v>
      </c>
      <c r="E64" s="259">
        <v>1.0665599999999995</v>
      </c>
      <c r="F64" s="248" t="s">
        <v>471</v>
      </c>
      <c r="H64" s="99">
        <v>40</v>
      </c>
      <c r="I64" s="99">
        <v>40</v>
      </c>
      <c r="J64" s="99">
        <v>40</v>
      </c>
      <c r="N64" s="3"/>
    </row>
    <row r="65" spans="1:16" x14ac:dyDescent="0.15">
      <c r="A65" s="271" t="s">
        <v>544</v>
      </c>
      <c r="E65" s="259">
        <v>1.8664799999999968</v>
      </c>
      <c r="F65" s="240" t="s">
        <v>570</v>
      </c>
      <c r="H65" s="99">
        <v>20</v>
      </c>
      <c r="I65" s="99">
        <v>20</v>
      </c>
      <c r="J65" s="99">
        <v>20</v>
      </c>
      <c r="N65" s="20"/>
    </row>
    <row r="66" spans="1:16" x14ac:dyDescent="0.15">
      <c r="A66" s="271" t="s">
        <v>623</v>
      </c>
      <c r="E66" s="259">
        <v>3.8763999999999954</v>
      </c>
      <c r="F66" t="s">
        <v>489</v>
      </c>
      <c r="H66" s="133"/>
      <c r="I66" s="133"/>
      <c r="J66" s="99">
        <v>100</v>
      </c>
      <c r="K66" s="106"/>
      <c r="L66" s="106"/>
      <c r="M66" s="106"/>
      <c r="N66" s="106"/>
      <c r="O66" s="106"/>
    </row>
    <row r="67" spans="1:16" x14ac:dyDescent="0.15">
      <c r="A67" s="271" t="s">
        <v>542</v>
      </c>
      <c r="E67" s="321">
        <v>1.5325199999999901</v>
      </c>
      <c r="F67" s="264" t="s">
        <v>530</v>
      </c>
      <c r="G67" s="264"/>
      <c r="H67" s="264"/>
      <c r="K67" s="106"/>
      <c r="L67" s="106"/>
      <c r="M67" s="106"/>
      <c r="N67" s="106"/>
      <c r="O67" s="106"/>
      <c r="P67" s="106"/>
    </row>
    <row r="68" spans="1:16" x14ac:dyDescent="0.15">
      <c r="A68" s="325" t="s">
        <v>624</v>
      </c>
      <c r="B68" s="264"/>
      <c r="C68" s="264"/>
      <c r="D68" s="264"/>
      <c r="E68" s="264"/>
      <c r="F68" s="265" t="s">
        <v>472</v>
      </c>
      <c r="G68" s="264"/>
      <c r="K68" s="222"/>
      <c r="L68" s="106"/>
      <c r="M68" s="106"/>
      <c r="N68" s="106"/>
      <c r="O68" s="102"/>
      <c r="P68" s="76"/>
    </row>
    <row r="69" spans="1:16" ht="20" x14ac:dyDescent="0.2">
      <c r="A69" s="327" t="s">
        <v>46</v>
      </c>
      <c r="B69" s="326"/>
      <c r="C69" s="326"/>
      <c r="D69" s="326"/>
      <c r="E69" s="326"/>
      <c r="F69" s="326"/>
      <c r="G69" s="326"/>
      <c r="H69" s="326"/>
      <c r="I69" s="326"/>
      <c r="J69" s="326"/>
      <c r="K69" s="223"/>
      <c r="L69" s="106"/>
      <c r="M69" s="106"/>
      <c r="N69" s="106"/>
      <c r="O69" s="102"/>
      <c r="P69" s="48"/>
    </row>
    <row r="70" spans="1:16" x14ac:dyDescent="0.15">
      <c r="A70" s="10"/>
      <c r="B70" s="10"/>
      <c r="C70" s="10"/>
      <c r="D70" s="67" t="s">
        <v>25</v>
      </c>
      <c r="E70" s="68"/>
      <c r="F70" s="10"/>
      <c r="G70" s="10"/>
      <c r="H70" s="10"/>
      <c r="I70" s="67" t="s">
        <v>25</v>
      </c>
      <c r="J70" s="68"/>
      <c r="K70" s="223"/>
      <c r="L70" s="106"/>
      <c r="M70" s="106"/>
      <c r="N70" s="106"/>
      <c r="O70" s="102"/>
      <c r="P70" s="48"/>
    </row>
    <row r="71" spans="1:16" x14ac:dyDescent="0.15">
      <c r="A71" s="69" t="s">
        <v>47</v>
      </c>
      <c r="B71" s="56"/>
      <c r="C71" s="56"/>
      <c r="D71" s="70" t="s">
        <v>48</v>
      </c>
      <c r="E71" s="56" t="s">
        <v>27</v>
      </c>
      <c r="F71" s="69" t="s">
        <v>47</v>
      </c>
      <c r="G71" s="56"/>
      <c r="H71" s="56"/>
      <c r="I71" s="70" t="s">
        <v>48</v>
      </c>
      <c r="J71" s="56" t="s">
        <v>27</v>
      </c>
      <c r="K71" s="223"/>
      <c r="L71" s="106"/>
      <c r="M71" s="106"/>
      <c r="N71" s="106"/>
      <c r="O71" s="102"/>
      <c r="P71" s="223"/>
    </row>
    <row r="72" spans="1:16" ht="16" x14ac:dyDescent="0.2">
      <c r="A72" s="5" t="s">
        <v>49</v>
      </c>
      <c r="B72" s="5"/>
      <c r="C72" s="5"/>
      <c r="E72" s="71"/>
      <c r="F72" s="5" t="s">
        <v>356</v>
      </c>
      <c r="K72" s="224"/>
      <c r="L72" s="106"/>
      <c r="M72" s="106"/>
      <c r="N72" s="106"/>
      <c r="O72" s="102"/>
      <c r="P72" s="223"/>
    </row>
    <row r="73" spans="1:16" x14ac:dyDescent="0.15">
      <c r="A73" s="7" t="s">
        <v>50</v>
      </c>
      <c r="B73" s="7"/>
      <c r="C73" s="7"/>
      <c r="D73" s="14"/>
      <c r="E73" s="71"/>
      <c r="F73" s="7" t="s">
        <v>271</v>
      </c>
      <c r="G73" s="7"/>
      <c r="H73" s="7"/>
      <c r="I73" s="10"/>
      <c r="J73" s="71"/>
      <c r="K73" s="106"/>
      <c r="L73" s="106"/>
      <c r="M73" s="133"/>
      <c r="N73" s="106"/>
      <c r="O73" s="106"/>
      <c r="P73" s="106"/>
    </row>
    <row r="74" spans="1:16" ht="12.75" customHeight="1" x14ac:dyDescent="0.15">
      <c r="A74" s="7" t="s">
        <v>51</v>
      </c>
      <c r="B74" s="7"/>
      <c r="C74" s="7"/>
      <c r="D74" s="100">
        <v>14400</v>
      </c>
      <c r="E74" s="97">
        <v>0.4</v>
      </c>
      <c r="F74" s="7" t="s">
        <v>163</v>
      </c>
      <c r="G74" s="7"/>
      <c r="H74" s="7"/>
      <c r="I74" s="10"/>
      <c r="J74" s="71"/>
      <c r="K74" s="106"/>
      <c r="L74" s="106"/>
      <c r="M74" s="133"/>
      <c r="N74" s="106"/>
      <c r="O74" s="106"/>
      <c r="P74" s="106"/>
    </row>
    <row r="75" spans="1:16" ht="12.75" customHeight="1" x14ac:dyDescent="0.15">
      <c r="A75" s="7" t="s">
        <v>53</v>
      </c>
      <c r="B75" s="7"/>
      <c r="C75" s="7"/>
      <c r="D75" s="84">
        <v>3.6</v>
      </c>
      <c r="E75" s="97">
        <v>0.6</v>
      </c>
      <c r="F75" s="7" t="s">
        <v>220</v>
      </c>
      <c r="G75" s="7"/>
      <c r="H75" s="7"/>
      <c r="I75" s="164">
        <v>40</v>
      </c>
      <c r="J75" s="165">
        <v>0.3</v>
      </c>
      <c r="K75" s="106"/>
      <c r="L75" s="106"/>
      <c r="M75" s="133"/>
      <c r="N75" s="133"/>
      <c r="O75" s="106"/>
      <c r="P75" s="106"/>
    </row>
    <row r="76" spans="1:16" x14ac:dyDescent="0.15">
      <c r="A76" s="7" t="s">
        <v>54</v>
      </c>
      <c r="B76" s="7"/>
      <c r="C76" s="7"/>
      <c r="D76" s="100">
        <v>900</v>
      </c>
      <c r="E76" s="97">
        <v>0.5</v>
      </c>
      <c r="F76" s="7" t="s">
        <v>51</v>
      </c>
      <c r="G76" s="7"/>
      <c r="H76" s="7"/>
      <c r="I76" s="101">
        <v>36000</v>
      </c>
      <c r="J76" s="97">
        <v>0.7</v>
      </c>
      <c r="K76" s="106"/>
      <c r="L76" s="174"/>
      <c r="M76" s="133"/>
      <c r="N76" s="133"/>
      <c r="O76" s="106"/>
      <c r="P76" s="106"/>
    </row>
    <row r="77" spans="1:16" x14ac:dyDescent="0.15">
      <c r="A77" s="5" t="s">
        <v>55</v>
      </c>
      <c r="B77" s="5"/>
      <c r="C77" s="5"/>
      <c r="D77" s="73"/>
      <c r="E77" s="71"/>
      <c r="F77" s="7" t="s">
        <v>53</v>
      </c>
      <c r="G77" s="7"/>
      <c r="H77" s="7"/>
      <c r="I77" s="132">
        <v>4</v>
      </c>
      <c r="J77" s="97">
        <v>0.8</v>
      </c>
      <c r="K77" s="106"/>
      <c r="L77" s="157"/>
      <c r="M77" s="157"/>
      <c r="N77" s="157"/>
      <c r="O77" s="106"/>
      <c r="P77" s="106"/>
    </row>
    <row r="78" spans="1:16" x14ac:dyDescent="0.15">
      <c r="A78" s="7" t="s">
        <v>214</v>
      </c>
      <c r="B78" s="7"/>
      <c r="C78" s="7"/>
      <c r="D78" s="73"/>
      <c r="E78" s="71"/>
      <c r="F78" s="7" t="s">
        <v>54</v>
      </c>
      <c r="G78" s="7"/>
      <c r="H78" s="7"/>
      <c r="I78" s="101">
        <v>600</v>
      </c>
      <c r="J78" s="97">
        <v>0.8</v>
      </c>
      <c r="K78" s="106"/>
      <c r="L78" s="157"/>
      <c r="M78" s="157"/>
      <c r="N78" s="157"/>
      <c r="O78" s="106"/>
      <c r="P78" s="106"/>
    </row>
    <row r="79" spans="1:16" x14ac:dyDescent="0.15">
      <c r="A79" s="7" t="s">
        <v>57</v>
      </c>
      <c r="B79" s="7"/>
      <c r="C79" s="7"/>
      <c r="D79" s="73"/>
      <c r="E79" s="71"/>
      <c r="F79" s="7" t="s">
        <v>166</v>
      </c>
      <c r="G79" s="7"/>
      <c r="H79" s="7"/>
      <c r="I79" s="10"/>
      <c r="J79" s="71"/>
      <c r="K79" s="106"/>
      <c r="L79" s="157"/>
      <c r="M79" s="157"/>
      <c r="N79" s="157"/>
      <c r="O79" s="106"/>
      <c r="P79" s="106"/>
    </row>
    <row r="80" spans="1:16" x14ac:dyDescent="0.15">
      <c r="A80" s="7" t="s">
        <v>162</v>
      </c>
      <c r="B80" s="7"/>
      <c r="C80" s="7"/>
      <c r="D80" s="73"/>
      <c r="E80" s="71"/>
      <c r="F80" s="7" t="s">
        <v>163</v>
      </c>
      <c r="G80" s="7"/>
      <c r="H80" s="7"/>
      <c r="I80" s="10"/>
      <c r="J80" s="71"/>
      <c r="K80" s="106"/>
      <c r="L80" s="157"/>
      <c r="M80" s="157"/>
      <c r="N80" s="157"/>
      <c r="O80" s="106"/>
      <c r="P80" s="106"/>
    </row>
    <row r="81" spans="1:16" x14ac:dyDescent="0.15">
      <c r="A81" s="7" t="s">
        <v>51</v>
      </c>
      <c r="B81" s="7"/>
      <c r="C81" s="7"/>
      <c r="D81" s="101">
        <v>14400</v>
      </c>
      <c r="E81" s="97">
        <v>0.5</v>
      </c>
      <c r="F81" s="7" t="s">
        <v>51</v>
      </c>
      <c r="G81" s="7"/>
      <c r="H81" s="7"/>
      <c r="I81" s="101">
        <v>36000</v>
      </c>
      <c r="J81" s="97">
        <v>0.7</v>
      </c>
      <c r="K81" s="106"/>
      <c r="L81" s="157"/>
      <c r="M81" s="157"/>
      <c r="N81" s="157"/>
      <c r="O81" s="106"/>
      <c r="P81" s="106"/>
    </row>
    <row r="82" spans="1:16" ht="16" x14ac:dyDescent="0.2">
      <c r="A82" s="7" t="s">
        <v>53</v>
      </c>
      <c r="B82" s="7"/>
      <c r="C82" s="7"/>
      <c r="D82" s="132">
        <v>2</v>
      </c>
      <c r="E82" s="97">
        <v>0.7</v>
      </c>
      <c r="F82" s="7" t="s">
        <v>53</v>
      </c>
      <c r="G82" s="7"/>
      <c r="H82" s="7"/>
      <c r="I82" s="132">
        <v>4</v>
      </c>
      <c r="J82" s="97">
        <v>0.8</v>
      </c>
      <c r="K82" s="222"/>
      <c r="L82" s="224"/>
      <c r="M82" s="224"/>
      <c r="N82" s="224"/>
      <c r="O82" s="224"/>
      <c r="P82" s="224"/>
    </row>
    <row r="83" spans="1:16" x14ac:dyDescent="0.15">
      <c r="A83" s="7" t="s">
        <v>54</v>
      </c>
      <c r="B83" s="7"/>
      <c r="C83" s="7"/>
      <c r="D83" s="101">
        <v>600</v>
      </c>
      <c r="E83" s="97">
        <v>0.6</v>
      </c>
      <c r="F83" s="7" t="s">
        <v>54</v>
      </c>
      <c r="G83" s="7"/>
      <c r="H83" s="7"/>
      <c r="I83" s="101">
        <v>600</v>
      </c>
      <c r="J83" s="97">
        <v>0.8</v>
      </c>
      <c r="K83" s="106"/>
      <c r="L83" s="106"/>
      <c r="M83" s="106"/>
      <c r="N83" s="106"/>
      <c r="O83" s="106"/>
      <c r="P83" s="133"/>
    </row>
    <row r="84" spans="1:16" x14ac:dyDescent="0.15">
      <c r="A84" s="7" t="s">
        <v>164</v>
      </c>
      <c r="B84" s="7"/>
      <c r="C84" s="7"/>
      <c r="D84" s="73"/>
      <c r="E84" s="71"/>
      <c r="F84" s="7" t="s">
        <v>215</v>
      </c>
      <c r="G84" s="7"/>
      <c r="H84" s="7"/>
      <c r="I84" s="10"/>
      <c r="J84" s="71"/>
      <c r="K84" s="106"/>
      <c r="L84" s="106"/>
      <c r="M84" s="106"/>
      <c r="N84" s="106"/>
      <c r="O84" s="106"/>
      <c r="P84" s="133"/>
    </row>
    <row r="85" spans="1:16" x14ac:dyDescent="0.15">
      <c r="A85" s="7" t="s">
        <v>165</v>
      </c>
      <c r="B85" s="7"/>
      <c r="C85" s="7"/>
      <c r="D85" s="73"/>
      <c r="E85" s="71"/>
      <c r="F85" s="7" t="s">
        <v>163</v>
      </c>
      <c r="G85" s="7"/>
      <c r="H85" s="7"/>
      <c r="I85" s="10"/>
      <c r="J85" s="71"/>
      <c r="K85" s="106"/>
      <c r="L85" s="106"/>
      <c r="M85" s="106"/>
      <c r="N85" s="106"/>
      <c r="O85" s="106"/>
      <c r="P85" s="133"/>
    </row>
    <row r="86" spans="1:16" x14ac:dyDescent="0.15">
      <c r="A86" s="7" t="s">
        <v>51</v>
      </c>
      <c r="B86" s="7"/>
      <c r="C86" s="7"/>
      <c r="D86" s="101">
        <v>14400</v>
      </c>
      <c r="E86" s="97">
        <v>0.5</v>
      </c>
      <c r="F86" s="7" t="s">
        <v>51</v>
      </c>
      <c r="G86" s="7"/>
      <c r="H86" s="7"/>
      <c r="I86" s="101">
        <v>21600</v>
      </c>
      <c r="J86" s="97">
        <v>0.5</v>
      </c>
      <c r="K86" s="106"/>
      <c r="L86" s="106"/>
      <c r="M86" s="106"/>
      <c r="N86" s="106"/>
      <c r="O86" s="106"/>
      <c r="P86" s="133"/>
    </row>
    <row r="87" spans="1:16" x14ac:dyDescent="0.15">
      <c r="A87" s="7" t="s">
        <v>53</v>
      </c>
      <c r="B87" s="7"/>
      <c r="C87" s="7"/>
      <c r="D87" s="132">
        <v>2</v>
      </c>
      <c r="E87" s="97">
        <v>0.7</v>
      </c>
      <c r="F87" s="7" t="s">
        <v>53</v>
      </c>
      <c r="G87" s="7"/>
      <c r="H87" s="7"/>
      <c r="I87" s="132">
        <v>3</v>
      </c>
      <c r="J87" s="97">
        <v>0.7</v>
      </c>
      <c r="K87" s="106"/>
      <c r="L87" s="106"/>
      <c r="M87" s="106"/>
      <c r="N87" s="106"/>
      <c r="O87" s="106"/>
      <c r="P87" s="133"/>
    </row>
    <row r="88" spans="1:16" x14ac:dyDescent="0.15">
      <c r="A88" s="7" t="s">
        <v>54</v>
      </c>
      <c r="B88" s="7"/>
      <c r="C88" s="7"/>
      <c r="D88" s="101">
        <v>600</v>
      </c>
      <c r="E88" s="97">
        <v>0.6</v>
      </c>
      <c r="F88" s="7" t="s">
        <v>54</v>
      </c>
      <c r="G88" s="7"/>
      <c r="H88" s="7"/>
      <c r="I88" s="101">
        <v>600</v>
      </c>
      <c r="J88" s="97">
        <v>0.6</v>
      </c>
      <c r="K88" s="222"/>
      <c r="L88" s="106"/>
      <c r="M88" s="106"/>
      <c r="N88" s="106"/>
      <c r="O88" s="106"/>
      <c r="P88" s="133"/>
    </row>
    <row r="89" spans="1:16" x14ac:dyDescent="0.15">
      <c r="A89" s="7" t="s">
        <v>167</v>
      </c>
      <c r="B89" s="7"/>
      <c r="C89" s="7"/>
      <c r="D89" s="73"/>
      <c r="E89" s="71"/>
      <c r="F89" s="7" t="s">
        <v>168</v>
      </c>
      <c r="G89" s="7"/>
      <c r="H89" s="7"/>
      <c r="I89" s="10"/>
      <c r="J89" s="71"/>
      <c r="K89" s="225"/>
      <c r="L89" s="106"/>
      <c r="M89" s="106"/>
      <c r="N89" s="106"/>
      <c r="O89" s="106"/>
      <c r="P89" s="133"/>
    </row>
    <row r="90" spans="1:16" x14ac:dyDescent="0.15">
      <c r="A90" s="7" t="s">
        <v>57</v>
      </c>
      <c r="B90" s="7"/>
      <c r="C90" s="7"/>
      <c r="D90" s="205"/>
      <c r="E90" s="71"/>
      <c r="F90" s="7" t="s">
        <v>163</v>
      </c>
      <c r="G90" s="7"/>
      <c r="H90" s="7"/>
      <c r="I90" s="10"/>
      <c r="J90" s="71"/>
      <c r="K90" s="106"/>
      <c r="L90" s="106"/>
      <c r="M90" s="106"/>
      <c r="N90" s="106"/>
      <c r="O90" s="106"/>
      <c r="P90" s="133"/>
    </row>
    <row r="91" spans="1:16" x14ac:dyDescent="0.15">
      <c r="A91" s="7" t="s">
        <v>52</v>
      </c>
      <c r="B91" s="7"/>
      <c r="C91" s="7"/>
      <c r="D91" s="73"/>
      <c r="E91" s="71"/>
      <c r="F91" s="7" t="s">
        <v>51</v>
      </c>
      <c r="G91" s="7"/>
      <c r="H91" s="7"/>
      <c r="I91" s="101">
        <v>36000</v>
      </c>
      <c r="J91" s="97">
        <v>0.5</v>
      </c>
      <c r="K91" s="106"/>
      <c r="L91" s="106"/>
      <c r="M91" s="106"/>
      <c r="N91" s="106"/>
      <c r="O91" s="106"/>
      <c r="P91" s="133"/>
    </row>
    <row r="92" spans="1:16" ht="15" x14ac:dyDescent="0.15">
      <c r="A92" s="240" t="s">
        <v>483</v>
      </c>
      <c r="B92" s="7"/>
      <c r="C92" s="7"/>
      <c r="D92" s="267">
        <f>J25/J22</f>
        <v>0.20310837050216513</v>
      </c>
      <c r="E92" s="97"/>
      <c r="F92" s="7" t="s">
        <v>53</v>
      </c>
      <c r="G92" s="7"/>
      <c r="H92" s="7"/>
      <c r="I92" s="132">
        <v>5</v>
      </c>
      <c r="J92" s="97">
        <v>0.7</v>
      </c>
      <c r="K92" s="106"/>
      <c r="L92" s="106"/>
      <c r="M92" s="106"/>
      <c r="N92" s="106"/>
      <c r="O92" s="106"/>
      <c r="P92" s="133"/>
    </row>
    <row r="93" spans="1:16" x14ac:dyDescent="0.15">
      <c r="A93" s="7" t="s">
        <v>51</v>
      </c>
      <c r="B93" s="7"/>
      <c r="C93" s="7"/>
      <c r="D93" s="204">
        <v>28800</v>
      </c>
      <c r="E93" s="97">
        <v>0.5</v>
      </c>
      <c r="F93" s="7" t="s">
        <v>54</v>
      </c>
      <c r="G93" s="7"/>
      <c r="H93" s="7"/>
      <c r="I93" s="101">
        <v>900</v>
      </c>
      <c r="J93" s="97">
        <v>0.6</v>
      </c>
      <c r="K93" s="223"/>
      <c r="L93" s="106"/>
      <c r="M93" s="106"/>
      <c r="N93" s="106"/>
      <c r="O93" s="106"/>
      <c r="P93" s="133"/>
    </row>
    <row r="94" spans="1:16" x14ac:dyDescent="0.15">
      <c r="A94" s="7" t="s">
        <v>53</v>
      </c>
      <c r="B94" s="7"/>
      <c r="C94" s="7"/>
      <c r="D94" s="132">
        <v>8</v>
      </c>
      <c r="E94" s="97">
        <v>0.8</v>
      </c>
      <c r="F94" s="7" t="s">
        <v>295</v>
      </c>
      <c r="K94" s="225"/>
      <c r="L94" s="106"/>
      <c r="M94" s="106"/>
      <c r="N94" s="106"/>
      <c r="O94" s="106"/>
      <c r="P94" s="133"/>
    </row>
    <row r="95" spans="1:16" x14ac:dyDescent="0.15">
      <c r="A95" s="7" t="s">
        <v>54</v>
      </c>
      <c r="B95" s="7"/>
      <c r="C95" s="7"/>
      <c r="D95" s="101">
        <v>750</v>
      </c>
      <c r="E95" s="97">
        <v>0.8</v>
      </c>
      <c r="F95" s="7" t="s">
        <v>357</v>
      </c>
      <c r="K95" s="223"/>
      <c r="L95" s="106"/>
      <c r="M95" s="106"/>
      <c r="N95" s="106"/>
      <c r="O95" s="106"/>
      <c r="P95" s="133"/>
    </row>
    <row r="96" spans="1:16" x14ac:dyDescent="0.15">
      <c r="A96" s="7" t="s">
        <v>164</v>
      </c>
      <c r="B96" s="7"/>
      <c r="C96" s="191"/>
      <c r="E96" s="205"/>
      <c r="F96" s="7" t="s">
        <v>51</v>
      </c>
      <c r="G96" s="7"/>
      <c r="H96" s="7"/>
      <c r="I96" s="101">
        <v>14400</v>
      </c>
      <c r="J96" s="97">
        <v>0.4</v>
      </c>
      <c r="K96" s="223"/>
      <c r="L96" s="106"/>
      <c r="M96" s="106"/>
      <c r="N96" s="106"/>
      <c r="O96" s="106"/>
      <c r="P96" s="133"/>
    </row>
    <row r="97" spans="1:20" x14ac:dyDescent="0.15">
      <c r="A97" s="7" t="s">
        <v>52</v>
      </c>
      <c r="B97" s="7"/>
      <c r="C97" s="7"/>
      <c r="D97" s="73"/>
      <c r="E97" s="71"/>
      <c r="F97" s="7" t="s">
        <v>53</v>
      </c>
      <c r="G97" s="7"/>
      <c r="H97" s="7"/>
      <c r="I97" s="132">
        <v>20</v>
      </c>
      <c r="J97" s="97">
        <v>0.6</v>
      </c>
      <c r="K97" s="223"/>
      <c r="L97" s="106"/>
      <c r="M97" s="106"/>
      <c r="N97" s="106"/>
      <c r="O97" s="106"/>
      <c r="P97" s="133"/>
      <c r="Q97" s="39"/>
      <c r="R97" s="136"/>
      <c r="S97" s="93"/>
    </row>
    <row r="98" spans="1:20" ht="15" x14ac:dyDescent="0.15">
      <c r="A98" s="240" t="s">
        <v>483</v>
      </c>
      <c r="B98" s="7"/>
      <c r="C98" s="7"/>
      <c r="D98" s="267">
        <f>J26/J22</f>
        <v>0.12252924698906503</v>
      </c>
      <c r="E98" s="97"/>
      <c r="F98" s="7" t="s">
        <v>54</v>
      </c>
      <c r="G98" s="7"/>
      <c r="H98" s="7"/>
      <c r="I98" s="101">
        <v>100</v>
      </c>
      <c r="J98" s="97">
        <v>0.4</v>
      </c>
      <c r="K98" s="223"/>
      <c r="L98" s="106"/>
      <c r="M98" s="106"/>
      <c r="N98" s="106"/>
      <c r="O98" s="106"/>
      <c r="P98" s="133"/>
      <c r="Q98" s="39"/>
      <c r="R98" s="136"/>
      <c r="S98" s="93"/>
    </row>
    <row r="99" spans="1:20" x14ac:dyDescent="0.15">
      <c r="A99" s="7" t="s">
        <v>51</v>
      </c>
      <c r="B99" s="7"/>
      <c r="C99" s="7"/>
      <c r="D99" s="204">
        <v>28800</v>
      </c>
      <c r="E99" s="97">
        <v>0.5</v>
      </c>
      <c r="F99" s="5" t="s">
        <v>58</v>
      </c>
      <c r="G99" s="5"/>
      <c r="H99" s="5"/>
      <c r="I99" s="10"/>
      <c r="J99" s="71"/>
      <c r="K99" s="223"/>
      <c r="L99" s="106"/>
      <c r="M99" s="106"/>
      <c r="N99" s="106"/>
      <c r="O99" s="106"/>
      <c r="P99" s="133"/>
      <c r="Q99" s="39"/>
      <c r="R99" s="136"/>
      <c r="S99" s="93"/>
    </row>
    <row r="100" spans="1:20" x14ac:dyDescent="0.15">
      <c r="A100" s="7" t="s">
        <v>53</v>
      </c>
      <c r="B100" s="7"/>
      <c r="C100" s="7"/>
      <c r="D100" s="132">
        <v>8</v>
      </c>
      <c r="E100" s="97">
        <v>0.8</v>
      </c>
      <c r="F100" s="7" t="s">
        <v>163</v>
      </c>
      <c r="G100" s="7"/>
      <c r="H100" s="7"/>
      <c r="I100" s="10"/>
      <c r="J100" s="71"/>
      <c r="K100" s="223"/>
      <c r="L100" s="106"/>
      <c r="M100" s="106"/>
      <c r="N100" s="106"/>
      <c r="O100" s="106"/>
      <c r="P100" s="133"/>
      <c r="Q100" s="39"/>
      <c r="R100" s="136"/>
      <c r="S100" s="93"/>
      <c r="T100" s="136"/>
    </row>
    <row r="101" spans="1:20" x14ac:dyDescent="0.15">
      <c r="A101" s="7" t="s">
        <v>54</v>
      </c>
      <c r="B101" s="7"/>
      <c r="C101" s="7"/>
      <c r="D101" s="101">
        <v>750</v>
      </c>
      <c r="E101" s="97">
        <v>0.8</v>
      </c>
      <c r="F101" s="7" t="s">
        <v>220</v>
      </c>
      <c r="G101" s="7"/>
      <c r="H101" s="7"/>
      <c r="I101" s="164">
        <v>40</v>
      </c>
      <c r="J101" s="165">
        <v>0.3</v>
      </c>
      <c r="K101" s="223"/>
      <c r="L101" s="106"/>
      <c r="M101" s="106"/>
      <c r="N101" s="106"/>
      <c r="O101" s="106"/>
      <c r="P101" s="133"/>
      <c r="Q101" s="39"/>
      <c r="R101" s="136"/>
      <c r="S101" s="93"/>
    </row>
    <row r="102" spans="1:20" x14ac:dyDescent="0.15">
      <c r="A102" s="7" t="s">
        <v>265</v>
      </c>
      <c r="B102" s="7"/>
      <c r="C102" s="7"/>
      <c r="D102" s="73"/>
      <c r="E102" s="205"/>
      <c r="F102" s="7" t="s">
        <v>51</v>
      </c>
      <c r="G102" s="7"/>
      <c r="H102" s="7"/>
      <c r="I102" s="101">
        <v>57600</v>
      </c>
      <c r="J102" s="97">
        <v>0.7</v>
      </c>
      <c r="K102" s="225"/>
      <c r="L102" s="106"/>
      <c r="M102" s="106"/>
      <c r="N102" s="106"/>
      <c r="O102" s="106"/>
      <c r="P102" s="133"/>
      <c r="Q102" s="39"/>
      <c r="R102" s="136"/>
      <c r="S102" s="93"/>
    </row>
    <row r="103" spans="1:20" x14ac:dyDescent="0.15">
      <c r="A103" s="7" t="s">
        <v>329</v>
      </c>
      <c r="B103" s="7"/>
      <c r="C103" s="7"/>
      <c r="D103" s="166"/>
      <c r="E103" s="102"/>
      <c r="F103" s="7" t="s">
        <v>53</v>
      </c>
      <c r="G103" s="7"/>
      <c r="H103" s="7"/>
      <c r="I103" s="132">
        <v>30</v>
      </c>
      <c r="J103" s="97">
        <v>0.8</v>
      </c>
      <c r="K103" s="225"/>
      <c r="L103" s="106"/>
      <c r="M103" s="106"/>
      <c r="N103" s="106"/>
      <c r="O103" s="106"/>
      <c r="P103" s="133"/>
      <c r="Q103" s="39"/>
      <c r="R103" s="136"/>
      <c r="S103" s="93"/>
    </row>
    <row r="104" spans="1:20" x14ac:dyDescent="0.15">
      <c r="A104" s="7" t="s">
        <v>51</v>
      </c>
      <c r="B104" s="7"/>
      <c r="C104" s="7"/>
      <c r="D104" s="101">
        <v>14400</v>
      </c>
      <c r="E104" s="184">
        <v>0.4</v>
      </c>
      <c r="F104" s="7" t="s">
        <v>54</v>
      </c>
      <c r="G104" s="7"/>
      <c r="H104" s="7"/>
      <c r="I104" s="101">
        <v>2200</v>
      </c>
      <c r="J104" s="97">
        <v>0.8</v>
      </c>
      <c r="K104" s="106"/>
      <c r="L104" s="226"/>
      <c r="M104" s="106"/>
      <c r="N104" s="106"/>
      <c r="O104" s="227"/>
      <c r="P104" s="228"/>
      <c r="Q104" s="39"/>
      <c r="R104" s="136"/>
      <c r="S104" s="93"/>
    </row>
    <row r="105" spans="1:20" x14ac:dyDescent="0.15">
      <c r="A105" s="7" t="s">
        <v>53</v>
      </c>
      <c r="B105" s="7"/>
      <c r="C105" s="7"/>
      <c r="D105" s="132">
        <v>3</v>
      </c>
      <c r="E105" s="184">
        <v>0.6</v>
      </c>
      <c r="F105" s="5" t="s">
        <v>358</v>
      </c>
      <c r="G105" s="5"/>
      <c r="H105" s="5"/>
      <c r="I105" s="10"/>
      <c r="J105" s="72"/>
      <c r="K105" s="106"/>
      <c r="L105" s="226"/>
      <c r="M105" s="106"/>
      <c r="N105" s="106"/>
      <c r="O105" s="227"/>
      <c r="P105" s="228"/>
      <c r="Q105" s="39"/>
      <c r="R105" s="136"/>
      <c r="S105" s="93"/>
    </row>
    <row r="106" spans="1:20" x14ac:dyDescent="0.15">
      <c r="A106" s="7" t="s">
        <v>54</v>
      </c>
      <c r="B106" s="7"/>
      <c r="C106" s="7"/>
      <c r="D106" s="101">
        <v>225</v>
      </c>
      <c r="E106" s="184">
        <v>0.6</v>
      </c>
      <c r="F106" s="7" t="s">
        <v>163</v>
      </c>
      <c r="G106" s="7"/>
      <c r="H106" s="7"/>
      <c r="I106" s="10"/>
      <c r="J106" s="72"/>
      <c r="O106" s="93"/>
      <c r="P106" s="136"/>
      <c r="Q106" s="39"/>
      <c r="R106" s="136"/>
      <c r="S106" s="93"/>
    </row>
    <row r="107" spans="1:20" x14ac:dyDescent="0.15">
      <c r="A107" s="7" t="s">
        <v>212</v>
      </c>
      <c r="B107" s="7"/>
      <c r="C107" s="7"/>
      <c r="D107" s="73"/>
      <c r="E107" s="71"/>
      <c r="F107" s="7" t="s">
        <v>51</v>
      </c>
      <c r="G107" s="7"/>
      <c r="H107" s="7"/>
      <c r="I107" s="101">
        <v>14400</v>
      </c>
      <c r="J107" s="97">
        <v>0.5</v>
      </c>
      <c r="O107" s="93"/>
      <c r="P107" s="136"/>
      <c r="Q107" s="39"/>
      <c r="R107" s="136"/>
      <c r="S107" s="93"/>
      <c r="T107" s="93"/>
    </row>
    <row r="108" spans="1:20" x14ac:dyDescent="0.15">
      <c r="A108" s="7" t="s">
        <v>57</v>
      </c>
      <c r="B108" s="7"/>
      <c r="C108" s="7"/>
      <c r="D108" s="73"/>
      <c r="E108" s="71"/>
      <c r="F108" s="7" t="s">
        <v>53</v>
      </c>
      <c r="G108" s="7"/>
      <c r="H108" s="7"/>
      <c r="I108" s="132">
        <v>2</v>
      </c>
      <c r="J108" s="97">
        <v>0.7</v>
      </c>
      <c r="O108" s="93"/>
      <c r="P108" s="136"/>
      <c r="Q108" s="39"/>
      <c r="R108" s="136"/>
      <c r="S108" s="93"/>
    </row>
    <row r="109" spans="1:20" x14ac:dyDescent="0.15">
      <c r="A109" s="7" t="s">
        <v>52</v>
      </c>
      <c r="B109" s="7"/>
      <c r="C109" s="7"/>
      <c r="D109" s="73"/>
      <c r="E109" s="71"/>
      <c r="F109" s="7" t="s">
        <v>54</v>
      </c>
      <c r="G109" s="7"/>
      <c r="H109" s="7"/>
      <c r="I109" s="101">
        <v>450</v>
      </c>
      <c r="J109" s="97">
        <v>0.6</v>
      </c>
      <c r="O109" s="93"/>
      <c r="P109" s="136"/>
      <c r="Q109" s="39"/>
      <c r="R109" s="136"/>
      <c r="S109" s="93"/>
    </row>
    <row r="110" spans="1:20" x14ac:dyDescent="0.15">
      <c r="A110" s="7" t="s">
        <v>51</v>
      </c>
      <c r="B110" s="7"/>
      <c r="C110" s="7"/>
      <c r="D110" s="101">
        <v>14400</v>
      </c>
      <c r="E110" s="97">
        <v>0.5</v>
      </c>
      <c r="F110" s="5" t="s">
        <v>359</v>
      </c>
      <c r="G110" s="5"/>
      <c r="H110" s="5"/>
      <c r="I110" s="10"/>
      <c r="J110" s="72"/>
      <c r="L110" s="93"/>
      <c r="O110" s="93"/>
      <c r="P110" s="136"/>
      <c r="Q110" s="39"/>
      <c r="R110" s="136"/>
      <c r="S110" s="93"/>
    </row>
    <row r="111" spans="1:20" x14ac:dyDescent="0.15">
      <c r="A111" s="7" t="s">
        <v>53</v>
      </c>
      <c r="B111" s="7"/>
      <c r="C111" s="7"/>
      <c r="D111" s="132">
        <v>1</v>
      </c>
      <c r="E111" s="97">
        <v>0.7</v>
      </c>
      <c r="F111" s="7" t="s">
        <v>163</v>
      </c>
      <c r="G111" s="7"/>
      <c r="H111" s="7"/>
      <c r="I111" s="10"/>
      <c r="J111" s="72"/>
      <c r="L111" s="93"/>
      <c r="O111" s="93"/>
      <c r="P111" s="136"/>
      <c r="Q111" s="39"/>
      <c r="R111" s="136"/>
    </row>
    <row r="112" spans="1:20" x14ac:dyDescent="0.15">
      <c r="A112" s="7" t="s">
        <v>54</v>
      </c>
      <c r="B112" s="7"/>
      <c r="C112" s="7"/>
      <c r="D112" s="101">
        <v>225</v>
      </c>
      <c r="E112" s="97">
        <v>0.6</v>
      </c>
      <c r="F112" s="7" t="s">
        <v>51</v>
      </c>
      <c r="G112" s="7"/>
      <c r="H112" s="7"/>
      <c r="I112" s="101">
        <v>21600</v>
      </c>
      <c r="J112" s="97">
        <v>0.4</v>
      </c>
      <c r="L112" s="93"/>
      <c r="O112" s="93"/>
      <c r="P112" s="136"/>
      <c r="Q112" s="39"/>
      <c r="R112" s="136"/>
      <c r="S112" s="93"/>
    </row>
    <row r="113" spans="1:19" x14ac:dyDescent="0.15">
      <c r="A113" s="7" t="s">
        <v>164</v>
      </c>
      <c r="B113" s="7"/>
      <c r="C113" s="7"/>
      <c r="D113" s="71"/>
      <c r="E113" s="20"/>
      <c r="F113" s="7" t="s">
        <v>53</v>
      </c>
      <c r="G113" s="7"/>
      <c r="H113" s="7"/>
      <c r="I113" s="185">
        <v>4.75</v>
      </c>
      <c r="J113" s="97">
        <v>0.7</v>
      </c>
      <c r="L113" s="93"/>
      <c r="O113" s="93"/>
      <c r="P113" s="136"/>
      <c r="Q113" s="39"/>
      <c r="R113" s="136"/>
      <c r="S113" s="93"/>
    </row>
    <row r="114" spans="1:19" x14ac:dyDescent="0.15">
      <c r="A114" s="7" t="s">
        <v>52</v>
      </c>
      <c r="B114" s="7"/>
      <c r="C114" s="7"/>
      <c r="D114" s="71"/>
      <c r="E114" s="20"/>
      <c r="F114" s="7" t="s">
        <v>54</v>
      </c>
      <c r="G114" s="7"/>
      <c r="H114" s="7"/>
      <c r="I114" s="101">
        <v>900</v>
      </c>
      <c r="J114" s="97">
        <v>0.6</v>
      </c>
      <c r="L114" s="95"/>
      <c r="O114" s="93"/>
      <c r="P114" s="136"/>
      <c r="Q114" s="39"/>
      <c r="R114" s="136"/>
      <c r="S114" s="93"/>
    </row>
    <row r="115" spans="1:19" x14ac:dyDescent="0.15">
      <c r="A115" s="7" t="s">
        <v>51</v>
      </c>
      <c r="B115" s="7"/>
      <c r="C115" s="7"/>
      <c r="D115" s="101">
        <v>7200</v>
      </c>
      <c r="E115" s="97">
        <v>0.5</v>
      </c>
      <c r="F115" s="5" t="s">
        <v>59</v>
      </c>
      <c r="G115" s="5"/>
      <c r="H115" s="5"/>
      <c r="I115" s="10"/>
      <c r="J115" s="72"/>
      <c r="L115" s="93"/>
      <c r="O115" s="93"/>
      <c r="P115" s="136"/>
      <c r="Q115" s="39"/>
      <c r="R115" s="136"/>
      <c r="S115" s="93"/>
    </row>
    <row r="116" spans="1:19" x14ac:dyDescent="0.15">
      <c r="A116" s="7" t="s">
        <v>53</v>
      </c>
      <c r="B116" s="7"/>
      <c r="C116" s="7"/>
      <c r="D116" s="132">
        <v>1</v>
      </c>
      <c r="E116" s="97">
        <v>0.7</v>
      </c>
      <c r="F116" s="7" t="s">
        <v>163</v>
      </c>
      <c r="G116" s="7"/>
      <c r="H116" s="7"/>
      <c r="I116" s="10"/>
      <c r="J116" s="72"/>
      <c r="L116" s="93"/>
      <c r="O116" s="93"/>
      <c r="Q116" s="39"/>
      <c r="S116" s="93"/>
    </row>
    <row r="117" spans="1:19" x14ac:dyDescent="0.15">
      <c r="A117" s="7" t="s">
        <v>54</v>
      </c>
      <c r="B117" s="7"/>
      <c r="C117" s="7"/>
      <c r="D117" s="101">
        <v>225</v>
      </c>
      <c r="E117" s="97">
        <v>0.6</v>
      </c>
      <c r="F117" s="7" t="s">
        <v>51</v>
      </c>
      <c r="G117" s="7"/>
      <c r="H117" s="7"/>
      <c r="I117" s="101">
        <v>43200</v>
      </c>
      <c r="J117" s="97">
        <v>0.5</v>
      </c>
      <c r="L117" s="93"/>
      <c r="O117" s="93"/>
      <c r="P117" s="136"/>
      <c r="Q117" s="39"/>
      <c r="R117" s="136"/>
      <c r="S117" s="93"/>
    </row>
    <row r="118" spans="1:19" x14ac:dyDescent="0.15">
      <c r="A118" s="5" t="s">
        <v>287</v>
      </c>
      <c r="B118" s="5"/>
      <c r="C118" s="5"/>
      <c r="D118" s="10"/>
      <c r="E118" s="72"/>
      <c r="F118" s="7" t="s">
        <v>53</v>
      </c>
      <c r="G118" s="7"/>
      <c r="H118" s="7"/>
      <c r="I118" s="132">
        <v>6</v>
      </c>
      <c r="J118" s="97">
        <v>0.7</v>
      </c>
      <c r="L118" s="93"/>
      <c r="O118" s="93"/>
      <c r="P118" s="136"/>
      <c r="Q118" s="39"/>
      <c r="R118" s="136"/>
      <c r="S118" s="93"/>
    </row>
    <row r="119" spans="1:19" x14ac:dyDescent="0.15">
      <c r="A119" s="7" t="s">
        <v>52</v>
      </c>
      <c r="B119" s="7"/>
      <c r="C119" s="7"/>
      <c r="D119" s="10"/>
      <c r="E119" s="72"/>
      <c r="F119" s="7" t="s">
        <v>54</v>
      </c>
      <c r="G119" s="7"/>
      <c r="H119" s="7"/>
      <c r="I119" s="101">
        <v>600</v>
      </c>
      <c r="J119" s="97">
        <v>0.6</v>
      </c>
      <c r="L119" s="93"/>
      <c r="O119" s="93"/>
      <c r="P119" s="136"/>
      <c r="Q119" s="39"/>
      <c r="R119" s="136"/>
      <c r="S119" s="93"/>
    </row>
    <row r="120" spans="1:19" x14ac:dyDescent="0.15">
      <c r="A120" s="7" t="s">
        <v>51</v>
      </c>
      <c r="B120" s="7"/>
      <c r="C120" s="7"/>
      <c r="D120" s="101">
        <v>28800</v>
      </c>
      <c r="E120" s="97">
        <v>0.7</v>
      </c>
      <c r="F120" s="5" t="s">
        <v>216</v>
      </c>
      <c r="G120" s="5"/>
      <c r="H120" s="5"/>
      <c r="I120" s="10"/>
      <c r="J120" s="72"/>
      <c r="L120" s="93"/>
      <c r="O120" s="93"/>
      <c r="P120" s="136"/>
      <c r="Q120" s="39"/>
      <c r="R120" s="136"/>
      <c r="S120" s="93"/>
    </row>
    <row r="121" spans="1:19" x14ac:dyDescent="0.15">
      <c r="A121" s="7" t="s">
        <v>53</v>
      </c>
      <c r="B121" s="7"/>
      <c r="C121" s="7"/>
      <c r="D121" s="132">
        <v>1.5</v>
      </c>
      <c r="E121" s="97">
        <v>0.7</v>
      </c>
      <c r="F121" s="7" t="s">
        <v>163</v>
      </c>
      <c r="G121" s="7"/>
      <c r="H121" s="7"/>
      <c r="I121" s="10"/>
      <c r="J121" s="72"/>
      <c r="L121" s="93"/>
      <c r="O121" s="93"/>
      <c r="P121" s="136"/>
      <c r="Q121" s="39"/>
      <c r="R121" s="136"/>
      <c r="S121" s="93"/>
    </row>
    <row r="122" spans="1:19" x14ac:dyDescent="0.15">
      <c r="A122" s="7" t="s">
        <v>54</v>
      </c>
      <c r="B122" s="7"/>
      <c r="C122" s="7"/>
      <c r="D122" s="101">
        <v>900</v>
      </c>
      <c r="E122" s="97">
        <v>0.6</v>
      </c>
      <c r="F122" s="7" t="s">
        <v>383</v>
      </c>
      <c r="G122" s="7"/>
      <c r="H122" s="7"/>
      <c r="I122" s="164">
        <v>4</v>
      </c>
      <c r="J122" s="97">
        <v>0.3</v>
      </c>
      <c r="L122" s="93"/>
      <c r="O122" s="93"/>
      <c r="P122" s="136"/>
      <c r="Q122" s="39"/>
      <c r="R122" s="136"/>
      <c r="S122" s="93"/>
    </row>
    <row r="123" spans="1:19" x14ac:dyDescent="0.15">
      <c r="A123" s="5" t="s">
        <v>288</v>
      </c>
      <c r="B123" s="7"/>
      <c r="C123" s="7"/>
      <c r="D123" s="10"/>
      <c r="E123" s="71"/>
      <c r="F123" s="7" t="s">
        <v>51</v>
      </c>
      <c r="G123" s="7"/>
      <c r="H123" s="7"/>
      <c r="I123" s="101">
        <v>43200</v>
      </c>
      <c r="J123" s="97">
        <v>0.5</v>
      </c>
      <c r="L123" s="93"/>
      <c r="O123" s="93"/>
      <c r="P123" s="136"/>
      <c r="Q123" s="39"/>
      <c r="R123" s="136"/>
      <c r="S123" s="93"/>
    </row>
    <row r="124" spans="1:19" x14ac:dyDescent="0.15">
      <c r="A124" s="7" t="s">
        <v>52</v>
      </c>
      <c r="B124" s="7"/>
      <c r="C124" s="7"/>
      <c r="D124" s="10"/>
      <c r="E124" s="71"/>
      <c r="F124" s="7" t="s">
        <v>53</v>
      </c>
      <c r="G124" s="7"/>
      <c r="H124" s="7"/>
      <c r="I124" s="132">
        <v>6</v>
      </c>
      <c r="J124" s="97">
        <v>0.7</v>
      </c>
      <c r="L124" s="93"/>
      <c r="O124" s="93"/>
      <c r="Q124" s="39"/>
      <c r="S124" s="93"/>
    </row>
    <row r="125" spans="1:19" x14ac:dyDescent="0.15">
      <c r="A125" s="7" t="s">
        <v>51</v>
      </c>
      <c r="B125" s="7"/>
      <c r="C125" s="7"/>
      <c r="D125" s="101">
        <v>28800</v>
      </c>
      <c r="E125" s="97">
        <v>0.5</v>
      </c>
      <c r="F125" s="7" t="s">
        <v>54</v>
      </c>
      <c r="G125" s="7"/>
      <c r="H125" s="7"/>
      <c r="I125" s="101">
        <v>900</v>
      </c>
      <c r="J125" s="97">
        <v>0.6</v>
      </c>
      <c r="L125" s="93"/>
      <c r="O125" s="93"/>
      <c r="Q125" s="39"/>
      <c r="S125" s="93"/>
    </row>
    <row r="126" spans="1:19" x14ac:dyDescent="0.15">
      <c r="A126" s="7" t="s">
        <v>53</v>
      </c>
      <c r="B126" s="7"/>
      <c r="C126" s="7"/>
      <c r="D126" s="132">
        <v>2</v>
      </c>
      <c r="E126" s="97">
        <v>0.7</v>
      </c>
      <c r="F126" s="5" t="s">
        <v>60</v>
      </c>
      <c r="G126" s="5"/>
      <c r="H126" s="5"/>
      <c r="I126" s="71"/>
      <c r="J126" s="20"/>
      <c r="L126" s="93"/>
      <c r="O126" s="93"/>
    </row>
    <row r="127" spans="1:19" x14ac:dyDescent="0.15">
      <c r="A127" s="7" t="s">
        <v>54</v>
      </c>
      <c r="B127" s="7"/>
      <c r="C127" s="7"/>
      <c r="D127" s="101">
        <v>300</v>
      </c>
      <c r="E127" s="97">
        <v>0.6</v>
      </c>
      <c r="F127" s="7" t="s">
        <v>163</v>
      </c>
      <c r="G127" s="7"/>
      <c r="H127" s="7"/>
      <c r="I127" s="71"/>
      <c r="J127" s="20"/>
      <c r="L127" s="93"/>
    </row>
    <row r="128" spans="1:19" x14ac:dyDescent="0.15">
      <c r="A128" s="5" t="s">
        <v>289</v>
      </c>
      <c r="F128" s="7" t="s">
        <v>51</v>
      </c>
      <c r="G128" s="7"/>
      <c r="H128" s="7"/>
      <c r="I128" s="101">
        <v>36000</v>
      </c>
      <c r="J128" s="97">
        <v>0.7</v>
      </c>
      <c r="L128" s="93"/>
    </row>
    <row r="129" spans="1:12" x14ac:dyDescent="0.15">
      <c r="A129" s="7" t="s">
        <v>52</v>
      </c>
      <c r="B129" s="7"/>
      <c r="C129" s="7"/>
      <c r="F129" s="7" t="s">
        <v>53</v>
      </c>
      <c r="G129" s="7"/>
      <c r="H129" s="7"/>
      <c r="I129" s="132">
        <v>2.5</v>
      </c>
      <c r="J129" s="97">
        <v>0.7</v>
      </c>
      <c r="L129" s="93"/>
    </row>
    <row r="130" spans="1:12" x14ac:dyDescent="0.15">
      <c r="A130" s="7" t="s">
        <v>51</v>
      </c>
      <c r="B130" s="7"/>
      <c r="C130" s="7"/>
      <c r="D130" s="101">
        <v>14400</v>
      </c>
      <c r="E130" s="97">
        <v>0.5</v>
      </c>
      <c r="F130" s="7" t="s">
        <v>54</v>
      </c>
      <c r="G130" s="7"/>
      <c r="H130" s="7"/>
      <c r="I130" s="101">
        <v>600</v>
      </c>
      <c r="J130" s="97">
        <v>0.6</v>
      </c>
      <c r="L130" s="93"/>
    </row>
    <row r="131" spans="1:12" x14ac:dyDescent="0.15">
      <c r="A131" s="7" t="s">
        <v>53</v>
      </c>
      <c r="B131" s="7"/>
      <c r="C131" s="7"/>
      <c r="D131" s="132">
        <v>1.6</v>
      </c>
      <c r="E131" s="97">
        <v>0.7</v>
      </c>
      <c r="F131" s="5" t="s">
        <v>61</v>
      </c>
      <c r="G131" s="5"/>
      <c r="H131" s="5"/>
      <c r="I131" s="71"/>
      <c r="J131" s="20"/>
      <c r="L131" s="93"/>
    </row>
    <row r="132" spans="1:12" x14ac:dyDescent="0.15">
      <c r="A132" s="7" t="s">
        <v>54</v>
      </c>
      <c r="B132" s="7"/>
      <c r="C132" s="7"/>
      <c r="D132" s="101">
        <v>300</v>
      </c>
      <c r="E132" s="97">
        <v>0.6</v>
      </c>
      <c r="F132" s="7" t="s">
        <v>50</v>
      </c>
      <c r="G132" s="7"/>
      <c r="H132" s="7"/>
      <c r="I132" s="71"/>
      <c r="J132" s="20"/>
      <c r="L132" s="93"/>
    </row>
    <row r="133" spans="1:12" x14ac:dyDescent="0.15">
      <c r="A133" s="5" t="s">
        <v>290</v>
      </c>
      <c r="F133" s="7" t="s">
        <v>51</v>
      </c>
      <c r="G133" s="7"/>
      <c r="H133" s="7"/>
      <c r="I133" s="101">
        <v>28800</v>
      </c>
      <c r="J133" s="97">
        <v>0.5</v>
      </c>
      <c r="L133" s="93"/>
    </row>
    <row r="134" spans="1:12" x14ac:dyDescent="0.15">
      <c r="A134" s="7" t="s">
        <v>50</v>
      </c>
      <c r="B134" s="7"/>
      <c r="C134" s="7"/>
      <c r="D134" s="14"/>
      <c r="E134" s="71"/>
      <c r="F134" s="7" t="s">
        <v>53</v>
      </c>
      <c r="G134" s="7"/>
      <c r="H134" s="7"/>
      <c r="I134" s="132">
        <v>5</v>
      </c>
      <c r="J134" s="97">
        <v>0.7</v>
      </c>
      <c r="L134" s="93"/>
    </row>
    <row r="135" spans="1:12" x14ac:dyDescent="0.15">
      <c r="A135" s="7" t="s">
        <v>51</v>
      </c>
      <c r="B135" s="7"/>
      <c r="C135" s="7"/>
      <c r="D135" s="101">
        <v>28800</v>
      </c>
      <c r="E135" s="97">
        <v>0.5</v>
      </c>
      <c r="F135" s="7" t="s">
        <v>54</v>
      </c>
      <c r="G135" s="7"/>
      <c r="H135" s="7"/>
      <c r="I135" s="101">
        <v>900</v>
      </c>
      <c r="J135" s="97">
        <v>0.6</v>
      </c>
      <c r="L135" s="93"/>
    </row>
    <row r="136" spans="1:12" x14ac:dyDescent="0.15">
      <c r="A136" s="7" t="s">
        <v>53</v>
      </c>
      <c r="B136" s="7"/>
      <c r="C136" s="7"/>
      <c r="D136" s="84">
        <v>1.5</v>
      </c>
      <c r="E136" s="97">
        <v>0.7</v>
      </c>
      <c r="G136" s="7"/>
      <c r="L136" s="93"/>
    </row>
    <row r="137" spans="1:12" x14ac:dyDescent="0.15">
      <c r="A137" s="7" t="s">
        <v>54</v>
      </c>
      <c r="B137" s="7"/>
      <c r="C137" s="7"/>
      <c r="D137" s="100">
        <v>300</v>
      </c>
      <c r="E137" s="97">
        <v>0.6</v>
      </c>
      <c r="L137" s="93"/>
    </row>
    <row r="138" spans="1:12" ht="16" x14ac:dyDescent="0.2">
      <c r="A138" s="18" t="s">
        <v>502</v>
      </c>
      <c r="L138" s="93"/>
    </row>
    <row r="139" spans="1:12" x14ac:dyDescent="0.15">
      <c r="A139" s="240" t="s">
        <v>345</v>
      </c>
      <c r="D139" s="208">
        <f>D74+D81+D86+D93+D99+D104+D110+D115+D120+D125+D130+D135+I76+I81+I86+I91+I96+I102+I107+I112+I117+I123+I128+I133</f>
        <v>626400</v>
      </c>
    </row>
    <row r="140" spans="1:12" x14ac:dyDescent="0.15">
      <c r="A140" s="240" t="s">
        <v>347</v>
      </c>
      <c r="D140" s="209">
        <f>D75+D82+D87+D94+D100+D105+D111+D116+D121+D126+D131+D136+I77+I82+I87+I92+I97+I103+I108+I113+I118+I124+I129+I134</f>
        <v>127.45</v>
      </c>
      <c r="E140" s="95"/>
    </row>
    <row r="141" spans="1:12" x14ac:dyDescent="0.15">
      <c r="A141" s="240" t="s">
        <v>346</v>
      </c>
      <c r="D141" s="208">
        <f>D76+D83+D88+D95+D101+D106+D112+D117+D122+D127+D132+D137+I78+I83+I88+I93+I98+I104+I109+I114+I119+I125+I130+I135</f>
        <v>15425</v>
      </c>
    </row>
    <row r="153" ht="12.75" customHeight="1" x14ac:dyDescent="0.15"/>
    <row r="154" ht="12.75" customHeight="1" x14ac:dyDescent="0.15"/>
    <row r="155" ht="12.75" customHeight="1" x14ac:dyDescent="0.15"/>
    <row r="178" spans="12:12" x14ac:dyDescent="0.15">
      <c r="L178" s="93"/>
    </row>
    <row r="179" spans="12:12" x14ac:dyDescent="0.15">
      <c r="L179" s="129"/>
    </row>
    <row r="180" spans="12:12" x14ac:dyDescent="0.15">
      <c r="L180" s="93"/>
    </row>
    <row r="181" spans="12:12" x14ac:dyDescent="0.15">
      <c r="L181" s="78"/>
    </row>
    <row r="182" spans="12:12" x14ac:dyDescent="0.15">
      <c r="L182" s="78"/>
    </row>
    <row r="183" spans="12:12" x14ac:dyDescent="0.15">
      <c r="L183" s="87"/>
    </row>
    <row r="184" spans="12:12" x14ac:dyDescent="0.15">
      <c r="L184" s="93"/>
    </row>
    <row r="185" spans="12:12" x14ac:dyDescent="0.15">
      <c r="L185" s="129"/>
    </row>
    <row r="186" spans="12:12" x14ac:dyDescent="0.15">
      <c r="L186" s="93"/>
    </row>
    <row r="188" spans="12:12" x14ac:dyDescent="0.15">
      <c r="L188" s="87"/>
    </row>
    <row r="189" spans="12:12" x14ac:dyDescent="0.15">
      <c r="L189" s="93"/>
    </row>
    <row r="190" spans="12:12" x14ac:dyDescent="0.15">
      <c r="L190" s="93"/>
    </row>
    <row r="191" spans="12:12" x14ac:dyDescent="0.15">
      <c r="L191" s="93"/>
    </row>
    <row r="192" spans="12:12" x14ac:dyDescent="0.15">
      <c r="L192" s="78"/>
    </row>
    <row r="193" spans="12:12" x14ac:dyDescent="0.15">
      <c r="L193" s="78"/>
    </row>
    <row r="194" spans="12:12" x14ac:dyDescent="0.15">
      <c r="L194" s="87"/>
    </row>
    <row r="195" spans="12:12" x14ac:dyDescent="0.15">
      <c r="L195" s="93"/>
    </row>
    <row r="196" spans="12:12" x14ac:dyDescent="0.15">
      <c r="L196" s="129"/>
    </row>
    <row r="197" spans="12:12" x14ac:dyDescent="0.15">
      <c r="L197" s="93"/>
    </row>
    <row r="198" spans="12:12" x14ac:dyDescent="0.15">
      <c r="L198" s="78"/>
    </row>
    <row r="199" spans="12:12" x14ac:dyDescent="0.15">
      <c r="L199" s="87"/>
    </row>
    <row r="200" spans="12:12" x14ac:dyDescent="0.15">
      <c r="L200" s="93"/>
    </row>
    <row r="201" spans="12:12" x14ac:dyDescent="0.15">
      <c r="L201" s="129"/>
    </row>
    <row r="202" spans="12:12" x14ac:dyDescent="0.15">
      <c r="L202" s="93"/>
    </row>
    <row r="203" spans="12:12" x14ac:dyDescent="0.15">
      <c r="L203" s="78"/>
    </row>
    <row r="204" spans="12:12" x14ac:dyDescent="0.15">
      <c r="L204" s="87"/>
    </row>
    <row r="205" spans="12:12" x14ac:dyDescent="0.15">
      <c r="L205" s="93"/>
    </row>
    <row r="206" spans="12:12" x14ac:dyDescent="0.15">
      <c r="L206" s="129"/>
    </row>
    <row r="207" spans="12:12" x14ac:dyDescent="0.15">
      <c r="L207" s="93"/>
    </row>
    <row r="208" spans="12:12" x14ac:dyDescent="0.15">
      <c r="L208" s="78"/>
    </row>
    <row r="209" spans="12:12" x14ac:dyDescent="0.15">
      <c r="L209" s="87"/>
    </row>
    <row r="210" spans="12:12" x14ac:dyDescent="0.15">
      <c r="L210" s="93"/>
    </row>
    <row r="211" spans="12:12" x14ac:dyDescent="0.15">
      <c r="L211" s="129"/>
    </row>
    <row r="212" spans="12:12" x14ac:dyDescent="0.15">
      <c r="L212" s="93"/>
    </row>
    <row r="213" spans="12:12" x14ac:dyDescent="0.15">
      <c r="L213" s="78"/>
    </row>
    <row r="214" spans="12:12" x14ac:dyDescent="0.15">
      <c r="L214" s="87"/>
    </row>
    <row r="215" spans="12:12" x14ac:dyDescent="0.15">
      <c r="L215" s="93"/>
    </row>
    <row r="216" spans="12:12" x14ac:dyDescent="0.15">
      <c r="L216" s="129"/>
    </row>
    <row r="217" spans="12:12" x14ac:dyDescent="0.15">
      <c r="L217" s="93"/>
    </row>
    <row r="218" spans="12:12" x14ac:dyDescent="0.15">
      <c r="L218" s="78"/>
    </row>
    <row r="219" spans="12:12" x14ac:dyDescent="0.15">
      <c r="L219" s="87"/>
    </row>
    <row r="220" spans="12:12" x14ac:dyDescent="0.15">
      <c r="L220" s="93"/>
    </row>
    <row r="221" spans="12:12" x14ac:dyDescent="0.15">
      <c r="L221" s="129"/>
    </row>
    <row r="222" spans="12:12" x14ac:dyDescent="0.15">
      <c r="L222" s="93"/>
    </row>
    <row r="223" spans="12:12" x14ac:dyDescent="0.15">
      <c r="L223" s="78"/>
    </row>
    <row r="224" spans="12:12" x14ac:dyDescent="0.15">
      <c r="L224" s="87"/>
    </row>
    <row r="225" spans="12:12" x14ac:dyDescent="0.15">
      <c r="L225" s="93"/>
    </row>
    <row r="226" spans="12:12" x14ac:dyDescent="0.15">
      <c r="L226" s="129"/>
    </row>
    <row r="227" spans="12:12" x14ac:dyDescent="0.15">
      <c r="L227" s="129"/>
    </row>
    <row r="228" spans="12:12" x14ac:dyDescent="0.15">
      <c r="L228" s="78"/>
    </row>
    <row r="229" spans="12:12" x14ac:dyDescent="0.15">
      <c r="L229" s="87"/>
    </row>
    <row r="230" spans="12:12" x14ac:dyDescent="0.15">
      <c r="L230" s="93"/>
    </row>
    <row r="231" spans="12:12" x14ac:dyDescent="0.15">
      <c r="L231" s="129"/>
    </row>
    <row r="232" spans="12:12" x14ac:dyDescent="0.15">
      <c r="L232" s="93"/>
    </row>
    <row r="233" spans="12:12" x14ac:dyDescent="0.15">
      <c r="L233" s="78"/>
    </row>
    <row r="235" spans="12:12" x14ac:dyDescent="0.15">
      <c r="L235" s="87"/>
    </row>
    <row r="236" spans="12:12" x14ac:dyDescent="0.15">
      <c r="L236" s="93"/>
    </row>
    <row r="237" spans="12:12" x14ac:dyDescent="0.15">
      <c r="L237" s="129"/>
    </row>
    <row r="238" spans="12:12" x14ac:dyDescent="0.15">
      <c r="L238" s="93"/>
    </row>
    <row r="240" spans="12:12" x14ac:dyDescent="0.15">
      <c r="L240" s="130"/>
    </row>
    <row r="241" spans="12:12" x14ac:dyDescent="0.15">
      <c r="L241" s="93"/>
    </row>
    <row r="242" spans="12:12" x14ac:dyDescent="0.15">
      <c r="L242" s="129"/>
    </row>
    <row r="243" spans="12:12" x14ac:dyDescent="0.15">
      <c r="L243" s="93"/>
    </row>
    <row r="244" spans="12:12" x14ac:dyDescent="0.15">
      <c r="L244" s="130"/>
    </row>
    <row r="245" spans="12:12" x14ac:dyDescent="0.15">
      <c r="L245" s="130"/>
    </row>
    <row r="246" spans="12:12" x14ac:dyDescent="0.15">
      <c r="L246" s="93"/>
    </row>
    <row r="247" spans="12:12" x14ac:dyDescent="0.15">
      <c r="L247" s="129"/>
    </row>
    <row r="248" spans="12:12" x14ac:dyDescent="0.15">
      <c r="L248" s="93"/>
    </row>
  </sheetData>
  <mergeCells count="4">
    <mergeCell ref="A1:J1"/>
    <mergeCell ref="C31:D31"/>
    <mergeCell ref="M16:N16"/>
    <mergeCell ref="A63:C63"/>
  </mergeCells>
  <phoneticPr fontId="6" type="noConversion"/>
  <printOptions horizontalCentered="1"/>
  <pageMargins left="0.5" right="0.5" top="0.5" bottom="0.5" header="0.5" footer="0.5"/>
  <headerFooter alignWithMargins="0">
    <oddFooter>&amp;C &amp;P&amp;R&amp;D, &amp;D</oddFooter>
  </headerFooter>
  <rowBreaks count="1" manualBreakCount="1">
    <brk id="68" max="9" man="1"/>
  </rowBreaks>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About this model</vt:lpstr>
      <vt:lpstr>Chem</vt:lpstr>
      <vt:lpstr>Iterative I-V</vt:lpstr>
      <vt:lpstr>IV-thickness</vt:lpstr>
      <vt:lpstr>Flow and System</vt:lpstr>
      <vt:lpstr>Components</vt:lpstr>
      <vt:lpstr>Battery Design</vt:lpstr>
      <vt:lpstr>Summary of Results</vt:lpstr>
      <vt:lpstr>Cost Input</vt:lpstr>
      <vt:lpstr>Manufacturing Cost Calculations</vt:lpstr>
      <vt:lpstr>Cost Breakdown</vt:lpstr>
      <vt:lpstr>'Battery Design'!Print_Area</vt:lpstr>
      <vt:lpstr>Chem!Print_Area</vt:lpstr>
      <vt:lpstr>'Cost Breakdown'!Print_Area</vt:lpstr>
      <vt:lpstr>'Cost Input'!Print_Area</vt:lpstr>
      <vt:lpstr>'Manufacturing Cost Calculations'!Print_Area</vt:lpstr>
      <vt:lpstr>'Summary of Results'!Print_Area</vt:lpstr>
      <vt:lpstr>'Battery Design'!Print_Titles</vt:lpstr>
      <vt:lpstr>Chem!Print_Titles</vt:lpstr>
      <vt:lpstr>'Manufacturing Cost Calculations'!Print_Titles</vt:lpstr>
      <vt:lpstr>'Summary of Results'!Print_Titles</vt:lpstr>
    </vt:vector>
  </TitlesOfParts>
  <Company>Argonne National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dc:creator>
  <cp:lastModifiedBy>Microsoft Office User</cp:lastModifiedBy>
  <cp:lastPrinted>2013-07-23T16:39:02Z</cp:lastPrinted>
  <dcterms:created xsi:type="dcterms:W3CDTF">2007-05-30T17:44:54Z</dcterms:created>
  <dcterms:modified xsi:type="dcterms:W3CDTF">2021-08-06T21:37:31Z</dcterms:modified>
</cp:coreProperties>
</file>