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8.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9.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0.xml" ContentType="application/vnd.openxmlformats-officedocument.spreadsheetml.table+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iv\Desktop\"/>
    </mc:Choice>
  </mc:AlternateContent>
  <xr:revisionPtr revIDLastSave="0" documentId="13_ncr:1_{B340EA6E-458B-41C9-B5DB-FE954F224667}" xr6:coauthVersionLast="47" xr6:coauthVersionMax="47" xr10:uidLastSave="{00000000-0000-0000-0000-000000000000}"/>
  <bookViews>
    <workbookView xWindow="-120" yWindow="-120" windowWidth="29040" windowHeight="15840" firstSheet="6" activeTab="7" xr2:uid="{00000000-000D-0000-FFFF-FFFF00000000}"/>
  </bookViews>
  <sheets>
    <sheet name="Инструкции" sheetId="1" state="hidden" r:id="rId1"/>
    <sheet name="Содержание" sheetId="2" state="hidden" r:id="rId2"/>
    <sheet name="Списки" sheetId="3" r:id="rId3"/>
    <sheet name="Инструкции1" sheetId="18" state="hidden" r:id="rId4"/>
    <sheet name="ОЛ_КОЛОДЦА" sheetId="4" r:id="rId5"/>
    <sheet name="Калькулятор колодца" sheetId="5" r:id="rId6"/>
    <sheet name="ОЛ_ЕМКОСТИ" sheetId="6" r:id="rId7"/>
    <sheet name="Калькулятор ЕМК" sheetId="7" r:id="rId8"/>
    <sheet name="для шапки" sheetId="8" state="hidden" r:id="rId9"/>
    <sheet name="ОЛ_НАСОСНАЯ_СТАНЦИЯ" sheetId="9" r:id="rId10"/>
    <sheet name="Калькулятор КНС" sheetId="10" r:id="rId11"/>
    <sheet name="Заявка" sheetId="11" state="hidden" r:id="rId12"/>
    <sheet name="Вспомогат. таблицы" sheetId="12" state="hidden" r:id="rId13"/>
    <sheet name="Цветовая библиотека" sheetId="13" state="hidden" r:id="rId14"/>
    <sheet name="Гидравл. расчет" sheetId="19" r:id="rId15"/>
    <sheet name="Для расчетов" sheetId="14" r:id="rId16"/>
    <sheet name="Вес трубы, ПЭ трубы" sheetId="15" state="hidden" r:id="rId17"/>
    <sheet name="НН" sheetId="16" r:id="rId18"/>
    <sheet name="Справка по подбору АШУ Омега" sheetId="17" state="hidden" r:id="rId19"/>
  </sheets>
  <externalReferences>
    <externalReference r:id="rId20"/>
    <externalReference r:id="rId21"/>
    <externalReference r:id="rId22"/>
    <externalReference r:id="rId23"/>
    <externalReference r:id="rId24"/>
    <externalReference r:id="rId25"/>
    <externalReference r:id="rId26"/>
  </externalReferences>
  <definedNames>
    <definedName name="_Hlk149905875" localSheetId="14">'Гидравл. расчет'!$A$22</definedName>
    <definedName name="_xlnm._FilterDatabase" localSheetId="12" hidden="1">'Вспомогат. таблицы'!#REF!</definedName>
    <definedName name="_xlnm._FilterDatabase" localSheetId="11" hidden="1">Заявка!$A$8:$J$136</definedName>
    <definedName name="_xlnm._FilterDatabase" localSheetId="7" hidden="1">'Калькулятор ЕМК'!$B$10:$Q$308</definedName>
    <definedName name="_xlnm._FilterDatabase" localSheetId="10" hidden="1">'Калькулятор КНС'!$B$10:$Q$457</definedName>
    <definedName name="_xlnm._FilterDatabase" localSheetId="5" hidden="1">'Калькулятор колодца'!$B$10:$Q$270</definedName>
    <definedName name="DN_подвод_патрубка" localSheetId="5">Таблица9[DN подвод патрубка]</definedName>
    <definedName name="DN_подвод_патрубка">Таблица9[DN подвод патрубка]</definedName>
    <definedName name="ID" localSheetId="16" hidden="1">"d6e89f61-bf1b-4412-abdb-1b556dbe300e"</definedName>
    <definedName name="ID" localSheetId="12" hidden="1">"14d4104d-4a66-43ac-8f82-97115459980a"</definedName>
    <definedName name="ID" localSheetId="15" hidden="1">"7652e527-4f27-4268-8318-9aa992d4488e"</definedName>
    <definedName name="ID" localSheetId="8" hidden="1">"5d6d1648-78b9-4ef9-ace6-6741ee41d6d4"</definedName>
    <definedName name="ID" localSheetId="11" hidden="1">"daf88c3e-0208-4023-8421-ff3f6c1da544"</definedName>
    <definedName name="ID" localSheetId="0" hidden="1">"dbf3d115-fb42-409b-98ce-9a6c1ed6c3e7"</definedName>
    <definedName name="ID" localSheetId="7" hidden="1">"294d04df-0f94-4d2c-a2ab-b98c945ae4df"</definedName>
    <definedName name="ID" localSheetId="10" hidden="1">"b8c27397-3598-47fd-ba41-b8c4e59532fc"</definedName>
    <definedName name="ID" localSheetId="5" hidden="1">"6bd5ed1d-bd15-48f9-bf31-84cd956c7ceb"</definedName>
    <definedName name="ID" localSheetId="17" hidden="1">"c235c590-aa36-4924-b01f-059549a5a779"</definedName>
    <definedName name="ID" localSheetId="6" hidden="1">"1fb79d4c-633a-4c28-9afa-536e6d6452b2"</definedName>
    <definedName name="ID" localSheetId="4" hidden="1">"54e9abed-a238-414a-a679-cef7ad646e18"</definedName>
    <definedName name="ID" localSheetId="9" hidden="1">"f655c25f-316e-4b83-8c41-58c136c7afe9"</definedName>
    <definedName name="ID" localSheetId="1" hidden="1">"fc7dfd2b-7c5a-450c-a2d1-48fbd047d608"</definedName>
    <definedName name="ID" localSheetId="2" hidden="1">"0006ed45-cad2-4c5d-8036-845d03e5894a"</definedName>
    <definedName name="ID" localSheetId="18" hidden="1">"0fafbac4-f701-47a8-ba2f-bcac9fb470a2"</definedName>
    <definedName name="ID" localSheetId="13" hidden="1">"335402ae-f30f-4a21-99d5-53002a6b7f0e"</definedName>
    <definedName name="Асбестцемент" localSheetId="7">Таблица9[DN подвод патрубка]</definedName>
    <definedName name="Асбестцемент" localSheetId="5">Таблица9[DN подвод патрубка]</definedName>
    <definedName name="Асбестцемент">Таблица9[DN подвод патрубка]</definedName>
    <definedName name="Валюта" localSheetId="5">Таблица72[Валюта]</definedName>
    <definedName name="Валюта">Таблица72[Валюта]</definedName>
    <definedName name="Группа">Таблица301715[Группа]</definedName>
    <definedName name="Давление" localSheetId="7">Таблица11[Давление]</definedName>
    <definedName name="Давление" localSheetId="5">Таблица11[Давление]</definedName>
    <definedName name="Давление">Таблица11[Давление]</definedName>
    <definedName name="Давление_для_проч_эл" localSheetId="5">Таблица44[Давление_для_проч_эл]</definedName>
    <definedName name="Давление_для_проч_эл">Таблица44[Давление_для_проч_эл]</definedName>
    <definedName name="Давление_для_фланцев" localSheetId="5">Таблица43[Давление_для_фланцев]</definedName>
    <definedName name="Давление_для_фланцев">Таблица43[Давление_для_фланцев]</definedName>
    <definedName name="Диаметр" localSheetId="7">Таблица8[Диаметр]</definedName>
    <definedName name="Диаметр" localSheetId="5">Таблица8[Диаметр]</definedName>
    <definedName name="Диаметр">Таблица8[Диаметр]</definedName>
    <definedName name="ЕИ" localSheetId="7">Таблица2[ЕИ]</definedName>
    <definedName name="ЕИ" localSheetId="5">Таблица2[ЕИ]</definedName>
    <definedName name="ЕИ">Таблица2[ЕИ]</definedName>
    <definedName name="Жесткость" localSheetId="7">Таблица13[Жесткость]</definedName>
    <definedName name="Жесткость" localSheetId="5">Таблица13[Жесткость]</definedName>
    <definedName name="Жесткость">Таблица13[Жесткость]</definedName>
    <definedName name="Изделие" localSheetId="7">Таблица6[Наименование изделия]</definedName>
    <definedName name="Изделие" localSheetId="5">Таблица6[Наименование изделия]</definedName>
    <definedName name="Изделие">Таблица6[Наименование изделия]</definedName>
    <definedName name="Категории" localSheetId="17">Списки!$AF$2:$AF$18</definedName>
    <definedName name="Категории" localSheetId="6">Списки!$AF$2:$AF$18</definedName>
    <definedName name="Категории" localSheetId="9">Списки!$AF$2:$AF$18</definedName>
    <definedName name="Категории">Списки!$AG$2:$AG$17</definedName>
    <definedName name="Материал" localSheetId="7">Таблица4[Материал]</definedName>
    <definedName name="Материал" localSheetId="5">Таблица4[Материал]</definedName>
    <definedName name="Материал">Таблица4[Материал]</definedName>
    <definedName name="Материал_трубы">Таблица3[Материал трубы]</definedName>
    <definedName name="Метизы" localSheetId="17">#REF!</definedName>
    <definedName name="_xlnm.Print_Area" localSheetId="6">ОЛ_ЕМКОСТИ!$A$1:$J$94</definedName>
    <definedName name="_xlnm.Print_Area" localSheetId="4">ОЛ_КОЛОДЦА!$A$1:$J$73</definedName>
    <definedName name="_xlnm.Print_Area" localSheetId="9">ОЛ_НАСОСНАЯ_СТАНЦИЯ!$A$1:$K$86</definedName>
    <definedName name="Отвод" localSheetId="5">Таблица45[Отвод]</definedName>
    <definedName name="Отвод">Таблица45[Отвод]</definedName>
    <definedName name="ПВХ" localSheetId="7">Таблица9[DN подвод патрубка]</definedName>
    <definedName name="ПВХ" localSheetId="5">Таблица9[DN подвод патрубка]</definedName>
    <definedName name="ПВХ">Таблица9[DN подвод патрубка]</definedName>
    <definedName name="ПНД" localSheetId="7">Таблица9[DN подвод патрубка]</definedName>
    <definedName name="ПНД" localSheetId="5">Таблица9[DN подвод патрубка]</definedName>
    <definedName name="ПНД">Таблица9[DN подвод патрубка]</definedName>
    <definedName name="ПП" localSheetId="7">Таблица9[DN подвод патрубка]</definedName>
    <definedName name="ПП" localSheetId="5">Таблица9[DN подвод патрубка]</definedName>
    <definedName name="ПП">Таблица9[DN подвод патрубка]</definedName>
    <definedName name="ПЭ">'Вес трубы, ПЭ трубы'!$U$2:$U$27</definedName>
    <definedName name="Среда" localSheetId="7">Таблица5[Среда]</definedName>
    <definedName name="Среда" localSheetId="5">Таблица5[Среда]</definedName>
    <definedName name="Среда">Таблица5[Среда]</definedName>
    <definedName name="Тип_емкости" localSheetId="5">Таблица37[Тип емкости]</definedName>
    <definedName name="Тип_емкости">Таблица37[Тип емкости]</definedName>
    <definedName name="Тип_ОЛ" localSheetId="5">Таблица42[Тип_ОЛ]</definedName>
    <definedName name="Тип_ОЛ">Таблица42[Тип_ОЛ]</definedName>
    <definedName name="Тип_патрубка" localSheetId="5">Таблица40[Тип патрубка]</definedName>
    <definedName name="Тип_патрубка">Таблица40[Тип патрубка]</definedName>
    <definedName name="Тройник" localSheetId="5">Таблица48[Тройник]</definedName>
    <definedName name="Тройник">Таблица48[Тройник]</definedName>
    <definedName name="Труба_Корсис">Таблица9[DN подвод патрубка]</definedName>
    <definedName name="Труба_стеклокомпозитная">Таблица9[DN подвод патрубка]</definedName>
    <definedName name="Фланец" localSheetId="5">Таблица47[Фланец]</definedName>
    <definedName name="Фланец">Таблица47[Фланец]</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38" i="10" l="1"/>
  <c r="N289" i="7"/>
  <c r="M277" i="7"/>
  <c r="M278" i="7"/>
  <c r="M279" i="7"/>
  <c r="M280" i="7"/>
  <c r="M281" i="7"/>
  <c r="M282" i="7"/>
  <c r="M283" i="7"/>
  <c r="M284" i="7"/>
  <c r="M276" i="7"/>
  <c r="F284" i="7" a="1"/>
  <c r="F284" i="7" s="1"/>
  <c r="F283" i="7" a="1"/>
  <c r="F283" i="7" s="1"/>
  <c r="F282" i="7" a="1"/>
  <c r="F282" i="7" s="1"/>
  <c r="F281" i="7" a="1"/>
  <c r="F281" i="7" s="1"/>
  <c r="F280" i="7" a="1"/>
  <c r="F280" i="7" s="1"/>
  <c r="F279" i="7" a="1"/>
  <c r="F279" i="7" s="1"/>
  <c r="F278" i="7" a="1"/>
  <c r="F278" i="7" s="1"/>
  <c r="F277" i="7" a="1"/>
  <c r="F277" i="7" s="1"/>
  <c r="F276" i="7" a="1"/>
  <c r="F276" i="7" s="1"/>
  <c r="F271" i="7" a="1"/>
  <c r="F271" i="7" s="1"/>
  <c r="M271" i="7"/>
  <c r="J270" i="7"/>
  <c r="E284" i="7" s="1"/>
  <c r="J269" i="7"/>
  <c r="J267" i="7"/>
  <c r="J273" i="7"/>
  <c r="J272" i="7"/>
  <c r="M270" i="7"/>
  <c r="F273" i="7" a="1"/>
  <c r="F273" i="7" s="1"/>
  <c r="F272" i="7" a="1"/>
  <c r="F272" i="7" s="1"/>
  <c r="F270" i="7" a="1"/>
  <c r="F270" i="7" s="1"/>
  <c r="F269" i="7" a="1"/>
  <c r="F269" i="7" s="1"/>
  <c r="I268" i="7"/>
  <c r="F268" i="7" a="1"/>
  <c r="F268" i="7" s="1"/>
  <c r="F267" i="7" a="1"/>
  <c r="F267" i="7" s="1"/>
  <c r="I266" i="7"/>
  <c r="J266" i="7" s="1"/>
  <c r="F266" i="7" a="1"/>
  <c r="F266" i="7" s="1"/>
  <c r="M264" i="7"/>
  <c r="I265" i="7"/>
  <c r="J265" i="7" s="1"/>
  <c r="E281" i="7" s="1"/>
  <c r="I281" i="7" s="1"/>
  <c r="J281" i="7" s="1"/>
  <c r="F265" i="7" a="1"/>
  <c r="F265" i="7" s="1"/>
  <c r="J262" i="7"/>
  <c r="J261" i="7"/>
  <c r="E277" i="7" s="1"/>
  <c r="I277" i="7" s="1"/>
  <c r="J277" i="7" s="1"/>
  <c r="I264" i="7"/>
  <c r="J264" i="7" s="1"/>
  <c r="N264" i="7" s="1"/>
  <c r="E264" i="7"/>
  <c r="E268" i="7" s="1"/>
  <c r="F264" i="7" a="1"/>
  <c r="F264" i="7" s="1"/>
  <c r="M263" i="7"/>
  <c r="I263" i="7"/>
  <c r="J263" i="7" s="1"/>
  <c r="E278" i="7" s="1"/>
  <c r="I278" i="7" s="1"/>
  <c r="J278" i="7" s="1"/>
  <c r="F263" i="7" a="1"/>
  <c r="F263" i="7" s="1"/>
  <c r="F262" i="7" a="1"/>
  <c r="F262" i="7" s="1"/>
  <c r="M260" i="7"/>
  <c r="I260" i="7"/>
  <c r="E260" i="7"/>
  <c r="F261" i="7" a="1"/>
  <c r="F261" i="7" s="1"/>
  <c r="F260" i="7" a="1"/>
  <c r="F260" i="7" s="1"/>
  <c r="H247" i="7"/>
  <c r="J230" i="7"/>
  <c r="F230" i="7" a="1"/>
  <c r="F230" i="7" s="1"/>
  <c r="J229" i="7"/>
  <c r="F229" i="7" a="1"/>
  <c r="F229" i="7" s="1"/>
  <c r="F246" i="7" a="1"/>
  <c r="F246" i="7" s="1"/>
  <c r="F245" i="7" a="1"/>
  <c r="F245" i="7" s="1"/>
  <c r="F244" i="7" a="1"/>
  <c r="F244" i="7" s="1"/>
  <c r="H243" i="7"/>
  <c r="I244" i="7" s="1"/>
  <c r="J244" i="7" s="1"/>
  <c r="G244" i="7" s="1"/>
  <c r="F243" i="7" a="1"/>
  <c r="F243" i="7" s="1"/>
  <c r="H209" i="7"/>
  <c r="I215" i="7" s="1"/>
  <c r="A75" i="16"/>
  <c r="I140" i="7"/>
  <c r="J180" i="7"/>
  <c r="I160" i="7"/>
  <c r="J159" i="7"/>
  <c r="J150" i="7"/>
  <c r="J133" i="7"/>
  <c r="I131" i="7"/>
  <c r="I133" i="7" s="1"/>
  <c r="F123" i="7" a="1"/>
  <c r="F123" i="7" s="1"/>
  <c r="M122" i="7"/>
  <c r="F122" i="7" a="1"/>
  <c r="F122" i="7" s="1"/>
  <c r="M121" i="7"/>
  <c r="F121" i="7" a="1"/>
  <c r="F121" i="7" s="1"/>
  <c r="F119" i="7" a="1"/>
  <c r="F119" i="7" s="1"/>
  <c r="M117" i="7"/>
  <c r="M116" i="7"/>
  <c r="I113" i="7"/>
  <c r="I119" i="7" s="1"/>
  <c r="J119" i="7" s="1"/>
  <c r="G119" i="7" s="1"/>
  <c r="E100" i="7"/>
  <c r="J96" i="7"/>
  <c r="I100" i="7"/>
  <c r="I101" i="7" s="1"/>
  <c r="J101" i="7" s="1"/>
  <c r="I98" i="7"/>
  <c r="J98" i="7" s="1"/>
  <c r="G108" i="7"/>
  <c r="I106" i="7"/>
  <c r="J106" i="7" s="1"/>
  <c r="F106" i="7" a="1"/>
  <c r="F106" i="7" s="1"/>
  <c r="I105" i="7"/>
  <c r="J105" i="7" s="1"/>
  <c r="F105" i="7" a="1"/>
  <c r="F105" i="7" s="1"/>
  <c r="I104" i="7"/>
  <c r="J104" i="7" s="1"/>
  <c r="F104" i="7" a="1"/>
  <c r="F104" i="7" s="1"/>
  <c r="I103" i="7"/>
  <c r="J103" i="7" s="1"/>
  <c r="F103" i="7" a="1"/>
  <c r="F103" i="7" s="1"/>
  <c r="F102" i="7" a="1"/>
  <c r="F102" i="7" s="1"/>
  <c r="F101" i="7" a="1"/>
  <c r="F101" i="7" s="1"/>
  <c r="F100" i="7" a="1"/>
  <c r="F100" i="7" s="1"/>
  <c r="F99" i="7" a="1"/>
  <c r="F99" i="7" s="1"/>
  <c r="F98" i="7" a="1"/>
  <c r="F98" i="7" s="1"/>
  <c r="I97" i="7"/>
  <c r="J97" i="7" s="1"/>
  <c r="F97" i="7" a="1"/>
  <c r="F97" i="7" s="1"/>
  <c r="F96" i="7" a="1"/>
  <c r="F96" i="7" s="1"/>
  <c r="F94" i="7" a="1"/>
  <c r="F94" i="7" s="1"/>
  <c r="F42" i="7"/>
  <c r="F36" i="7"/>
  <c r="E42" i="7"/>
  <c r="E82" i="7" s="1"/>
  <c r="I46" i="7"/>
  <c r="F46" i="7" a="1"/>
  <c r="F46" i="7" s="1"/>
  <c r="F45" i="7" a="1"/>
  <c r="F45" i="7" s="1"/>
  <c r="F44" i="7" a="1"/>
  <c r="F44" i="7" s="1"/>
  <c r="F43" i="7" a="1"/>
  <c r="F43" i="7" s="1"/>
  <c r="E36" i="7"/>
  <c r="J31" i="7"/>
  <c r="F38" i="7" a="1"/>
  <c r="F38" i="7" s="1"/>
  <c r="M110" i="7" a="1"/>
  <c r="M111" i="7" a="1"/>
  <c r="M107" i="7" a="1"/>
  <c r="M102" i="7" a="1"/>
  <c r="M108" i="7" a="1"/>
  <c r="M95" i="7" a="1"/>
  <c r="M94" i="7" a="1"/>
  <c r="E282" i="7" l="1"/>
  <c r="I282" i="7" s="1"/>
  <c r="J282" i="7" s="1"/>
  <c r="I284" i="7"/>
  <c r="J284" i="7" s="1"/>
  <c r="N284" i="7" s="1"/>
  <c r="E279" i="7"/>
  <c r="I279" i="7" s="1"/>
  <c r="J279" i="7" s="1"/>
  <c r="N279" i="7" s="1"/>
  <c r="E280" i="7"/>
  <c r="I280" i="7" s="1"/>
  <c r="J280" i="7" s="1"/>
  <c r="N280" i="7" s="1"/>
  <c r="N281" i="7"/>
  <c r="N278" i="7"/>
  <c r="N277" i="7"/>
  <c r="N270" i="7"/>
  <c r="J243" i="7"/>
  <c r="G243" i="7" s="1"/>
  <c r="D268" i="7"/>
  <c r="J268" i="7" s="1"/>
  <c r="E283" i="7" s="1"/>
  <c r="I283" i="7" s="1"/>
  <c r="J283" i="7" s="1"/>
  <c r="N283" i="7" s="1"/>
  <c r="N263" i="7"/>
  <c r="I245" i="7"/>
  <c r="J245" i="7" s="1"/>
  <c r="G245" i="7" s="1"/>
  <c r="I246" i="7"/>
  <c r="J246" i="7" s="1"/>
  <c r="G246" i="7" s="1"/>
  <c r="J210" i="7"/>
  <c r="J211" i="7"/>
  <c r="J212" i="7"/>
  <c r="I214" i="7"/>
  <c r="I180" i="7"/>
  <c r="I181" i="7"/>
  <c r="J111" i="7"/>
  <c r="I123" i="7"/>
  <c r="J123" i="7" s="1"/>
  <c r="J100" i="7"/>
  <c r="J39" i="7"/>
  <c r="I99" i="7"/>
  <c r="M95" i="7"/>
  <c r="M102" i="7"/>
  <c r="M107" i="7"/>
  <c r="M110" i="7"/>
  <c r="M94" i="7"/>
  <c r="M111" i="7"/>
  <c r="M108" i="7"/>
  <c r="J110" i="7"/>
  <c r="E81" i="7"/>
  <c r="J45" i="7"/>
  <c r="J46" i="7" s="1"/>
  <c r="D43" i="7"/>
  <c r="E43" i="7"/>
  <c r="J43" i="7" s="1"/>
  <c r="C36" i="5"/>
  <c r="J39" i="5" s="1"/>
  <c r="D37" i="7"/>
  <c r="E37" i="7"/>
  <c r="F40" i="7" a="1"/>
  <c r="F40" i="7" s="1"/>
  <c r="F39" i="7" a="1"/>
  <c r="F39" i="7" s="1"/>
  <c r="F37" i="7" a="1"/>
  <c r="F37" i="7" s="1"/>
  <c r="J21" i="7"/>
  <c r="J20" i="7"/>
  <c r="F53" i="7"/>
  <c r="F61" i="7" s="1"/>
  <c r="C53" i="7"/>
  <c r="M8" i="7"/>
  <c r="K8" i="7"/>
  <c r="F139" i="7" s="1"/>
  <c r="J74" i="7"/>
  <c r="J73" i="7"/>
  <c r="N282" i="7" l="1"/>
  <c r="N288" i="7" s="1"/>
  <c r="J99" i="7"/>
  <c r="I44" i="7"/>
  <c r="J44" i="7"/>
  <c r="K37" i="7"/>
  <c r="L37" i="7" s="1"/>
  <c r="K43" i="7"/>
  <c r="J37" i="7"/>
  <c r="I38" i="7" s="1"/>
  <c r="I40" i="7"/>
  <c r="N56" i="6"/>
  <c r="N57" i="6" s="1"/>
  <c r="N59" i="6" s="1"/>
  <c r="N55" i="6"/>
  <c r="N63" i="6"/>
  <c r="J242" i="5"/>
  <c r="F246" i="5" a="1"/>
  <c r="F246" i="5" s="1"/>
  <c r="F245" i="5" a="1"/>
  <c r="F245" i="5" s="1"/>
  <c r="J240" i="5"/>
  <c r="I246" i="5" s="1"/>
  <c r="J246" i="5" s="1"/>
  <c r="F242" i="5" a="1"/>
  <c r="F242" i="5" s="1"/>
  <c r="H227" i="5"/>
  <c r="H215" i="5"/>
  <c r="H214" i="5"/>
  <c r="H213" i="5"/>
  <c r="J200" i="5"/>
  <c r="I122" i="5"/>
  <c r="F122" i="5" a="1"/>
  <c r="F122" i="5" s="1"/>
  <c r="E122" i="5"/>
  <c r="J118" i="5"/>
  <c r="F118" i="5" a="1"/>
  <c r="F118" i="5" s="1"/>
  <c r="N8" i="5"/>
  <c r="F36" i="5" s="1"/>
  <c r="I40" i="5" s="1"/>
  <c r="J40" i="5" s="1"/>
  <c r="L43" i="7" l="1"/>
  <c r="M43" i="7" s="1"/>
  <c r="N43" i="7" s="1"/>
  <c r="J38" i="7"/>
  <c r="I245" i="5"/>
  <c r="J245" i="5" s="1"/>
  <c r="N60" i="6"/>
  <c r="N61" i="6" s="1"/>
  <c r="P61" i="6" s="1"/>
  <c r="N64" i="6" s="1"/>
  <c r="F138" i="5"/>
  <c r="F131" i="10" a="1"/>
  <c r="F131" i="10" s="1"/>
  <c r="J127" i="10"/>
  <c r="I131" i="10" s="1"/>
  <c r="G127" i="10"/>
  <c r="F127" i="10" a="1"/>
  <c r="F127" i="10" s="1"/>
  <c r="E360" i="10"/>
  <c r="N404" i="10"/>
  <c r="F386" i="10" a="1"/>
  <c r="F386" i="10" s="1"/>
  <c r="F385" i="10" a="1"/>
  <c r="F385" i="10" s="1"/>
  <c r="F384" i="10" a="1"/>
  <c r="F384" i="10" s="1"/>
  <c r="F383" i="10" a="1"/>
  <c r="F383" i="10" s="1"/>
  <c r="H272" i="10"/>
  <c r="H271" i="10"/>
  <c r="J346" i="10"/>
  <c r="F346" i="10" a="1"/>
  <c r="F346" i="10" s="1"/>
  <c r="J345" i="10"/>
  <c r="F345" i="10" a="1"/>
  <c r="F345" i="10" s="1"/>
  <c r="J342" i="10"/>
  <c r="F342" i="10" a="1"/>
  <c r="F342" i="10" s="1"/>
  <c r="J341" i="10"/>
  <c r="F341" i="10" a="1"/>
  <c r="F341" i="10" s="1"/>
  <c r="I334" i="10"/>
  <c r="I337" i="10"/>
  <c r="J344" i="10"/>
  <c r="F344" i="10" a="1"/>
  <c r="F344" i="10" s="1"/>
  <c r="F337" i="10" a="1"/>
  <c r="F337" i="10" s="1"/>
  <c r="F336" i="10" a="1"/>
  <c r="F336" i="10" s="1"/>
  <c r="F334" i="10" a="1"/>
  <c r="F334" i="10" s="1"/>
  <c r="H332" i="10"/>
  <c r="J332" i="10" s="1"/>
  <c r="F332" i="10" a="1"/>
  <c r="F332" i="10" s="1"/>
  <c r="H331" i="10"/>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482" i="16"/>
  <c r="A483" i="16"/>
  <c r="A484" i="16"/>
  <c r="A485" i="16"/>
  <c r="A486" i="16"/>
  <c r="A487" i="16"/>
  <c r="A488" i="16"/>
  <c r="A489" i="16"/>
  <c r="A490" i="16"/>
  <c r="A491" i="16"/>
  <c r="A492" i="16"/>
  <c r="A493" i="16"/>
  <c r="A494" i="16"/>
  <c r="A495" i="16"/>
  <c r="A496" i="16"/>
  <c r="A497" i="16"/>
  <c r="A498" i="16"/>
  <c r="A499" i="16"/>
  <c r="A500" i="16"/>
  <c r="A501" i="16"/>
  <c r="A502" i="16"/>
  <c r="A503" i="16"/>
  <c r="A504" i="16"/>
  <c r="A505" i="16"/>
  <c r="A506" i="16"/>
  <c r="A507" i="16"/>
  <c r="A508" i="16"/>
  <c r="A509" i="16"/>
  <c r="A510" i="16"/>
  <c r="A511" i="16"/>
  <c r="A512" i="16"/>
  <c r="A513" i="16"/>
  <c r="A514" i="16"/>
  <c r="A515" i="16"/>
  <c r="A516" i="16"/>
  <c r="A517" i="16"/>
  <c r="A518" i="16"/>
  <c r="A519" i="16"/>
  <c r="A520" i="16"/>
  <c r="A521" i="16"/>
  <c r="A522" i="16"/>
  <c r="A523" i="16"/>
  <c r="A524" i="16"/>
  <c r="A525" i="16"/>
  <c r="A526" i="16"/>
  <c r="A527" i="16"/>
  <c r="A528" i="16"/>
  <c r="A529" i="16"/>
  <c r="A530" i="16"/>
  <c r="A531" i="16"/>
  <c r="A532" i="16"/>
  <c r="A533" i="16"/>
  <c r="A534" i="16"/>
  <c r="A535" i="16"/>
  <c r="A536" i="16"/>
  <c r="A537" i="16"/>
  <c r="A538" i="16"/>
  <c r="A539" i="16"/>
  <c r="A540" i="16"/>
  <c r="A541" i="16"/>
  <c r="A542" i="16"/>
  <c r="A543" i="16"/>
  <c r="A544" i="16"/>
  <c r="A545" i="16"/>
  <c r="A546" i="16"/>
  <c r="A547" i="16"/>
  <c r="A548" i="16"/>
  <c r="A549" i="16"/>
  <c r="A550" i="16"/>
  <c r="A551" i="16"/>
  <c r="A552" i="16"/>
  <c r="A553" i="16"/>
  <c r="A554" i="16"/>
  <c r="A555" i="16"/>
  <c r="A556" i="16"/>
  <c r="A557" i="16"/>
  <c r="A558" i="16"/>
  <c r="A559" i="16"/>
  <c r="A560" i="16"/>
  <c r="A561" i="16"/>
  <c r="A562" i="16"/>
  <c r="A563" i="16"/>
  <c r="A564" i="16"/>
  <c r="A565" i="16"/>
  <c r="A566" i="16"/>
  <c r="A567" i="16"/>
  <c r="A568" i="16"/>
  <c r="A569" i="16"/>
  <c r="A570" i="16"/>
  <c r="A571" i="16"/>
  <c r="A572" i="16"/>
  <c r="A573" i="16"/>
  <c r="A574" i="16"/>
  <c r="A575" i="16"/>
  <c r="A576" i="16"/>
  <c r="A577" i="16"/>
  <c r="A578" i="16"/>
  <c r="A579" i="16"/>
  <c r="A580" i="16"/>
  <c r="A581" i="16"/>
  <c r="A582" i="16"/>
  <c r="A583" i="16"/>
  <c r="A584" i="16"/>
  <c r="A585" i="16"/>
  <c r="A586" i="16"/>
  <c r="A587" i="16"/>
  <c r="A588" i="16"/>
  <c r="A589" i="16"/>
  <c r="A590" i="16"/>
  <c r="A591" i="16"/>
  <c r="A592" i="16"/>
  <c r="A593" i="16"/>
  <c r="A594" i="16"/>
  <c r="A595" i="16"/>
  <c r="A596" i="16"/>
  <c r="A597" i="16"/>
  <c r="A598" i="16"/>
  <c r="A599" i="16"/>
  <c r="A600" i="16"/>
  <c r="A601" i="16"/>
  <c r="A602" i="16"/>
  <c r="A603" i="16"/>
  <c r="A604" i="16"/>
  <c r="A605" i="16"/>
  <c r="A606" i="16"/>
  <c r="A607" i="16"/>
  <c r="A608" i="16"/>
  <c r="A609" i="16"/>
  <c r="A610" i="16"/>
  <c r="A611" i="16"/>
  <c r="A612" i="16"/>
  <c r="A613" i="16"/>
  <c r="A614" i="16"/>
  <c r="A615" i="16"/>
  <c r="A616" i="16"/>
  <c r="A617" i="16"/>
  <c r="A618" i="16"/>
  <c r="A619" i="16"/>
  <c r="A620" i="16"/>
  <c r="A621" i="16"/>
  <c r="A622" i="16"/>
  <c r="A623" i="16"/>
  <c r="A624" i="16"/>
  <c r="A625" i="16"/>
  <c r="A626" i="16"/>
  <c r="A627" i="16"/>
  <c r="A628" i="16"/>
  <c r="A629" i="16"/>
  <c r="A630" i="16"/>
  <c r="A631" i="16"/>
  <c r="A632" i="16"/>
  <c r="A633" i="16"/>
  <c r="A634" i="16"/>
  <c r="A635" i="16"/>
  <c r="A636" i="16"/>
  <c r="A637" i="16"/>
  <c r="A638" i="16"/>
  <c r="A639" i="16"/>
  <c r="A640" i="16"/>
  <c r="A641" i="16"/>
  <c r="A642" i="16"/>
  <c r="A643" i="16"/>
  <c r="A644" i="16"/>
  <c r="A645" i="16"/>
  <c r="A646" i="16"/>
  <c r="A647" i="16"/>
  <c r="A648" i="16"/>
  <c r="A649" i="16"/>
  <c r="A650" i="16"/>
  <c r="A651" i="16"/>
  <c r="A652" i="16"/>
  <c r="A653" i="16"/>
  <c r="A654" i="16"/>
  <c r="A655" i="16"/>
  <c r="A656" i="16"/>
  <c r="A657" i="16"/>
  <c r="A658" i="16"/>
  <c r="A659" i="16"/>
  <c r="A660" i="16"/>
  <c r="A661" i="16"/>
  <c r="A662" i="16"/>
  <c r="A663" i="16"/>
  <c r="A664" i="16"/>
  <c r="A665" i="16"/>
  <c r="A666" i="16"/>
  <c r="A667" i="16"/>
  <c r="A668" i="16"/>
  <c r="A669" i="16"/>
  <c r="A670" i="16"/>
  <c r="A671" i="16"/>
  <c r="A672" i="16"/>
  <c r="A673" i="16"/>
  <c r="A674" i="16"/>
  <c r="A675" i="16"/>
  <c r="A676" i="16"/>
  <c r="A677" i="16"/>
  <c r="A678" i="16"/>
  <c r="A679" i="16"/>
  <c r="A680" i="16"/>
  <c r="A681" i="16"/>
  <c r="A682" i="16"/>
  <c r="A683" i="16"/>
  <c r="A684" i="16"/>
  <c r="A685" i="16"/>
  <c r="A686" i="16"/>
  <c r="A687" i="16"/>
  <c r="A688" i="16"/>
  <c r="A689" i="16"/>
  <c r="A690" i="16"/>
  <c r="A691" i="16"/>
  <c r="A692" i="16"/>
  <c r="A693" i="16"/>
  <c r="A694" i="16"/>
  <c r="A695" i="16"/>
  <c r="A696" i="16"/>
  <c r="A697" i="16"/>
  <c r="A698" i="16"/>
  <c r="A699" i="16"/>
  <c r="A700" i="16"/>
  <c r="A701" i="16"/>
  <c r="A702" i="16"/>
  <c r="A703" i="16"/>
  <c r="A704" i="16"/>
  <c r="A705" i="16"/>
  <c r="A706" i="16"/>
  <c r="A707" i="16"/>
  <c r="A708" i="16"/>
  <c r="A709" i="16"/>
  <c r="A710" i="16"/>
  <c r="A711" i="16"/>
  <c r="A712" i="16"/>
  <c r="A713" i="16"/>
  <c r="A714" i="16"/>
  <c r="A715" i="16"/>
  <c r="A716" i="16"/>
  <c r="A717" i="16"/>
  <c r="A718" i="16"/>
  <c r="A719" i="16"/>
  <c r="A720" i="16"/>
  <c r="A721" i="16"/>
  <c r="A722" i="16"/>
  <c r="A723" i="16"/>
  <c r="A724" i="16"/>
  <c r="A725" i="16"/>
  <c r="A726" i="16"/>
  <c r="A727" i="16"/>
  <c r="A728" i="16"/>
  <c r="A729" i="16"/>
  <c r="A730" i="16"/>
  <c r="A731" i="16"/>
  <c r="A732" i="16"/>
  <c r="A733" i="16"/>
  <c r="A734" i="16"/>
  <c r="A735" i="16"/>
  <c r="A736" i="16"/>
  <c r="A737" i="16"/>
  <c r="A738" i="16"/>
  <c r="A739" i="16"/>
  <c r="A740" i="16"/>
  <c r="A741" i="16"/>
  <c r="A742" i="16"/>
  <c r="A743" i="16"/>
  <c r="A744" i="16"/>
  <c r="A745" i="16"/>
  <c r="A746" i="16"/>
  <c r="A747" i="16"/>
  <c r="A748" i="16"/>
  <c r="A749" i="16"/>
  <c r="A750" i="16"/>
  <c r="A751" i="16"/>
  <c r="A752" i="16"/>
  <c r="A753" i="16"/>
  <c r="A754" i="16"/>
  <c r="A755" i="16"/>
  <c r="A756" i="16"/>
  <c r="A757" i="16"/>
  <c r="A758" i="16"/>
  <c r="A759" i="16"/>
  <c r="A760" i="16"/>
  <c r="A761" i="16"/>
  <c r="A762" i="16"/>
  <c r="A763" i="16"/>
  <c r="A764" i="16"/>
  <c r="A765" i="16"/>
  <c r="A766" i="16"/>
  <c r="A767" i="16"/>
  <c r="A768" i="16"/>
  <c r="A769" i="16"/>
  <c r="A770" i="16"/>
  <c r="A771" i="16"/>
  <c r="A772" i="16"/>
  <c r="A773" i="16"/>
  <c r="A774" i="16"/>
  <c r="A775" i="16"/>
  <c r="A776" i="16"/>
  <c r="A777" i="16"/>
  <c r="A778" i="16"/>
  <c r="A779" i="16"/>
  <c r="A780" i="16"/>
  <c r="A781" i="16"/>
  <c r="A782" i="16"/>
  <c r="A783" i="16"/>
  <c r="A784" i="16"/>
  <c r="A785" i="16"/>
  <c r="A786" i="16"/>
  <c r="A787" i="16"/>
  <c r="A788" i="16"/>
  <c r="A789" i="16"/>
  <c r="A790" i="16"/>
  <c r="A791" i="16"/>
  <c r="A792" i="16"/>
  <c r="A793" i="16"/>
  <c r="A794" i="16"/>
  <c r="A795" i="16"/>
  <c r="A796" i="16"/>
  <c r="A797" i="16"/>
  <c r="A798" i="16"/>
  <c r="A799" i="16"/>
  <c r="A800" i="16"/>
  <c r="A801" i="16"/>
  <c r="A802" i="16"/>
  <c r="A803" i="16"/>
  <c r="A804" i="16"/>
  <c r="A805" i="16"/>
  <c r="A806" i="16"/>
  <c r="A807" i="16"/>
  <c r="A808" i="16"/>
  <c r="A809" i="16"/>
  <c r="A810" i="16"/>
  <c r="A811" i="16"/>
  <c r="A812" i="16"/>
  <c r="A813" i="16"/>
  <c r="A814" i="16"/>
  <c r="A815" i="16"/>
  <c r="A816" i="16"/>
  <c r="A817" i="16"/>
  <c r="A818" i="16"/>
  <c r="A819" i="16"/>
  <c r="A820" i="16"/>
  <c r="A821" i="16"/>
  <c r="A822" i="16"/>
  <c r="A823" i="16"/>
  <c r="A824" i="16"/>
  <c r="A825" i="16"/>
  <c r="A826" i="16"/>
  <c r="A827" i="16"/>
  <c r="A828" i="16"/>
  <c r="A829" i="16"/>
  <c r="A830" i="16"/>
  <c r="A831" i="16"/>
  <c r="A832" i="16"/>
  <c r="A833" i="16"/>
  <c r="A834" i="16"/>
  <c r="A835" i="16"/>
  <c r="A836" i="16"/>
  <c r="A837" i="16"/>
  <c r="A838" i="16"/>
  <c r="A839" i="16"/>
  <c r="A840" i="16"/>
  <c r="A841" i="16"/>
  <c r="A842" i="16"/>
  <c r="A843" i="16"/>
  <c r="A844" i="16"/>
  <c r="A845" i="16"/>
  <c r="A846" i="16"/>
  <c r="A847" i="16"/>
  <c r="A848" i="16"/>
  <c r="A849" i="16"/>
  <c r="A850" i="16"/>
  <c r="A851" i="16"/>
  <c r="A852" i="16"/>
  <c r="A853" i="16"/>
  <c r="A854" i="16"/>
  <c r="A855" i="16"/>
  <c r="A856" i="16"/>
  <c r="A857" i="16"/>
  <c r="A858" i="16"/>
  <c r="A859" i="16"/>
  <c r="A860" i="16"/>
  <c r="A861" i="16"/>
  <c r="A862" i="16"/>
  <c r="A863" i="16"/>
  <c r="A864" i="16"/>
  <c r="A865" i="16"/>
  <c r="A866" i="16"/>
  <c r="A867" i="16"/>
  <c r="A868" i="16"/>
  <c r="A869" i="16"/>
  <c r="A870" i="16"/>
  <c r="A871" i="16"/>
  <c r="A872" i="16"/>
  <c r="A873" i="16"/>
  <c r="A874" i="16"/>
  <c r="A875" i="16"/>
  <c r="A876" i="16"/>
  <c r="A877" i="16"/>
  <c r="A878" i="16"/>
  <c r="A879" i="16"/>
  <c r="A880" i="16"/>
  <c r="A881" i="16"/>
  <c r="A882" i="16"/>
  <c r="A883" i="16"/>
  <c r="A884" i="16"/>
  <c r="A885" i="16"/>
  <c r="A886" i="16"/>
  <c r="A887" i="16"/>
  <c r="A888" i="16"/>
  <c r="A889" i="16"/>
  <c r="A890" i="16"/>
  <c r="A891" i="16"/>
  <c r="A892" i="16"/>
  <c r="A893" i="16"/>
  <c r="A894" i="16"/>
  <c r="A895" i="16"/>
  <c r="A896" i="16"/>
  <c r="A897" i="16"/>
  <c r="A898" i="16"/>
  <c r="A899" i="16"/>
  <c r="A900" i="16"/>
  <c r="A901" i="16"/>
  <c r="A902" i="16"/>
  <c r="A903" i="16"/>
  <c r="A904" i="16"/>
  <c r="A905" i="16"/>
  <c r="A906" i="16"/>
  <c r="A907" i="16"/>
  <c r="A908" i="16"/>
  <c r="A909" i="16"/>
  <c r="A910" i="16"/>
  <c r="A911" i="16"/>
  <c r="A912" i="16"/>
  <c r="A913" i="16"/>
  <c r="A914" i="16"/>
  <c r="A915" i="16"/>
  <c r="A916" i="16"/>
  <c r="A917" i="16"/>
  <c r="A918" i="16"/>
  <c r="A919" i="16"/>
  <c r="A920" i="16"/>
  <c r="A921" i="16"/>
  <c r="A922" i="16"/>
  <c r="A923" i="16"/>
  <c r="A924" i="16"/>
  <c r="A925" i="16"/>
  <c r="A926" i="16"/>
  <c r="A927" i="16"/>
  <c r="A928" i="16"/>
  <c r="A929" i="16"/>
  <c r="A930" i="16"/>
  <c r="A931" i="16"/>
  <c r="A932" i="16"/>
  <c r="A933" i="16"/>
  <c r="A934" i="16"/>
  <c r="A935" i="16"/>
  <c r="A936" i="16"/>
  <c r="A937" i="16"/>
  <c r="A938" i="16"/>
  <c r="A939" i="16"/>
  <c r="A940" i="16"/>
  <c r="A941" i="16"/>
  <c r="A942" i="16"/>
  <c r="A943" i="16"/>
  <c r="A944" i="16"/>
  <c r="A945" i="16"/>
  <c r="A946" i="16"/>
  <c r="A947" i="16"/>
  <c r="A948" i="16"/>
  <c r="A949" i="16"/>
  <c r="A950" i="16"/>
  <c r="A951" i="16"/>
  <c r="A952" i="16"/>
  <c r="A953" i="16"/>
  <c r="A954" i="16"/>
  <c r="A955" i="16"/>
  <c r="A956" i="16"/>
  <c r="A957" i="16"/>
  <c r="A958" i="16"/>
  <c r="A959" i="16"/>
  <c r="A960" i="16"/>
  <c r="A961" i="16"/>
  <c r="A962" i="16"/>
  <c r="A963" i="16"/>
  <c r="A964" i="16"/>
  <c r="A965" i="16"/>
  <c r="A966" i="16"/>
  <c r="A967" i="16"/>
  <c r="A968" i="16"/>
  <c r="A969" i="16"/>
  <c r="A970" i="16"/>
  <c r="A971" i="16"/>
  <c r="A972" i="16"/>
  <c r="A973" i="16"/>
  <c r="A974" i="16"/>
  <c r="A975" i="16"/>
  <c r="A976" i="16"/>
  <c r="A977" i="16"/>
  <c r="A978" i="16"/>
  <c r="A979" i="16"/>
  <c r="A980" i="16"/>
  <c r="A981" i="16"/>
  <c r="A982" i="16"/>
  <c r="A983" i="16"/>
  <c r="A984" i="16"/>
  <c r="A985" i="16"/>
  <c r="A986" i="16"/>
  <c r="A987" i="16"/>
  <c r="A988" i="16"/>
  <c r="A989" i="16"/>
  <c r="A990" i="16"/>
  <c r="A991" i="16"/>
  <c r="A992" i="16"/>
  <c r="A993" i="16"/>
  <c r="A994" i="16"/>
  <c r="A995" i="16"/>
  <c r="A996" i="16"/>
  <c r="A997" i="16"/>
  <c r="A998" i="16"/>
  <c r="A999" i="16"/>
  <c r="A1000" i="16"/>
  <c r="A1001" i="16"/>
  <c r="A1002" i="16"/>
  <c r="A1003" i="16"/>
  <c r="A1004" i="16"/>
  <c r="A1005" i="16"/>
  <c r="A1006" i="16"/>
  <c r="A1007" i="16"/>
  <c r="A1008" i="16"/>
  <c r="A1009" i="16"/>
  <c r="A1010" i="16"/>
  <c r="A1011" i="16"/>
  <c r="A1012" i="16"/>
  <c r="A1013" i="16"/>
  <c r="A1014" i="16"/>
  <c r="A1015" i="16"/>
  <c r="A1016" i="16"/>
  <c r="A1017" i="16"/>
  <c r="A1018" i="16"/>
  <c r="A1019" i="16"/>
  <c r="A1020" i="16"/>
  <c r="A1021" i="16"/>
  <c r="A1022" i="16"/>
  <c r="A1023" i="16"/>
  <c r="A1024" i="16"/>
  <c r="A1025" i="16"/>
  <c r="A1026" i="16"/>
  <c r="A1027" i="16"/>
  <c r="A1028" i="16"/>
  <c r="A1029" i="16"/>
  <c r="A1030" i="16"/>
  <c r="A1031" i="16"/>
  <c r="A1032" i="16"/>
  <c r="A1033" i="16"/>
  <c r="A1034" i="16"/>
  <c r="A1035" i="16"/>
  <c r="A1036" i="16"/>
  <c r="A1037" i="16"/>
  <c r="A1038" i="16"/>
  <c r="A1039" i="16"/>
  <c r="A1040" i="16"/>
  <c r="A1041" i="16"/>
  <c r="A1042" i="16"/>
  <c r="A1043" i="16"/>
  <c r="A1044" i="16"/>
  <c r="A1045"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E417" i="10"/>
  <c r="D417" i="10" s="1"/>
  <c r="J410" i="10"/>
  <c r="F410" i="10" a="1"/>
  <c r="F410" i="10" s="1"/>
  <c r="F41" i="9"/>
  <c r="B10" i="19"/>
  <c r="B18" i="19"/>
  <c r="B12" i="19"/>
  <c r="B25" i="19"/>
  <c r="J41" i="9"/>
  <c r="E51" i="9"/>
  <c r="N40" i="9" s="1"/>
  <c r="N41" i="9" l="1"/>
  <c r="F34" i="7" a="1"/>
  <c r="F34" i="7" s="1"/>
  <c r="J33" i="7"/>
  <c r="J34" i="7" s="1"/>
  <c r="F33" i="7" a="1"/>
  <c r="F33" i="7" s="1"/>
  <c r="J32" i="7"/>
  <c r="F32" i="7" a="1"/>
  <c r="F32" i="7" s="1"/>
  <c r="F31" i="7" a="1"/>
  <c r="F31" i="7" s="1"/>
  <c r="J27" i="7"/>
  <c r="N42" i="9"/>
  <c r="D4" i="19" l="1"/>
  <c r="A46" i="19" s="1"/>
  <c r="A38" i="19" s="1"/>
  <c r="N48" i="9"/>
  <c r="H366" i="10"/>
  <c r="J366" i="10" s="1"/>
  <c r="J416" i="10"/>
  <c r="A44" i="19" l="1"/>
  <c r="D44" i="19" s="1"/>
  <c r="A42" i="19"/>
  <c r="A43" i="19"/>
  <c r="A39" i="19"/>
  <c r="A41" i="19"/>
  <c r="A45" i="19"/>
  <c r="A40" i="19"/>
  <c r="E413" i="10"/>
  <c r="I349" i="10"/>
  <c r="J349" i="10" s="1"/>
  <c r="F349" i="10" a="1"/>
  <c r="F349" i="10" s="1"/>
  <c r="E44" i="19" l="1"/>
  <c r="I362" i="10"/>
  <c r="H365" i="10"/>
  <c r="J365" i="10" s="1"/>
  <c r="F365" i="10" a="1"/>
  <c r="F365" i="10" s="1"/>
  <c r="F366" i="10" a="1"/>
  <c r="F366" i="10" s="1"/>
  <c r="E303" i="10"/>
  <c r="J313" i="10"/>
  <c r="F313" i="10" a="1"/>
  <c r="F313" i="10" s="1"/>
  <c r="J312" i="10"/>
  <c r="F312" i="10" a="1"/>
  <c r="F312" i="10" s="1"/>
  <c r="I311" i="10"/>
  <c r="J311" i="10" s="1"/>
  <c r="F311" i="10" a="1"/>
  <c r="F311" i="10" s="1"/>
  <c r="J310" i="10"/>
  <c r="F310" i="10" a="1"/>
  <c r="F310" i="10" s="1"/>
  <c r="F309" i="10" a="1"/>
  <c r="F309" i="10" s="1"/>
  <c r="I308" i="10"/>
  <c r="J308" i="10" s="1"/>
  <c r="F308" i="10" a="1"/>
  <c r="F308" i="10" s="1"/>
  <c r="J307" i="10"/>
  <c r="F307" i="10" a="1"/>
  <c r="F307" i="10" s="1"/>
  <c r="F306" i="10" a="1"/>
  <c r="F306" i="10" s="1"/>
  <c r="F305" i="10" a="1"/>
  <c r="F305" i="10" s="1"/>
  <c r="I304" i="10"/>
  <c r="I309" i="10" s="1"/>
  <c r="J309" i="10" s="1"/>
  <c r="F304" i="10" a="1"/>
  <c r="F304" i="10" s="1"/>
  <c r="I361" i="10" l="1"/>
  <c r="I305" i="10"/>
  <c r="J305" i="10" s="1"/>
  <c r="J304" i="10"/>
  <c r="I306" i="10"/>
  <c r="J306" i="10" s="1"/>
  <c r="D290" i="10"/>
  <c r="H383" i="10" s="1"/>
  <c r="M265" i="10"/>
  <c r="E348" i="10"/>
  <c r="E327" i="10"/>
  <c r="E291" i="10"/>
  <c r="E315" i="10"/>
  <c r="I328" i="10"/>
  <c r="I335" i="10" s="1"/>
  <c r="J335" i="10" s="1"/>
  <c r="I316" i="10"/>
  <c r="I321" i="10" s="1"/>
  <c r="J321" i="10" s="1"/>
  <c r="I292" i="10"/>
  <c r="I297" i="10" s="1"/>
  <c r="J297" i="10" s="1"/>
  <c r="I354" i="10"/>
  <c r="J301" i="10"/>
  <c r="F301" i="10" a="1"/>
  <c r="F301" i="10" s="1"/>
  <c r="J300" i="10"/>
  <c r="F300" i="10" a="1"/>
  <c r="F300" i="10" s="1"/>
  <c r="I299" i="10"/>
  <c r="J299" i="10" s="1"/>
  <c r="F299" i="10" a="1"/>
  <c r="F299" i="10" s="1"/>
  <c r="J298" i="10"/>
  <c r="F298" i="10" a="1"/>
  <c r="F298" i="10" s="1"/>
  <c r="F297" i="10" a="1"/>
  <c r="F297" i="10" s="1"/>
  <c r="I296" i="10"/>
  <c r="J296" i="10" s="1"/>
  <c r="F296" i="10" a="1"/>
  <c r="F296" i="10" s="1"/>
  <c r="J295" i="10"/>
  <c r="F295" i="10" a="1"/>
  <c r="F295" i="10" s="1"/>
  <c r="F294" i="10" a="1"/>
  <c r="F294" i="10" s="1"/>
  <c r="F293" i="10" a="1"/>
  <c r="F293" i="10" s="1"/>
  <c r="F292" i="10" a="1"/>
  <c r="F292" i="10" s="1"/>
  <c r="J325" i="10"/>
  <c r="F325" i="10" a="1"/>
  <c r="F325" i="10" s="1"/>
  <c r="J324" i="10"/>
  <c r="F324" i="10" a="1"/>
  <c r="F324" i="10" s="1"/>
  <c r="I323" i="10"/>
  <c r="J323" i="10" s="1"/>
  <c r="F323" i="10" a="1"/>
  <c r="F323" i="10" s="1"/>
  <c r="J322" i="10"/>
  <c r="F322" i="10" a="1"/>
  <c r="F322" i="10" s="1"/>
  <c r="F321" i="10" a="1"/>
  <c r="F321" i="10" s="1"/>
  <c r="I320" i="10"/>
  <c r="J320" i="10" s="1"/>
  <c r="F320" i="10" a="1"/>
  <c r="F320" i="10" s="1"/>
  <c r="J319" i="10"/>
  <c r="F319" i="10" a="1"/>
  <c r="F319" i="10" s="1"/>
  <c r="F318" i="10" a="1"/>
  <c r="F318" i="10" s="1"/>
  <c r="F317" i="10" a="1"/>
  <c r="F317" i="10" s="1"/>
  <c r="F316" i="10" a="1"/>
  <c r="F316" i="10" s="1"/>
  <c r="J343" i="10"/>
  <c r="F343" i="10" a="1"/>
  <c r="F343" i="10" s="1"/>
  <c r="J340" i="10"/>
  <c r="F340" i="10" a="1"/>
  <c r="F340" i="10" s="1"/>
  <c r="I339" i="10"/>
  <c r="F339" i="10" a="1"/>
  <c r="F339" i="10" s="1"/>
  <c r="J338" i="10"/>
  <c r="F338" i="10" a="1"/>
  <c r="F338" i="10" s="1"/>
  <c r="F335" i="10" a="1"/>
  <c r="F335" i="10" s="1"/>
  <c r="I333" i="10"/>
  <c r="J333" i="10" s="1"/>
  <c r="F333" i="10" a="1"/>
  <c r="F333" i="10" s="1"/>
  <c r="J331" i="10"/>
  <c r="F331" i="10" a="1"/>
  <c r="F331" i="10" s="1"/>
  <c r="F330" i="10" a="1"/>
  <c r="F330" i="10" s="1"/>
  <c r="F329" i="10" a="1"/>
  <c r="F329" i="10" s="1"/>
  <c r="F328" i="10" a="1"/>
  <c r="F328" i="10" s="1"/>
  <c r="F361" i="10" a="1"/>
  <c r="F361" i="10" s="1"/>
  <c r="F362" i="10" a="1"/>
  <c r="F362" i="10" s="1"/>
  <c r="F351" i="10" a="1"/>
  <c r="F351" i="10" s="1"/>
  <c r="I369" i="10"/>
  <c r="I371" i="10" s="1"/>
  <c r="J371" i="10" s="1"/>
  <c r="I353" i="10"/>
  <c r="I356" i="10"/>
  <c r="I385" i="10" l="1"/>
  <c r="J385" i="10" s="1"/>
  <c r="G385" i="10" s="1"/>
  <c r="I384" i="10"/>
  <c r="J384" i="10" s="1"/>
  <c r="G384" i="10" s="1"/>
  <c r="I386" i="10"/>
  <c r="J386" i="10" s="1"/>
  <c r="G386" i="10" s="1"/>
  <c r="J383" i="10"/>
  <c r="G383" i="10" s="1"/>
  <c r="H387" i="10"/>
  <c r="J339" i="10"/>
  <c r="J334" i="10"/>
  <c r="M321" i="10"/>
  <c r="M316" i="10"/>
  <c r="M322" i="10"/>
  <c r="M317" i="10"/>
  <c r="M318" i="10"/>
  <c r="M323" i="10"/>
  <c r="M325" i="10"/>
  <c r="M324" i="10"/>
  <c r="M320" i="10"/>
  <c r="M319" i="10"/>
  <c r="I293" i="10"/>
  <c r="J293" i="10" s="1"/>
  <c r="I294" i="10"/>
  <c r="J294" i="10" s="1"/>
  <c r="J292" i="10"/>
  <c r="I329" i="10"/>
  <c r="I317" i="10"/>
  <c r="J317" i="10" s="1"/>
  <c r="I318" i="10"/>
  <c r="J318" i="10" s="1"/>
  <c r="J316" i="10"/>
  <c r="I330" i="10"/>
  <c r="J328" i="10"/>
  <c r="J361" i="10"/>
  <c r="J362" i="10"/>
  <c r="J369" i="10"/>
  <c r="I351" i="10"/>
  <c r="I370" i="10"/>
  <c r="J370" i="10" s="1"/>
  <c r="I350" i="10"/>
  <c r="H140" i="5"/>
  <c r="F409" i="10" a="1"/>
  <c r="F409" i="10" s="1"/>
  <c r="J409" i="10"/>
  <c r="J330" i="10" l="1"/>
  <c r="J337" i="10"/>
  <c r="J329" i="10"/>
  <c r="J336" i="10"/>
  <c r="E426" i="10"/>
  <c r="B28" i="19"/>
  <c r="B29" i="19" s="1"/>
  <c r="J351" i="10"/>
  <c r="I238" i="10"/>
  <c r="J238" i="10" s="1"/>
  <c r="I237" i="10"/>
  <c r="J237" i="10" s="1"/>
  <c r="F238" i="10" a="1"/>
  <c r="F238" i="10" s="1"/>
  <c r="F237" i="10" a="1"/>
  <c r="F237" i="10" s="1"/>
  <c r="F235" i="10" a="1"/>
  <c r="F235" i="10" s="1"/>
  <c r="F234" i="10" a="1"/>
  <c r="F234" i="10" s="1"/>
  <c r="J208" i="10"/>
  <c r="J159" i="10"/>
  <c r="J158" i="10"/>
  <c r="J207" i="10"/>
  <c r="J206" i="10"/>
  <c r="J205" i="10"/>
  <c r="J179" i="10"/>
  <c r="J178" i="10"/>
  <c r="F158" i="10" a="1"/>
  <c r="F158" i="10" s="1"/>
  <c r="F432" i="10" a="1"/>
  <c r="F432" i="10" s="1"/>
  <c r="I414" i="10"/>
  <c r="Z67" i="14" l="1"/>
  <c r="Z65" i="14"/>
  <c r="Z66" i="14" s="1"/>
  <c r="AK57" i="14"/>
  <c r="AJ57" i="14"/>
  <c r="AI57" i="14"/>
  <c r="AH57" i="14"/>
  <c r="AG57" i="14"/>
  <c r="AF57" i="14"/>
  <c r="AE57" i="14"/>
  <c r="AD57" i="14"/>
  <c r="AC57" i="14"/>
  <c r="AB57" i="14"/>
  <c r="AA57" i="14"/>
  <c r="Z57" i="14"/>
  <c r="Y57" i="14"/>
  <c r="X57" i="14"/>
  <c r="W57" i="14"/>
  <c r="AK56" i="14"/>
  <c r="AJ56" i="14"/>
  <c r="AI56" i="14"/>
  <c r="AH56" i="14"/>
  <c r="AG56" i="14"/>
  <c r="AF56" i="14"/>
  <c r="AE56" i="14"/>
  <c r="AD56" i="14"/>
  <c r="AC56" i="14"/>
  <c r="AB56" i="14"/>
  <c r="AA56" i="14"/>
  <c r="Z56" i="14"/>
  <c r="Y56" i="14"/>
  <c r="X56" i="14"/>
  <c r="W56" i="14"/>
  <c r="AK55" i="14"/>
  <c r="AJ55" i="14"/>
  <c r="AI55" i="14"/>
  <c r="AH55" i="14"/>
  <c r="AG55" i="14"/>
  <c r="AF55" i="14"/>
  <c r="AE55" i="14"/>
  <c r="AD55" i="14"/>
  <c r="AC55" i="14"/>
  <c r="AB55" i="14"/>
  <c r="AA55" i="14"/>
  <c r="Z55" i="14"/>
  <c r="Y55" i="14"/>
  <c r="X55" i="14"/>
  <c r="W55" i="14"/>
  <c r="AK54" i="14"/>
  <c r="AJ54" i="14"/>
  <c r="AI54" i="14"/>
  <c r="AH54" i="14"/>
  <c r="AG54" i="14"/>
  <c r="AF54" i="14"/>
  <c r="AE54" i="14"/>
  <c r="AD54" i="14"/>
  <c r="AC54" i="14"/>
  <c r="AB54" i="14"/>
  <c r="AA54" i="14"/>
  <c r="Z54" i="14"/>
  <c r="Y54" i="14"/>
  <c r="X54" i="14"/>
  <c r="W54" i="14"/>
  <c r="AK53" i="14"/>
  <c r="AJ53" i="14"/>
  <c r="AI53" i="14"/>
  <c r="AH53" i="14"/>
  <c r="AG53" i="14"/>
  <c r="AF53" i="14"/>
  <c r="AE53" i="14"/>
  <c r="AD53" i="14"/>
  <c r="AC53" i="14"/>
  <c r="AB53" i="14"/>
  <c r="AA53" i="14"/>
  <c r="Z53" i="14"/>
  <c r="Y53" i="14"/>
  <c r="X53" i="14"/>
  <c r="W53" i="14"/>
  <c r="AK52" i="14"/>
  <c r="AJ52" i="14"/>
  <c r="AI52" i="14"/>
  <c r="AH52" i="14"/>
  <c r="AG52" i="14"/>
  <c r="AF52" i="14"/>
  <c r="AE52" i="14"/>
  <c r="AD52" i="14"/>
  <c r="AC52" i="14"/>
  <c r="AB52" i="14"/>
  <c r="AA52" i="14"/>
  <c r="Z52" i="14"/>
  <c r="Y52" i="14"/>
  <c r="X52" i="14"/>
  <c r="W52" i="14"/>
  <c r="AK51" i="14"/>
  <c r="AJ51" i="14"/>
  <c r="AI51" i="14"/>
  <c r="AH51" i="14"/>
  <c r="AG51" i="14"/>
  <c r="AF51" i="14"/>
  <c r="AE51" i="14"/>
  <c r="AD51" i="14"/>
  <c r="AC51" i="14"/>
  <c r="AB51" i="14"/>
  <c r="AA51" i="14"/>
  <c r="Z51" i="14"/>
  <c r="Y51" i="14"/>
  <c r="X51" i="14"/>
  <c r="W51" i="14"/>
  <c r="AK50" i="14"/>
  <c r="AJ50" i="14"/>
  <c r="AI50" i="14"/>
  <c r="AH50" i="14"/>
  <c r="AG50" i="14"/>
  <c r="AF50" i="14"/>
  <c r="AE50" i="14"/>
  <c r="AD50" i="14"/>
  <c r="AC50" i="14"/>
  <c r="AB50" i="14"/>
  <c r="AA50" i="14"/>
  <c r="Z50" i="14"/>
  <c r="Y50" i="14"/>
  <c r="X50" i="14"/>
  <c r="W50" i="14"/>
  <c r="AK49" i="14"/>
  <c r="AJ49" i="14"/>
  <c r="AI49" i="14"/>
  <c r="AH49" i="14"/>
  <c r="AG49" i="14"/>
  <c r="AF49" i="14"/>
  <c r="AE49" i="14"/>
  <c r="AD49" i="14"/>
  <c r="AC49" i="14"/>
  <c r="AB49" i="14"/>
  <c r="AA49" i="14"/>
  <c r="Z49" i="14"/>
  <c r="Y49" i="14"/>
  <c r="X49" i="14"/>
  <c r="W49" i="14"/>
  <c r="AK48" i="14"/>
  <c r="AJ48" i="14"/>
  <c r="AI48" i="14"/>
  <c r="AH48" i="14"/>
  <c r="AG48" i="14"/>
  <c r="AF48" i="14"/>
  <c r="AE48" i="14"/>
  <c r="AD48" i="14"/>
  <c r="AC48" i="14"/>
  <c r="AB48" i="14"/>
  <c r="AA48" i="14"/>
  <c r="Z48" i="14"/>
  <c r="Y48" i="14"/>
  <c r="X48" i="14"/>
  <c r="W48" i="14"/>
  <c r="AK47" i="14"/>
  <c r="AJ47" i="14"/>
  <c r="AI47" i="14"/>
  <c r="AH47" i="14"/>
  <c r="AG47" i="14"/>
  <c r="AF47" i="14"/>
  <c r="AE47" i="14"/>
  <c r="AD47" i="14"/>
  <c r="AC47" i="14"/>
  <c r="AB47" i="14"/>
  <c r="AA47" i="14"/>
  <c r="Z47" i="14"/>
  <c r="Y47" i="14"/>
  <c r="X47" i="14"/>
  <c r="W47" i="14"/>
  <c r="AK46" i="14"/>
  <c r="AJ46" i="14"/>
  <c r="AI46" i="14"/>
  <c r="AH46" i="14"/>
  <c r="AG46" i="14"/>
  <c r="AF46" i="14"/>
  <c r="AE46" i="14"/>
  <c r="AD46" i="14"/>
  <c r="AC46" i="14"/>
  <c r="AB46" i="14"/>
  <c r="AA46" i="14"/>
  <c r="Z46" i="14"/>
  <c r="Y46" i="14"/>
  <c r="X46" i="14"/>
  <c r="W46" i="14"/>
  <c r="AK45" i="14"/>
  <c r="AJ45" i="14"/>
  <c r="AI45" i="14"/>
  <c r="AH45" i="14"/>
  <c r="AG45" i="14"/>
  <c r="AF45" i="14"/>
  <c r="AE45" i="14"/>
  <c r="AD45" i="14"/>
  <c r="AC45" i="14"/>
  <c r="AB45" i="14"/>
  <c r="AA45" i="14"/>
  <c r="Z45" i="14"/>
  <c r="Y45" i="14"/>
  <c r="X45" i="14"/>
  <c r="W45" i="14"/>
  <c r="AK44" i="14"/>
  <c r="AJ44" i="14"/>
  <c r="AI44" i="14"/>
  <c r="AH44" i="14"/>
  <c r="AG44" i="14"/>
  <c r="AF44" i="14"/>
  <c r="AE44" i="14"/>
  <c r="AD44" i="14"/>
  <c r="AC44" i="14"/>
  <c r="AB44" i="14"/>
  <c r="AA44" i="14"/>
  <c r="Z44" i="14"/>
  <c r="Y44" i="14"/>
  <c r="X44" i="14"/>
  <c r="AK43" i="14"/>
  <c r="AJ43" i="14"/>
  <c r="AI43" i="14"/>
  <c r="AH43" i="14"/>
  <c r="AG43" i="14"/>
  <c r="AF43" i="14"/>
  <c r="AE43" i="14"/>
  <c r="AD43" i="14"/>
  <c r="AC43" i="14"/>
  <c r="AB43" i="14"/>
  <c r="AA43" i="14"/>
  <c r="Z43" i="14"/>
  <c r="Y43" i="14"/>
  <c r="X43" i="14"/>
  <c r="AK42" i="14"/>
  <c r="AJ42" i="14"/>
  <c r="AI42" i="14"/>
  <c r="AH42" i="14"/>
  <c r="AG42" i="14"/>
  <c r="AF42" i="14"/>
  <c r="AE42" i="14"/>
  <c r="AD42" i="14"/>
  <c r="AC42" i="14"/>
  <c r="AB42" i="14"/>
  <c r="AA42" i="14"/>
  <c r="Z42" i="14"/>
  <c r="Y42" i="14"/>
  <c r="X42" i="14"/>
  <c r="AK41" i="14"/>
  <c r="AJ41" i="14"/>
  <c r="AI41" i="14"/>
  <c r="AH41" i="14"/>
  <c r="AG41" i="14"/>
  <c r="AF41" i="14"/>
  <c r="AE41" i="14"/>
  <c r="AD41" i="14"/>
  <c r="AC41" i="14"/>
  <c r="AB41" i="14"/>
  <c r="AA41" i="14"/>
  <c r="Z41" i="14"/>
  <c r="Y41" i="14"/>
  <c r="AK40" i="14"/>
  <c r="AJ40" i="14"/>
  <c r="AI40" i="14"/>
  <c r="AH40" i="14"/>
  <c r="AG40" i="14"/>
  <c r="AF40" i="14"/>
  <c r="AE40" i="14"/>
  <c r="AD40" i="14"/>
  <c r="AC40" i="14"/>
  <c r="AB40" i="14"/>
  <c r="AA40" i="14"/>
  <c r="Z40" i="14"/>
  <c r="AK39" i="14"/>
  <c r="AJ39" i="14"/>
  <c r="AI39" i="14"/>
  <c r="AH39" i="14"/>
  <c r="AG39" i="14"/>
  <c r="AF39" i="14"/>
  <c r="AE39" i="14"/>
  <c r="AD39" i="14"/>
  <c r="AC39" i="14"/>
  <c r="AB39" i="14"/>
  <c r="AA39" i="14"/>
  <c r="H122" i="10" l="1"/>
  <c r="A58" i="19" l="1"/>
  <c r="C58" i="19" s="1"/>
  <c r="D58" i="19" s="1"/>
  <c r="A57" i="19"/>
  <c r="C57" i="19" s="1"/>
  <c r="D57" i="19" s="1"/>
  <c r="A56" i="19"/>
  <c r="C56" i="19" s="1"/>
  <c r="D56" i="19" s="1"/>
  <c r="A55" i="19"/>
  <c r="C55" i="19" s="1"/>
  <c r="D55" i="19" s="1"/>
  <c r="A54" i="19"/>
  <c r="C54" i="19" s="1"/>
  <c r="D54" i="19" s="1"/>
  <c r="A53" i="19"/>
  <c r="C53" i="19" s="1"/>
  <c r="D53" i="19" s="1"/>
  <c r="A52" i="19"/>
  <c r="C52" i="19" s="1"/>
  <c r="D52" i="19" s="1"/>
  <c r="A51" i="19"/>
  <c r="C51" i="19" s="1"/>
  <c r="D51" i="19" s="1"/>
  <c r="E46" i="19"/>
  <c r="D46" i="19"/>
  <c r="E45" i="19"/>
  <c r="D45" i="19"/>
  <c r="E43" i="19"/>
  <c r="D43" i="19"/>
  <c r="E42" i="19"/>
  <c r="D42" i="19"/>
  <c r="E41" i="19"/>
  <c r="D41" i="19"/>
  <c r="E40" i="19"/>
  <c r="D40" i="19"/>
  <c r="E39" i="19"/>
  <c r="D39" i="19"/>
  <c r="E38" i="19"/>
  <c r="D38" i="19"/>
  <c r="E37" i="19"/>
  <c r="D37" i="19"/>
  <c r="I105" i="10" l="1"/>
  <c r="J75" i="10"/>
  <c r="J21" i="10" l="1"/>
  <c r="S139" i="14"/>
  <c r="S134" i="14"/>
  <c r="S129" i="14"/>
  <c r="S124" i="14"/>
  <c r="S119" i="14"/>
  <c r="S114" i="14"/>
  <c r="S109" i="14"/>
  <c r="S104" i="14"/>
  <c r="S99" i="14"/>
  <c r="S94" i="14"/>
  <c r="S89" i="14"/>
  <c r="S84" i="14"/>
  <c r="S79" i="14"/>
  <c r="S74" i="14"/>
  <c r="S69" i="14"/>
  <c r="S64" i="14"/>
  <c r="S59" i="14"/>
  <c r="S54" i="14"/>
  <c r="S49" i="14"/>
  <c r="S37" i="14"/>
  <c r="S44" i="14"/>
  <c r="I21" i="10"/>
  <c r="I37" i="10" l="1"/>
  <c r="I36" i="10"/>
  <c r="F36" i="10" a="1"/>
  <c r="F36" i="10" s="1"/>
  <c r="F35" i="10" a="1"/>
  <c r="F35" i="10" s="1"/>
  <c r="F34" i="10" a="1"/>
  <c r="F34" i="10" s="1"/>
  <c r="I38" i="10"/>
  <c r="F38" i="10" a="1"/>
  <c r="F38" i="10" s="1"/>
  <c r="F37" i="10" a="1"/>
  <c r="F37" i="10" s="1"/>
  <c r="F33" i="10" a="1"/>
  <c r="F33" i="10" s="1"/>
  <c r="D55" i="14"/>
  <c r="L5" i="10"/>
  <c r="I44" i="10"/>
  <c r="F44" i="10" a="1"/>
  <c r="F44" i="10" s="1"/>
  <c r="F43" i="10" a="1"/>
  <c r="F43" i="10" s="1"/>
  <c r="F42" i="10" a="1"/>
  <c r="F42" i="10" s="1"/>
  <c r="F41" i="10" a="1"/>
  <c r="F41" i="10" s="1"/>
  <c r="I30" i="10"/>
  <c r="F29" i="10" a="1"/>
  <c r="F29" i="10" s="1"/>
  <c r="E428" i="10"/>
  <c r="I408" i="10"/>
  <c r="E408" i="10"/>
  <c r="D408" i="10" s="1"/>
  <c r="I413" i="10"/>
  <c r="J413" i="10" s="1"/>
  <c r="N413" i="10" s="1"/>
  <c r="I412" i="10"/>
  <c r="I415" i="10"/>
  <c r="J415" i="10" s="1"/>
  <c r="I417" i="10"/>
  <c r="J417" i="10" s="1"/>
  <c r="F417" i="10" a="1"/>
  <c r="F417" i="10" s="1"/>
  <c r="F428" i="10" a="1"/>
  <c r="F428" i="10" s="1"/>
  <c r="M413" i="10"/>
  <c r="F413" i="10" a="1"/>
  <c r="F413" i="10" s="1"/>
  <c r="F425" i="10" a="1"/>
  <c r="F425" i="10" s="1"/>
  <c r="I433" i="10"/>
  <c r="E433" i="10"/>
  <c r="H46" i="10"/>
  <c r="J46" i="10" s="1"/>
  <c r="J48" i="10"/>
  <c r="F48" i="10" a="1"/>
  <c r="F48" i="10" s="1"/>
  <c r="J156" i="10"/>
  <c r="F156" i="10" a="1"/>
  <c r="F156" i="10" s="1"/>
  <c r="I160" i="10"/>
  <c r="J160" i="10" s="1"/>
  <c r="M40" i="10" a="1"/>
  <c r="M32" i="10" a="1"/>
  <c r="J408" i="10" l="1"/>
  <c r="M8" i="10"/>
  <c r="E41" i="10" s="1"/>
  <c r="M32" i="10"/>
  <c r="M40" i="10"/>
  <c r="E429" i="10"/>
  <c r="I429" i="10" s="1"/>
  <c r="D41" i="10" l="1"/>
  <c r="I432" i="10"/>
  <c r="J432" i="10" s="1"/>
  <c r="E432" i="10"/>
  <c r="M408" i="10"/>
  <c r="F408" i="10" a="1"/>
  <c r="F408" i="10" s="1"/>
  <c r="F419" i="10" a="1"/>
  <c r="F419" i="10" s="1"/>
  <c r="F145" i="10" a="1"/>
  <c r="F145" i="10" s="1"/>
  <c r="H199" i="10"/>
  <c r="I200" i="10"/>
  <c r="I167" i="10"/>
  <c r="F167" i="10" a="1"/>
  <c r="F167" i="10" s="1"/>
  <c r="F166" i="10" a="1"/>
  <c r="F166" i="10" s="1"/>
  <c r="M170" i="10"/>
  <c r="F170" i="10" a="1"/>
  <c r="F170" i="10" s="1"/>
  <c r="H169" i="10"/>
  <c r="F169" i="10" a="1"/>
  <c r="F169" i="10" s="1"/>
  <c r="H168" i="10"/>
  <c r="F168" i="10" a="1"/>
  <c r="F168" i="10" s="1"/>
  <c r="I165" i="10"/>
  <c r="F165" i="10" a="1"/>
  <c r="F165" i="10" s="1"/>
  <c r="F164" i="10" a="1"/>
  <c r="F164" i="10" s="1"/>
  <c r="M163" i="10" a="1"/>
  <c r="J200" i="10" l="1"/>
  <c r="I235" i="10"/>
  <c r="J235" i="10" s="1"/>
  <c r="I234" i="10"/>
  <c r="J234" i="10" s="1"/>
  <c r="M163" i="10"/>
  <c r="C9" i="11" l="1" a="1"/>
  <c r="C9" i="11" s="1"/>
  <c r="A9" i="11" s="1"/>
  <c r="J352" i="10"/>
  <c r="F352" i="10" a="1"/>
  <c r="F352" i="10" s="1"/>
  <c r="J350" i="10"/>
  <c r="F350" i="10" a="1"/>
  <c r="F350" i="10" s="1"/>
  <c r="B4" i="19" l="1"/>
  <c r="J354" i="10"/>
  <c r="F354" i="10" a="1"/>
  <c r="F354" i="10" s="1"/>
  <c r="G19" i="19" l="1"/>
  <c r="G18" i="19"/>
  <c r="J433" i="10"/>
  <c r="F433" i="10" a="1"/>
  <c r="F433" i="10" s="1"/>
  <c r="J355" i="10"/>
  <c r="F355" i="10" a="1"/>
  <c r="F355" i="10" s="1"/>
  <c r="J418" i="10"/>
  <c r="F418" i="10" a="1"/>
  <c r="F418" i="10" s="1"/>
  <c r="J358" i="10" l="1"/>
  <c r="F358" i="10" a="1"/>
  <c r="F358" i="10" s="1"/>
  <c r="H152" i="10"/>
  <c r="J151" i="7" l="1"/>
  <c r="F151" i="7" a="1"/>
  <c r="F151" i="7" s="1"/>
  <c r="J152" i="7"/>
  <c r="F152" i="7" a="1"/>
  <c r="F152" i="7" s="1"/>
  <c r="F150" i="7" a="1"/>
  <c r="F150" i="7" s="1"/>
  <c r="J247" i="7"/>
  <c r="G247" i="7" s="1"/>
  <c r="F250" i="7" a="1"/>
  <c r="F250" i="7" s="1"/>
  <c r="F249" i="7" a="1"/>
  <c r="F249" i="7" s="1"/>
  <c r="F248" i="7" a="1"/>
  <c r="F248" i="7" s="1"/>
  <c r="F247" i="7" a="1"/>
  <c r="F247" i="7" s="1"/>
  <c r="I250" i="7" l="1"/>
  <c r="J250" i="7" s="1"/>
  <c r="G250" i="7" s="1"/>
  <c r="I248" i="7"/>
  <c r="J248" i="7" s="1"/>
  <c r="G248" i="7" s="1"/>
  <c r="I249" i="7"/>
  <c r="J249" i="7" s="1"/>
  <c r="G249" i="7" s="1"/>
  <c r="F159" i="10" l="1" a="1"/>
  <c r="F159" i="10" s="1"/>
  <c r="J152" i="10"/>
  <c r="I153" i="10" l="1"/>
  <c r="J353" i="10" l="1"/>
  <c r="F353" i="10" a="1"/>
  <c r="F353" i="10" s="1"/>
  <c r="J274" i="10"/>
  <c r="F274" i="10" a="1"/>
  <c r="F274" i="10" s="1"/>
  <c r="F371" i="10" l="1" a="1"/>
  <c r="F371" i="10" s="1"/>
  <c r="F370" i="10" a="1"/>
  <c r="F370" i="10" s="1"/>
  <c r="F369" i="10" a="1"/>
  <c r="F369" i="10" s="1"/>
  <c r="I82" i="10"/>
  <c r="I83" i="10" s="1"/>
  <c r="F390" i="10" a="1"/>
  <c r="F390" i="10" s="1"/>
  <c r="F389" i="10" a="1"/>
  <c r="F389" i="10" s="1"/>
  <c r="F388" i="10" a="1"/>
  <c r="F388" i="10" s="1"/>
  <c r="I390" i="10"/>
  <c r="J390" i="10" s="1"/>
  <c r="G390" i="10" s="1"/>
  <c r="F387" i="10" a="1"/>
  <c r="F387" i="10" s="1"/>
  <c r="I81" i="10" l="1"/>
  <c r="I389" i="10"/>
  <c r="J389" i="10" s="1"/>
  <c r="G389" i="10" s="1"/>
  <c r="J387" i="10"/>
  <c r="G387" i="10" s="1"/>
  <c r="I388" i="10"/>
  <c r="J388" i="10" s="1"/>
  <c r="G388" i="10" s="1"/>
  <c r="J357" i="10" l="1"/>
  <c r="F357" i="10" a="1"/>
  <c r="F357" i="10" s="1"/>
  <c r="I80" i="10" l="1"/>
  <c r="J80" i="10" s="1"/>
  <c r="F80" i="10" a="1"/>
  <c r="F80" i="10" s="1"/>
  <c r="Q69" i="16"/>
  <c r="AA69" i="16" s="1"/>
  <c r="A2" i="16"/>
  <c r="M163" i="15"/>
  <c r="L163" i="15"/>
  <c r="E163" i="15"/>
  <c r="M162" i="15"/>
  <c r="L162" i="15"/>
  <c r="E162" i="15"/>
  <c r="M161" i="15"/>
  <c r="L161" i="15"/>
  <c r="E161" i="15"/>
  <c r="M160" i="15"/>
  <c r="L160" i="15"/>
  <c r="E160" i="15"/>
  <c r="M159" i="15"/>
  <c r="L159" i="15"/>
  <c r="E159" i="15"/>
  <c r="M158" i="15"/>
  <c r="L158" i="15"/>
  <c r="E158" i="15"/>
  <c r="M157" i="15"/>
  <c r="L157" i="15"/>
  <c r="E157" i="15"/>
  <c r="M156" i="15"/>
  <c r="L156" i="15"/>
  <c r="E156" i="15"/>
  <c r="M155" i="15"/>
  <c r="L155" i="15"/>
  <c r="E155" i="15"/>
  <c r="M154" i="15"/>
  <c r="L154" i="15"/>
  <c r="E154" i="15"/>
  <c r="M153" i="15"/>
  <c r="L153" i="15"/>
  <c r="E153" i="15"/>
  <c r="M152" i="15"/>
  <c r="L152" i="15"/>
  <c r="E152" i="15"/>
  <c r="M151" i="15"/>
  <c r="L151" i="15"/>
  <c r="E151" i="15"/>
  <c r="M150" i="15"/>
  <c r="L150" i="15"/>
  <c r="E150" i="15"/>
  <c r="M149" i="15"/>
  <c r="L149" i="15"/>
  <c r="E149" i="15"/>
  <c r="M148" i="15"/>
  <c r="L148" i="15"/>
  <c r="E148" i="15"/>
  <c r="M147" i="15"/>
  <c r="L147" i="15"/>
  <c r="E147" i="15"/>
  <c r="M146" i="15"/>
  <c r="L146" i="15"/>
  <c r="E146" i="15"/>
  <c r="M145" i="15"/>
  <c r="L145" i="15"/>
  <c r="E145" i="15"/>
  <c r="M144" i="15"/>
  <c r="L144" i="15"/>
  <c r="E144" i="15"/>
  <c r="M143" i="15"/>
  <c r="L143" i="15"/>
  <c r="E143" i="15"/>
  <c r="M142" i="15"/>
  <c r="L142" i="15"/>
  <c r="E142" i="15"/>
  <c r="M141" i="15"/>
  <c r="L141" i="15"/>
  <c r="E141" i="15"/>
  <c r="M140" i="15"/>
  <c r="L140" i="15"/>
  <c r="E140" i="15"/>
  <c r="M139" i="15"/>
  <c r="L139" i="15"/>
  <c r="E139" i="15"/>
  <c r="M138" i="15"/>
  <c r="L138" i="15"/>
  <c r="E138" i="15"/>
  <c r="M137" i="15"/>
  <c r="L137" i="15"/>
  <c r="E137" i="15"/>
  <c r="M136" i="15"/>
  <c r="L136" i="15"/>
  <c r="E136" i="15"/>
  <c r="M135" i="15"/>
  <c r="L135" i="15"/>
  <c r="E135" i="15"/>
  <c r="M134" i="15"/>
  <c r="L134" i="15"/>
  <c r="E134" i="15"/>
  <c r="M133" i="15"/>
  <c r="L133" i="15"/>
  <c r="E133" i="15"/>
  <c r="M132" i="15"/>
  <c r="L132" i="15"/>
  <c r="E132" i="15"/>
  <c r="M131" i="15"/>
  <c r="L131" i="15"/>
  <c r="E131" i="15"/>
  <c r="M130" i="15"/>
  <c r="L130" i="15"/>
  <c r="E130" i="15"/>
  <c r="M129" i="15"/>
  <c r="L129" i="15"/>
  <c r="E129" i="15"/>
  <c r="M128" i="15"/>
  <c r="L128" i="15"/>
  <c r="E128" i="15"/>
  <c r="M127" i="15"/>
  <c r="L127" i="15"/>
  <c r="E127" i="15"/>
  <c r="M126" i="15"/>
  <c r="L126" i="15"/>
  <c r="E126" i="15"/>
  <c r="M125" i="15"/>
  <c r="L125" i="15"/>
  <c r="E125" i="15"/>
  <c r="M124" i="15"/>
  <c r="L124" i="15"/>
  <c r="E124" i="15"/>
  <c r="M123" i="15"/>
  <c r="L123" i="15"/>
  <c r="E123" i="15"/>
  <c r="M122" i="15"/>
  <c r="L122" i="15"/>
  <c r="E122" i="15"/>
  <c r="M121" i="15"/>
  <c r="L121" i="15"/>
  <c r="E121" i="15"/>
  <c r="M120" i="15"/>
  <c r="L120" i="15"/>
  <c r="E120" i="15"/>
  <c r="M119" i="15"/>
  <c r="L119" i="15"/>
  <c r="E119" i="15"/>
  <c r="M118" i="15"/>
  <c r="L118" i="15"/>
  <c r="E118" i="15"/>
  <c r="M117" i="15"/>
  <c r="L117" i="15"/>
  <c r="E117" i="15"/>
  <c r="M116" i="15"/>
  <c r="L116" i="15"/>
  <c r="E116" i="15"/>
  <c r="M115" i="15"/>
  <c r="L115" i="15"/>
  <c r="E115" i="15"/>
  <c r="M114" i="15"/>
  <c r="L114" i="15"/>
  <c r="E114" i="15"/>
  <c r="M113" i="15"/>
  <c r="L113" i="15"/>
  <c r="E113" i="15"/>
  <c r="M112" i="15"/>
  <c r="L112" i="15"/>
  <c r="E112" i="15"/>
  <c r="M111" i="15"/>
  <c r="L111" i="15"/>
  <c r="E111" i="15"/>
  <c r="M110" i="15"/>
  <c r="L110" i="15"/>
  <c r="E110" i="15"/>
  <c r="M109" i="15"/>
  <c r="L109" i="15"/>
  <c r="E109" i="15"/>
  <c r="M108" i="15"/>
  <c r="L108" i="15"/>
  <c r="E108" i="15"/>
  <c r="M107" i="15"/>
  <c r="L107" i="15"/>
  <c r="E107" i="15"/>
  <c r="M106" i="15"/>
  <c r="L106" i="15"/>
  <c r="E106" i="15"/>
  <c r="M105" i="15"/>
  <c r="L105" i="15"/>
  <c r="E105" i="15"/>
  <c r="M104" i="15"/>
  <c r="L104" i="15"/>
  <c r="E104" i="15"/>
  <c r="M103" i="15"/>
  <c r="L103" i="15"/>
  <c r="E103" i="15"/>
  <c r="M102" i="15"/>
  <c r="L102" i="15"/>
  <c r="E102" i="15"/>
  <c r="M101" i="15"/>
  <c r="L101" i="15"/>
  <c r="E101" i="15"/>
  <c r="M100" i="15"/>
  <c r="L100" i="15"/>
  <c r="E100" i="15"/>
  <c r="M99" i="15"/>
  <c r="L99" i="15"/>
  <c r="E99" i="15"/>
  <c r="M98" i="15"/>
  <c r="L98" i="15"/>
  <c r="E98" i="15"/>
  <c r="M97" i="15"/>
  <c r="L97" i="15"/>
  <c r="E97" i="15"/>
  <c r="M96" i="15"/>
  <c r="L96" i="15"/>
  <c r="E96" i="15"/>
  <c r="M95" i="15"/>
  <c r="L95" i="15"/>
  <c r="E95" i="15"/>
  <c r="M94" i="15"/>
  <c r="L94" i="15"/>
  <c r="E94" i="15"/>
  <c r="M93" i="15"/>
  <c r="L93" i="15"/>
  <c r="E93" i="15"/>
  <c r="M92" i="15"/>
  <c r="L92" i="15"/>
  <c r="E92" i="15"/>
  <c r="M91" i="15"/>
  <c r="L91" i="15"/>
  <c r="E91" i="15"/>
  <c r="M90" i="15"/>
  <c r="L90" i="15"/>
  <c r="E90" i="15"/>
  <c r="M89" i="15"/>
  <c r="L89" i="15"/>
  <c r="E89" i="15"/>
  <c r="M88" i="15"/>
  <c r="L88" i="15"/>
  <c r="E88" i="15"/>
  <c r="M87" i="15"/>
  <c r="L87" i="15"/>
  <c r="E87" i="15"/>
  <c r="M86" i="15"/>
  <c r="L86" i="15"/>
  <c r="E86" i="15"/>
  <c r="M85" i="15"/>
  <c r="L85" i="15"/>
  <c r="E85" i="15"/>
  <c r="M84" i="15"/>
  <c r="L84" i="15"/>
  <c r="E84" i="15"/>
  <c r="M83" i="15"/>
  <c r="L83" i="15"/>
  <c r="E83" i="15"/>
  <c r="M82" i="15"/>
  <c r="L82" i="15"/>
  <c r="E82" i="15"/>
  <c r="M81" i="15"/>
  <c r="L81" i="15"/>
  <c r="E81" i="15"/>
  <c r="M80" i="15"/>
  <c r="L80" i="15"/>
  <c r="E80" i="15"/>
  <c r="M79" i="15"/>
  <c r="L79" i="15"/>
  <c r="E79" i="15"/>
  <c r="M78" i="15"/>
  <c r="L78" i="15"/>
  <c r="E78" i="15"/>
  <c r="M77" i="15"/>
  <c r="L77" i="15"/>
  <c r="E77" i="15"/>
  <c r="M76" i="15"/>
  <c r="L76" i="15"/>
  <c r="E76" i="15"/>
  <c r="M75" i="15"/>
  <c r="L75" i="15"/>
  <c r="E75" i="15"/>
  <c r="M74" i="15"/>
  <c r="L74" i="15"/>
  <c r="E74" i="15"/>
  <c r="M73" i="15"/>
  <c r="L73" i="15"/>
  <c r="E73" i="15"/>
  <c r="M72" i="15"/>
  <c r="L72" i="15"/>
  <c r="E72" i="15"/>
  <c r="M71" i="15"/>
  <c r="L71" i="15"/>
  <c r="E71" i="15"/>
  <c r="M70" i="15"/>
  <c r="L70" i="15"/>
  <c r="E70" i="15"/>
  <c r="M69" i="15"/>
  <c r="L69" i="15"/>
  <c r="E69" i="15"/>
  <c r="M68" i="15"/>
  <c r="L68" i="15"/>
  <c r="E68" i="15"/>
  <c r="M67" i="15"/>
  <c r="L67" i="15"/>
  <c r="E67" i="15"/>
  <c r="M66" i="15"/>
  <c r="L66" i="15"/>
  <c r="E66" i="15"/>
  <c r="M65" i="15"/>
  <c r="L65" i="15"/>
  <c r="E65" i="15"/>
  <c r="M64" i="15"/>
  <c r="L64" i="15"/>
  <c r="E64" i="15"/>
  <c r="M63" i="15"/>
  <c r="L63" i="15"/>
  <c r="E63" i="15"/>
  <c r="M62" i="15"/>
  <c r="L62" i="15"/>
  <c r="E62" i="15"/>
  <c r="M61" i="15"/>
  <c r="L61" i="15"/>
  <c r="E61" i="15"/>
  <c r="M60" i="15"/>
  <c r="L60" i="15"/>
  <c r="E60" i="15"/>
  <c r="M59" i="15"/>
  <c r="L59" i="15"/>
  <c r="E59" i="15"/>
  <c r="M58" i="15"/>
  <c r="L58" i="15"/>
  <c r="E58" i="15"/>
  <c r="M57" i="15"/>
  <c r="L57" i="15"/>
  <c r="E57" i="15"/>
  <c r="M56" i="15"/>
  <c r="L56" i="15"/>
  <c r="E56" i="15"/>
  <c r="M55" i="15"/>
  <c r="L55" i="15"/>
  <c r="E55" i="15"/>
  <c r="M54" i="15"/>
  <c r="L54" i="15"/>
  <c r="E54" i="15"/>
  <c r="M53" i="15"/>
  <c r="L53" i="15"/>
  <c r="E53" i="15"/>
  <c r="M52" i="15"/>
  <c r="L52" i="15"/>
  <c r="E52" i="15"/>
  <c r="M51" i="15"/>
  <c r="L51" i="15"/>
  <c r="E51" i="15"/>
  <c r="M50" i="15"/>
  <c r="L50" i="15"/>
  <c r="E50" i="15"/>
  <c r="O49" i="15"/>
  <c r="O55" i="15" s="1"/>
  <c r="M49" i="15"/>
  <c r="L49" i="15"/>
  <c r="E49" i="15"/>
  <c r="O48" i="15"/>
  <c r="P48" i="15" s="1"/>
  <c r="M48" i="15"/>
  <c r="L48" i="15"/>
  <c r="E48" i="15"/>
  <c r="O47" i="15"/>
  <c r="P47" i="15" s="1"/>
  <c r="M47" i="15"/>
  <c r="L47" i="15"/>
  <c r="E47" i="15"/>
  <c r="O46" i="15"/>
  <c r="O52" i="15" s="1"/>
  <c r="M46" i="15"/>
  <c r="L46" i="15"/>
  <c r="E46" i="15"/>
  <c r="O45" i="15"/>
  <c r="O51" i="15" s="1"/>
  <c r="O57" i="15" s="1"/>
  <c r="M45" i="15"/>
  <c r="L45" i="15"/>
  <c r="E45" i="15"/>
  <c r="O44" i="15"/>
  <c r="M44" i="15"/>
  <c r="L44" i="15"/>
  <c r="E44" i="15"/>
  <c r="P43" i="15"/>
  <c r="M43" i="15"/>
  <c r="L43" i="15"/>
  <c r="E43" i="15"/>
  <c r="P42" i="15"/>
  <c r="M42" i="15"/>
  <c r="L42" i="15"/>
  <c r="E42" i="15"/>
  <c r="P41" i="15"/>
  <c r="M41" i="15"/>
  <c r="L41" i="15"/>
  <c r="E41" i="15"/>
  <c r="P40" i="15"/>
  <c r="M40" i="15"/>
  <c r="L40" i="15"/>
  <c r="E40" i="15"/>
  <c r="P39" i="15"/>
  <c r="M39" i="15"/>
  <c r="L39" i="15"/>
  <c r="E39" i="15"/>
  <c r="P38" i="15"/>
  <c r="M38" i="15"/>
  <c r="L38" i="15"/>
  <c r="E38" i="15"/>
  <c r="P37" i="15"/>
  <c r="M37" i="15"/>
  <c r="L37" i="15"/>
  <c r="E37" i="15"/>
  <c r="P36" i="15"/>
  <c r="M36" i="15"/>
  <c r="L36" i="15"/>
  <c r="E36" i="15"/>
  <c r="P35" i="15"/>
  <c r="M35" i="15"/>
  <c r="L35" i="15"/>
  <c r="E35" i="15"/>
  <c r="P34" i="15"/>
  <c r="M34" i="15"/>
  <c r="L34" i="15"/>
  <c r="E34" i="15"/>
  <c r="P33" i="15"/>
  <c r="M33" i="15"/>
  <c r="L33" i="15"/>
  <c r="E33" i="15"/>
  <c r="P32" i="15"/>
  <c r="M32" i="15"/>
  <c r="L32" i="15"/>
  <c r="E32" i="15"/>
  <c r="P31" i="15"/>
  <c r="M31" i="15"/>
  <c r="L31" i="15"/>
  <c r="E31" i="15"/>
  <c r="P30" i="15"/>
  <c r="M30" i="15"/>
  <c r="L30" i="15"/>
  <c r="E30" i="15"/>
  <c r="P29" i="15"/>
  <c r="M29" i="15"/>
  <c r="L29" i="15"/>
  <c r="E29" i="15"/>
  <c r="P28" i="15"/>
  <c r="M28" i="15"/>
  <c r="L28" i="15"/>
  <c r="E28" i="15"/>
  <c r="P27" i="15"/>
  <c r="M27" i="15"/>
  <c r="L27" i="15"/>
  <c r="E27" i="15"/>
  <c r="P26" i="15"/>
  <c r="M26" i="15"/>
  <c r="L26" i="15"/>
  <c r="E26" i="15"/>
  <c r="P25" i="15"/>
  <c r="M25" i="15"/>
  <c r="L25" i="15"/>
  <c r="E25" i="15"/>
  <c r="P24" i="15"/>
  <c r="M24" i="15"/>
  <c r="L24" i="15"/>
  <c r="E24" i="15"/>
  <c r="P23" i="15"/>
  <c r="M23" i="15"/>
  <c r="L23" i="15"/>
  <c r="E23" i="15"/>
  <c r="P22" i="15"/>
  <c r="M22" i="15"/>
  <c r="L22" i="15"/>
  <c r="E22" i="15"/>
  <c r="P21" i="15"/>
  <c r="M21" i="15"/>
  <c r="L21" i="15"/>
  <c r="E21" i="15"/>
  <c r="P20" i="15"/>
  <c r="M20" i="15"/>
  <c r="L20" i="15"/>
  <c r="E20" i="15"/>
  <c r="P19" i="15"/>
  <c r="M19" i="15"/>
  <c r="L19" i="15"/>
  <c r="E19" i="15"/>
  <c r="P18" i="15"/>
  <c r="M18" i="15"/>
  <c r="L18" i="15"/>
  <c r="E18" i="15"/>
  <c r="P17" i="15"/>
  <c r="M17" i="15"/>
  <c r="L17" i="15"/>
  <c r="E17" i="15"/>
  <c r="P16" i="15"/>
  <c r="M16" i="15"/>
  <c r="L16" i="15"/>
  <c r="E16" i="15"/>
  <c r="P15" i="15"/>
  <c r="M15" i="15"/>
  <c r="L15" i="15"/>
  <c r="E15" i="15"/>
  <c r="P14" i="15"/>
  <c r="M14" i="15"/>
  <c r="L14" i="15"/>
  <c r="E14" i="15"/>
  <c r="P13" i="15"/>
  <c r="M13" i="15"/>
  <c r="L13" i="15"/>
  <c r="E13" i="15"/>
  <c r="P12" i="15"/>
  <c r="M12" i="15"/>
  <c r="L12" i="15"/>
  <c r="E12" i="15"/>
  <c r="P11" i="15"/>
  <c r="M11" i="15"/>
  <c r="L11" i="15"/>
  <c r="E11" i="15"/>
  <c r="P10" i="15"/>
  <c r="M10" i="15"/>
  <c r="L10" i="15"/>
  <c r="E10" i="15"/>
  <c r="P9" i="15"/>
  <c r="M9" i="15"/>
  <c r="L9" i="15"/>
  <c r="E9" i="15"/>
  <c r="P8" i="15"/>
  <c r="M8" i="15"/>
  <c r="L8" i="15"/>
  <c r="E8" i="15"/>
  <c r="P7" i="15"/>
  <c r="M7" i="15"/>
  <c r="L7" i="15"/>
  <c r="E7" i="15"/>
  <c r="P6" i="15"/>
  <c r="M6" i="15"/>
  <c r="L6" i="15"/>
  <c r="E6" i="15"/>
  <c r="P5" i="15"/>
  <c r="M5" i="15"/>
  <c r="L5" i="15"/>
  <c r="E5" i="15"/>
  <c r="Y4" i="15"/>
  <c r="P4" i="15"/>
  <c r="M4" i="15"/>
  <c r="L4" i="15"/>
  <c r="E4" i="15"/>
  <c r="Y3" i="15"/>
  <c r="P3" i="15"/>
  <c r="M3" i="15"/>
  <c r="L3" i="15"/>
  <c r="E3" i="15"/>
  <c r="Y2" i="15"/>
  <c r="P2" i="15"/>
  <c r="M2" i="15"/>
  <c r="L2" i="15"/>
  <c r="E2" i="15"/>
  <c r="M143" i="14"/>
  <c r="M142" i="14"/>
  <c r="M141" i="14"/>
  <c r="M140" i="14"/>
  <c r="M139" i="14"/>
  <c r="M138" i="14"/>
  <c r="M137" i="14"/>
  <c r="M136" i="14"/>
  <c r="M135" i="14"/>
  <c r="M134" i="14"/>
  <c r="M133" i="14"/>
  <c r="M132" i="14"/>
  <c r="M131" i="14"/>
  <c r="M130" i="14"/>
  <c r="M129" i="14"/>
  <c r="M128" i="14"/>
  <c r="M127" i="14"/>
  <c r="M126" i="14"/>
  <c r="M125" i="14"/>
  <c r="M124" i="14"/>
  <c r="M123" i="14"/>
  <c r="M122" i="14"/>
  <c r="M121" i="14"/>
  <c r="M120" i="14"/>
  <c r="M119" i="14"/>
  <c r="M118" i="14"/>
  <c r="M117" i="14"/>
  <c r="M116" i="14"/>
  <c r="M115" i="14"/>
  <c r="M114" i="14"/>
  <c r="M113" i="14"/>
  <c r="M112" i="14"/>
  <c r="M111" i="14"/>
  <c r="M110" i="14"/>
  <c r="M109" i="14"/>
  <c r="M108" i="14"/>
  <c r="M107" i="14"/>
  <c r="M106" i="14"/>
  <c r="M105" i="14"/>
  <c r="M104" i="14"/>
  <c r="M103" i="14"/>
  <c r="M102" i="14"/>
  <c r="M101" i="14"/>
  <c r="M100" i="14"/>
  <c r="M99" i="14"/>
  <c r="M98" i="14"/>
  <c r="M97" i="14"/>
  <c r="M96" i="14"/>
  <c r="M95" i="14"/>
  <c r="M94" i="14"/>
  <c r="M93" i="14"/>
  <c r="M92" i="14"/>
  <c r="M91" i="14"/>
  <c r="M90" i="14"/>
  <c r="M89" i="14"/>
  <c r="M88" i="14"/>
  <c r="M87" i="14"/>
  <c r="M86" i="14"/>
  <c r="M85" i="14"/>
  <c r="M84" i="14"/>
  <c r="M83" i="14"/>
  <c r="M82" i="14"/>
  <c r="M81" i="14"/>
  <c r="M80" i="14"/>
  <c r="M79" i="14"/>
  <c r="M78" i="14"/>
  <c r="M77" i="14"/>
  <c r="M76" i="14"/>
  <c r="M75" i="14"/>
  <c r="M74" i="14"/>
  <c r="M73" i="14"/>
  <c r="M72" i="14"/>
  <c r="M71" i="14"/>
  <c r="M70" i="14"/>
  <c r="M69" i="14"/>
  <c r="M68" i="14"/>
  <c r="M67" i="14"/>
  <c r="M66" i="14"/>
  <c r="M65" i="14"/>
  <c r="M64" i="14"/>
  <c r="M63" i="14"/>
  <c r="M62" i="14"/>
  <c r="M61" i="14"/>
  <c r="M60" i="14"/>
  <c r="M59" i="14"/>
  <c r="M58" i="14"/>
  <c r="M57" i="14"/>
  <c r="M56" i="14"/>
  <c r="M55" i="14"/>
  <c r="M54" i="14"/>
  <c r="M53" i="14"/>
  <c r="M52" i="14"/>
  <c r="M51" i="14"/>
  <c r="M50" i="14"/>
  <c r="M49" i="14"/>
  <c r="M48" i="14"/>
  <c r="M47" i="14"/>
  <c r="M46" i="14"/>
  <c r="M45" i="14"/>
  <c r="M44" i="14"/>
  <c r="M43" i="14"/>
  <c r="M42" i="14"/>
  <c r="M41" i="14"/>
  <c r="M40" i="14"/>
  <c r="M37" i="14"/>
  <c r="B8" i="12"/>
  <c r="B7" i="12"/>
  <c r="B6" i="12"/>
  <c r="B5" i="12"/>
  <c r="B4" i="12"/>
  <c r="B3" i="12"/>
  <c r="B2" i="12"/>
  <c r="C136" i="11" a="1"/>
  <c r="C136" i="11" s="1"/>
  <c r="A136" i="11" s="1"/>
  <c r="C135" i="11" a="1"/>
  <c r="C135" i="11" s="1"/>
  <c r="C134" i="11" a="1"/>
  <c r="C134" i="11" s="1"/>
  <c r="C133" i="11" a="1"/>
  <c r="C133" i="11" s="1"/>
  <c r="A133" i="11" s="1"/>
  <c r="C132" i="11" a="1"/>
  <c r="C132" i="11" s="1"/>
  <c r="A132" i="11" s="1"/>
  <c r="C131" i="11" a="1"/>
  <c r="C131" i="11" s="1"/>
  <c r="C130" i="11" a="1"/>
  <c r="C130" i="11" s="1"/>
  <c r="C129" i="11" a="1"/>
  <c r="C129" i="11" s="1"/>
  <c r="A129" i="11" s="1"/>
  <c r="C128" i="11" a="1"/>
  <c r="C128" i="11" s="1"/>
  <c r="C127" i="11" a="1"/>
  <c r="C127" i="11" s="1"/>
  <c r="A127" i="11" s="1"/>
  <c r="C126" i="11" a="1"/>
  <c r="C126" i="11" s="1"/>
  <c r="C125" i="11" a="1"/>
  <c r="C125" i="11" s="1"/>
  <c r="C124" i="11" a="1"/>
  <c r="C124" i="11" s="1"/>
  <c r="A124" i="11" s="1"/>
  <c r="C123" i="11" a="1"/>
  <c r="C123" i="11" s="1"/>
  <c r="A123" i="11" s="1"/>
  <c r="C122" i="11" a="1"/>
  <c r="C122" i="11" s="1"/>
  <c r="C121" i="11" a="1"/>
  <c r="C121" i="11" s="1"/>
  <c r="C120" i="11" a="1"/>
  <c r="C120" i="11" s="1"/>
  <c r="A120" i="11" s="1"/>
  <c r="C119" i="11" a="1"/>
  <c r="C119" i="11" s="1"/>
  <c r="C118" i="11" a="1"/>
  <c r="C118" i="11" s="1"/>
  <c r="A118" i="11" s="1"/>
  <c r="C117" i="11" a="1"/>
  <c r="C117" i="11" s="1"/>
  <c r="C116" i="11" a="1"/>
  <c r="C116" i="11" s="1"/>
  <c r="C115" i="11" a="1"/>
  <c r="C115" i="11" s="1"/>
  <c r="A115" i="11" s="1"/>
  <c r="C114" i="11" a="1"/>
  <c r="C114" i="11" s="1"/>
  <c r="A114" i="11" s="1"/>
  <c r="C113" i="11" a="1"/>
  <c r="C113" i="11" s="1"/>
  <c r="C112" i="11" a="1"/>
  <c r="C112" i="11" s="1"/>
  <c r="C111" i="11" a="1"/>
  <c r="C111" i="11" s="1"/>
  <c r="C110" i="11" a="1"/>
  <c r="C110" i="11" s="1"/>
  <c r="C109" i="11" a="1"/>
  <c r="C109" i="11" s="1"/>
  <c r="A109" i="11" s="1"/>
  <c r="C108" i="11" a="1"/>
  <c r="C108" i="11" s="1"/>
  <c r="C107" i="11" a="1"/>
  <c r="C107" i="11" s="1"/>
  <c r="C106" i="11" a="1"/>
  <c r="C106" i="11" s="1"/>
  <c r="C105" i="11" a="1"/>
  <c r="C105" i="11" s="1"/>
  <c r="A105" i="11" s="1"/>
  <c r="C104" i="11" a="1"/>
  <c r="C104" i="11" s="1"/>
  <c r="C103" i="11" a="1"/>
  <c r="C103" i="11" s="1"/>
  <c r="C102" i="11" a="1"/>
  <c r="C102" i="11" s="1"/>
  <c r="C101" i="11" a="1"/>
  <c r="C101" i="11" s="1"/>
  <c r="C100" i="11" a="1"/>
  <c r="C100" i="11" s="1"/>
  <c r="A100" i="11" s="1"/>
  <c r="C99" i="11" a="1"/>
  <c r="C99" i="11" s="1"/>
  <c r="C98" i="11" a="1"/>
  <c r="C98" i="11" s="1"/>
  <c r="C97" i="11" a="1"/>
  <c r="C97" i="11" s="1"/>
  <c r="A97" i="11" s="1"/>
  <c r="C96" i="11" a="1"/>
  <c r="C96" i="11" s="1"/>
  <c r="C95" i="11" a="1"/>
  <c r="C95" i="11" s="1"/>
  <c r="C94" i="11" a="1"/>
  <c r="C94" i="11" s="1"/>
  <c r="C93" i="11" a="1"/>
  <c r="C93" i="11" s="1"/>
  <c r="A93" i="11" s="1"/>
  <c r="C92" i="11" a="1"/>
  <c r="C92" i="11" s="1"/>
  <c r="C91" i="11" a="1"/>
  <c r="C91" i="11" s="1"/>
  <c r="A91" i="11" s="1"/>
  <c r="C90" i="11" a="1"/>
  <c r="C90" i="11" s="1"/>
  <c r="C89" i="11" a="1"/>
  <c r="C89" i="11" s="1"/>
  <c r="C88" i="11" a="1"/>
  <c r="C88" i="11" s="1"/>
  <c r="A88" i="11" s="1"/>
  <c r="C87" i="11" a="1"/>
  <c r="C87" i="11" s="1"/>
  <c r="C86" i="11" a="1"/>
  <c r="C86" i="11" s="1"/>
  <c r="C85" i="11" a="1"/>
  <c r="C85" i="11" s="1"/>
  <c r="C84" i="11" a="1"/>
  <c r="C84" i="11" s="1"/>
  <c r="C83" i="11" a="1"/>
  <c r="C83" i="11" s="1"/>
  <c r="C82" i="11" a="1"/>
  <c r="C82" i="11" s="1"/>
  <c r="A82" i="11" s="1"/>
  <c r="C81" i="11" a="1"/>
  <c r="C81" i="11" s="1"/>
  <c r="C80" i="11" a="1"/>
  <c r="C80" i="11" s="1"/>
  <c r="C79" i="11" a="1"/>
  <c r="C79" i="11" s="1"/>
  <c r="C78" i="11" a="1"/>
  <c r="C78" i="11" s="1"/>
  <c r="A78" i="11" s="1"/>
  <c r="C77" i="11" a="1"/>
  <c r="C77" i="11" s="1"/>
  <c r="C76" i="11" a="1"/>
  <c r="C76" i="11" s="1"/>
  <c r="C75" i="11" a="1"/>
  <c r="C75" i="11" s="1"/>
  <c r="A75" i="11" s="1"/>
  <c r="C74" i="11" a="1"/>
  <c r="C74" i="11" s="1"/>
  <c r="C73" i="11" a="1"/>
  <c r="C73" i="11" s="1"/>
  <c r="A73" i="11" s="1"/>
  <c r="C72" i="11" a="1"/>
  <c r="C72" i="11" s="1"/>
  <c r="C71" i="11" a="1"/>
  <c r="C71" i="11" s="1"/>
  <c r="C70" i="11" a="1"/>
  <c r="C70" i="11" s="1"/>
  <c r="A70" i="11" s="1"/>
  <c r="C69" i="11" a="1"/>
  <c r="C69" i="11" s="1"/>
  <c r="A69" i="11" s="1"/>
  <c r="C68" i="11" a="1"/>
  <c r="C68" i="11" s="1"/>
  <c r="C67" i="11" a="1"/>
  <c r="C67" i="11" s="1"/>
  <c r="A67" i="11" s="1"/>
  <c r="C66" i="11" a="1"/>
  <c r="C66" i="11" s="1"/>
  <c r="A66" i="11" s="1"/>
  <c r="C65" i="11" a="1"/>
  <c r="C65" i="11" s="1"/>
  <c r="C64" i="11" a="1"/>
  <c r="C64" i="11" s="1"/>
  <c r="A64" i="11" s="1"/>
  <c r="C63" i="11" a="1"/>
  <c r="C63" i="11" s="1"/>
  <c r="C62" i="11" a="1"/>
  <c r="C62" i="11" s="1"/>
  <c r="C61" i="11" a="1"/>
  <c r="C61" i="11" s="1"/>
  <c r="A61" i="11" s="1"/>
  <c r="C60" i="11" a="1"/>
  <c r="C60" i="11" s="1"/>
  <c r="A60" i="11" s="1"/>
  <c r="C59" i="11" a="1"/>
  <c r="C59" i="11" s="1"/>
  <c r="C58" i="11" a="1"/>
  <c r="C58" i="11" s="1"/>
  <c r="A58" i="11" s="1"/>
  <c r="C57" i="11" a="1"/>
  <c r="C57" i="11" s="1"/>
  <c r="C56" i="11" a="1"/>
  <c r="C56" i="11" s="1"/>
  <c r="C55" i="11" a="1"/>
  <c r="C55" i="11" s="1"/>
  <c r="C54" i="11" a="1"/>
  <c r="C54" i="11" s="1"/>
  <c r="C53" i="11" a="1"/>
  <c r="C53" i="11" s="1"/>
  <c r="C52" i="11" a="1"/>
  <c r="C52" i="11" s="1"/>
  <c r="A52" i="11" s="1"/>
  <c r="C51" i="11" a="1"/>
  <c r="C51" i="11" s="1"/>
  <c r="A51" i="11" s="1"/>
  <c r="C50" i="11" a="1"/>
  <c r="C50" i="11" s="1"/>
  <c r="C49" i="11" a="1"/>
  <c r="C49" i="11" s="1"/>
  <c r="A49" i="11" s="1"/>
  <c r="C48" i="11" a="1"/>
  <c r="C48" i="11" s="1"/>
  <c r="A48" i="11" s="1"/>
  <c r="C47" i="11" a="1"/>
  <c r="C47" i="11" s="1"/>
  <c r="C46" i="11" a="1"/>
  <c r="C46" i="11" s="1"/>
  <c r="A46" i="11" s="1"/>
  <c r="C45" i="11" a="1"/>
  <c r="C45" i="11" s="1"/>
  <c r="C44" i="11" a="1"/>
  <c r="C44" i="11" s="1"/>
  <c r="A44" i="11" s="1"/>
  <c r="C43" i="11" a="1"/>
  <c r="C43" i="11" s="1"/>
  <c r="A43" i="11" s="1"/>
  <c r="C42" i="11" a="1"/>
  <c r="C42" i="11" s="1"/>
  <c r="C41" i="11" a="1"/>
  <c r="C41" i="11" s="1"/>
  <c r="C40" i="11" a="1"/>
  <c r="C40" i="11" s="1"/>
  <c r="C39" i="11" a="1"/>
  <c r="C39" i="11" s="1"/>
  <c r="C38" i="11" a="1"/>
  <c r="C38" i="11" s="1"/>
  <c r="A38" i="11" s="1"/>
  <c r="C37" i="11" a="1"/>
  <c r="C37" i="11" s="1"/>
  <c r="C36" i="11" a="1"/>
  <c r="C36" i="11" s="1"/>
  <c r="C35" i="11" a="1"/>
  <c r="C35" i="11" s="1"/>
  <c r="A35" i="11" s="1"/>
  <c r="C34" i="11" a="1"/>
  <c r="C34" i="11" s="1"/>
  <c r="A34" i="11" s="1"/>
  <c r="C33" i="11" a="1"/>
  <c r="C33" i="11" s="1"/>
  <c r="C32" i="11" a="1"/>
  <c r="C32" i="11" s="1"/>
  <c r="C31" i="11" a="1"/>
  <c r="C31" i="11" s="1"/>
  <c r="C30" i="11" a="1"/>
  <c r="C30" i="11" s="1"/>
  <c r="C29" i="11" a="1"/>
  <c r="C29" i="11" s="1"/>
  <c r="A29" i="11" s="1"/>
  <c r="C28" i="11" a="1"/>
  <c r="C28" i="11" s="1"/>
  <c r="C27" i="11" a="1"/>
  <c r="C27" i="11" s="1"/>
  <c r="C26" i="11" a="1"/>
  <c r="C26" i="11" s="1"/>
  <c r="A26" i="11" s="1"/>
  <c r="C25" i="11" a="1"/>
  <c r="C25" i="11" s="1"/>
  <c r="A25" i="11" s="1"/>
  <c r="C24" i="11" a="1"/>
  <c r="C24" i="11" s="1"/>
  <c r="C23" i="11" a="1"/>
  <c r="C23" i="11" s="1"/>
  <c r="C22" i="11" a="1"/>
  <c r="C22" i="11" s="1"/>
  <c r="A22" i="11" s="1"/>
  <c r="C21" i="11" a="1"/>
  <c r="C21" i="11" s="1"/>
  <c r="C20" i="11" a="1"/>
  <c r="C20" i="11" s="1"/>
  <c r="A20" i="11" s="1"/>
  <c r="C19" i="11" a="1"/>
  <c r="C19" i="11" s="1"/>
  <c r="C18" i="11" a="1"/>
  <c r="C18" i="11" s="1"/>
  <c r="C17" i="11" a="1"/>
  <c r="C17" i="11" s="1"/>
  <c r="A17" i="11" s="1"/>
  <c r="C16" i="11" a="1"/>
  <c r="C16" i="11" s="1"/>
  <c r="A16" i="11" s="1"/>
  <c r="C15" i="11" a="1"/>
  <c r="C15" i="11" s="1"/>
  <c r="C14" i="11" a="1"/>
  <c r="C14" i="11" s="1"/>
  <c r="C13" i="11" a="1"/>
  <c r="C13" i="11" s="1"/>
  <c r="C12" i="11" a="1"/>
  <c r="C12" i="11" s="1"/>
  <c r="C11" i="11" a="1"/>
  <c r="C11" i="11" s="1"/>
  <c r="A11" i="11" s="1"/>
  <c r="C10" i="11" a="1"/>
  <c r="C10" i="11" s="1"/>
  <c r="N448" i="10"/>
  <c r="M448" i="10"/>
  <c r="K448" i="10"/>
  <c r="J448" i="10"/>
  <c r="H448" i="10"/>
  <c r="G448" i="10"/>
  <c r="J438" i="10"/>
  <c r="G435" i="10"/>
  <c r="F431" i="10" a="1"/>
  <c r="F431" i="10" s="1"/>
  <c r="F430" i="10" a="1"/>
  <c r="F430" i="10" s="1"/>
  <c r="F429" i="10" a="1"/>
  <c r="F429" i="10" s="1"/>
  <c r="F427" i="10" a="1"/>
  <c r="F427" i="10" s="1"/>
  <c r="F426" i="10" a="1"/>
  <c r="F426" i="10" s="1"/>
  <c r="F424" i="10" a="1"/>
  <c r="F424" i="10" s="1"/>
  <c r="J422" i="10"/>
  <c r="F422" i="10" a="1"/>
  <c r="F422" i="10" s="1"/>
  <c r="J421" i="10"/>
  <c r="F421" i="10" a="1"/>
  <c r="F421" i="10" s="1"/>
  <c r="F420" i="10" a="1"/>
  <c r="F420" i="10" s="1"/>
  <c r="N419" i="10"/>
  <c r="M419" i="10"/>
  <c r="F416" i="10" a="1"/>
  <c r="F416" i="10" s="1"/>
  <c r="F415" i="10" a="1"/>
  <c r="F415" i="10" s="1"/>
  <c r="J414" i="10"/>
  <c r="E430" i="10" s="1"/>
  <c r="I430" i="10" s="1"/>
  <c r="F414" i="10" a="1"/>
  <c r="F414" i="10" s="1"/>
  <c r="J412" i="10"/>
  <c r="I428" i="10" s="1"/>
  <c r="J428" i="10" s="1"/>
  <c r="F412" i="10" a="1"/>
  <c r="F412" i="10" s="1"/>
  <c r="M411" i="10"/>
  <c r="J411" i="10"/>
  <c r="E427" i="10" s="1"/>
  <c r="F411" i="10" a="1"/>
  <c r="F411" i="10" s="1"/>
  <c r="F407" i="10" a="1"/>
  <c r="F407" i="10" s="1"/>
  <c r="N405" i="10"/>
  <c r="J405" i="10"/>
  <c r="J404" i="10"/>
  <c r="F400" i="10" a="1"/>
  <c r="F400" i="10" s="1"/>
  <c r="I398" i="10"/>
  <c r="J398" i="10" s="1"/>
  <c r="G398" i="10" s="1"/>
  <c r="F398" i="10" a="1"/>
  <c r="F398" i="10" s="1"/>
  <c r="I397" i="10"/>
  <c r="J397" i="10" s="1"/>
  <c r="G397" i="10" s="1"/>
  <c r="F397" i="10" a="1"/>
  <c r="F397" i="10" s="1"/>
  <c r="I396" i="10"/>
  <c r="J396" i="10" s="1"/>
  <c r="G396" i="10" s="1"/>
  <c r="F396" i="10" a="1"/>
  <c r="F396" i="10" s="1"/>
  <c r="J395" i="10"/>
  <c r="F395" i="10" a="1"/>
  <c r="F395" i="10" s="1"/>
  <c r="I394" i="10"/>
  <c r="J394" i="10" s="1"/>
  <c r="G394" i="10" s="1"/>
  <c r="F394" i="10" a="1"/>
  <c r="F394" i="10" s="1"/>
  <c r="I393" i="10"/>
  <c r="J393" i="10" s="1"/>
  <c r="F393" i="10" a="1"/>
  <c r="F393" i="10" s="1"/>
  <c r="I392" i="10"/>
  <c r="J392" i="10" s="1"/>
  <c r="G392" i="10" s="1"/>
  <c r="F392" i="10" a="1"/>
  <c r="F392" i="10" s="1"/>
  <c r="J391" i="10"/>
  <c r="G391" i="10" s="1"/>
  <c r="I391" i="10"/>
  <c r="F391" i="10" a="1"/>
  <c r="F391" i="10" s="1"/>
  <c r="F382" i="10" a="1"/>
  <c r="F382" i="10" s="1"/>
  <c r="F381" i="10" a="1"/>
  <c r="F381" i="10" s="1"/>
  <c r="G377" i="10"/>
  <c r="I375" i="10"/>
  <c r="J375" i="10" s="1"/>
  <c r="F375" i="10" a="1"/>
  <c r="F375" i="10" s="1"/>
  <c r="I374" i="10"/>
  <c r="J374" i="10" s="1"/>
  <c r="F374" i="10" a="1"/>
  <c r="F374" i="10" s="1"/>
  <c r="F373" i="10" a="1"/>
  <c r="F373" i="10" s="1"/>
  <c r="J356" i="10"/>
  <c r="F356" i="10" a="1"/>
  <c r="F356" i="10" s="1"/>
  <c r="F289" i="10" a="1"/>
  <c r="F289" i="10" s="1"/>
  <c r="N287" i="10"/>
  <c r="J287" i="10"/>
  <c r="N286" i="10"/>
  <c r="J286" i="10"/>
  <c r="G283" i="10"/>
  <c r="I281" i="10"/>
  <c r="J281" i="10" s="1"/>
  <c r="F281" i="10" a="1"/>
  <c r="F281" i="10" s="1"/>
  <c r="I280" i="10"/>
  <c r="J280" i="10" s="1"/>
  <c r="F280" i="10" a="1"/>
  <c r="F280" i="10" s="1"/>
  <c r="F279" i="10" a="1"/>
  <c r="F279" i="10" s="1"/>
  <c r="J277" i="10"/>
  <c r="F277" i="10" a="1"/>
  <c r="F277" i="10" s="1"/>
  <c r="J276" i="10"/>
  <c r="F276" i="10" a="1"/>
  <c r="F276" i="10" s="1"/>
  <c r="J275" i="10"/>
  <c r="F275" i="10" a="1"/>
  <c r="F275" i="10" s="1"/>
  <c r="J273" i="10"/>
  <c r="F273" i="10" a="1"/>
  <c r="F273" i="10" s="1"/>
  <c r="J272" i="10"/>
  <c r="F272" i="10" a="1"/>
  <c r="F272" i="10" s="1"/>
  <c r="J271" i="10"/>
  <c r="F271" i="10" a="1"/>
  <c r="F271" i="10" s="1"/>
  <c r="J270" i="10"/>
  <c r="F270" i="10" a="1"/>
  <c r="F270" i="10" s="1"/>
  <c r="H269" i="10"/>
  <c r="J269" i="10" s="1"/>
  <c r="F269" i="10" a="1"/>
  <c r="F269" i="10" s="1"/>
  <c r="F268" i="10" a="1"/>
  <c r="F268" i="10" s="1"/>
  <c r="J266" i="10"/>
  <c r="F266" i="10" a="1"/>
  <c r="F266" i="10" s="1"/>
  <c r="J265" i="10"/>
  <c r="N265" i="10" s="1"/>
  <c r="F265" i="10" a="1"/>
  <c r="F265" i="10" s="1"/>
  <c r="J264" i="10"/>
  <c r="F264" i="10" a="1"/>
  <c r="F264" i="10" s="1"/>
  <c r="J263" i="10"/>
  <c r="F263" i="10" a="1"/>
  <c r="F263" i="10" s="1"/>
  <c r="J262" i="10"/>
  <c r="F262" i="10" a="1"/>
  <c r="F262" i="10" s="1"/>
  <c r="F261" i="10" a="1"/>
  <c r="F261" i="10" s="1"/>
  <c r="G253" i="10"/>
  <c r="F251" i="10" a="1"/>
  <c r="F251" i="10" s="1"/>
  <c r="J249" i="10"/>
  <c r="F249" i="10" a="1"/>
  <c r="F249" i="10" s="1"/>
  <c r="F248" i="10" a="1"/>
  <c r="F248" i="10" s="1"/>
  <c r="F247" i="10" a="1"/>
  <c r="F247" i="10" s="1"/>
  <c r="I246" i="10"/>
  <c r="J246" i="10" s="1"/>
  <c r="F246" i="10" a="1"/>
  <c r="F246" i="10" s="1"/>
  <c r="I245" i="10"/>
  <c r="J245" i="10" s="1"/>
  <c r="F245" i="10" a="1"/>
  <c r="F245" i="10" s="1"/>
  <c r="J243" i="10"/>
  <c r="F243" i="10" a="1"/>
  <c r="F243" i="10" s="1"/>
  <c r="I242" i="10"/>
  <c r="J242" i="10" s="1"/>
  <c r="F242" i="10" a="1"/>
  <c r="F242" i="10" s="1"/>
  <c r="I241" i="10"/>
  <c r="J241" i="10" s="1"/>
  <c r="F241" i="10" a="1"/>
  <c r="F241" i="10" s="1"/>
  <c r="I232" i="10"/>
  <c r="J232" i="10" s="1"/>
  <c r="F232" i="10" a="1"/>
  <c r="F232" i="10" s="1"/>
  <c r="I231" i="10"/>
  <c r="J231" i="10" s="1"/>
  <c r="F231" i="10" a="1"/>
  <c r="F231" i="10" s="1"/>
  <c r="I228" i="10"/>
  <c r="J228" i="10" s="1"/>
  <c r="F228" i="10" a="1"/>
  <c r="F228" i="10" s="1"/>
  <c r="I227" i="10"/>
  <c r="J227" i="10" s="1"/>
  <c r="F227" i="10" a="1"/>
  <c r="F227" i="10" s="1"/>
  <c r="I226" i="10"/>
  <c r="J226" i="10" s="1"/>
  <c r="F226" i="10" a="1"/>
  <c r="F226" i="10" s="1"/>
  <c r="J224" i="10"/>
  <c r="F224" i="10" a="1"/>
  <c r="F224" i="10" s="1"/>
  <c r="F223" i="10" a="1"/>
  <c r="F223" i="10" s="1"/>
  <c r="F221" i="10" a="1"/>
  <c r="F221" i="10" s="1"/>
  <c r="J220" i="10"/>
  <c r="F220" i="10" a="1"/>
  <c r="F220" i="10" s="1"/>
  <c r="E220" i="10"/>
  <c r="I220" i="10" s="1"/>
  <c r="F219" i="10" a="1"/>
  <c r="F219" i="10" s="1"/>
  <c r="F218" i="10" a="1"/>
  <c r="F218" i="10" s="1"/>
  <c r="F217" i="10" a="1"/>
  <c r="F217" i="10" s="1"/>
  <c r="I215" i="10" a="1"/>
  <c r="I215" i="10" s="1"/>
  <c r="F214" i="10" a="1"/>
  <c r="F214" i="10" s="1"/>
  <c r="F212" i="10" a="1"/>
  <c r="F212" i="10" s="1"/>
  <c r="F208" i="10" a="1"/>
  <c r="F208" i="10" s="1"/>
  <c r="F207" i="10" a="1"/>
  <c r="F207" i="10" s="1"/>
  <c r="F206" i="10" a="1"/>
  <c r="F206" i="10" s="1"/>
  <c r="F205" i="10" a="1"/>
  <c r="F205" i="10" s="1"/>
  <c r="F202" i="10" a="1"/>
  <c r="F202" i="10" s="1"/>
  <c r="F201" i="10" a="1"/>
  <c r="F201" i="10" s="1"/>
  <c r="F200" i="10" a="1"/>
  <c r="F200" i="10" s="1"/>
  <c r="E200" i="10"/>
  <c r="F197" i="10" a="1"/>
  <c r="F197" i="10" s="1"/>
  <c r="F196" i="10" a="1"/>
  <c r="F196" i="10" s="1"/>
  <c r="F195" i="10" a="1"/>
  <c r="F195" i="10" s="1"/>
  <c r="J192" i="10"/>
  <c r="F192" i="10" a="1"/>
  <c r="F192" i="10" s="1"/>
  <c r="J191" i="10"/>
  <c r="F191" i="10" a="1"/>
  <c r="F191" i="10" s="1"/>
  <c r="F190" i="10" a="1"/>
  <c r="F190" i="10" s="1"/>
  <c r="I187" i="10"/>
  <c r="F187" i="10" a="1"/>
  <c r="F187" i="10" s="1"/>
  <c r="E187" i="10"/>
  <c r="I186" i="10"/>
  <c r="J186" i="10" s="1"/>
  <c r="F186" i="10" a="1"/>
  <c r="F186" i="10" s="1"/>
  <c r="F185" i="10" a="1"/>
  <c r="F185" i="10" s="1"/>
  <c r="I184" i="10"/>
  <c r="J184" i="10" s="1"/>
  <c r="F184" i="10" a="1"/>
  <c r="F184" i="10" s="1"/>
  <c r="J183" i="10"/>
  <c r="F183" i="10" a="1"/>
  <c r="F183" i="10" s="1"/>
  <c r="F179" i="10" a="1"/>
  <c r="F179" i="10" s="1"/>
  <c r="F178" i="10" a="1"/>
  <c r="F178" i="10" s="1"/>
  <c r="J175" i="10"/>
  <c r="F175" i="10" a="1"/>
  <c r="F175" i="10" s="1"/>
  <c r="J174" i="10"/>
  <c r="F174" i="10" a="1"/>
  <c r="F174" i="10" s="1"/>
  <c r="J173" i="10"/>
  <c r="F173" i="10" a="1"/>
  <c r="F173" i="10" s="1"/>
  <c r="I223" i="10"/>
  <c r="F160" i="10" a="1"/>
  <c r="F160" i="10" s="1"/>
  <c r="J221" i="10"/>
  <c r="I155" i="10"/>
  <c r="F155" i="10" a="1"/>
  <c r="F155" i="10" s="1"/>
  <c r="F154" i="10" a="1"/>
  <c r="F154" i="10" s="1"/>
  <c r="F153" i="10" a="1"/>
  <c r="F153" i="10" s="1"/>
  <c r="F152" i="10" a="1"/>
  <c r="F152" i="10" s="1"/>
  <c r="F151" i="10" a="1"/>
  <c r="F151" i="10" s="1"/>
  <c r="M150" i="10"/>
  <c r="J150" i="10"/>
  <c r="I217" i="10" s="1"/>
  <c r="J217" i="10" s="1"/>
  <c r="F150" i="10" a="1"/>
  <c r="F150" i="10" s="1"/>
  <c r="D150" i="10"/>
  <c r="E217" i="10" s="1"/>
  <c r="I144" i="10"/>
  <c r="F144" i="10" a="1"/>
  <c r="F144" i="10" s="1"/>
  <c r="F143" i="10" a="1"/>
  <c r="F143" i="10" s="1"/>
  <c r="I142" i="10"/>
  <c r="F142" i="10" a="1"/>
  <c r="F142" i="10" s="1"/>
  <c r="F141" i="10" a="1"/>
  <c r="F141" i="10" s="1"/>
  <c r="F138" i="10" a="1"/>
  <c r="F138" i="10" s="1"/>
  <c r="F137" i="10" a="1"/>
  <c r="F137" i="10" s="1"/>
  <c r="F130" i="10" a="1"/>
  <c r="F130" i="10" s="1"/>
  <c r="F129" i="10" a="1"/>
  <c r="F129" i="10" s="1"/>
  <c r="F125" i="10" a="1"/>
  <c r="F125" i="10" s="1"/>
  <c r="F124" i="10" a="1"/>
  <c r="F124" i="10" s="1"/>
  <c r="F122" i="10" a="1"/>
  <c r="F122" i="10" s="1"/>
  <c r="F120" i="10" a="1"/>
  <c r="F120" i="10" s="1"/>
  <c r="F119" i="10" a="1"/>
  <c r="F119" i="10" s="1"/>
  <c r="I113" i="10"/>
  <c r="J113" i="10" s="1"/>
  <c r="F113" i="10" a="1"/>
  <c r="F113" i="10" s="1"/>
  <c r="I112" i="10"/>
  <c r="J112" i="10" s="1"/>
  <c r="F112" i="10" a="1"/>
  <c r="F112" i="10" s="1"/>
  <c r="F111" i="10" a="1"/>
  <c r="F111" i="10" s="1"/>
  <c r="F110" i="10" a="1"/>
  <c r="F110" i="10" s="1"/>
  <c r="F109" i="10" a="1"/>
  <c r="F109" i="10" s="1"/>
  <c r="F108" i="10" a="1"/>
  <c r="F108" i="10" s="1"/>
  <c r="I107" i="10"/>
  <c r="F107" i="10" a="1"/>
  <c r="F107" i="10" s="1"/>
  <c r="E107" i="10"/>
  <c r="F106" i="10" a="1"/>
  <c r="F106" i="10" s="1"/>
  <c r="E106" i="10"/>
  <c r="J105" i="10"/>
  <c r="G105" i="10" s="1"/>
  <c r="F105" i="10" a="1"/>
  <c r="F105" i="10" s="1"/>
  <c r="E105" i="10"/>
  <c r="I104" i="10"/>
  <c r="J104" i="10" s="1"/>
  <c r="F104" i="10" a="1"/>
  <c r="F104" i="10" s="1"/>
  <c r="J103" i="10"/>
  <c r="G103" i="10" s="1"/>
  <c r="F103" i="10" a="1"/>
  <c r="F103" i="10" s="1"/>
  <c r="F101" i="10" a="1"/>
  <c r="F101" i="10" s="1"/>
  <c r="J93" i="10"/>
  <c r="F93" i="10" a="1"/>
  <c r="F93" i="10" s="1"/>
  <c r="F92" i="10" a="1"/>
  <c r="F92" i="10" s="1"/>
  <c r="I91" i="10"/>
  <c r="J91" i="10" s="1"/>
  <c r="F91" i="10" a="1"/>
  <c r="F91" i="10" s="1"/>
  <c r="I90" i="10"/>
  <c r="J90" i="10" s="1"/>
  <c r="F90" i="10" a="1"/>
  <c r="F90" i="10" s="1"/>
  <c r="I89" i="10"/>
  <c r="J89" i="10" s="1"/>
  <c r="F89" i="10" a="1"/>
  <c r="F89" i="10" s="1"/>
  <c r="F88" i="10" a="1"/>
  <c r="F88" i="10" s="1"/>
  <c r="F87" i="10" a="1"/>
  <c r="F87" i="10" s="1"/>
  <c r="F86" i="10" a="1"/>
  <c r="F86" i="10" s="1"/>
  <c r="F83" i="10" a="1"/>
  <c r="F83" i="10" s="1"/>
  <c r="J82" i="10"/>
  <c r="F82" i="10" a="1"/>
  <c r="F82" i="10" s="1"/>
  <c r="E82" i="10"/>
  <c r="F81" i="10" a="1"/>
  <c r="F81" i="10" s="1"/>
  <c r="I79" i="10"/>
  <c r="J79" i="10" s="1"/>
  <c r="F79" i="10" a="1"/>
  <c r="F79" i="10" s="1"/>
  <c r="I78" i="10"/>
  <c r="F78" i="10" a="1"/>
  <c r="F78" i="10" s="1"/>
  <c r="I77" i="10"/>
  <c r="J77" i="10" s="1"/>
  <c r="F77" i="10" a="1"/>
  <c r="F77" i="10" s="1"/>
  <c r="I76" i="10"/>
  <c r="F76" i="10" a="1"/>
  <c r="F76" i="10" s="1"/>
  <c r="F75" i="10" a="1"/>
  <c r="F75" i="10" s="1"/>
  <c r="F74" i="10" a="1"/>
  <c r="F74" i="10" s="1"/>
  <c r="J73" i="10"/>
  <c r="F73" i="10" a="1"/>
  <c r="F73" i="10" s="1"/>
  <c r="F72" i="10" a="1"/>
  <c r="F72" i="10" s="1"/>
  <c r="D72" i="10"/>
  <c r="E72" i="10" s="1"/>
  <c r="F71" i="10" a="1"/>
  <c r="F71" i="10" s="1"/>
  <c r="D71" i="10"/>
  <c r="E71" i="10" s="1"/>
  <c r="G70" i="10"/>
  <c r="F70" i="10" a="1"/>
  <c r="F70" i="10" s="1"/>
  <c r="D70" i="10"/>
  <c r="G69" i="10"/>
  <c r="F69" i="10" a="1"/>
  <c r="F69" i="10" s="1"/>
  <c r="D69" i="10"/>
  <c r="F68" i="10" a="1"/>
  <c r="F68" i="10" s="1"/>
  <c r="D68" i="10"/>
  <c r="F67" i="10" a="1"/>
  <c r="F67" i="10" s="1"/>
  <c r="D67" i="10"/>
  <c r="F66" i="10" a="1"/>
  <c r="F66" i="10" s="1"/>
  <c r="D66" i="10"/>
  <c r="F65" i="10" a="1"/>
  <c r="F65" i="10" s="1"/>
  <c r="D65" i="10"/>
  <c r="E65" i="10" s="1"/>
  <c r="D64" i="10"/>
  <c r="I61" i="10"/>
  <c r="F61" i="10" a="1"/>
  <c r="F61" i="10" s="1"/>
  <c r="F60" i="10" a="1"/>
  <c r="F60" i="10" s="1"/>
  <c r="F59" i="10" a="1"/>
  <c r="F59" i="10" s="1"/>
  <c r="F58" i="10" a="1"/>
  <c r="F58" i="10" s="1"/>
  <c r="F57" i="10" a="1"/>
  <c r="F57" i="10" s="1"/>
  <c r="J56" i="10"/>
  <c r="F56" i="10" a="1"/>
  <c r="F56" i="10" s="1"/>
  <c r="I55" i="10"/>
  <c r="F55" i="10" a="1"/>
  <c r="F55" i="10" s="1"/>
  <c r="F54" i="10" a="1"/>
  <c r="F54" i="10" s="1"/>
  <c r="I53" i="10"/>
  <c r="F53" i="10" a="1"/>
  <c r="F53" i="10" s="1"/>
  <c r="J52" i="10"/>
  <c r="I54" i="10" s="1"/>
  <c r="J54" i="10" s="1"/>
  <c r="F52" i="10" a="1"/>
  <c r="F52" i="10" s="1"/>
  <c r="J51" i="10"/>
  <c r="F51" i="10" a="1"/>
  <c r="F51" i="10" s="1"/>
  <c r="J49" i="10"/>
  <c r="F49" i="10" a="1"/>
  <c r="F49" i="10" s="1"/>
  <c r="I47" i="10"/>
  <c r="F47" i="10" a="1"/>
  <c r="F47" i="10" s="1"/>
  <c r="I46" i="10"/>
  <c r="F46" i="10" a="1"/>
  <c r="F46" i="10" s="1"/>
  <c r="F30" i="10" a="1"/>
  <c r="F30" i="10" s="1"/>
  <c r="F28" i="10" a="1"/>
  <c r="F28" i="10" s="1"/>
  <c r="F27" i="10" a="1"/>
  <c r="F27" i="10" s="1"/>
  <c r="F25" i="10" a="1"/>
  <c r="F25" i="10" s="1"/>
  <c r="F24" i="10" a="1"/>
  <c r="F24" i="10" s="1"/>
  <c r="D24" i="10"/>
  <c r="F23" i="10" a="1"/>
  <c r="F23" i="10" s="1"/>
  <c r="F22" i="10" a="1"/>
  <c r="F22" i="10" s="1"/>
  <c r="D22" i="10"/>
  <c r="I23" i="10" s="1"/>
  <c r="F19" i="10" a="1"/>
  <c r="F19" i="10" s="1"/>
  <c r="J18" i="10"/>
  <c r="N18" i="10" s="1"/>
  <c r="F17" i="10" a="1"/>
  <c r="F17" i="10" s="1"/>
  <c r="J16" i="10"/>
  <c r="N16" i="10" s="1"/>
  <c r="G16" i="10"/>
  <c r="F15" i="10" a="1"/>
  <c r="F15" i="10" s="1"/>
  <c r="F14" i="10"/>
  <c r="I8" i="10"/>
  <c r="G8" i="10"/>
  <c r="M5" i="10"/>
  <c r="K5" i="10"/>
  <c r="I32" i="10" s="1"/>
  <c r="J5" i="10"/>
  <c r="G5" i="10"/>
  <c r="D51" i="9"/>
  <c r="E32" i="9"/>
  <c r="D23" i="9"/>
  <c r="K8" i="8"/>
  <c r="J8" i="8"/>
  <c r="H7" i="8"/>
  <c r="J6" i="8"/>
  <c r="H6" i="8"/>
  <c r="K6" i="8" s="1"/>
  <c r="E5" i="8"/>
  <c r="L5" i="8" s="1"/>
  <c r="K4" i="8"/>
  <c r="J4" i="8"/>
  <c r="D4" i="8"/>
  <c r="L4" i="8" s="1"/>
  <c r="H3" i="8"/>
  <c r="E3" i="8"/>
  <c r="I3" i="8" s="1"/>
  <c r="J2" i="8"/>
  <c r="I2" i="8"/>
  <c r="H2" i="8"/>
  <c r="K2" i="8" s="1"/>
  <c r="D2" i="8"/>
  <c r="C2" i="8" s="1"/>
  <c r="M306" i="7"/>
  <c r="M305" i="7"/>
  <c r="M304" i="7"/>
  <c r="J304" i="7"/>
  <c r="M303" i="7"/>
  <c r="J303" i="7"/>
  <c r="M302" i="7"/>
  <c r="M300" i="7"/>
  <c r="G300" i="7"/>
  <c r="N299" i="7"/>
  <c r="M299" i="7"/>
  <c r="K299" i="7"/>
  <c r="J299" i="7"/>
  <c r="H299" i="7"/>
  <c r="G299" i="7"/>
  <c r="J289" i="7"/>
  <c r="G286" i="7"/>
  <c r="F275" i="7" a="1"/>
  <c r="F275" i="7" s="1"/>
  <c r="F259" i="7" a="1"/>
  <c r="F259" i="7" s="1"/>
  <c r="N257" i="7"/>
  <c r="J257" i="7"/>
  <c r="N256" i="7"/>
  <c r="J256" i="7"/>
  <c r="F252" i="7" a="1"/>
  <c r="F252" i="7" s="1"/>
  <c r="F242" i="7" a="1"/>
  <c r="F242" i="7" s="1"/>
  <c r="F241" i="7" a="1"/>
  <c r="F241" i="7" s="1"/>
  <c r="G237" i="7"/>
  <c r="I235" i="7"/>
  <c r="J235" i="7" s="1"/>
  <c r="F235" i="7" a="1"/>
  <c r="F235" i="7" s="1"/>
  <c r="I234" i="7"/>
  <c r="J234" i="7" s="1"/>
  <c r="J240" i="7" s="1"/>
  <c r="F234" i="7" a="1"/>
  <c r="F234" i="7" s="1"/>
  <c r="F233" i="7" a="1"/>
  <c r="F233" i="7" s="1"/>
  <c r="J232" i="7"/>
  <c r="F232" i="7" a="1"/>
  <c r="F232" i="7" s="1"/>
  <c r="J231" i="7"/>
  <c r="F231" i="7" a="1"/>
  <c r="F231" i="7" s="1"/>
  <c r="J228" i="7"/>
  <c r="F228" i="7" a="1"/>
  <c r="F228" i="7" s="1"/>
  <c r="H227" i="7"/>
  <c r="J227" i="7" s="1"/>
  <c r="F227" i="7" a="1"/>
  <c r="F227" i="7" s="1"/>
  <c r="J226" i="7"/>
  <c r="F226" i="7" a="1"/>
  <c r="F226" i="7" s="1"/>
  <c r="J225" i="7"/>
  <c r="F225" i="7" a="1"/>
  <c r="F225" i="7" s="1"/>
  <c r="J224" i="7"/>
  <c r="F224" i="7" a="1"/>
  <c r="F224" i="7" s="1"/>
  <c r="F223" i="7" a="1"/>
  <c r="F223" i="7" s="1"/>
  <c r="N221" i="7"/>
  <c r="J221" i="7"/>
  <c r="N220" i="7"/>
  <c r="J220" i="7"/>
  <c r="G217" i="7"/>
  <c r="F215" i="7" a="1"/>
  <c r="F215" i="7" s="1"/>
  <c r="F214" i="7" a="1"/>
  <c r="F214" i="7" s="1"/>
  <c r="F213" i="7" a="1"/>
  <c r="F213" i="7" s="1"/>
  <c r="F212" i="7" a="1"/>
  <c r="F212" i="7" s="1"/>
  <c r="F211" i="7" a="1"/>
  <c r="F211" i="7" s="1"/>
  <c r="F210" i="7" a="1"/>
  <c r="F210" i="7" s="1"/>
  <c r="J214" i="7"/>
  <c r="F209" i="7" a="1"/>
  <c r="F209" i="7" s="1"/>
  <c r="G203" i="7"/>
  <c r="F201" i="7" a="1"/>
  <c r="F201" i="7" s="1"/>
  <c r="F198" i="7" a="1"/>
  <c r="F198" i="7" s="1"/>
  <c r="F197" i="7" a="1"/>
  <c r="F197" i="7" s="1"/>
  <c r="I196" i="7"/>
  <c r="J196" i="7" s="1"/>
  <c r="F196" i="7" a="1"/>
  <c r="F196" i="7" s="1"/>
  <c r="I195" i="7"/>
  <c r="J195" i="7" s="1"/>
  <c r="F195" i="7" a="1"/>
  <c r="F195" i="7" s="1"/>
  <c r="F192" i="7" a="1"/>
  <c r="F192" i="7" s="1"/>
  <c r="F191" i="7" a="1"/>
  <c r="F191" i="7" s="1"/>
  <c r="I188" i="7"/>
  <c r="J188" i="7" s="1"/>
  <c r="F188" i="7" a="1"/>
  <c r="F188" i="7" s="1"/>
  <c r="I187" i="7"/>
  <c r="J187" i="7" s="1"/>
  <c r="F187" i="7" a="1"/>
  <c r="F187" i="7" s="1"/>
  <c r="I186" i="7"/>
  <c r="J186" i="7" s="1"/>
  <c r="F186" i="7" a="1"/>
  <c r="F186" i="7" s="1"/>
  <c r="F183" i="7" a="1"/>
  <c r="F183" i="7" s="1"/>
  <c r="F182" i="7" a="1"/>
  <c r="F182" i="7" s="1"/>
  <c r="F181" i="7" a="1"/>
  <c r="F181" i="7" s="1"/>
  <c r="F180" i="7" a="1"/>
  <c r="F180" i="7" s="1"/>
  <c r="I178" i="7" a="1"/>
  <c r="I178" i="7" s="1"/>
  <c r="F176" i="7" a="1"/>
  <c r="F176" i="7" s="1"/>
  <c r="F175" i="7" a="1"/>
  <c r="F175" i="7" s="1"/>
  <c r="F174" i="7" a="1"/>
  <c r="F174" i="7" s="1"/>
  <c r="F171" i="7" a="1"/>
  <c r="F171" i="7" s="1"/>
  <c r="F170" i="7" a="1"/>
  <c r="F170" i="7" s="1"/>
  <c r="F169" i="7" a="1"/>
  <c r="F169" i="7" s="1"/>
  <c r="J166" i="7"/>
  <c r="F166" i="7" a="1"/>
  <c r="F166" i="7" s="1"/>
  <c r="J165" i="7"/>
  <c r="F165" i="7" a="1"/>
  <c r="F165" i="7" s="1"/>
  <c r="F164" i="7" a="1"/>
  <c r="F164" i="7" s="1"/>
  <c r="I161" i="7"/>
  <c r="F161" i="7" a="1"/>
  <c r="F161" i="7" s="1"/>
  <c r="E161" i="7"/>
  <c r="J160" i="7"/>
  <c r="F160" i="7" a="1"/>
  <c r="F160" i="7" s="1"/>
  <c r="F159" i="7" a="1"/>
  <c r="F159" i="7" s="1"/>
  <c r="I191" i="7"/>
  <c r="J191" i="7" s="1"/>
  <c r="J156" i="7"/>
  <c r="F156" i="7" a="1"/>
  <c r="F156" i="7" s="1"/>
  <c r="J155" i="7"/>
  <c r="F155" i="7" a="1"/>
  <c r="F155" i="7" s="1"/>
  <c r="J147" i="7"/>
  <c r="F147" i="7" a="1"/>
  <c r="F147" i="7" s="1"/>
  <c r="J146" i="7"/>
  <c r="F146" i="7" a="1"/>
  <c r="F146" i="7" s="1"/>
  <c r="J145" i="7"/>
  <c r="I182" i="7" s="1"/>
  <c r="J182" i="7" s="1"/>
  <c r="F145" i="7" a="1"/>
  <c r="F145" i="7" s="1"/>
  <c r="I144" i="7"/>
  <c r="F144" i="7" a="1"/>
  <c r="F144" i="7" s="1"/>
  <c r="F143" i="7" a="1"/>
  <c r="F143" i="7" s="1"/>
  <c r="I142" i="7"/>
  <c r="F142" i="7" a="1"/>
  <c r="F142" i="7" s="1"/>
  <c r="J141" i="7"/>
  <c r="F141" i="7" a="1"/>
  <c r="F141" i="7" s="1"/>
  <c r="J137" i="7"/>
  <c r="F137" i="7" a="1"/>
  <c r="F137" i="7" s="1"/>
  <c r="I136" i="7"/>
  <c r="F136" i="7" a="1"/>
  <c r="F136" i="7" s="1"/>
  <c r="F135" i="7" a="1"/>
  <c r="F135" i="7" s="1"/>
  <c r="I134" i="7"/>
  <c r="F134" i="7" a="1"/>
  <c r="F134" i="7" s="1"/>
  <c r="F133" i="7" a="1"/>
  <c r="F133" i="7" s="1"/>
  <c r="F130" i="7" a="1"/>
  <c r="F130" i="7" s="1"/>
  <c r="F129" i="7" a="1"/>
  <c r="F129" i="7" s="1"/>
  <c r="F117" i="7" a="1"/>
  <c r="F117" i="7" s="1"/>
  <c r="F116" i="7" a="1"/>
  <c r="F116" i="7" s="1"/>
  <c r="F115" i="7" a="1"/>
  <c r="F115" i="7" s="1"/>
  <c r="J115" i="7"/>
  <c r="F86" i="7" a="1"/>
  <c r="F86" i="7" s="1"/>
  <c r="I85" i="7"/>
  <c r="J85" i="7" s="1"/>
  <c r="F85" i="7" a="1"/>
  <c r="F85" i="7" s="1"/>
  <c r="I84" i="7"/>
  <c r="J84" i="7" s="1"/>
  <c r="F84" i="7" a="1"/>
  <c r="F84" i="7" s="1"/>
  <c r="F83" i="7" a="1"/>
  <c r="F83" i="7" s="1"/>
  <c r="F82" i="7" a="1"/>
  <c r="F82" i="7" s="1"/>
  <c r="F81" i="7" a="1"/>
  <c r="F81" i="7" s="1"/>
  <c r="F80" i="7" a="1"/>
  <c r="F80" i="7" s="1"/>
  <c r="F79" i="7" a="1"/>
  <c r="F79" i="7" s="1"/>
  <c r="I77" i="7"/>
  <c r="I75" i="7"/>
  <c r="I76" i="7"/>
  <c r="J76" i="7" s="1"/>
  <c r="H74" i="7"/>
  <c r="F73" i="7" a="1"/>
  <c r="F73" i="7" s="1"/>
  <c r="F70" i="7" a="1"/>
  <c r="F70" i="7" s="1"/>
  <c r="F69" i="7" a="1"/>
  <c r="F69" i="7" s="1"/>
  <c r="G68" i="7"/>
  <c r="F68" i="7" a="1"/>
  <c r="F68" i="7" s="1"/>
  <c r="G67" i="7"/>
  <c r="F67" i="7" a="1"/>
  <c r="F67" i="7" s="1"/>
  <c r="F66" i="7" a="1"/>
  <c r="F66" i="7" s="1"/>
  <c r="F65" i="7" a="1"/>
  <c r="F65" i="7" s="1"/>
  <c r="F64" i="7" a="1"/>
  <c r="F64" i="7" s="1"/>
  <c r="F63" i="7" a="1"/>
  <c r="F63" i="7" s="1"/>
  <c r="I59" i="7"/>
  <c r="F59" i="7" a="1"/>
  <c r="F59" i="7" s="1"/>
  <c r="F58" i="7" a="1"/>
  <c r="F58" i="7" s="1"/>
  <c r="M57" i="7"/>
  <c r="J57" i="7"/>
  <c r="N57" i="7" s="1"/>
  <c r="F56" i="7" a="1"/>
  <c r="F56" i="7" s="1"/>
  <c r="M55" i="7"/>
  <c r="F55" i="7" a="1"/>
  <c r="F55" i="7" s="1"/>
  <c r="I52" i="7"/>
  <c r="F52" i="7" a="1"/>
  <c r="F52" i="7" s="1"/>
  <c r="F51" i="7" a="1"/>
  <c r="F51" i="7" s="1"/>
  <c r="F50" i="7" a="1"/>
  <c r="F50" i="7" s="1"/>
  <c r="F49" i="7" a="1"/>
  <c r="F49" i="7" s="1"/>
  <c r="F28" i="7" a="1"/>
  <c r="F28" i="7" s="1"/>
  <c r="F27" i="7" a="1"/>
  <c r="F27" i="7" s="1"/>
  <c r="D27" i="7"/>
  <c r="F26" i="7" a="1"/>
  <c r="F26" i="7" s="1"/>
  <c r="F25" i="7" a="1"/>
  <c r="F25" i="7" s="1"/>
  <c r="D25" i="7"/>
  <c r="M23" i="7"/>
  <c r="F23" i="7" a="1"/>
  <c r="F23" i="7" s="1"/>
  <c r="J19" i="7"/>
  <c r="F18" i="7" a="1"/>
  <c r="F18" i="7" s="1"/>
  <c r="N17" i="7"/>
  <c r="J17" i="7"/>
  <c r="F16" i="7" a="1"/>
  <c r="F16" i="7" s="1"/>
  <c r="N15" i="7"/>
  <c r="J15" i="7"/>
  <c r="F14" i="7" a="1"/>
  <c r="F14" i="7" s="1"/>
  <c r="M13" i="7"/>
  <c r="F13" i="7"/>
  <c r="H8" i="7"/>
  <c r="G8" i="7"/>
  <c r="G7" i="7" s="1"/>
  <c r="D8" i="7"/>
  <c r="G5" i="7"/>
  <c r="I3" i="7"/>
  <c r="D56" i="6"/>
  <c r="E34" i="6"/>
  <c r="F29" i="6"/>
  <c r="I24" i="6"/>
  <c r="D23" i="6"/>
  <c r="M270" i="5"/>
  <c r="M268" i="5"/>
  <c r="M267" i="5"/>
  <c r="M266" i="5"/>
  <c r="J266" i="5"/>
  <c r="M265" i="5"/>
  <c r="J265" i="5"/>
  <c r="M264" i="5"/>
  <c r="M262" i="5"/>
  <c r="G262" i="5"/>
  <c r="N261" i="5"/>
  <c r="M261" i="5"/>
  <c r="K261" i="5"/>
  <c r="J261" i="5"/>
  <c r="H261" i="5"/>
  <c r="G261" i="5"/>
  <c r="J251" i="5"/>
  <c r="G248" i="5"/>
  <c r="F244" i="5" a="1"/>
  <c r="F244" i="5" s="1"/>
  <c r="F243" i="5" a="1"/>
  <c r="F243" i="5" s="1"/>
  <c r="M241" i="5"/>
  <c r="J241" i="5"/>
  <c r="F241" i="5" a="1"/>
  <c r="F241" i="5" s="1"/>
  <c r="M240" i="5"/>
  <c r="F240" i="5" a="1"/>
  <c r="F240" i="5" s="1"/>
  <c r="F239" i="5" a="1"/>
  <c r="F239" i="5" s="1"/>
  <c r="N237" i="5"/>
  <c r="J237" i="5"/>
  <c r="N236" i="5"/>
  <c r="J236" i="5"/>
  <c r="F232" i="5" a="1"/>
  <c r="F232" i="5" s="1"/>
  <c r="I230" i="5"/>
  <c r="J230" i="5" s="1"/>
  <c r="G230" i="5" s="1"/>
  <c r="F230" i="5" a="1"/>
  <c r="F230" i="5" s="1"/>
  <c r="I229" i="5"/>
  <c r="J229" i="5" s="1"/>
  <c r="G229" i="5" s="1"/>
  <c r="F229" i="5" a="1"/>
  <c r="F229" i="5" s="1"/>
  <c r="I228" i="5"/>
  <c r="J228" i="5" s="1"/>
  <c r="G228" i="5" s="1"/>
  <c r="F228" i="5" a="1"/>
  <c r="F228" i="5" s="1"/>
  <c r="J227" i="5"/>
  <c r="G227" i="5" s="1"/>
  <c r="I227" i="5"/>
  <c r="F227" i="5" a="1"/>
  <c r="F227" i="5" s="1"/>
  <c r="F226" i="5" a="1"/>
  <c r="F226" i="5" s="1"/>
  <c r="F225" i="5" a="1"/>
  <c r="F225" i="5" s="1"/>
  <c r="N224" i="5"/>
  <c r="J224" i="5"/>
  <c r="N223" i="5"/>
  <c r="J223" i="5"/>
  <c r="G220" i="5"/>
  <c r="F218" i="5" a="1"/>
  <c r="F218" i="5" s="1"/>
  <c r="F217" i="5" a="1"/>
  <c r="F217" i="5" s="1"/>
  <c r="F216" i="5" a="1"/>
  <c r="F216" i="5" s="1"/>
  <c r="J215" i="5"/>
  <c r="F215" i="5" a="1"/>
  <c r="F215" i="5" s="1"/>
  <c r="J214" i="5"/>
  <c r="F214" i="5" a="1"/>
  <c r="F214" i="5" s="1"/>
  <c r="J213" i="5"/>
  <c r="F213" i="5" a="1"/>
  <c r="F213" i="5" s="1"/>
  <c r="I218" i="5"/>
  <c r="J218" i="5" s="1"/>
  <c r="F211" i="5" a="1"/>
  <c r="F211" i="5" s="1"/>
  <c r="G204" i="5"/>
  <c r="F202" i="5" a="1"/>
  <c r="F202" i="5" s="1"/>
  <c r="F200" i="5" a="1"/>
  <c r="F200" i="5" s="1"/>
  <c r="J198" i="5"/>
  <c r="F198" i="5" a="1"/>
  <c r="F198" i="5" s="1"/>
  <c r="F197" i="5" a="1"/>
  <c r="F197" i="5" s="1"/>
  <c r="F196" i="5" a="1"/>
  <c r="F196" i="5" s="1"/>
  <c r="J194" i="5"/>
  <c r="F194" i="5" a="1"/>
  <c r="F194" i="5" s="1"/>
  <c r="I193" i="5"/>
  <c r="J193" i="5" s="1"/>
  <c r="F193" i="5" a="1"/>
  <c r="F193" i="5" s="1"/>
  <c r="I192" i="5"/>
  <c r="J192" i="5" s="1"/>
  <c r="F192" i="5" a="1"/>
  <c r="F192" i="5" s="1"/>
  <c r="I191" i="5"/>
  <c r="J191" i="5" s="1"/>
  <c r="F191" i="5" a="1"/>
  <c r="F191" i="5" s="1"/>
  <c r="J189" i="5"/>
  <c r="F189" i="5" a="1"/>
  <c r="F189" i="5" s="1"/>
  <c r="J188" i="5"/>
  <c r="F188" i="5" a="1"/>
  <c r="F188" i="5" s="1"/>
  <c r="J187" i="5"/>
  <c r="F187" i="5" a="1"/>
  <c r="F187" i="5" s="1"/>
  <c r="J186" i="5"/>
  <c r="I186" i="5"/>
  <c r="F186" i="5" a="1"/>
  <c r="F186" i="5" s="1"/>
  <c r="J185" i="5"/>
  <c r="F185" i="5" a="1"/>
  <c r="F185" i="5" s="1"/>
  <c r="J184" i="5"/>
  <c r="F184" i="5" a="1"/>
  <c r="F184" i="5" s="1"/>
  <c r="J183" i="5"/>
  <c r="F183" i="5" a="1"/>
  <c r="F183" i="5" s="1"/>
  <c r="J182" i="5"/>
  <c r="F182" i="5" a="1"/>
  <c r="F182" i="5" s="1"/>
  <c r="J180" i="5"/>
  <c r="F180" i="5" a="1"/>
  <c r="F180" i="5" s="1"/>
  <c r="F179" i="5" a="1"/>
  <c r="F179" i="5" s="1"/>
  <c r="F178" i="5" a="1"/>
  <c r="F178" i="5" s="1"/>
  <c r="F177" i="5" a="1"/>
  <c r="F177" i="5" s="1"/>
  <c r="I175" i="5" a="1"/>
  <c r="I175" i="5" s="1"/>
  <c r="F174" i="5" a="1"/>
  <c r="F174" i="5" s="1"/>
  <c r="J171" i="5"/>
  <c r="I171" i="5"/>
  <c r="F171" i="5" a="1"/>
  <c r="F171" i="5" s="1"/>
  <c r="J170" i="5"/>
  <c r="I170" i="5"/>
  <c r="F170" i="5" a="1"/>
  <c r="F170" i="5" s="1"/>
  <c r="J169" i="5"/>
  <c r="F169" i="5" a="1"/>
  <c r="F169" i="5" s="1"/>
  <c r="J166" i="5"/>
  <c r="F166" i="5" a="1"/>
  <c r="F166" i="5" s="1"/>
  <c r="I163" i="5"/>
  <c r="F163" i="5" a="1"/>
  <c r="F163" i="5" s="1"/>
  <c r="I162" i="5"/>
  <c r="J162" i="5" s="1"/>
  <c r="F162" i="5" a="1"/>
  <c r="F162" i="5" s="1"/>
  <c r="F161" i="5" a="1"/>
  <c r="F161" i="5" s="1"/>
  <c r="I160" i="5"/>
  <c r="J160" i="5" s="1"/>
  <c r="F160" i="5" a="1"/>
  <c r="F160" i="5" s="1"/>
  <c r="J159" i="5"/>
  <c r="I197" i="5" s="1"/>
  <c r="J197" i="5" s="1"/>
  <c r="F159" i="5" a="1"/>
  <c r="F159" i="5" s="1"/>
  <c r="J156" i="5"/>
  <c r="F156" i="5" a="1"/>
  <c r="F156" i="5" s="1"/>
  <c r="J155" i="5"/>
  <c r="F155" i="5" a="1"/>
  <c r="F155" i="5" s="1"/>
  <c r="J152" i="5"/>
  <c r="I187" i="5" s="1"/>
  <c r="F152" i="5" a="1"/>
  <c r="F152" i="5" s="1"/>
  <c r="J151" i="5"/>
  <c r="I188" i="5" s="1"/>
  <c r="F151" i="5" a="1"/>
  <c r="F151" i="5" s="1"/>
  <c r="L150" i="5"/>
  <c r="F150" i="5" a="1"/>
  <c r="F150" i="5" s="1"/>
  <c r="F149" i="5" a="1"/>
  <c r="F149" i="5" s="1"/>
  <c r="F148" i="5" a="1"/>
  <c r="F148" i="5" s="1"/>
  <c r="F147" i="5" a="1"/>
  <c r="F147" i="5" s="1"/>
  <c r="J144" i="5"/>
  <c r="I179" i="5" s="1"/>
  <c r="J179" i="5" s="1"/>
  <c r="F144" i="5" a="1"/>
  <c r="F144" i="5" s="1"/>
  <c r="I143" i="5"/>
  <c r="F143" i="5" a="1"/>
  <c r="F143" i="5" s="1"/>
  <c r="F142" i="5" a="1"/>
  <c r="F142" i="5" s="1"/>
  <c r="I141" i="5"/>
  <c r="F141" i="5" a="1"/>
  <c r="F141" i="5" s="1"/>
  <c r="J140" i="5"/>
  <c r="F140" i="5" a="1"/>
  <c r="F140" i="5" s="1"/>
  <c r="J136" i="5"/>
  <c r="F136" i="5" a="1"/>
  <c r="F136" i="5" s="1"/>
  <c r="I135" i="5"/>
  <c r="F135" i="5" a="1"/>
  <c r="F135" i="5" s="1"/>
  <c r="F134" i="5" a="1"/>
  <c r="F134" i="5" s="1"/>
  <c r="I133" i="5"/>
  <c r="F133" i="5" a="1"/>
  <c r="F133" i="5" s="1"/>
  <c r="F132" i="5" a="1"/>
  <c r="F132" i="5" s="1"/>
  <c r="F129" i="5" a="1"/>
  <c r="F129" i="5" s="1"/>
  <c r="F128" i="5" a="1"/>
  <c r="F128" i="5" s="1"/>
  <c r="F121" i="5" a="1"/>
  <c r="F121" i="5" s="1"/>
  <c r="F120" i="5" a="1"/>
  <c r="F120" i="5" s="1"/>
  <c r="F116" i="5" a="1"/>
  <c r="F116" i="5" s="1"/>
  <c r="F115" i="5" a="1"/>
  <c r="F115" i="5" s="1"/>
  <c r="F112" i="5" a="1"/>
  <c r="F112" i="5" s="1"/>
  <c r="G107" i="5"/>
  <c r="I105" i="5"/>
  <c r="J105" i="5" s="1"/>
  <c r="F105" i="5" a="1"/>
  <c r="F105" i="5" s="1"/>
  <c r="I104" i="5"/>
  <c r="J104" i="5" s="1"/>
  <c r="F104" i="5" a="1"/>
  <c r="F104" i="5" s="1"/>
  <c r="I103" i="5"/>
  <c r="J103" i="5" s="1"/>
  <c r="F103" i="5" a="1"/>
  <c r="F103" i="5" s="1"/>
  <c r="I102" i="5"/>
  <c r="J102" i="5" s="1"/>
  <c r="F102" i="5" a="1"/>
  <c r="F102" i="5" s="1"/>
  <c r="F101" i="5" a="1"/>
  <c r="F101" i="5" s="1"/>
  <c r="F100" i="5" a="1"/>
  <c r="F100" i="5" s="1"/>
  <c r="I99" i="5"/>
  <c r="I98" i="5" s="1"/>
  <c r="J98" i="5" s="1"/>
  <c r="F99" i="5" a="1"/>
  <c r="F99" i="5" s="1"/>
  <c r="E99" i="5"/>
  <c r="F98" i="5" a="1"/>
  <c r="F98" i="5" s="1"/>
  <c r="I97" i="5"/>
  <c r="J97" i="5" s="1"/>
  <c r="F97" i="5" a="1"/>
  <c r="F97" i="5" s="1"/>
  <c r="I96" i="5"/>
  <c r="J96" i="5" s="1"/>
  <c r="F96" i="5" a="1"/>
  <c r="F96" i="5" s="1"/>
  <c r="J95" i="5"/>
  <c r="F95" i="5" a="1"/>
  <c r="F95" i="5" s="1"/>
  <c r="F93" i="5" a="1"/>
  <c r="F93" i="5" s="1"/>
  <c r="F85" i="5" a="1"/>
  <c r="F85" i="5" s="1"/>
  <c r="I84" i="5"/>
  <c r="J84" i="5" s="1"/>
  <c r="F84" i="5" a="1"/>
  <c r="F84" i="5" s="1"/>
  <c r="I83" i="5"/>
  <c r="J83" i="5" s="1"/>
  <c r="F83" i="5" a="1"/>
  <c r="F83" i="5" s="1"/>
  <c r="F82" i="5" a="1"/>
  <c r="F82" i="5" s="1"/>
  <c r="F81" i="5" a="1"/>
  <c r="F81" i="5" s="1"/>
  <c r="F80" i="5" a="1"/>
  <c r="F80" i="5" s="1"/>
  <c r="F79" i="5" a="1"/>
  <c r="F79" i="5" s="1"/>
  <c r="F78" i="5" a="1"/>
  <c r="F78" i="5" s="1"/>
  <c r="F75" i="5" a="1"/>
  <c r="F75" i="5" s="1"/>
  <c r="I74" i="5"/>
  <c r="J74" i="5" s="1"/>
  <c r="F74" i="5" a="1"/>
  <c r="F74" i="5" s="1"/>
  <c r="E74" i="5"/>
  <c r="F73" i="5" a="1"/>
  <c r="F73" i="5" s="1"/>
  <c r="I72" i="5"/>
  <c r="J72" i="5" s="1"/>
  <c r="F72" i="5" a="1"/>
  <c r="F72" i="5" s="1"/>
  <c r="I71" i="5"/>
  <c r="F71" i="5" a="1"/>
  <c r="F71" i="5" s="1"/>
  <c r="F70" i="5" a="1"/>
  <c r="F70" i="5" s="1"/>
  <c r="I69" i="5"/>
  <c r="F69" i="5" a="1"/>
  <c r="F69" i="5" s="1"/>
  <c r="H68" i="5"/>
  <c r="I70" i="5" s="1"/>
  <c r="J70" i="5" s="1"/>
  <c r="F68" i="5" a="1"/>
  <c r="F68" i="5" s="1"/>
  <c r="F67" i="5" a="1"/>
  <c r="F67" i="5" s="1"/>
  <c r="J66" i="5"/>
  <c r="F66" i="5" a="1"/>
  <c r="F66" i="5" s="1"/>
  <c r="F65" i="5" a="1"/>
  <c r="F65" i="5" s="1"/>
  <c r="D65" i="5"/>
  <c r="E65" i="5" s="1"/>
  <c r="F64" i="5" a="1"/>
  <c r="F64" i="5" s="1"/>
  <c r="D64" i="5"/>
  <c r="I65" i="5" s="1"/>
  <c r="G63" i="5"/>
  <c r="F63" i="5" a="1"/>
  <c r="F63" i="5" s="1"/>
  <c r="D63" i="5"/>
  <c r="G62" i="5"/>
  <c r="F62" i="5" a="1"/>
  <c r="F62" i="5" s="1"/>
  <c r="D62" i="5"/>
  <c r="F61" i="5" a="1"/>
  <c r="F61" i="5" s="1"/>
  <c r="D61" i="5"/>
  <c r="F60" i="5" a="1"/>
  <c r="F60" i="5" s="1"/>
  <c r="D60" i="5"/>
  <c r="E60" i="5" s="1"/>
  <c r="F59" i="5" a="1"/>
  <c r="F59" i="5" s="1"/>
  <c r="D59" i="5"/>
  <c r="E59" i="5" s="1"/>
  <c r="F58" i="5" a="1"/>
  <c r="F58" i="5" s="1"/>
  <c r="D58" i="5"/>
  <c r="D57" i="5"/>
  <c r="E57" i="5" s="1"/>
  <c r="I54" i="5"/>
  <c r="F54" i="5" a="1"/>
  <c r="F54" i="5" s="1"/>
  <c r="F53" i="5" a="1"/>
  <c r="F53" i="5" s="1"/>
  <c r="F52" i="5" a="1"/>
  <c r="F52" i="5" s="1"/>
  <c r="F51" i="5" a="1"/>
  <c r="F51" i="5" s="1"/>
  <c r="F50" i="5" a="1"/>
  <c r="F50" i="5" s="1"/>
  <c r="J49" i="5"/>
  <c r="F49" i="5" a="1"/>
  <c r="F49" i="5" s="1"/>
  <c r="I48" i="5"/>
  <c r="F48" i="5" a="1"/>
  <c r="F48" i="5" s="1"/>
  <c r="F47" i="5" a="1"/>
  <c r="F47" i="5" s="1"/>
  <c r="I46" i="5"/>
  <c r="F46" i="5" a="1"/>
  <c r="F46" i="5" s="1"/>
  <c r="H45" i="5"/>
  <c r="J45" i="5" s="1"/>
  <c r="F45" i="5" a="1"/>
  <c r="F45" i="5" s="1"/>
  <c r="J44" i="5"/>
  <c r="F44" i="5" a="1"/>
  <c r="F44" i="5" s="1"/>
  <c r="J42" i="5"/>
  <c r="F42" i="5" a="1"/>
  <c r="F42" i="5" s="1"/>
  <c r="I41" i="5"/>
  <c r="F41" i="5" a="1"/>
  <c r="F41" i="5" s="1"/>
  <c r="F40" i="5" a="1"/>
  <c r="F40" i="5" s="1"/>
  <c r="M39" i="5"/>
  <c r="F39" i="5" a="1"/>
  <c r="F39" i="5" s="1"/>
  <c r="F38" i="5" a="1"/>
  <c r="F38" i="5" s="1"/>
  <c r="M37" i="5"/>
  <c r="F37" i="5" a="1"/>
  <c r="F37" i="5" s="1"/>
  <c r="F34" i="5" a="1"/>
  <c r="F34" i="5" s="1"/>
  <c r="F33" i="5" a="1"/>
  <c r="F33" i="5" s="1"/>
  <c r="F32" i="5" a="1"/>
  <c r="F32" i="5" s="1"/>
  <c r="F31" i="5" a="1"/>
  <c r="F31" i="5" s="1"/>
  <c r="F29" i="5" a="1"/>
  <c r="F29" i="5" s="1"/>
  <c r="F28" i="5" a="1"/>
  <c r="F28" i="5" s="1"/>
  <c r="F26" i="5" a="1"/>
  <c r="F26" i="5" s="1"/>
  <c r="F24" i="5" a="1"/>
  <c r="F24" i="5" s="1"/>
  <c r="F23" i="5" a="1"/>
  <c r="F23" i="5" s="1"/>
  <c r="D23" i="5"/>
  <c r="I24" i="5" s="1"/>
  <c r="F22" i="5" a="1"/>
  <c r="F22" i="5" s="1"/>
  <c r="F21" i="5" a="1"/>
  <c r="F21" i="5" s="1"/>
  <c r="D21" i="5"/>
  <c r="J20" i="5"/>
  <c r="F19" i="5" a="1"/>
  <c r="F19" i="5" s="1"/>
  <c r="N18" i="5"/>
  <c r="J18" i="5"/>
  <c r="F17" i="5" a="1"/>
  <c r="F17" i="5" s="1"/>
  <c r="N16" i="5"/>
  <c r="J16" i="5"/>
  <c r="G16" i="5"/>
  <c r="F15" i="5" a="1"/>
  <c r="F15" i="5" s="1"/>
  <c r="M14" i="5"/>
  <c r="F14" i="5"/>
  <c r="I8" i="5"/>
  <c r="G8" i="5"/>
  <c r="M5" i="5"/>
  <c r="L5" i="5"/>
  <c r="K5" i="5"/>
  <c r="J5" i="5"/>
  <c r="I5" i="5"/>
  <c r="H5" i="5"/>
  <c r="G5" i="5"/>
  <c r="E34" i="4"/>
  <c r="D22" i="4"/>
  <c r="E11" i="3"/>
  <c r="E1" i="2"/>
  <c r="E3" i="2" s="1"/>
  <c r="M14" i="10" a="1"/>
  <c r="M257" i="10" a="1"/>
  <c r="M153" i="5" a="1"/>
  <c r="M120" i="7" a="1"/>
  <c r="M133" i="10" a="1"/>
  <c r="M201" i="5" a="1"/>
  <c r="M244" i="10" a="1"/>
  <c r="M48" i="7" a="1"/>
  <c r="G139" i="10" a="1"/>
  <c r="M189" i="5" a="1"/>
  <c r="M84" i="10" a="1"/>
  <c r="M134" i="10" a="1"/>
  <c r="M284" i="10" a="1"/>
  <c r="M136" i="10" a="1"/>
  <c r="M286" i="10" a="1"/>
  <c r="M211" i="10" a="1"/>
  <c r="M178" i="7" a="1"/>
  <c r="M85" i="10" a="1"/>
  <c r="M182" i="10" a="1"/>
  <c r="M185" i="7" a="1"/>
  <c r="M74" i="10" a="1"/>
  <c r="M195" i="5" a="1"/>
  <c r="M184" i="10" a="1"/>
  <c r="M50" i="10" a="1"/>
  <c r="M115" i="10" a="1"/>
  <c r="M376" i="10" a="1"/>
  <c r="M138" i="10" a="1"/>
  <c r="M189" i="10" a="1"/>
  <c r="M194" i="7" a="1"/>
  <c r="M176" i="5" a="1"/>
  <c r="M26" i="10" a="1"/>
  <c r="M200" i="7" a="1"/>
  <c r="M94" i="10" a="1"/>
  <c r="J122" i="10" a="1"/>
  <c r="M190" i="5" a="1"/>
  <c r="M285" i="10" a="1"/>
  <c r="M240" i="10" a="1"/>
  <c r="M94" i="5" a="1"/>
  <c r="M250" i="10" a="1"/>
  <c r="H140" i="10" a="1"/>
  <c r="M109" i="5" a="1"/>
  <c r="M135" i="10" a="1"/>
  <c r="M160" i="5" a="1"/>
  <c r="M252" i="10" a="1"/>
  <c r="M239" i="5" a="1"/>
  <c r="M95" i="10" a="1"/>
  <c r="M107" i="5" a="1"/>
  <c r="M132" i="10" a="1"/>
  <c r="M224" i="10" a="1"/>
  <c r="M287" i="10" a="1"/>
  <c r="M120" i="10" a="1"/>
  <c r="M67" i="5" a="1"/>
  <c r="M243" i="5" a="1"/>
  <c r="M216" i="10" a="1"/>
  <c r="M115" i="7" a="1"/>
  <c r="M373" i="10" a="1"/>
  <c r="M117" i="10" a="1"/>
  <c r="M118" i="10" a="1"/>
  <c r="M289" i="10" a="1"/>
  <c r="M93" i="5" a="1"/>
  <c r="M215" i="10" a="1"/>
  <c r="M255" i="10" a="1"/>
  <c r="M128" i="10" a="1"/>
  <c r="M283" i="10" a="1"/>
  <c r="M183" i="10" a="1"/>
  <c r="M253" i="10" a="1"/>
  <c r="M101" i="5" a="1"/>
  <c r="M199" i="5" a="1"/>
  <c r="M233" i="7" a="1"/>
  <c r="M181" i="5" a="1"/>
  <c r="M172" i="10" a="1"/>
  <c r="M97" i="10" a="1"/>
  <c r="M175" i="5" a="1"/>
  <c r="M137" i="10" a="1"/>
  <c r="M190" i="7" a="1"/>
  <c r="M225" i="10" a="1"/>
  <c r="M106" i="5" a="1"/>
  <c r="M119" i="5" a="1"/>
  <c r="M252" i="7" a="1"/>
  <c r="M288" i="10" a="1"/>
  <c r="M98" i="10" a="1"/>
  <c r="M101" i="10" a="1"/>
  <c r="M96" i="10" a="1"/>
  <c r="M110" i="5" a="1"/>
  <c r="M179" i="7" a="1"/>
  <c r="M114" i="10" a="1"/>
  <c r="M254" i="10" a="1"/>
  <c r="M279" i="10" a="1"/>
  <c r="M100" i="10" a="1"/>
  <c r="M377" i="10" a="1"/>
  <c r="M57" i="10" a="1"/>
  <c r="M102" i="10" a="1"/>
  <c r="M282" i="10" a="1"/>
  <c r="M13" i="10" a="1"/>
  <c r="M50" i="5" a="1"/>
  <c r="M256" i="10" a="1"/>
  <c r="M149" i="10" a="1"/>
  <c r="M379" i="10" a="1"/>
  <c r="M165" i="5" a="1"/>
  <c r="M266" i="7" l="1"/>
  <c r="N266" i="7" s="1"/>
  <c r="M230" i="7"/>
  <c r="N230" i="7" s="1"/>
  <c r="M245" i="7"/>
  <c r="N245" i="7" s="1"/>
  <c r="M261" i="7"/>
  <c r="N261" i="7" s="1"/>
  <c r="M229" i="7"/>
  <c r="N229" i="7" s="1"/>
  <c r="M265" i="7"/>
  <c r="N265" i="7" s="1"/>
  <c r="M244" i="7"/>
  <c r="N244" i="7" s="1"/>
  <c r="M272" i="7"/>
  <c r="N272" i="7" s="1"/>
  <c r="M273" i="7"/>
  <c r="N273" i="7" s="1"/>
  <c r="M243" i="7"/>
  <c r="N243" i="7" s="1"/>
  <c r="M269" i="7"/>
  <c r="N269" i="7" s="1"/>
  <c r="M267" i="7"/>
  <c r="N267" i="7" s="1"/>
  <c r="M246" i="7"/>
  <c r="N246" i="7" s="1"/>
  <c r="M262" i="7"/>
  <c r="N262" i="7" s="1"/>
  <c r="M268" i="7"/>
  <c r="N268" i="7" s="1"/>
  <c r="I183" i="7"/>
  <c r="J183" i="7" s="1"/>
  <c r="M123" i="7"/>
  <c r="N123" i="7" s="1"/>
  <c r="M46" i="7"/>
  <c r="N46" i="7" s="1"/>
  <c r="M105" i="7"/>
  <c r="N105" i="7" s="1"/>
  <c r="M106" i="7"/>
  <c r="N106" i="7" s="1"/>
  <c r="M103" i="7"/>
  <c r="N103" i="7" s="1"/>
  <c r="M45" i="7"/>
  <c r="N45" i="7" s="1"/>
  <c r="M104" i="7"/>
  <c r="N104" i="7" s="1"/>
  <c r="M120" i="5"/>
  <c r="M121" i="5"/>
  <c r="M44" i="7"/>
  <c r="N44" i="7" s="1"/>
  <c r="M98" i="7"/>
  <c r="N98" i="7" s="1"/>
  <c r="M101" i="7"/>
  <c r="N101" i="7" s="1"/>
  <c r="M97" i="7"/>
  <c r="N97" i="7" s="1"/>
  <c r="M100" i="7"/>
  <c r="N100" i="7" s="1"/>
  <c r="M96" i="7"/>
  <c r="N96" i="7" s="1"/>
  <c r="M99" i="7"/>
  <c r="N99" i="7" s="1"/>
  <c r="M119" i="7"/>
  <c r="N119" i="7" s="1"/>
  <c r="E169" i="7"/>
  <c r="I164" i="7"/>
  <c r="M38" i="7"/>
  <c r="N38" i="7" s="1"/>
  <c r="M21" i="7"/>
  <c r="N21" i="7" s="1"/>
  <c r="M20" i="7"/>
  <c r="N20" i="7" s="1"/>
  <c r="M27" i="5"/>
  <c r="M40" i="7"/>
  <c r="M39" i="7"/>
  <c r="M246" i="5"/>
  <c r="N246" i="5" s="1"/>
  <c r="M122" i="5"/>
  <c r="M118" i="5"/>
  <c r="M245" i="5"/>
  <c r="N245" i="5" s="1"/>
  <c r="N251" i="5" s="1"/>
  <c r="M242" i="5"/>
  <c r="N242" i="5" s="1"/>
  <c r="K8" i="5"/>
  <c r="D26" i="5" s="1"/>
  <c r="I58" i="7"/>
  <c r="J58" i="7" s="1"/>
  <c r="J59" i="7" s="1"/>
  <c r="F54" i="7"/>
  <c r="D69" i="7"/>
  <c r="I25" i="7"/>
  <c r="I21" i="5"/>
  <c r="F131" i="5"/>
  <c r="M131" i="10"/>
  <c r="M127" i="10"/>
  <c r="N127" i="10" s="1"/>
  <c r="M116" i="5"/>
  <c r="M115" i="5"/>
  <c r="M125" i="10"/>
  <c r="M130" i="10"/>
  <c r="M124" i="10"/>
  <c r="M129" i="10"/>
  <c r="M384" i="10"/>
  <c r="N384" i="10" s="1"/>
  <c r="M409" i="10"/>
  <c r="N409" i="10" s="1"/>
  <c r="M383" i="10"/>
  <c r="N383" i="10" s="1"/>
  <c r="M386" i="10"/>
  <c r="N386" i="10" s="1"/>
  <c r="M410" i="10"/>
  <c r="N410" i="10" s="1"/>
  <c r="M385" i="10"/>
  <c r="N385" i="10" s="1"/>
  <c r="M417" i="10"/>
  <c r="N417" i="10" s="1"/>
  <c r="M342" i="10"/>
  <c r="N342" i="10" s="1"/>
  <c r="M337" i="10"/>
  <c r="N337" i="10" s="1"/>
  <c r="M344" i="10"/>
  <c r="N344" i="10" s="1"/>
  <c r="M341" i="10"/>
  <c r="N341" i="10" s="1"/>
  <c r="M334" i="10"/>
  <c r="N334" i="10" s="1"/>
  <c r="M336" i="10"/>
  <c r="N336" i="10" s="1"/>
  <c r="M332" i="10"/>
  <c r="N332" i="10" s="1"/>
  <c r="M346" i="10"/>
  <c r="N346" i="10" s="1"/>
  <c r="M345" i="10"/>
  <c r="N345" i="10" s="1"/>
  <c r="M34" i="7"/>
  <c r="N34" i="7" s="1"/>
  <c r="M33" i="7"/>
  <c r="N33" i="7" s="1"/>
  <c r="M31" i="7"/>
  <c r="N31" i="7" s="1"/>
  <c r="M32" i="7"/>
  <c r="N32" i="7" s="1"/>
  <c r="I4" i="8"/>
  <c r="I5" i="8"/>
  <c r="I218" i="10"/>
  <c r="I219" i="10"/>
  <c r="M349" i="10"/>
  <c r="N349" i="10" s="1"/>
  <c r="M350" i="10"/>
  <c r="N350" i="10" s="1"/>
  <c r="M358" i="10"/>
  <c r="N358" i="10" s="1"/>
  <c r="M356" i="10"/>
  <c r="M357" i="10"/>
  <c r="N357" i="10" s="1"/>
  <c r="M353" i="10"/>
  <c r="N353" i="10" s="1"/>
  <c r="M351" i="10"/>
  <c r="N351" i="10" s="1"/>
  <c r="M355" i="10"/>
  <c r="N355" i="10" s="1"/>
  <c r="M354" i="10"/>
  <c r="N354" i="10" s="1"/>
  <c r="M352" i="10"/>
  <c r="N352" i="10" s="1"/>
  <c r="M293" i="10"/>
  <c r="N293" i="10" s="1"/>
  <c r="M292" i="10"/>
  <c r="N292" i="10" s="1"/>
  <c r="M294" i="10"/>
  <c r="N294" i="10" s="1"/>
  <c r="J68" i="5"/>
  <c r="M331" i="10"/>
  <c r="N331" i="10" s="1"/>
  <c r="M328" i="10"/>
  <c r="N328" i="10" s="1"/>
  <c r="M329" i="10"/>
  <c r="N329" i="10" s="1"/>
  <c r="M343" i="10"/>
  <c r="N343" i="10" s="1"/>
  <c r="M340" i="10"/>
  <c r="N340" i="10" s="1"/>
  <c r="M339" i="10"/>
  <c r="N339" i="10" s="1"/>
  <c r="M333" i="10"/>
  <c r="N333" i="10" s="1"/>
  <c r="M335" i="10"/>
  <c r="N335" i="10" s="1"/>
  <c r="M338" i="10"/>
  <c r="N338" i="10" s="1"/>
  <c r="M330" i="10"/>
  <c r="N330" i="10" s="1"/>
  <c r="M365" i="10"/>
  <c r="N365" i="10" s="1"/>
  <c r="M366" i="10"/>
  <c r="N366" i="10" s="1"/>
  <c r="M305" i="10"/>
  <c r="N305" i="10" s="1"/>
  <c r="M306" i="10"/>
  <c r="N306" i="10" s="1"/>
  <c r="M308" i="10"/>
  <c r="N308" i="10" s="1"/>
  <c r="M307" i="10"/>
  <c r="N307" i="10" s="1"/>
  <c r="M310" i="10"/>
  <c r="N310" i="10" s="1"/>
  <c r="M304" i="10"/>
  <c r="N304" i="10" s="1"/>
  <c r="M309" i="10"/>
  <c r="N309" i="10" s="1"/>
  <c r="M311" i="10"/>
  <c r="N311" i="10" s="1"/>
  <c r="M313" i="10"/>
  <c r="N313" i="10" s="1"/>
  <c r="M312" i="10"/>
  <c r="N312" i="10" s="1"/>
  <c r="M300" i="10"/>
  <c r="N300" i="10" s="1"/>
  <c r="M295" i="10"/>
  <c r="N295" i="10" s="1"/>
  <c r="M296" i="10"/>
  <c r="N296" i="10" s="1"/>
  <c r="M297" i="10"/>
  <c r="N297" i="10" s="1"/>
  <c r="M301" i="10"/>
  <c r="N301" i="10" s="1"/>
  <c r="M299" i="10"/>
  <c r="N299" i="10" s="1"/>
  <c r="M298" i="10"/>
  <c r="N298" i="10" s="1"/>
  <c r="N324" i="10"/>
  <c r="N321" i="10"/>
  <c r="N325" i="10"/>
  <c r="N322" i="10"/>
  <c r="M269" i="10"/>
  <c r="N269" i="10" s="1"/>
  <c r="M274" i="10"/>
  <c r="N274" i="10" s="1"/>
  <c r="M272" i="10"/>
  <c r="N272" i="10" s="1"/>
  <c r="N323" i="10"/>
  <c r="N320" i="10"/>
  <c r="N317" i="10"/>
  <c r="N319" i="10"/>
  <c r="N318" i="10"/>
  <c r="N316" i="10"/>
  <c r="M361" i="10"/>
  <c r="N361" i="10" s="1"/>
  <c r="M362" i="10"/>
  <c r="N362" i="10" s="1"/>
  <c r="I20" i="10"/>
  <c r="I141" i="10"/>
  <c r="J141" i="10" s="1"/>
  <c r="I174" i="5"/>
  <c r="I202" i="5" s="1"/>
  <c r="J202" i="5" s="1"/>
  <c r="N5" i="5"/>
  <c r="I113" i="5" s="1"/>
  <c r="I120" i="5" s="1"/>
  <c r="J120" i="5" s="1"/>
  <c r="M235" i="10"/>
  <c r="N235" i="10" s="1"/>
  <c r="M238" i="10"/>
  <c r="N238" i="10" s="1"/>
  <c r="M234" i="10"/>
  <c r="N234" i="10" s="1"/>
  <c r="M237" i="10"/>
  <c r="N237" i="10" s="1"/>
  <c r="M205" i="10"/>
  <c r="N205" i="10" s="1"/>
  <c r="M158" i="10"/>
  <c r="N158" i="10" s="1"/>
  <c r="M276" i="10"/>
  <c r="N276" i="10" s="1"/>
  <c r="J99" i="5"/>
  <c r="M8" i="5"/>
  <c r="D31" i="5" s="1"/>
  <c r="K31" i="5" s="1"/>
  <c r="L31" i="5" s="1"/>
  <c r="D37" i="5"/>
  <c r="E79" i="5" s="1"/>
  <c r="D39" i="5"/>
  <c r="E82" i="5"/>
  <c r="I82" i="5" s="1"/>
  <c r="J82" i="5" s="1"/>
  <c r="M175" i="10"/>
  <c r="N175" i="10" s="1"/>
  <c r="M145" i="10"/>
  <c r="M432" i="10"/>
  <c r="N432" i="10" s="1"/>
  <c r="J33" i="10"/>
  <c r="I35" i="10"/>
  <c r="M21" i="10"/>
  <c r="N21" i="10" s="1"/>
  <c r="M20" i="10"/>
  <c r="M36" i="10"/>
  <c r="M35" i="10"/>
  <c r="J20" i="10"/>
  <c r="K8" i="10"/>
  <c r="D27" i="10" s="1"/>
  <c r="M38" i="10"/>
  <c r="M34" i="10"/>
  <c r="M37" i="10"/>
  <c r="M42" i="10"/>
  <c r="M44" i="10"/>
  <c r="M43" i="10"/>
  <c r="M29" i="10"/>
  <c r="M425" i="10"/>
  <c r="M428" i="10"/>
  <c r="N428" i="10" s="1"/>
  <c r="M48" i="10"/>
  <c r="N48" i="10" s="1"/>
  <c r="M156" i="10"/>
  <c r="N156" i="10" s="1"/>
  <c r="M169" i="10"/>
  <c r="M167" i="10"/>
  <c r="M168" i="10"/>
  <c r="M164" i="10"/>
  <c r="M165" i="10"/>
  <c r="M166" i="10"/>
  <c r="I22" i="10"/>
  <c r="F140" i="10"/>
  <c r="M433" i="10"/>
  <c r="N433" i="10" s="1"/>
  <c r="I427" i="10"/>
  <c r="J427" i="10" s="1"/>
  <c r="M418" i="10"/>
  <c r="N418" i="10" s="1"/>
  <c r="E431" i="10"/>
  <c r="I426" i="10"/>
  <c r="J426" i="10" s="1"/>
  <c r="I431" i="10"/>
  <c r="J431" i="10" s="1"/>
  <c r="M151" i="7"/>
  <c r="N151" i="7" s="1"/>
  <c r="M152" i="7"/>
  <c r="N152" i="7" s="1"/>
  <c r="M150" i="7"/>
  <c r="N150" i="7" s="1"/>
  <c r="M247" i="7"/>
  <c r="N247" i="7" s="1"/>
  <c r="M249" i="7"/>
  <c r="N249" i="7" s="1"/>
  <c r="M250" i="7"/>
  <c r="N250" i="7" s="1"/>
  <c r="M248" i="7"/>
  <c r="N248" i="7" s="1"/>
  <c r="M135" i="5"/>
  <c r="M75" i="7"/>
  <c r="M48" i="5"/>
  <c r="M28" i="7"/>
  <c r="M153" i="10"/>
  <c r="M187" i="10"/>
  <c r="M262" i="10"/>
  <c r="N262" i="10" s="1"/>
  <c r="M24" i="5"/>
  <c r="M155" i="10"/>
  <c r="M53" i="10"/>
  <c r="M263" i="10"/>
  <c r="N263" i="10" s="1"/>
  <c r="M266" i="10"/>
  <c r="N266" i="10" s="1"/>
  <c r="M264" i="10"/>
  <c r="N264" i="10" s="1"/>
  <c r="M159" i="10"/>
  <c r="N159" i="10" s="1"/>
  <c r="M416" i="10"/>
  <c r="N416" i="10" s="1"/>
  <c r="I202" i="10"/>
  <c r="J202" i="10" s="1"/>
  <c r="I201" i="10"/>
  <c r="J201" i="10" s="1"/>
  <c r="J429" i="10"/>
  <c r="M371" i="10"/>
  <c r="N371" i="10" s="1"/>
  <c r="M370" i="10"/>
  <c r="N370" i="10" s="1"/>
  <c r="M369" i="10"/>
  <c r="N369" i="10" s="1"/>
  <c r="I58" i="10"/>
  <c r="J58" i="10" s="1"/>
  <c r="M390" i="10"/>
  <c r="N390" i="10" s="1"/>
  <c r="M389" i="10"/>
  <c r="N389" i="10" s="1"/>
  <c r="M387" i="10"/>
  <c r="N387" i="10" s="1"/>
  <c r="M388" i="10"/>
  <c r="N388" i="10" s="1"/>
  <c r="M190" i="10"/>
  <c r="M422" i="10"/>
  <c r="N422" i="10" s="1"/>
  <c r="M192" i="10"/>
  <c r="N192" i="10" s="1"/>
  <c r="M141" i="5"/>
  <c r="M142" i="10"/>
  <c r="M22" i="5"/>
  <c r="M54" i="5"/>
  <c r="M161" i="7"/>
  <c r="M78" i="10"/>
  <c r="M30" i="10"/>
  <c r="M55" i="10"/>
  <c r="M144" i="10"/>
  <c r="M71" i="5"/>
  <c r="M134" i="7"/>
  <c r="M133" i="5"/>
  <c r="M46" i="5"/>
  <c r="M34" i="5"/>
  <c r="M59" i="7"/>
  <c r="M61" i="10"/>
  <c r="M136" i="7"/>
  <c r="M173" i="10"/>
  <c r="N173" i="10" s="1"/>
  <c r="M41" i="5"/>
  <c r="M163" i="5"/>
  <c r="M77" i="7"/>
  <c r="M69" i="5"/>
  <c r="M143" i="5"/>
  <c r="M47" i="10"/>
  <c r="M76" i="10"/>
  <c r="M26" i="7"/>
  <c r="M52" i="7"/>
  <c r="M25" i="10"/>
  <c r="M80" i="10"/>
  <c r="N80" i="10" s="1"/>
  <c r="M23" i="10"/>
  <c r="M142" i="7"/>
  <c r="M144" i="7"/>
  <c r="M29" i="5"/>
  <c r="M32" i="5"/>
  <c r="M14" i="10"/>
  <c r="M40" i="5"/>
  <c r="N50" i="15"/>
  <c r="N54" i="15"/>
  <c r="N56" i="15"/>
  <c r="N66" i="15"/>
  <c r="N68" i="15"/>
  <c r="N80" i="15"/>
  <c r="N90" i="15"/>
  <c r="N92" i="15"/>
  <c r="N104" i="15"/>
  <c r="N114" i="15"/>
  <c r="N116" i="15"/>
  <c r="N126" i="15"/>
  <c r="N128" i="15"/>
  <c r="N136" i="15"/>
  <c r="N138" i="15"/>
  <c r="N140" i="15"/>
  <c r="N150" i="15"/>
  <c r="N152" i="15"/>
  <c r="N162" i="15"/>
  <c r="D19" i="7"/>
  <c r="M19" i="7" s="1"/>
  <c r="N19" i="7" s="1"/>
  <c r="J379" i="10"/>
  <c r="M228" i="7"/>
  <c r="N228" i="7" s="1"/>
  <c r="M78" i="5"/>
  <c r="M25" i="7"/>
  <c r="M415" i="10"/>
  <c r="N415" i="10" s="1"/>
  <c r="M45" i="5"/>
  <c r="N45" i="5" s="1"/>
  <c r="M56" i="10"/>
  <c r="N56" i="10" s="1"/>
  <c r="M141" i="10"/>
  <c r="M218" i="10"/>
  <c r="M392" i="10"/>
  <c r="N392" i="10" s="1"/>
  <c r="M183" i="7"/>
  <c r="M147" i="7"/>
  <c r="N147" i="7" s="1"/>
  <c r="M138" i="7"/>
  <c r="J55" i="10"/>
  <c r="M38" i="5"/>
  <c r="M104" i="5"/>
  <c r="N104" i="5" s="1"/>
  <c r="M191" i="7"/>
  <c r="N191" i="7" s="1"/>
  <c r="J215" i="7"/>
  <c r="J219" i="7" s="1"/>
  <c r="M156" i="5"/>
  <c r="N156" i="5" s="1"/>
  <c r="M72" i="10"/>
  <c r="N2" i="15"/>
  <c r="Q2" i="15" s="1"/>
  <c r="I151" i="10"/>
  <c r="J151" i="10" s="1"/>
  <c r="J161" i="7"/>
  <c r="N7" i="15"/>
  <c r="Q7" i="15" s="1"/>
  <c r="N40" i="15"/>
  <c r="Q40" i="15" s="1"/>
  <c r="N43" i="15"/>
  <c r="Q43" i="15" s="1"/>
  <c r="J46" i="5"/>
  <c r="N15" i="15"/>
  <c r="Q15" i="15" s="1"/>
  <c r="N18" i="15"/>
  <c r="Q18" i="15" s="1"/>
  <c r="N39" i="15"/>
  <c r="Q39" i="15" s="1"/>
  <c r="N48" i="15"/>
  <c r="Q48" i="15" s="1"/>
  <c r="N53" i="15"/>
  <c r="M420" i="10"/>
  <c r="M243" i="10"/>
  <c r="N243" i="10" s="1"/>
  <c r="M197" i="10"/>
  <c r="M193" i="10"/>
  <c r="M179" i="10"/>
  <c r="N179" i="10" s="1"/>
  <c r="M160" i="10"/>
  <c r="N160" i="10" s="1"/>
  <c r="M91" i="10"/>
  <c r="N91" i="10" s="1"/>
  <c r="M87" i="10"/>
  <c r="M81" i="10"/>
  <c r="M62" i="10"/>
  <c r="M231" i="7"/>
  <c r="N231" i="7" s="1"/>
  <c r="M187" i="7"/>
  <c r="N187" i="7" s="1"/>
  <c r="M182" i="7"/>
  <c r="N182" i="7" s="1"/>
  <c r="M166" i="7"/>
  <c r="N166" i="7" s="1"/>
  <c r="M164" i="7"/>
  <c r="M141" i="7"/>
  <c r="N141" i="7" s="1"/>
  <c r="M86" i="7"/>
  <c r="M84" i="7"/>
  <c r="N84" i="7" s="1"/>
  <c r="M76" i="7"/>
  <c r="N76" i="7" s="1"/>
  <c r="M16" i="7"/>
  <c r="M397" i="10"/>
  <c r="N397" i="10" s="1"/>
  <c r="M281" i="10"/>
  <c r="N281" i="10" s="1"/>
  <c r="M273" i="10"/>
  <c r="N273" i="10" s="1"/>
  <c r="M232" i="10"/>
  <c r="N232" i="10" s="1"/>
  <c r="M221" i="10"/>
  <c r="N221" i="10" s="1"/>
  <c r="M219" i="10"/>
  <c r="M212" i="10"/>
  <c r="M196" i="10"/>
  <c r="M104" i="10"/>
  <c r="N104" i="10" s="1"/>
  <c r="M86" i="10"/>
  <c r="M73" i="10"/>
  <c r="N73" i="10" s="1"/>
  <c r="M49" i="10"/>
  <c r="N49" i="10" s="1"/>
  <c r="M46" i="10"/>
  <c r="N46" i="10" s="1"/>
  <c r="M19" i="10"/>
  <c r="M225" i="7"/>
  <c r="N225" i="7" s="1"/>
  <c r="M215" i="7"/>
  <c r="M211" i="7"/>
  <c r="M188" i="7"/>
  <c r="N188" i="7" s="1"/>
  <c r="M175" i="7"/>
  <c r="M171" i="7"/>
  <c r="M169" i="7"/>
  <c r="M156" i="7"/>
  <c r="N156" i="7" s="1"/>
  <c r="M81" i="7"/>
  <c r="M232" i="5"/>
  <c r="N232" i="5" s="1"/>
  <c r="M229" i="5"/>
  <c r="N229" i="5" s="1"/>
  <c r="M227" i="5"/>
  <c r="N227" i="5" s="1"/>
  <c r="M218" i="5"/>
  <c r="N218" i="5" s="1"/>
  <c r="M215" i="5"/>
  <c r="N215" i="5" s="1"/>
  <c r="M213" i="5"/>
  <c r="N213" i="5" s="1"/>
  <c r="M194" i="5"/>
  <c r="N194" i="5" s="1"/>
  <c r="M187" i="5"/>
  <c r="N187" i="5" s="1"/>
  <c r="M429" i="10"/>
  <c r="M251" i="10"/>
  <c r="M247" i="10"/>
  <c r="M217" i="10"/>
  <c r="N217" i="10" s="1"/>
  <c r="M198" i="10"/>
  <c r="M178" i="10"/>
  <c r="N178" i="10" s="1"/>
  <c r="M90" i="10"/>
  <c r="N90" i="10" s="1"/>
  <c r="M88" i="10"/>
  <c r="M59" i="10"/>
  <c r="M15" i="10"/>
  <c r="M234" i="7"/>
  <c r="N234" i="7" s="1"/>
  <c r="M232" i="7"/>
  <c r="N232" i="7" s="1"/>
  <c r="M226" i="7"/>
  <c r="N226" i="7" s="1"/>
  <c r="M196" i="7"/>
  <c r="N196" i="7" s="1"/>
  <c r="M159" i="7"/>
  <c r="M137" i="7"/>
  <c r="N137" i="7" s="1"/>
  <c r="M135" i="7"/>
  <c r="M85" i="7"/>
  <c r="N85" i="7" s="1"/>
  <c r="M80" i="7"/>
  <c r="M200" i="5"/>
  <c r="N200" i="5" s="1"/>
  <c r="M186" i="5"/>
  <c r="N186" i="5" s="1"/>
  <c r="M178" i="5"/>
  <c r="M169" i="5"/>
  <c r="N169" i="5" s="1"/>
  <c r="M162" i="5"/>
  <c r="N162" i="5" s="1"/>
  <c r="M152" i="5"/>
  <c r="N152" i="5" s="1"/>
  <c r="M137" i="5"/>
  <c r="M105" i="5"/>
  <c r="N105" i="5" s="1"/>
  <c r="M97" i="5"/>
  <c r="N97" i="5" s="1"/>
  <c r="M84" i="5"/>
  <c r="N84" i="5" s="1"/>
  <c r="M80" i="5"/>
  <c r="M72" i="5"/>
  <c r="N72" i="5" s="1"/>
  <c r="M83" i="5"/>
  <c r="N83" i="5" s="1"/>
  <c r="M73" i="5"/>
  <c r="M112" i="10"/>
  <c r="N112" i="10" s="1"/>
  <c r="M92" i="10"/>
  <c r="M82" i="10"/>
  <c r="N82" i="10" s="1"/>
  <c r="M28" i="10"/>
  <c r="M210" i="7"/>
  <c r="M198" i="7"/>
  <c r="M165" i="7"/>
  <c r="N165" i="7" s="1"/>
  <c r="M146" i="7"/>
  <c r="N146" i="7" s="1"/>
  <c r="M82" i="7"/>
  <c r="M73" i="7"/>
  <c r="N73" i="7" s="1"/>
  <c r="M56" i="7"/>
  <c r="M49" i="7"/>
  <c r="M202" i="5"/>
  <c r="M197" i="5"/>
  <c r="N197" i="5" s="1"/>
  <c r="M188" i="5"/>
  <c r="N188" i="5" s="1"/>
  <c r="M184" i="5"/>
  <c r="N184" i="5" s="1"/>
  <c r="M180" i="5"/>
  <c r="N180" i="5" s="1"/>
  <c r="M174" i="5"/>
  <c r="M170" i="5"/>
  <c r="N170" i="5" s="1"/>
  <c r="M164" i="5"/>
  <c r="M147" i="5"/>
  <c r="M136" i="5"/>
  <c r="N136" i="5" s="1"/>
  <c r="M102" i="5"/>
  <c r="N102" i="5" s="1"/>
  <c r="M100" i="5"/>
  <c r="M82" i="5"/>
  <c r="M75" i="5"/>
  <c r="M70" i="5"/>
  <c r="N70" i="5" s="1"/>
  <c r="M68" i="5"/>
  <c r="M66" i="5"/>
  <c r="N66" i="5" s="1"/>
  <c r="M51" i="5"/>
  <c r="M44" i="5"/>
  <c r="N44" i="5" s="1"/>
  <c r="M15" i="5"/>
  <c r="M98" i="5"/>
  <c r="N98" i="5" s="1"/>
  <c r="M95" i="5"/>
  <c r="N95" i="5" s="1"/>
  <c r="M400" i="10"/>
  <c r="N400" i="10" s="1"/>
  <c r="M277" i="10"/>
  <c r="N277" i="10" s="1"/>
  <c r="M208" i="10"/>
  <c r="N208" i="10" s="1"/>
  <c r="M188" i="10"/>
  <c r="M151" i="10"/>
  <c r="M77" i="10"/>
  <c r="N77" i="10" s="1"/>
  <c r="M17" i="10"/>
  <c r="M235" i="7"/>
  <c r="N235" i="7" s="1"/>
  <c r="M227" i="7"/>
  <c r="N227" i="7" s="1"/>
  <c r="M212" i="7"/>
  <c r="M201" i="7"/>
  <c r="M181" i="7"/>
  <c r="M174" i="7"/>
  <c r="M79" i="7"/>
  <c r="M58" i="7"/>
  <c r="M18" i="7"/>
  <c r="M230" i="5"/>
  <c r="N230" i="5" s="1"/>
  <c r="M228" i="5"/>
  <c r="N228" i="5" s="1"/>
  <c r="M193" i="5"/>
  <c r="N193" i="5" s="1"/>
  <c r="M191" i="5"/>
  <c r="N191" i="5" s="1"/>
  <c r="M172" i="5"/>
  <c r="M155" i="5"/>
  <c r="N155" i="5" s="1"/>
  <c r="M134" i="5"/>
  <c r="M132" i="5"/>
  <c r="M79" i="5"/>
  <c r="M53" i="5"/>
  <c r="M17" i="5"/>
  <c r="M227" i="10"/>
  <c r="N227" i="10" s="1"/>
  <c r="M185" i="10"/>
  <c r="M181" i="10"/>
  <c r="M89" i="10"/>
  <c r="N89" i="10" s="1"/>
  <c r="M75" i="10"/>
  <c r="N75" i="10" s="1"/>
  <c r="M65" i="10"/>
  <c r="M197" i="7"/>
  <c r="M195" i="7"/>
  <c r="N195" i="7" s="1"/>
  <c r="M192" i="7"/>
  <c r="M186" i="7"/>
  <c r="N186" i="7" s="1"/>
  <c r="M160" i="7"/>
  <c r="N160" i="7" s="1"/>
  <c r="M83" i="7"/>
  <c r="M51" i="7"/>
  <c r="M196" i="5"/>
  <c r="M182" i="5"/>
  <c r="N182" i="5" s="1"/>
  <c r="M177" i="5"/>
  <c r="M171" i="5"/>
  <c r="N171" i="5" s="1"/>
  <c r="M167" i="5"/>
  <c r="M161" i="5"/>
  <c r="M151" i="5"/>
  <c r="N151" i="5" s="1"/>
  <c r="M149" i="5"/>
  <c r="M145" i="5"/>
  <c r="M140" i="5"/>
  <c r="N140" i="5" s="1"/>
  <c r="M103" i="5"/>
  <c r="N103" i="5" s="1"/>
  <c r="N47" i="15"/>
  <c r="Q47" i="15" s="1"/>
  <c r="N58" i="15"/>
  <c r="N70" i="15"/>
  <c r="N76" i="15"/>
  <c r="N82" i="15"/>
  <c r="N88" i="15"/>
  <c r="N94" i="15"/>
  <c r="N106" i="15"/>
  <c r="N112" i="15"/>
  <c r="N118" i="15"/>
  <c r="N124" i="15"/>
  <c r="N130" i="15"/>
  <c r="N142" i="15"/>
  <c r="N148" i="15"/>
  <c r="N154" i="15"/>
  <c r="N160" i="15"/>
  <c r="M85" i="5"/>
  <c r="M74" i="5"/>
  <c r="N74" i="5" s="1"/>
  <c r="M142" i="5"/>
  <c r="M55" i="5"/>
  <c r="J147" i="5"/>
  <c r="M157" i="5"/>
  <c r="M14" i="7"/>
  <c r="M145" i="7"/>
  <c r="N145" i="7" s="1"/>
  <c r="M24" i="10"/>
  <c r="I25" i="10"/>
  <c r="M214" i="10"/>
  <c r="N214" i="10" s="1"/>
  <c r="M144" i="5"/>
  <c r="N144" i="5" s="1"/>
  <c r="M185" i="5"/>
  <c r="N185" i="5" s="1"/>
  <c r="M198" i="5"/>
  <c r="N198" i="5" s="1"/>
  <c r="M244" i="5"/>
  <c r="M224" i="7"/>
  <c r="N224" i="7" s="1"/>
  <c r="M183" i="5"/>
  <c r="N183" i="5" s="1"/>
  <c r="M195" i="10"/>
  <c r="M99" i="5"/>
  <c r="M192" i="5"/>
  <c r="N192" i="5" s="1"/>
  <c r="M42" i="5"/>
  <c r="N42" i="5" s="1"/>
  <c r="M179" i="5"/>
  <c r="N179" i="5" s="1"/>
  <c r="M143" i="7"/>
  <c r="M106" i="10"/>
  <c r="M50" i="7"/>
  <c r="M133" i="7"/>
  <c r="M180" i="7"/>
  <c r="M155" i="7"/>
  <c r="N155" i="7" s="1"/>
  <c r="M176" i="7"/>
  <c r="M214" i="7"/>
  <c r="N214" i="7" s="1"/>
  <c r="E70" i="10"/>
  <c r="M70" i="10"/>
  <c r="M19" i="5"/>
  <c r="M52" i="5"/>
  <c r="M81" i="5"/>
  <c r="M166" i="5"/>
  <c r="N166" i="5" s="1"/>
  <c r="M170" i="7"/>
  <c r="M47" i="5"/>
  <c r="M49" i="5"/>
  <c r="N49" i="5" s="1"/>
  <c r="M96" i="5"/>
  <c r="N96" i="5" s="1"/>
  <c r="M148" i="5"/>
  <c r="M214" i="5"/>
  <c r="N214" i="5" s="1"/>
  <c r="M217" i="5"/>
  <c r="M74" i="7"/>
  <c r="N74" i="7" s="1"/>
  <c r="M51" i="10"/>
  <c r="N51" i="10" s="1"/>
  <c r="M220" i="10"/>
  <c r="N220" i="10" s="1"/>
  <c r="M245" i="10"/>
  <c r="N245" i="10" s="1"/>
  <c r="M421" i="10"/>
  <c r="N421" i="10" s="1"/>
  <c r="M64" i="5"/>
  <c r="N4" i="15"/>
  <c r="Q4" i="15" s="1"/>
  <c r="M21" i="5"/>
  <c r="G115" i="10"/>
  <c r="M60" i="5"/>
  <c r="M23" i="5"/>
  <c r="N150" i="10"/>
  <c r="J153" i="10"/>
  <c r="N46" i="15"/>
  <c r="N59" i="15"/>
  <c r="N61" i="15"/>
  <c r="N71" i="15"/>
  <c r="N73" i="15"/>
  <c r="N83" i="15"/>
  <c r="N85" i="15"/>
  <c r="N95" i="15"/>
  <c r="N97" i="15"/>
  <c r="N107" i="15"/>
  <c r="N109" i="15"/>
  <c r="N119" i="15"/>
  <c r="N121" i="15"/>
  <c r="N129" i="15"/>
  <c r="N131" i="15"/>
  <c r="N133" i="15"/>
  <c r="N141" i="15"/>
  <c r="N143" i="15"/>
  <c r="N145" i="15"/>
  <c r="N153" i="15"/>
  <c r="N155" i="15"/>
  <c r="N157" i="15"/>
  <c r="C3" i="8"/>
  <c r="L3" i="8" s="1"/>
  <c r="M22" i="10"/>
  <c r="I73" i="5"/>
  <c r="J73" i="5" s="1"/>
  <c r="I75" i="5"/>
  <c r="J75" i="5" s="1"/>
  <c r="C57" i="5"/>
  <c r="E62" i="5"/>
  <c r="M62" i="5"/>
  <c r="I142" i="5"/>
  <c r="J142" i="5" s="1"/>
  <c r="J143" i="5" s="1"/>
  <c r="J141" i="5"/>
  <c r="I196" i="5"/>
  <c r="J196" i="5" s="1"/>
  <c r="E244" i="5"/>
  <c r="I244" i="5"/>
  <c r="J244" i="5" s="1"/>
  <c r="N240" i="5"/>
  <c r="J83" i="10"/>
  <c r="J81" i="10"/>
  <c r="J380" i="10"/>
  <c r="I100" i="5"/>
  <c r="J100" i="5" s="1"/>
  <c r="J69" i="5"/>
  <c r="I217" i="5"/>
  <c r="J217" i="5" s="1"/>
  <c r="J222" i="5" s="1"/>
  <c r="J5" i="7"/>
  <c r="J142" i="7"/>
  <c r="C4" i="8"/>
  <c r="I154" i="10"/>
  <c r="J154" i="10" s="1"/>
  <c r="J155" i="10" s="1"/>
  <c r="J71" i="5"/>
  <c r="J77" i="7"/>
  <c r="I108" i="10"/>
  <c r="J108" i="10" s="1"/>
  <c r="I106" i="10"/>
  <c r="J106" i="10" s="1"/>
  <c r="M412" i="10"/>
  <c r="N412" i="10" s="1"/>
  <c r="M270" i="10"/>
  <c r="N270" i="10" s="1"/>
  <c r="M248" i="10"/>
  <c r="M246" i="10"/>
  <c r="N246" i="10" s="1"/>
  <c r="M228" i="10"/>
  <c r="N228" i="10" s="1"/>
  <c r="M226" i="10"/>
  <c r="N226" i="10" s="1"/>
  <c r="M206" i="10"/>
  <c r="N206" i="10" s="1"/>
  <c r="M200" i="10"/>
  <c r="N200" i="10" s="1"/>
  <c r="M191" i="10"/>
  <c r="N191" i="10" s="1"/>
  <c r="M174" i="10"/>
  <c r="N174" i="10" s="1"/>
  <c r="M143" i="10"/>
  <c r="M110" i="10"/>
  <c r="M107" i="10"/>
  <c r="M103" i="10"/>
  <c r="N103" i="10" s="1"/>
  <c r="M93" i="10"/>
  <c r="N93" i="10" s="1"/>
  <c r="M83" i="10"/>
  <c r="M79" i="10"/>
  <c r="N79" i="10" s="1"/>
  <c r="M60" i="10"/>
  <c r="M207" i="10"/>
  <c r="N207" i="10" s="1"/>
  <c r="M202" i="10"/>
  <c r="M154" i="10"/>
  <c r="M113" i="10"/>
  <c r="N113" i="10" s="1"/>
  <c r="M109" i="10"/>
  <c r="M242" i="10"/>
  <c r="N242" i="10" s="1"/>
  <c r="M223" i="10"/>
  <c r="M201" i="10"/>
  <c r="M186" i="10"/>
  <c r="N186" i="10" s="1"/>
  <c r="M152" i="10"/>
  <c r="N152" i="10" s="1"/>
  <c r="M147" i="10"/>
  <c r="M111" i="10"/>
  <c r="M108" i="10"/>
  <c r="M105" i="10"/>
  <c r="N105" i="10" s="1"/>
  <c r="M58" i="10"/>
  <c r="M54" i="10"/>
  <c r="N54" i="10" s="1"/>
  <c r="M52" i="10"/>
  <c r="N52" i="10" s="1"/>
  <c r="M71" i="10"/>
  <c r="M271" i="10"/>
  <c r="N271" i="10" s="1"/>
  <c r="M395" i="10"/>
  <c r="N395" i="10" s="1"/>
  <c r="M375" i="10"/>
  <c r="N375" i="10" s="1"/>
  <c r="M391" i="10"/>
  <c r="N391" i="10" s="1"/>
  <c r="M393" i="10"/>
  <c r="N393" i="10" s="1"/>
  <c r="N64" i="15"/>
  <c r="M414" i="10"/>
  <c r="N414" i="10" s="1"/>
  <c r="M427" i="10"/>
  <c r="O50" i="15"/>
  <c r="P44" i="15"/>
  <c r="N100" i="15"/>
  <c r="J185" i="10"/>
  <c r="M374" i="10"/>
  <c r="N374" i="10" s="1"/>
  <c r="M394" i="10"/>
  <c r="N394" i="10" s="1"/>
  <c r="M396" i="10"/>
  <c r="N396" i="10" s="1"/>
  <c r="M398" i="10"/>
  <c r="N398" i="10" s="1"/>
  <c r="M430" i="10"/>
  <c r="N19" i="15"/>
  <c r="Q19" i="15" s="1"/>
  <c r="P46" i="15"/>
  <c r="N60" i="15"/>
  <c r="N62" i="15"/>
  <c r="N77" i="15"/>
  <c r="N79" i="15"/>
  <c r="N96" i="15"/>
  <c r="N98" i="15"/>
  <c r="N113" i="15"/>
  <c r="N115" i="15"/>
  <c r="N132" i="15"/>
  <c r="N134" i="15"/>
  <c r="N149" i="15"/>
  <c r="N151" i="15"/>
  <c r="M231" i="10"/>
  <c r="N231" i="10" s="1"/>
  <c r="M241" i="10"/>
  <c r="N241" i="10" s="1"/>
  <c r="M249" i="10"/>
  <c r="N249" i="10" s="1"/>
  <c r="M275" i="10"/>
  <c r="N275" i="10" s="1"/>
  <c r="M280" i="10"/>
  <c r="N280" i="10" s="1"/>
  <c r="N356" i="10"/>
  <c r="M426" i="10"/>
  <c r="N55" i="15"/>
  <c r="N74" i="15"/>
  <c r="N89" i="15"/>
  <c r="N91" i="15"/>
  <c r="N108" i="15"/>
  <c r="N110" i="15"/>
  <c r="N125" i="15"/>
  <c r="N127" i="15"/>
  <c r="N146" i="15"/>
  <c r="N161" i="15"/>
  <c r="N163" i="15"/>
  <c r="J76" i="10"/>
  <c r="N20" i="15"/>
  <c r="Q20" i="15" s="1"/>
  <c r="N23" i="15"/>
  <c r="Q23" i="15" s="1"/>
  <c r="N29" i="15"/>
  <c r="Q29" i="15" s="1"/>
  <c r="N35" i="15"/>
  <c r="Q35" i="15" s="1"/>
  <c r="N38" i="15"/>
  <c r="Q38" i="15" s="1"/>
  <c r="N52" i="15"/>
  <c r="N65" i="15"/>
  <c r="N67" i="15"/>
  <c r="N84" i="15"/>
  <c r="N86" i="15"/>
  <c r="N101" i="15"/>
  <c r="N103" i="15"/>
  <c r="N122" i="15"/>
  <c r="N137" i="15"/>
  <c r="N139" i="15"/>
  <c r="N156" i="15"/>
  <c r="N158" i="15"/>
  <c r="N411" i="10"/>
  <c r="M68" i="10"/>
  <c r="E68" i="10"/>
  <c r="M66" i="10"/>
  <c r="E66" i="10"/>
  <c r="D67" i="7"/>
  <c r="I67" i="7" s="1"/>
  <c r="J67" i="7" s="1"/>
  <c r="I135" i="7"/>
  <c r="J135" i="7" s="1"/>
  <c r="N206" i="5"/>
  <c r="E58" i="5"/>
  <c r="M58" i="5"/>
  <c r="D65" i="7"/>
  <c r="M65" i="7" s="1"/>
  <c r="D64" i="7"/>
  <c r="I18" i="7"/>
  <c r="J18" i="7" s="1"/>
  <c r="I4" i="10"/>
  <c r="I64" i="10"/>
  <c r="I57" i="5"/>
  <c r="J161" i="5"/>
  <c r="J163" i="5"/>
  <c r="J47" i="10"/>
  <c r="L2" i="8"/>
  <c r="J150" i="5"/>
  <c r="I26" i="7"/>
  <c r="I72" i="10"/>
  <c r="D15" i="7"/>
  <c r="M15" i="7" s="1"/>
  <c r="I143" i="7"/>
  <c r="J143" i="7" s="1"/>
  <c r="J144" i="7" s="1"/>
  <c r="J107" i="10"/>
  <c r="J187" i="10"/>
  <c r="P51" i="15"/>
  <c r="N3" i="15"/>
  <c r="Q3" i="15" s="1"/>
  <c r="N10" i="15"/>
  <c r="Q10" i="15" s="1"/>
  <c r="N13" i="15"/>
  <c r="Q13" i="15" s="1"/>
  <c r="N33" i="15"/>
  <c r="Q33" i="15" s="1"/>
  <c r="N36" i="15"/>
  <c r="Q36" i="15" s="1"/>
  <c r="P45" i="15"/>
  <c r="N63" i="15"/>
  <c r="N75" i="15"/>
  <c r="N87" i="15"/>
  <c r="N99" i="15"/>
  <c r="N111" i="15"/>
  <c r="N123" i="15"/>
  <c r="N135" i="15"/>
  <c r="N147" i="15"/>
  <c r="N159" i="15"/>
  <c r="M431" i="10"/>
  <c r="J430" i="10"/>
  <c r="N5" i="15"/>
  <c r="Q5" i="15" s="1"/>
  <c r="N8" i="15"/>
  <c r="Q8" i="15" s="1"/>
  <c r="N21" i="15"/>
  <c r="Q21" i="15" s="1"/>
  <c r="N41" i="15"/>
  <c r="Q41" i="15" s="1"/>
  <c r="N45" i="15"/>
  <c r="P49" i="15"/>
  <c r="N51" i="15"/>
  <c r="N57" i="15"/>
  <c r="N69" i="15"/>
  <c r="N81" i="15"/>
  <c r="N93" i="15"/>
  <c r="N105" i="15"/>
  <c r="N117" i="15"/>
  <c r="N17" i="15"/>
  <c r="Q17" i="15" s="1"/>
  <c r="N24" i="15"/>
  <c r="Q24" i="15" s="1"/>
  <c r="N31" i="15"/>
  <c r="Q31" i="15" s="1"/>
  <c r="M93" i="5"/>
  <c r="M107" i="5"/>
  <c r="M199" i="5"/>
  <c r="N199" i="5" s="1"/>
  <c r="M201" i="5"/>
  <c r="N201" i="5" s="1"/>
  <c r="M175" i="5"/>
  <c r="M48" i="7"/>
  <c r="N48" i="7" s="1"/>
  <c r="M50" i="5"/>
  <c r="N50" i="5" s="1"/>
  <c r="M119" i="5"/>
  <c r="M109" i="5"/>
  <c r="M239" i="5"/>
  <c r="M185" i="7"/>
  <c r="N185" i="7" s="1"/>
  <c r="M200" i="7"/>
  <c r="N200" i="7" s="1"/>
  <c r="M97" i="10"/>
  <c r="M114" i="10"/>
  <c r="M13" i="10"/>
  <c r="M101" i="5"/>
  <c r="M165" i="5"/>
  <c r="M190" i="5"/>
  <c r="N190" i="5" s="1"/>
  <c r="M120" i="7"/>
  <c r="M252" i="7"/>
  <c r="N252" i="7" s="1"/>
  <c r="M138" i="10"/>
  <c r="M211" i="10"/>
  <c r="M250" i="10"/>
  <c r="N250" i="10" s="1"/>
  <c r="M94" i="5"/>
  <c r="M153" i="5"/>
  <c r="M176" i="5"/>
  <c r="N176" i="5" s="1"/>
  <c r="M243" i="5"/>
  <c r="M179" i="7"/>
  <c r="N179" i="7" s="1"/>
  <c r="M57" i="10"/>
  <c r="N57" i="10" s="1"/>
  <c r="M118" i="10"/>
  <c r="M67" i="5"/>
  <c r="M106" i="5"/>
  <c r="M195" i="5"/>
  <c r="N195" i="5" s="1"/>
  <c r="M194" i="7"/>
  <c r="N194" i="7" s="1"/>
  <c r="M84" i="10"/>
  <c r="M95" i="10"/>
  <c r="M110" i="5"/>
  <c r="M160" i="5"/>
  <c r="N160" i="5" s="1"/>
  <c r="M181" i="5"/>
  <c r="N181" i="5" s="1"/>
  <c r="M189" i="5"/>
  <c r="N189" i="5" s="1"/>
  <c r="M115" i="7"/>
  <c r="N115" i="7" s="1"/>
  <c r="M26" i="10"/>
  <c r="M133" i="10"/>
  <c r="M149" i="10"/>
  <c r="M74" i="10"/>
  <c r="M85" i="10"/>
  <c r="M101" i="10"/>
  <c r="M120" i="10"/>
  <c r="M135" i="10"/>
  <c r="M183" i="10"/>
  <c r="M184" i="10"/>
  <c r="N184" i="10" s="1"/>
  <c r="M96" i="10"/>
  <c r="M100" i="10"/>
  <c r="M117" i="10"/>
  <c r="G139" i="10"/>
  <c r="M182" i="10"/>
  <c r="M178" i="7"/>
  <c r="M233" i="7"/>
  <c r="N233" i="7" s="1"/>
  <c r="M94" i="10"/>
  <c r="M98" i="10"/>
  <c r="M102" i="10"/>
  <c r="M115" i="10"/>
  <c r="M134" i="10"/>
  <c r="M225" i="10"/>
  <c r="N225" i="10" s="1"/>
  <c r="M253" i="10"/>
  <c r="M289" i="10"/>
  <c r="M190" i="7"/>
  <c r="N190" i="7" s="1"/>
  <c r="M132" i="10"/>
  <c r="M136" i="10"/>
  <c r="H140" i="10"/>
  <c r="M189" i="10"/>
  <c r="M215" i="10"/>
  <c r="M287" i="10"/>
  <c r="M376" i="10"/>
  <c r="M240" i="10"/>
  <c r="N240" i="10" s="1"/>
  <c r="M50" i="10"/>
  <c r="J122" i="10"/>
  <c r="M128" i="10"/>
  <c r="M137" i="10"/>
  <c r="M172" i="10"/>
  <c r="M224" i="10"/>
  <c r="N224" i="10" s="1"/>
  <c r="M244" i="10"/>
  <c r="N244" i="10" s="1"/>
  <c r="M257" i="10"/>
  <c r="M216" i="10"/>
  <c r="N216" i="10" s="1"/>
  <c r="M256" i="10"/>
  <c r="M283" i="10"/>
  <c r="M286" i="10"/>
  <c r="M279" i="10"/>
  <c r="M288" i="10"/>
  <c r="M252" i="10"/>
  <c r="M255" i="10"/>
  <c r="M285" i="10"/>
  <c r="M373" i="10"/>
  <c r="N373" i="10" s="1"/>
  <c r="M377" i="10"/>
  <c r="M379" i="10"/>
  <c r="M254" i="10"/>
  <c r="M282" i="10"/>
  <c r="M284" i="10"/>
  <c r="F7" i="5"/>
  <c r="D11" i="5"/>
  <c r="I22" i="5"/>
  <c r="H4" i="5"/>
  <c r="J21" i="5" s="1"/>
  <c r="I23" i="5" s="1"/>
  <c r="J23" i="5" s="1"/>
  <c r="J24" i="5" s="1"/>
  <c r="I14" i="5"/>
  <c r="M61" i="5"/>
  <c r="E61" i="5"/>
  <c r="I58" i="5"/>
  <c r="J58" i="5" s="1"/>
  <c r="G58" i="5" s="1"/>
  <c r="I52" i="5"/>
  <c r="J52" i="5" s="1"/>
  <c r="I51" i="5"/>
  <c r="D16" i="5"/>
  <c r="M16" i="5" s="1"/>
  <c r="I4" i="5"/>
  <c r="I19" i="5"/>
  <c r="J19" i="5" s="1"/>
  <c r="D18" i="5"/>
  <c r="M18" i="5" s="1"/>
  <c r="D14" i="5"/>
  <c r="E78" i="5" s="1"/>
  <c r="I62" i="5"/>
  <c r="J62" i="5" s="1"/>
  <c r="I60" i="5"/>
  <c r="J60" i="5" s="1"/>
  <c r="G60" i="5" s="1"/>
  <c r="D56" i="5"/>
  <c r="I183" i="5"/>
  <c r="I182" i="5"/>
  <c r="D20" i="5"/>
  <c r="M20" i="5" s="1"/>
  <c r="N20" i="5" s="1"/>
  <c r="D5" i="5"/>
  <c r="I63" i="5"/>
  <c r="J63" i="5" s="1"/>
  <c r="I17" i="5"/>
  <c r="J17" i="5" s="1"/>
  <c r="I47" i="5"/>
  <c r="J47" i="5" s="1"/>
  <c r="J48" i="5" s="1"/>
  <c r="I61" i="5"/>
  <c r="J61" i="5" s="1"/>
  <c r="G61" i="5" s="1"/>
  <c r="I64" i="5"/>
  <c r="J64" i="5" s="1"/>
  <c r="J65" i="5" s="1"/>
  <c r="M65" i="5"/>
  <c r="G254" i="7"/>
  <c r="I59" i="5"/>
  <c r="J59" i="5" s="1"/>
  <c r="M27" i="7"/>
  <c r="I28" i="7"/>
  <c r="I55" i="7"/>
  <c r="J55" i="7" s="1"/>
  <c r="J164" i="7"/>
  <c r="M63" i="5"/>
  <c r="E63" i="5"/>
  <c r="I114" i="7"/>
  <c r="I271" i="7" s="1"/>
  <c r="J271" i="7" s="1"/>
  <c r="N271" i="7" s="1"/>
  <c r="M7" i="7"/>
  <c r="J109" i="5"/>
  <c r="J110" i="5"/>
  <c r="G234" i="5"/>
  <c r="E69" i="7"/>
  <c r="M69" i="7"/>
  <c r="I70" i="7"/>
  <c r="C5" i="8"/>
  <c r="M69" i="10"/>
  <c r="E69" i="10"/>
  <c r="D13" i="7"/>
  <c r="E79" i="7" s="1"/>
  <c r="D17" i="7"/>
  <c r="M17" i="7" s="1"/>
  <c r="J75" i="7"/>
  <c r="I248" i="10"/>
  <c r="J248" i="10" s="1"/>
  <c r="I111" i="10"/>
  <c r="J111" i="10" s="1"/>
  <c r="I69" i="10"/>
  <c r="J69" i="10" s="1"/>
  <c r="I65" i="10"/>
  <c r="J65" i="10" s="1"/>
  <c r="I17" i="10"/>
  <c r="J17" i="10" s="1"/>
  <c r="J218" i="10"/>
  <c r="I59" i="10"/>
  <c r="D16" i="10"/>
  <c r="M16" i="10" s="1"/>
  <c r="D14" i="10"/>
  <c r="E86" i="10" s="1"/>
  <c r="I247" i="10"/>
  <c r="J247" i="10" s="1"/>
  <c r="J219" i="10"/>
  <c r="I71" i="10"/>
  <c r="J71" i="10" s="1"/>
  <c r="I67" i="10"/>
  <c r="J67" i="10" s="1"/>
  <c r="G67" i="10" s="1"/>
  <c r="D18" i="10"/>
  <c r="M18" i="10" s="1"/>
  <c r="I19" i="10"/>
  <c r="J19" i="10" s="1"/>
  <c r="D63" i="10"/>
  <c r="I110" i="10"/>
  <c r="J110" i="10" s="1"/>
  <c r="A116" i="11"/>
  <c r="M59" i="5"/>
  <c r="J149" i="5"/>
  <c r="I184" i="5"/>
  <c r="I185" i="5"/>
  <c r="I50" i="7"/>
  <c r="J50" i="7" s="1"/>
  <c r="I69" i="7"/>
  <c r="J69" i="7" s="1"/>
  <c r="E85" i="7"/>
  <c r="J148" i="5"/>
  <c r="L5" i="7"/>
  <c r="I16" i="7"/>
  <c r="J16" i="7" s="1"/>
  <c r="D23" i="7"/>
  <c r="D62" i="7"/>
  <c r="J239" i="7"/>
  <c r="E64" i="10"/>
  <c r="C64" i="10"/>
  <c r="I68" i="10"/>
  <c r="J68" i="10" s="1"/>
  <c r="G68" i="10" s="1"/>
  <c r="I70" i="10"/>
  <c r="J70" i="10" s="1"/>
  <c r="N241" i="5"/>
  <c r="I197" i="7"/>
  <c r="J197" i="7" s="1"/>
  <c r="E84" i="7"/>
  <c r="D70" i="7"/>
  <c r="I198" i="7"/>
  <c r="J198" i="7" s="1"/>
  <c r="J181" i="7"/>
  <c r="D63" i="7"/>
  <c r="I63" i="7" s="1"/>
  <c r="J63" i="7" s="1"/>
  <c r="G63" i="7" s="1"/>
  <c r="F7" i="7"/>
  <c r="G15" i="7" s="1"/>
  <c r="D66" i="7"/>
  <c r="I66" i="7" s="1"/>
  <c r="J66" i="7" s="1"/>
  <c r="G66" i="7" s="1"/>
  <c r="D68" i="7"/>
  <c r="I169" i="7"/>
  <c r="J169" i="7" s="1"/>
  <c r="I192" i="7"/>
  <c r="J192" i="7" s="1"/>
  <c r="J53" i="10"/>
  <c r="I66" i="10"/>
  <c r="J66" i="10" s="1"/>
  <c r="J78" i="10"/>
  <c r="G393" i="10"/>
  <c r="A96" i="11"/>
  <c r="F7" i="10"/>
  <c r="M67" i="10"/>
  <c r="E67" i="10"/>
  <c r="A13" i="11"/>
  <c r="A23" i="11"/>
  <c r="A27" i="11"/>
  <c r="A53" i="11"/>
  <c r="A57" i="11"/>
  <c r="A102" i="11"/>
  <c r="A31" i="11"/>
  <c r="A62" i="11"/>
  <c r="A65" i="11"/>
  <c r="A81" i="11"/>
  <c r="A94" i="11"/>
  <c r="A111" i="11"/>
  <c r="A119" i="11"/>
  <c r="A106" i="11"/>
  <c r="A125" i="11"/>
  <c r="J223" i="10"/>
  <c r="A18" i="11"/>
  <c r="A39" i="11"/>
  <c r="A55" i="11"/>
  <c r="A71" i="11"/>
  <c r="A98" i="11"/>
  <c r="J285" i="10"/>
  <c r="A33" i="11"/>
  <c r="A121" i="11"/>
  <c r="A12" i="11"/>
  <c r="A30" i="11"/>
  <c r="A41" i="11"/>
  <c r="A50" i="11"/>
  <c r="A79" i="11"/>
  <c r="A87" i="11"/>
  <c r="A89" i="11"/>
  <c r="A95" i="11"/>
  <c r="A108" i="11"/>
  <c r="A134" i="11"/>
  <c r="A10" i="11"/>
  <c r="A15" i="11"/>
  <c r="A21" i="11"/>
  <c r="A32" i="11"/>
  <c r="A54" i="11"/>
  <c r="A56" i="11"/>
  <c r="A68" i="11"/>
  <c r="O58" i="15"/>
  <c r="P52" i="15"/>
  <c r="A19" i="11"/>
  <c r="A24" i="11"/>
  <c r="A40" i="11"/>
  <c r="A45" i="11"/>
  <c r="A80" i="11"/>
  <c r="A90" i="11"/>
  <c r="A130" i="11"/>
  <c r="O63" i="15"/>
  <c r="P57" i="15"/>
  <c r="A14" i="11"/>
  <c r="A36" i="11"/>
  <c r="A42" i="11"/>
  <c r="A47" i="11"/>
  <c r="A63" i="11"/>
  <c r="A76" i="11"/>
  <c r="A84" i="11"/>
  <c r="A86" i="11"/>
  <c r="A92" i="11"/>
  <c r="A101" i="11"/>
  <c r="A113" i="11"/>
  <c r="N78" i="15"/>
  <c r="N120" i="15"/>
  <c r="A28" i="11"/>
  <c r="A37" i="11"/>
  <c r="A85" i="11"/>
  <c r="A99" i="11"/>
  <c r="A104" i="11"/>
  <c r="A110" i="11"/>
  <c r="N11" i="15"/>
  <c r="Q11" i="15" s="1"/>
  <c r="N49" i="15"/>
  <c r="N72" i="15"/>
  <c r="A59" i="11"/>
  <c r="A74" i="11"/>
  <c r="A103" i="11"/>
  <c r="A107" i="11"/>
  <c r="A117" i="11"/>
  <c r="A122" i="11"/>
  <c r="A128" i="11"/>
  <c r="A72" i="11"/>
  <c r="A77" i="11"/>
  <c r="A83" i="11"/>
  <c r="A112" i="11"/>
  <c r="A126" i="11"/>
  <c r="A131" i="11"/>
  <c r="N26" i="15"/>
  <c r="Q26" i="15" s="1"/>
  <c r="N37" i="15"/>
  <c r="Q37" i="15" s="1"/>
  <c r="N102" i="15"/>
  <c r="N144" i="15"/>
  <c r="A135" i="11"/>
  <c r="N9" i="15"/>
  <c r="Q9" i="15" s="1"/>
  <c r="N14" i="15"/>
  <c r="Q14" i="15" s="1"/>
  <c r="N25" i="15"/>
  <c r="Q25" i="15" s="1"/>
  <c r="N30" i="15"/>
  <c r="Q30" i="15" s="1"/>
  <c r="N44" i="15"/>
  <c r="P55" i="15"/>
  <c r="O61" i="15"/>
  <c r="O53" i="15"/>
  <c r="O54" i="15"/>
  <c r="N6" i="15"/>
  <c r="Q6" i="15" s="1"/>
  <c r="N12" i="15"/>
  <c r="Q12" i="15" s="1"/>
  <c r="N27" i="15"/>
  <c r="Q27" i="15" s="1"/>
  <c r="N32" i="15"/>
  <c r="Q32" i="15" s="1"/>
  <c r="N16" i="15"/>
  <c r="Q16" i="15" s="1"/>
  <c r="N22" i="15"/>
  <c r="Q22" i="15" s="1"/>
  <c r="N28" i="15"/>
  <c r="Q28" i="15" s="1"/>
  <c r="N34" i="15"/>
  <c r="Q34" i="15" s="1"/>
  <c r="N42" i="15"/>
  <c r="Q42" i="15" s="1"/>
  <c r="M63" i="10" a="1"/>
  <c r="N287" i="7" l="1" a="1"/>
  <c r="N287" i="7" s="1"/>
  <c r="N286" i="7"/>
  <c r="D260" i="7"/>
  <c r="J260" i="7" s="1"/>
  <c r="N108" i="7"/>
  <c r="N109" i="7" a="1"/>
  <c r="N109" i="7" s="1"/>
  <c r="N111" i="7"/>
  <c r="N110" i="7"/>
  <c r="E121" i="7"/>
  <c r="I121" i="7"/>
  <c r="E123" i="7"/>
  <c r="E122" i="7"/>
  <c r="I116" i="7"/>
  <c r="I117" i="7"/>
  <c r="I82" i="7"/>
  <c r="J82" i="7" s="1"/>
  <c r="N82" i="7" s="1"/>
  <c r="I81" i="7"/>
  <c r="J81" i="7" s="1"/>
  <c r="N81" i="7" s="1"/>
  <c r="E26" i="5"/>
  <c r="J26" i="5" s="1"/>
  <c r="I27" i="5" s="1"/>
  <c r="M37" i="7"/>
  <c r="D61" i="7"/>
  <c r="I49" i="7"/>
  <c r="I51" i="7" s="1"/>
  <c r="J51" i="7" s="1"/>
  <c r="N58" i="7"/>
  <c r="D55" i="7"/>
  <c r="I83" i="7"/>
  <c r="J83" i="7" s="1"/>
  <c r="N83" i="7" s="1"/>
  <c r="D57" i="7"/>
  <c r="N169" i="7"/>
  <c r="N48" i="5"/>
  <c r="I177" i="5"/>
  <c r="J177" i="5" s="1"/>
  <c r="N177" i="5" s="1"/>
  <c r="I178" i="5"/>
  <c r="J178" i="5" s="1"/>
  <c r="N178" i="5" s="1"/>
  <c r="I132" i="5"/>
  <c r="J132" i="5" s="1"/>
  <c r="J133" i="5" s="1"/>
  <c r="N133" i="5" s="1"/>
  <c r="I116" i="5"/>
  <c r="G118" i="5" s="1"/>
  <c r="I115" i="5"/>
  <c r="J115" i="5" s="1"/>
  <c r="N68" i="5"/>
  <c r="J57" i="5"/>
  <c r="G57" i="5" s="1"/>
  <c r="N377" i="10"/>
  <c r="N378" i="10" a="1"/>
  <c r="N378" i="10" s="1"/>
  <c r="N403" i="10" a="1"/>
  <c r="N403" i="10" s="1"/>
  <c r="N402" i="10"/>
  <c r="D33" i="10"/>
  <c r="N75" i="5"/>
  <c r="N73" i="5"/>
  <c r="I37" i="5"/>
  <c r="J37" i="5" s="1"/>
  <c r="I87" i="10"/>
  <c r="J87" i="10" s="1"/>
  <c r="N87" i="10" s="1"/>
  <c r="E33" i="10"/>
  <c r="J37" i="10" s="1"/>
  <c r="N82" i="5"/>
  <c r="N99" i="5"/>
  <c r="N53" i="10"/>
  <c r="I81" i="5"/>
  <c r="J81" i="5" s="1"/>
  <c r="N81" i="5" s="1"/>
  <c r="N44" i="9"/>
  <c r="E31" i="5"/>
  <c r="I80" i="5"/>
  <c r="J80" i="5" s="1"/>
  <c r="N80" i="5" s="1"/>
  <c r="N100" i="5"/>
  <c r="J41" i="5"/>
  <c r="N41" i="5" s="1"/>
  <c r="N21" i="5"/>
  <c r="J22" i="5"/>
  <c r="N22" i="5" s="1"/>
  <c r="J35" i="10"/>
  <c r="J36" i="10" s="1"/>
  <c r="N36" i="10" s="1"/>
  <c r="N24" i="5"/>
  <c r="N20" i="10"/>
  <c r="N75" i="7"/>
  <c r="E27" i="10"/>
  <c r="J29" i="10" s="1"/>
  <c r="J34" i="10"/>
  <c r="K41" i="10"/>
  <c r="L41" i="10" s="1"/>
  <c r="E88" i="10"/>
  <c r="K27" i="10"/>
  <c r="L27" i="10" s="1"/>
  <c r="I88" i="10"/>
  <c r="J88" i="10" s="1"/>
  <c r="N88" i="10" s="1"/>
  <c r="N379" i="10"/>
  <c r="N380" i="10"/>
  <c r="J170" i="10"/>
  <c r="N170" i="10" s="1"/>
  <c r="J169" i="10"/>
  <c r="N169" i="10" s="1"/>
  <c r="J168" i="10"/>
  <c r="N168" i="10" s="1"/>
  <c r="I164" i="10"/>
  <c r="J164" i="10" s="1"/>
  <c r="N155" i="10"/>
  <c r="N141" i="10"/>
  <c r="N153" i="10"/>
  <c r="N187" i="10"/>
  <c r="N429" i="10"/>
  <c r="N151" i="10"/>
  <c r="J22" i="10"/>
  <c r="J23" i="10" s="1"/>
  <c r="J59" i="10"/>
  <c r="I60" i="10" s="1"/>
  <c r="J60" i="10" s="1"/>
  <c r="N141" i="5"/>
  <c r="N163" i="5"/>
  <c r="N212" i="7"/>
  <c r="N46" i="5"/>
  <c r="N47" i="10"/>
  <c r="N161" i="7"/>
  <c r="N144" i="7"/>
  <c r="N142" i="7"/>
  <c r="N78" i="10"/>
  <c r="N55" i="10"/>
  <c r="N71" i="5"/>
  <c r="N76" i="10"/>
  <c r="N143" i="5"/>
  <c r="N69" i="5"/>
  <c r="N59" i="7"/>
  <c r="N77" i="7"/>
  <c r="N197" i="7"/>
  <c r="N183" i="7"/>
  <c r="N17" i="10"/>
  <c r="N83" i="10"/>
  <c r="N81" i="10"/>
  <c r="N219" i="10"/>
  <c r="N215" i="7"/>
  <c r="N219" i="7" s="1"/>
  <c r="N218" i="10"/>
  <c r="N110" i="5"/>
  <c r="N198" i="7"/>
  <c r="N111" i="10"/>
  <c r="N426" i="10"/>
  <c r="K57" i="5"/>
  <c r="M57" i="5" s="1"/>
  <c r="N196" i="5"/>
  <c r="N159" i="7"/>
  <c r="I65" i="7"/>
  <c r="J65" i="7" s="1"/>
  <c r="G65" i="7" s="1"/>
  <c r="N107" i="10"/>
  <c r="N110" i="10"/>
  <c r="M31" i="5"/>
  <c r="N244" i="5"/>
  <c r="N181" i="7"/>
  <c r="N149" i="5"/>
  <c r="N201" i="10"/>
  <c r="N202" i="10"/>
  <c r="Q55" i="15"/>
  <c r="Q44" i="15"/>
  <c r="F57" i="5" a="1"/>
  <c r="F57" i="5" s="1"/>
  <c r="N210" i="7"/>
  <c r="N431" i="10"/>
  <c r="N285" i="10"/>
  <c r="J250" i="5"/>
  <c r="N19" i="5"/>
  <c r="N23" i="5"/>
  <c r="E64" i="7"/>
  <c r="F74" i="7" s="1" a="1"/>
  <c r="F74" i="7" s="1"/>
  <c r="M64" i="7"/>
  <c r="N135" i="7"/>
  <c r="J136" i="7"/>
  <c r="N136" i="7" s="1"/>
  <c r="M67" i="7"/>
  <c r="N67" i="7" s="1"/>
  <c r="E67" i="7"/>
  <c r="N19" i="10"/>
  <c r="N59" i="5"/>
  <c r="N283" i="10"/>
  <c r="Q57" i="15"/>
  <c r="N248" i="10"/>
  <c r="N133" i="7"/>
  <c r="N66" i="10"/>
  <c r="N211" i="7"/>
  <c r="N147" i="5"/>
  <c r="N70" i="10"/>
  <c r="N16" i="7"/>
  <c r="N427" i="10"/>
  <c r="N106" i="10"/>
  <c r="N185" i="10"/>
  <c r="J134" i="7"/>
  <c r="N134" i="7" s="1"/>
  <c r="N255" i="7" a="1"/>
  <c r="N255" i="7" s="1"/>
  <c r="N192" i="7"/>
  <c r="N148" i="5"/>
  <c r="N50" i="7"/>
  <c r="N430" i="10"/>
  <c r="N161" i="5"/>
  <c r="N284" i="10" a="1"/>
  <c r="N284" i="10" s="1"/>
  <c r="N247" i="10"/>
  <c r="N17" i="5"/>
  <c r="N235" i="5" a="1"/>
  <c r="N235" i="5" s="1"/>
  <c r="N217" i="5"/>
  <c r="N222" i="5" s="1"/>
  <c r="N47" i="5"/>
  <c r="N18" i="7"/>
  <c r="Q46" i="15"/>
  <c r="N62" i="5"/>
  <c r="N154" i="10"/>
  <c r="N142" i="5"/>
  <c r="Q52" i="15"/>
  <c r="N223" i="10"/>
  <c r="J72" i="10"/>
  <c r="N72" i="10" s="1"/>
  <c r="N164" i="7"/>
  <c r="N52" i="5"/>
  <c r="Q49" i="15"/>
  <c r="J207" i="7"/>
  <c r="N67" i="10"/>
  <c r="N143" i="7"/>
  <c r="O56" i="15"/>
  <c r="P50" i="15"/>
  <c r="Q50" i="15" s="1"/>
  <c r="N108" i="10"/>
  <c r="N109" i="5"/>
  <c r="N63" i="5"/>
  <c r="Q51" i="15"/>
  <c r="N237" i="7"/>
  <c r="N71" i="10"/>
  <c r="J206" i="7"/>
  <c r="N58" i="5"/>
  <c r="I64" i="7"/>
  <c r="J64" i="7" s="1"/>
  <c r="N65" i="5"/>
  <c r="Q45" i="15"/>
  <c r="E65" i="7"/>
  <c r="N221" i="5" a="1"/>
  <c r="N221" i="5" s="1"/>
  <c r="N64" i="5"/>
  <c r="M63" i="10"/>
  <c r="I170" i="7"/>
  <c r="J170" i="7" s="1"/>
  <c r="N170" i="7" s="1"/>
  <c r="I171" i="7"/>
  <c r="J171" i="7" s="1"/>
  <c r="N171" i="7" s="1"/>
  <c r="M66" i="7"/>
  <c r="N66" i="7" s="1"/>
  <c r="E66" i="7"/>
  <c r="N69" i="10"/>
  <c r="N249" i="5" a="1"/>
  <c r="N249" i="5" s="1"/>
  <c r="N238" i="7" a="1"/>
  <c r="N238" i="7" s="1"/>
  <c r="N60" i="5"/>
  <c r="P53" i="15"/>
  <c r="Q53" i="15" s="1"/>
  <c r="O59" i="15"/>
  <c r="G65" i="10"/>
  <c r="N65" i="10"/>
  <c r="N240" i="7"/>
  <c r="N239" i="7"/>
  <c r="J70" i="7"/>
  <c r="J174" i="5"/>
  <c r="N174" i="5" s="1"/>
  <c r="I53" i="5"/>
  <c r="J53" i="5" s="1"/>
  <c r="J51" i="5"/>
  <c r="G14" i="5"/>
  <c r="J14" i="5"/>
  <c r="M63" i="7"/>
  <c r="N63" i="7" s="1"/>
  <c r="E63" i="7"/>
  <c r="J118" i="10"/>
  <c r="J117" i="10"/>
  <c r="N69" i="7"/>
  <c r="N68" i="10"/>
  <c r="D112" i="7"/>
  <c r="P61" i="15"/>
  <c r="Q61" i="15" s="1"/>
  <c r="O67" i="15"/>
  <c r="M68" i="7"/>
  <c r="E68" i="7"/>
  <c r="G402" i="10"/>
  <c r="P54" i="15"/>
  <c r="Q54" i="15" s="1"/>
  <c r="O60" i="15"/>
  <c r="O69" i="15"/>
  <c r="P63" i="15"/>
  <c r="Q63" i="15" s="1"/>
  <c r="P58" i="15"/>
  <c r="Q58" i="15" s="1"/>
  <c r="O64" i="15"/>
  <c r="I68" i="7"/>
  <c r="J68" i="7" s="1"/>
  <c r="E62" i="7"/>
  <c r="C62" i="7"/>
  <c r="I62" i="7"/>
  <c r="N254" i="7"/>
  <c r="N234" i="5"/>
  <c r="N61" i="5"/>
  <c r="M70" i="7"/>
  <c r="E70" i="7"/>
  <c r="J64" i="10"/>
  <c r="G64" i="10" s="1"/>
  <c r="F64" i="10" a="1"/>
  <c r="F64" i="10" s="1"/>
  <c r="K64" i="10"/>
  <c r="M64" i="10" s="1"/>
  <c r="J256" i="10"/>
  <c r="I80" i="7"/>
  <c r="J80" i="7" s="1"/>
  <c r="N80" i="7" s="1"/>
  <c r="N55" i="7"/>
  <c r="I56" i="7"/>
  <c r="J56" i="7" s="1"/>
  <c r="N56" i="7" s="1"/>
  <c r="N180" i="7"/>
  <c r="N58" i="10"/>
  <c r="N260" i="7" l="1"/>
  <c r="E276" i="7"/>
  <c r="I276" i="7" s="1"/>
  <c r="J276" i="7" s="1"/>
  <c r="J121" i="7"/>
  <c r="N121" i="7" s="1"/>
  <c r="I122" i="7"/>
  <c r="J122" i="7" s="1"/>
  <c r="N122" i="7" s="1"/>
  <c r="N57" i="5"/>
  <c r="G87" i="5"/>
  <c r="J27" i="5"/>
  <c r="N27" i="5" s="1"/>
  <c r="J28" i="5"/>
  <c r="J49" i="7"/>
  <c r="I86" i="7" s="1"/>
  <c r="J86" i="7" s="1"/>
  <c r="N86" i="7" s="1"/>
  <c r="E83" i="7"/>
  <c r="E80" i="7"/>
  <c r="N132" i="5"/>
  <c r="I134" i="5"/>
  <c r="J134" i="5" s="1"/>
  <c r="J209" i="5" s="1"/>
  <c r="N118" i="5"/>
  <c r="N45" i="9"/>
  <c r="N46" i="9" s="1"/>
  <c r="P46" i="9" s="1"/>
  <c r="J33" i="5"/>
  <c r="J31" i="5"/>
  <c r="I38" i="5"/>
  <c r="J38" i="5" s="1"/>
  <c r="N38" i="5" s="1"/>
  <c r="N37" i="5"/>
  <c r="I79" i="5"/>
  <c r="J79" i="5" s="1"/>
  <c r="N79" i="5" s="1"/>
  <c r="M41" i="10"/>
  <c r="N107" i="5"/>
  <c r="D33" i="5"/>
  <c r="I34" i="5" s="1"/>
  <c r="N108" i="5" a="1"/>
  <c r="N108" i="5" s="1"/>
  <c r="K26" i="5"/>
  <c r="L26" i="5" s="1"/>
  <c r="M26" i="5" s="1"/>
  <c r="E81" i="5"/>
  <c r="E80" i="5"/>
  <c r="D28" i="5"/>
  <c r="M28" i="5" s="1"/>
  <c r="N40" i="5"/>
  <c r="N35" i="10"/>
  <c r="K33" i="10"/>
  <c r="N34" i="10"/>
  <c r="I34" i="10"/>
  <c r="J38" i="10"/>
  <c r="N38" i="10" s="1"/>
  <c r="J27" i="10"/>
  <c r="J28" i="10" s="1"/>
  <c r="J41" i="10"/>
  <c r="J43" i="10"/>
  <c r="N29" i="10"/>
  <c r="J30" i="10"/>
  <c r="M27" i="10"/>
  <c r="E87" i="10"/>
  <c r="I166" i="10"/>
  <c r="J166" i="10" s="1"/>
  <c r="J165" i="10"/>
  <c r="N165" i="10" s="1"/>
  <c r="N164" i="10"/>
  <c r="I143" i="10"/>
  <c r="J143" i="10" s="1"/>
  <c r="N143" i="10" s="1"/>
  <c r="J142" i="10"/>
  <c r="N142" i="10" s="1"/>
  <c r="N23" i="10"/>
  <c r="I24" i="10"/>
  <c r="J24" i="10" s="1"/>
  <c r="J25" i="10" s="1"/>
  <c r="N22" i="10"/>
  <c r="N59" i="10"/>
  <c r="I92" i="10"/>
  <c r="J92" i="10" s="1"/>
  <c r="N92" i="10" s="1"/>
  <c r="N218" i="7" a="1"/>
  <c r="N218" i="7" s="1"/>
  <c r="N206" i="7"/>
  <c r="N117" i="10"/>
  <c r="N65" i="7"/>
  <c r="N115" i="10"/>
  <c r="N256" i="10"/>
  <c r="N248" i="5"/>
  <c r="N217" i="7"/>
  <c r="N118" i="10"/>
  <c r="N250" i="5"/>
  <c r="F75" i="7" a="1"/>
  <c r="F75" i="7" s="1"/>
  <c r="N116" i="10" a="1"/>
  <c r="N116" i="10" s="1"/>
  <c r="F76" i="7" a="1"/>
  <c r="F76" i="7" s="1"/>
  <c r="F77" i="7" a="1"/>
  <c r="F77" i="7" s="1"/>
  <c r="N220" i="5"/>
  <c r="N64" i="7"/>
  <c r="N207" i="7"/>
  <c r="N205" i="5" a="1"/>
  <c r="N205" i="5" s="1"/>
  <c r="O62" i="15"/>
  <c r="P56" i="15"/>
  <c r="Q56" i="15" s="1"/>
  <c r="N70" i="7"/>
  <c r="N64" i="10"/>
  <c r="P60" i="15"/>
  <c r="Q60" i="15" s="1"/>
  <c r="O66" i="15"/>
  <c r="J52" i="7"/>
  <c r="N52" i="7" s="1"/>
  <c r="N51" i="7"/>
  <c r="O75" i="15"/>
  <c r="P69" i="15"/>
  <c r="Q69" i="15" s="1"/>
  <c r="N14" i="5"/>
  <c r="I78" i="5"/>
  <c r="J78" i="5" s="1"/>
  <c r="N78" i="5" s="1"/>
  <c r="I15" i="5"/>
  <c r="J15" i="5" s="1"/>
  <c r="J208" i="5"/>
  <c r="N202" i="5"/>
  <c r="J61" i="10"/>
  <c r="N61" i="10" s="1"/>
  <c r="N60" i="10"/>
  <c r="P64" i="15"/>
  <c r="Q64" i="15" s="1"/>
  <c r="O70" i="15"/>
  <c r="N68" i="7"/>
  <c r="J117" i="7"/>
  <c r="J116" i="5"/>
  <c r="E121" i="5"/>
  <c r="E120" i="5"/>
  <c r="N51" i="5"/>
  <c r="N88" i="5" s="1" a="1"/>
  <c r="N88" i="5" s="1"/>
  <c r="I85" i="5"/>
  <c r="J85" i="5" s="1"/>
  <c r="N85" i="5" s="1"/>
  <c r="K62" i="7"/>
  <c r="J62" i="7"/>
  <c r="G62" i="7" s="1"/>
  <c r="F62" i="7" a="1"/>
  <c r="F62" i="7" s="1"/>
  <c r="P67" i="15"/>
  <c r="Q67" i="15" s="1"/>
  <c r="O73" i="15"/>
  <c r="J54" i="5"/>
  <c r="N54" i="5" s="1"/>
  <c r="N53" i="5"/>
  <c r="P59" i="15"/>
  <c r="Q59" i="15" s="1"/>
  <c r="O65" i="15"/>
  <c r="N276" i="7" l="1"/>
  <c r="J288" i="7"/>
  <c r="N31" i="5"/>
  <c r="I32" i="5"/>
  <c r="J32" i="5"/>
  <c r="N32" i="5" s="1"/>
  <c r="N28" i="5"/>
  <c r="N49" i="7"/>
  <c r="J135" i="5"/>
  <c r="N135" i="5" s="1"/>
  <c r="N207" i="5" s="1"/>
  <c r="N134" i="5"/>
  <c r="N209" i="5" s="1"/>
  <c r="N49" i="9"/>
  <c r="J34" i="5"/>
  <c r="N34" i="5" s="1"/>
  <c r="J91" i="5"/>
  <c r="E24" i="9"/>
  <c r="I5" i="10" s="1"/>
  <c r="I420" i="10" s="1"/>
  <c r="J420" i="10" s="1"/>
  <c r="N420" i="10" s="1"/>
  <c r="D8" i="19"/>
  <c r="L33" i="10"/>
  <c r="M33" i="10" s="1"/>
  <c r="N33" i="10" s="1"/>
  <c r="J92" i="5"/>
  <c r="K265" i="5" s="1"/>
  <c r="J258" i="5" s="1"/>
  <c r="N258" i="5" s="1"/>
  <c r="N91" i="5"/>
  <c r="M33" i="5"/>
  <c r="N33" i="5" s="1"/>
  <c r="I29" i="5"/>
  <c r="J29" i="5" s="1"/>
  <c r="N29" i="5" s="1"/>
  <c r="N37" i="10"/>
  <c r="I42" i="10"/>
  <c r="J42" i="10"/>
  <c r="N42" i="10" s="1"/>
  <c r="N41" i="10"/>
  <c r="J44" i="10"/>
  <c r="N44" i="10" s="1"/>
  <c r="N43" i="10"/>
  <c r="N24" i="10"/>
  <c r="N27" i="10"/>
  <c r="N30" i="10"/>
  <c r="I28" i="10"/>
  <c r="N28" i="10"/>
  <c r="J144" i="10"/>
  <c r="N144" i="10" s="1"/>
  <c r="J167" i="10"/>
  <c r="N167" i="10" s="1"/>
  <c r="N166" i="10"/>
  <c r="N257" i="10" s="1"/>
  <c r="J257" i="10"/>
  <c r="N96" i="10" a="1"/>
  <c r="N96" i="10" s="1"/>
  <c r="J452" i="10"/>
  <c r="M454" i="10"/>
  <c r="O68" i="15"/>
  <c r="P62" i="15"/>
  <c r="Q62" i="15" s="1"/>
  <c r="P73" i="15"/>
  <c r="Q73" i="15" s="1"/>
  <c r="O79" i="15"/>
  <c r="I121" i="5"/>
  <c r="N208" i="5"/>
  <c r="G116" i="5"/>
  <c r="N116" i="5"/>
  <c r="G117" i="7"/>
  <c r="N117" i="7"/>
  <c r="N115" i="5"/>
  <c r="G115" i="5"/>
  <c r="J116" i="7"/>
  <c r="G116" i="7"/>
  <c r="N15" i="5"/>
  <c r="P65" i="15"/>
  <c r="Q65" i="15" s="1"/>
  <c r="O71" i="15"/>
  <c r="N92" i="7"/>
  <c r="J92" i="7"/>
  <c r="N25" i="10"/>
  <c r="M62" i="7"/>
  <c r="N62" i="7" s="1"/>
  <c r="N89" i="7" s="1" a="1"/>
  <c r="N89" i="7" s="1"/>
  <c r="P70" i="15"/>
  <c r="Q70" i="15" s="1"/>
  <c r="O76" i="15"/>
  <c r="O81" i="15"/>
  <c r="P75" i="15"/>
  <c r="Q75" i="15" s="1"/>
  <c r="P66" i="15"/>
  <c r="Q66" i="15" s="1"/>
  <c r="O72" i="15"/>
  <c r="O286" i="7" l="1"/>
  <c r="N116" i="7"/>
  <c r="J207" i="5"/>
  <c r="N204" i="5"/>
  <c r="J121" i="5"/>
  <c r="N121" i="5" s="1"/>
  <c r="J122" i="5"/>
  <c r="N122" i="5" s="1"/>
  <c r="G44" i="19"/>
  <c r="G43" i="19"/>
  <c r="B32" i="19"/>
  <c r="B34" i="19" s="1"/>
  <c r="B44" i="19" s="1"/>
  <c r="C44" i="19" s="1"/>
  <c r="G46" i="19"/>
  <c r="G41" i="19"/>
  <c r="G40" i="19"/>
  <c r="G39" i="19"/>
  <c r="G42" i="19"/>
  <c r="G38" i="19"/>
  <c r="G37" i="19"/>
  <c r="G45" i="19"/>
  <c r="N90" i="5"/>
  <c r="J90" i="5"/>
  <c r="G125" i="7"/>
  <c r="O74" i="15"/>
  <c r="P68" i="15"/>
  <c r="Q68" i="15" s="1"/>
  <c r="G124" i="5"/>
  <c r="H262" i="5" s="1"/>
  <c r="O87" i="15"/>
  <c r="P81" i="15"/>
  <c r="Q81" i="15" s="1"/>
  <c r="N125" i="5" a="1"/>
  <c r="N125" i="5" s="1"/>
  <c r="N267" i="5" s="1"/>
  <c r="P79" i="15"/>
  <c r="Q79" i="15" s="1"/>
  <c r="O85" i="15"/>
  <c r="P76" i="15"/>
  <c r="Q76" i="15" s="1"/>
  <c r="O82" i="15"/>
  <c r="J28" i="7"/>
  <c r="N28" i="7" s="1"/>
  <c r="N27" i="7"/>
  <c r="P72" i="15"/>
  <c r="Q72" i="15" s="1"/>
  <c r="O78" i="15"/>
  <c r="N126" i="7" a="1"/>
  <c r="J127" i="5"/>
  <c r="J255" i="5" s="1"/>
  <c r="N120" i="5"/>
  <c r="P71" i="15"/>
  <c r="Q71" i="15" s="1"/>
  <c r="O77" i="15"/>
  <c r="J128" i="7"/>
  <c r="J293" i="7" s="1"/>
  <c r="J127" i="7"/>
  <c r="N126" i="7" l="1"/>
  <c r="N125" i="7"/>
  <c r="N124" i="5"/>
  <c r="J126" i="5"/>
  <c r="J254" i="5" s="1"/>
  <c r="B43" i="19"/>
  <c r="C43" i="19" s="1"/>
  <c r="B46" i="19"/>
  <c r="C46" i="19" s="1"/>
  <c r="B45" i="19"/>
  <c r="C45" i="19" s="1"/>
  <c r="B40" i="19"/>
  <c r="C40" i="19" s="1"/>
  <c r="B38" i="19"/>
  <c r="C38" i="19" s="1"/>
  <c r="B42" i="19"/>
  <c r="C42" i="19" s="1"/>
  <c r="B39" i="19"/>
  <c r="C39" i="19" s="1"/>
  <c r="B37" i="19"/>
  <c r="C37" i="19" s="1"/>
  <c r="B41" i="19"/>
  <c r="C41" i="19" s="1"/>
  <c r="J453" i="10"/>
  <c r="O80" i="15"/>
  <c r="P74" i="15"/>
  <c r="Q74" i="15" s="1"/>
  <c r="P82" i="15"/>
  <c r="Q82" i="15" s="1"/>
  <c r="O88" i="15"/>
  <c r="P85" i="15"/>
  <c r="Q85" i="15" s="1"/>
  <c r="O91" i="15"/>
  <c r="O93" i="15"/>
  <c r="P87" i="15"/>
  <c r="Q87" i="15" s="1"/>
  <c r="P77" i="15"/>
  <c r="Q77" i="15" s="1"/>
  <c r="O83" i="15"/>
  <c r="N128" i="7"/>
  <c r="N293" i="7" s="1"/>
  <c r="N127" i="7"/>
  <c r="N127" i="5"/>
  <c r="N255" i="5" s="1"/>
  <c r="N126" i="5"/>
  <c r="N254" i="5" s="1"/>
  <c r="P78" i="15"/>
  <c r="Q78" i="15" s="1"/>
  <c r="O84" i="15"/>
  <c r="J256" i="5" l="1"/>
  <c r="N256" i="5" s="1"/>
  <c r="N266" i="5" s="1"/>
  <c r="M453" i="10"/>
  <c r="O86" i="15"/>
  <c r="P80" i="15"/>
  <c r="Q80" i="15" s="1"/>
  <c r="P84" i="15"/>
  <c r="Q84" i="15" s="1"/>
  <c r="O90" i="15"/>
  <c r="P83" i="15"/>
  <c r="Q83" i="15" s="1"/>
  <c r="O89" i="15"/>
  <c r="P91" i="15"/>
  <c r="Q91" i="15" s="1"/>
  <c r="O97" i="15"/>
  <c r="P88" i="15"/>
  <c r="Q88" i="15" s="1"/>
  <c r="O94" i="15"/>
  <c r="O99" i="15"/>
  <c r="P93" i="15"/>
  <c r="Q93" i="15" s="1"/>
  <c r="K266" i="5" l="1"/>
  <c r="J260" i="5"/>
  <c r="N260" i="5" s="1"/>
  <c r="J259" i="5"/>
  <c r="N259" i="5" s="1"/>
  <c r="M455" i="10"/>
  <c r="M449" i="10" s="1"/>
  <c r="M457" i="10" s="1"/>
  <c r="O92" i="15"/>
  <c r="P86" i="15"/>
  <c r="Q86" i="15" s="1"/>
  <c r="P97" i="15"/>
  <c r="Q97" i="15" s="1"/>
  <c r="O103" i="15"/>
  <c r="P89" i="15"/>
  <c r="Q89" i="15" s="1"/>
  <c r="O95" i="15"/>
  <c r="P94" i="15"/>
  <c r="Q94" i="15" s="1"/>
  <c r="O100" i="15"/>
  <c r="P90" i="15"/>
  <c r="Q90" i="15" s="1"/>
  <c r="O96" i="15"/>
  <c r="O105" i="15"/>
  <c r="P99" i="15"/>
  <c r="Q99" i="15" s="1"/>
  <c r="N268" i="5" l="1"/>
  <c r="G449" i="10"/>
  <c r="O98" i="15"/>
  <c r="P92" i="15"/>
  <c r="Q92" i="15" s="1"/>
  <c r="O111" i="15"/>
  <c r="P105" i="15"/>
  <c r="Q105" i="15" s="1"/>
  <c r="P103" i="15"/>
  <c r="Q103" i="15" s="1"/>
  <c r="O109" i="15"/>
  <c r="P95" i="15"/>
  <c r="Q95" i="15" s="1"/>
  <c r="O101" i="15"/>
  <c r="P96" i="15"/>
  <c r="Q96" i="15" s="1"/>
  <c r="O102" i="15"/>
  <c r="P100" i="15"/>
  <c r="Q100" i="15" s="1"/>
  <c r="O106" i="15"/>
  <c r="O104" i="15" l="1"/>
  <c r="P98" i="15"/>
  <c r="Q98" i="15" s="1"/>
  <c r="P101" i="15"/>
  <c r="Q101" i="15" s="1"/>
  <c r="O107" i="15"/>
  <c r="P109" i="15"/>
  <c r="Q109" i="15" s="1"/>
  <c r="O115" i="15"/>
  <c r="P106" i="15"/>
  <c r="Q106" i="15" s="1"/>
  <c r="O112" i="15"/>
  <c r="P102" i="15"/>
  <c r="Q102" i="15" s="1"/>
  <c r="O108" i="15"/>
  <c r="O117" i="15"/>
  <c r="P111" i="15"/>
  <c r="Q111" i="15" s="1"/>
  <c r="O110" i="15" l="1"/>
  <c r="P104" i="15"/>
  <c r="Q104" i="15" s="1"/>
  <c r="P115" i="15"/>
  <c r="Q115" i="15" s="1"/>
  <c r="O121" i="15"/>
  <c r="O123" i="15"/>
  <c r="P117" i="15"/>
  <c r="Q117" i="15" s="1"/>
  <c r="P108" i="15"/>
  <c r="Q108" i="15" s="1"/>
  <c r="O114" i="15"/>
  <c r="P107" i="15"/>
  <c r="Q107" i="15" s="1"/>
  <c r="O113" i="15"/>
  <c r="P112" i="15"/>
  <c r="Q112" i="15" s="1"/>
  <c r="O118" i="15"/>
  <c r="O116" i="15" l="1"/>
  <c r="P110" i="15"/>
  <c r="Q110" i="15" s="1"/>
  <c r="P114" i="15"/>
  <c r="Q114" i="15" s="1"/>
  <c r="O120" i="15"/>
  <c r="O129" i="15"/>
  <c r="P123" i="15"/>
  <c r="Q123" i="15" s="1"/>
  <c r="P121" i="15"/>
  <c r="Q121" i="15" s="1"/>
  <c r="O127" i="15"/>
  <c r="P118" i="15"/>
  <c r="Q118" i="15" s="1"/>
  <c r="O124" i="15"/>
  <c r="P113" i="15"/>
  <c r="Q113" i="15" s="1"/>
  <c r="O119" i="15"/>
  <c r="O122" i="15" l="1"/>
  <c r="P116" i="15"/>
  <c r="Q116" i="15" s="1"/>
  <c r="P119" i="15"/>
  <c r="Q119" i="15" s="1"/>
  <c r="O125" i="15"/>
  <c r="P120" i="15"/>
  <c r="Q120" i="15" s="1"/>
  <c r="O126" i="15"/>
  <c r="P127" i="15"/>
  <c r="Q127" i="15" s="1"/>
  <c r="O133" i="15"/>
  <c r="O135" i="15"/>
  <c r="P129" i="15"/>
  <c r="Q129" i="15" s="1"/>
  <c r="P124" i="15"/>
  <c r="Q124" i="15" s="1"/>
  <c r="O130" i="15"/>
  <c r="O128" i="15" l="1"/>
  <c r="P122" i="15"/>
  <c r="Q122" i="15" s="1"/>
  <c r="P133" i="15"/>
  <c r="Q133" i="15" s="1"/>
  <c r="O139" i="15"/>
  <c r="P130" i="15"/>
  <c r="Q130" i="15" s="1"/>
  <c r="O136" i="15"/>
  <c r="P126" i="15"/>
  <c r="Q126" i="15" s="1"/>
  <c r="O132" i="15"/>
  <c r="P125" i="15"/>
  <c r="Q125" i="15" s="1"/>
  <c r="O131" i="15"/>
  <c r="O141" i="15"/>
  <c r="P135" i="15"/>
  <c r="Q135" i="15" s="1"/>
  <c r="O134" i="15" l="1"/>
  <c r="P128" i="15"/>
  <c r="Q128" i="15" s="1"/>
  <c r="P139" i="15"/>
  <c r="Q139" i="15" s="1"/>
  <c r="O145" i="15"/>
  <c r="P132" i="15"/>
  <c r="Q132" i="15" s="1"/>
  <c r="O138" i="15"/>
  <c r="P136" i="15"/>
  <c r="Q136" i="15" s="1"/>
  <c r="O142" i="15"/>
  <c r="O147" i="15"/>
  <c r="P141" i="15"/>
  <c r="Q141" i="15" s="1"/>
  <c r="P131" i="15"/>
  <c r="Q131" i="15" s="1"/>
  <c r="O137" i="15"/>
  <c r="O140" i="15" l="1"/>
  <c r="P134" i="15"/>
  <c r="Q134" i="15" s="1"/>
  <c r="P138" i="15"/>
  <c r="Q138" i="15" s="1"/>
  <c r="O144" i="15"/>
  <c r="P145" i="15"/>
  <c r="Q145" i="15" s="1"/>
  <c r="O151" i="15"/>
  <c r="P142" i="15"/>
  <c r="Q142" i="15" s="1"/>
  <c r="O148" i="15"/>
  <c r="P137" i="15"/>
  <c r="Q137" i="15" s="1"/>
  <c r="O143" i="15"/>
  <c r="O153" i="15"/>
  <c r="P147" i="15"/>
  <c r="Q147" i="15" s="1"/>
  <c r="O146" i="15" l="1"/>
  <c r="P140" i="15"/>
  <c r="Q140" i="15" s="1"/>
  <c r="P144" i="15"/>
  <c r="Q144" i="15" s="1"/>
  <c r="O150" i="15"/>
  <c r="P148" i="15"/>
  <c r="Q148" i="15" s="1"/>
  <c r="O154" i="15"/>
  <c r="P151" i="15"/>
  <c r="Q151" i="15" s="1"/>
  <c r="O157" i="15"/>
  <c r="O159" i="15"/>
  <c r="P159" i="15" s="1"/>
  <c r="Q159" i="15" s="1"/>
  <c r="P153" i="15"/>
  <c r="Q153" i="15" s="1"/>
  <c r="P143" i="15"/>
  <c r="Q143" i="15" s="1"/>
  <c r="O149" i="15"/>
  <c r="O152" i="15" l="1"/>
  <c r="P146" i="15"/>
  <c r="Q146" i="15" s="1"/>
  <c r="P157" i="15"/>
  <c r="Q157" i="15" s="1"/>
  <c r="O163" i="15"/>
  <c r="P163" i="15" s="1"/>
  <c r="Q163" i="15" s="1"/>
  <c r="P149" i="15"/>
  <c r="Q149" i="15" s="1"/>
  <c r="O155" i="15"/>
  <c r="P154" i="15"/>
  <c r="Q154" i="15" s="1"/>
  <c r="O160" i="15"/>
  <c r="P160" i="15" s="1"/>
  <c r="Q160" i="15" s="1"/>
  <c r="P150" i="15"/>
  <c r="Q150" i="15" s="1"/>
  <c r="O156" i="15"/>
  <c r="O158" i="15" l="1"/>
  <c r="P158" i="15" s="1"/>
  <c r="Q158" i="15" s="1"/>
  <c r="P152" i="15"/>
  <c r="Q152" i="15" s="1"/>
  <c r="P155" i="15"/>
  <c r="Q155" i="15" s="1"/>
  <c r="O161" i="15"/>
  <c r="P161" i="15" s="1"/>
  <c r="Q161" i="15" s="1"/>
  <c r="P156" i="15"/>
  <c r="Q156" i="15" s="1"/>
  <c r="O162" i="15"/>
  <c r="P162" i="15" s="1"/>
  <c r="Q162" i="15" s="1"/>
  <c r="N408" i="10" l="1"/>
  <c r="E425" i="10"/>
  <c r="N436" i="10" l="1" a="1"/>
  <c r="N436" i="10" s="1"/>
  <c r="I425" i="10"/>
  <c r="J425" i="10" s="1"/>
  <c r="N425" i="10" l="1"/>
  <c r="J437" i="10"/>
  <c r="N437" i="10" l="1"/>
  <c r="N435" i="10"/>
  <c r="J145" i="10"/>
  <c r="N145" i="10" s="1"/>
  <c r="M451" i="10" l="1"/>
  <c r="E258" i="10"/>
  <c r="E274" i="10" s="1"/>
  <c r="I14" i="10"/>
  <c r="J14" i="10" s="1"/>
  <c r="H123" i="10" s="1"/>
  <c r="I129" i="10" s="1"/>
  <c r="I212" i="10"/>
  <c r="J212" i="10" s="1"/>
  <c r="H5" i="10"/>
  <c r="D5" i="10" s="1"/>
  <c r="I195" i="10" l="1"/>
  <c r="J195" i="10" s="1"/>
  <c r="N195" i="10" s="1"/>
  <c r="H4" i="10"/>
  <c r="E195" i="10"/>
  <c r="E273" i="10"/>
  <c r="D11" i="10"/>
  <c r="N212" i="10"/>
  <c r="I251" i="10"/>
  <c r="J251" i="10" s="1"/>
  <c r="I15" i="10"/>
  <c r="J15" i="10" s="1"/>
  <c r="N14" i="10"/>
  <c r="I190" i="10"/>
  <c r="J190" i="10" s="1"/>
  <c r="N190" i="10" s="1"/>
  <c r="I86" i="10"/>
  <c r="J86" i="10" s="1"/>
  <c r="N86" i="10" s="1"/>
  <c r="G14" i="10"/>
  <c r="G95" i="10" s="1"/>
  <c r="E265" i="10"/>
  <c r="E266" i="10"/>
  <c r="I197" i="10" l="1"/>
  <c r="J197" i="10" s="1"/>
  <c r="N197" i="10" s="1"/>
  <c r="I196" i="10"/>
  <c r="J196" i="10" s="1"/>
  <c r="N196" i="10" s="1"/>
  <c r="N254" i="10" s="1" a="1"/>
  <c r="I125" i="10"/>
  <c r="J125" i="10" s="1"/>
  <c r="I124" i="10"/>
  <c r="J124" i="10" s="1"/>
  <c r="E131" i="10" s="1"/>
  <c r="B9" i="11"/>
  <c r="N97" i="10"/>
  <c r="N15" i="10"/>
  <c r="N251" i="10"/>
  <c r="N255" i="10" s="1"/>
  <c r="O451" i="10" s="1"/>
  <c r="J255" i="10"/>
  <c r="N254" i="10" l="1"/>
  <c r="O253" i="10" s="1"/>
  <c r="N253" i="10"/>
  <c r="N95" i="10"/>
  <c r="B105" i="11"/>
  <c r="E31" i="11"/>
  <c r="D100" i="11"/>
  <c r="B132" i="11"/>
  <c r="D93" i="11"/>
  <c r="E132" i="11"/>
  <c r="F102" i="11"/>
  <c r="E102" i="11"/>
  <c r="D69" i="11"/>
  <c r="F9" i="11"/>
  <c r="G40" i="11"/>
  <c r="F32" i="11"/>
  <c r="D86" i="11"/>
  <c r="B23" i="11"/>
  <c r="E109" i="11"/>
  <c r="B27" i="11"/>
  <c r="E114" i="11"/>
  <c r="G45" i="11"/>
  <c r="G128" i="11"/>
  <c r="F86" i="11"/>
  <c r="E97" i="11"/>
  <c r="B133" i="11"/>
  <c r="G93" i="11"/>
  <c r="B50" i="11"/>
  <c r="B85" i="11"/>
  <c r="F33" i="11"/>
  <c r="E72" i="11"/>
  <c r="F96" i="11"/>
  <c r="B29" i="11"/>
  <c r="B80" i="11"/>
  <c r="E82" i="11"/>
  <c r="G134" i="11"/>
  <c r="D22" i="11"/>
  <c r="B35" i="11"/>
  <c r="D9" i="11"/>
  <c r="E44" i="11"/>
  <c r="F82" i="11"/>
  <c r="D120" i="11"/>
  <c r="D12" i="11"/>
  <c r="G32" i="11"/>
  <c r="D89" i="11"/>
  <c r="F40" i="11"/>
  <c r="D62" i="11"/>
  <c r="B12" i="11"/>
  <c r="E22" i="11"/>
  <c r="G130" i="11"/>
  <c r="G77" i="11"/>
  <c r="G41" i="11"/>
  <c r="E59" i="11"/>
  <c r="G74" i="11"/>
  <c r="F114" i="11"/>
  <c r="F107" i="11"/>
  <c r="B116" i="11"/>
  <c r="D34" i="11"/>
  <c r="D84" i="11"/>
  <c r="E130" i="11"/>
  <c r="F64" i="11"/>
  <c r="D131" i="11"/>
  <c r="B101" i="11"/>
  <c r="D103" i="11"/>
  <c r="G72" i="11"/>
  <c r="B62" i="11"/>
  <c r="E131" i="11"/>
  <c r="F57" i="11"/>
  <c r="G111" i="11"/>
  <c r="G114" i="11"/>
  <c r="F58" i="11"/>
  <c r="D110" i="11"/>
  <c r="B18" i="11"/>
  <c r="G119" i="11"/>
  <c r="B34" i="11"/>
  <c r="G68" i="11"/>
  <c r="F118" i="11"/>
  <c r="F21" i="11"/>
  <c r="G78" i="11"/>
  <c r="G34" i="11"/>
  <c r="F75" i="11"/>
  <c r="F133" i="11"/>
  <c r="F90" i="11"/>
  <c r="E128" i="11"/>
  <c r="G105" i="11"/>
  <c r="E79" i="11"/>
  <c r="B69" i="11"/>
  <c r="F129" i="11"/>
  <c r="B99" i="11"/>
  <c r="F123" i="11"/>
  <c r="D64" i="11"/>
  <c r="E81" i="11"/>
  <c r="B111" i="11"/>
  <c r="E30" i="11"/>
  <c r="G126" i="11"/>
  <c r="F119" i="11"/>
  <c r="E111" i="11"/>
  <c r="F65" i="11"/>
  <c r="G136" i="11"/>
  <c r="D19" i="11"/>
  <c r="D36" i="11"/>
  <c r="E113" i="11"/>
  <c r="E94" i="11"/>
  <c r="D108" i="11"/>
  <c r="D113" i="11"/>
  <c r="F72" i="11"/>
  <c r="B110" i="11"/>
  <c r="E18" i="11"/>
  <c r="D66" i="11"/>
  <c r="B16" i="11"/>
  <c r="E133" i="11"/>
  <c r="F122" i="11"/>
  <c r="B114" i="11"/>
  <c r="B135" i="11"/>
  <c r="G65" i="11"/>
  <c r="F105" i="11"/>
  <c r="E38" i="11"/>
  <c r="F13" i="11"/>
  <c r="E91" i="11"/>
  <c r="F93" i="11"/>
  <c r="F85" i="11"/>
  <c r="D43" i="11"/>
  <c r="E42" i="11"/>
  <c r="E43" i="11"/>
  <c r="F14" i="11"/>
  <c r="B109" i="11"/>
  <c r="D28" i="11"/>
  <c r="B51" i="11"/>
  <c r="G94" i="11"/>
  <c r="B57" i="11"/>
  <c r="E107" i="11"/>
  <c r="B89" i="11"/>
  <c r="E110" i="11"/>
  <c r="G52" i="11"/>
  <c r="B26" i="11"/>
  <c r="B98" i="11"/>
  <c r="F41" i="11"/>
  <c r="E124" i="11"/>
  <c r="D129" i="11"/>
  <c r="B128" i="11"/>
  <c r="B125" i="11"/>
  <c r="E87" i="11"/>
  <c r="F70" i="11"/>
  <c r="B63" i="11"/>
  <c r="D91" i="11"/>
  <c r="B82" i="11"/>
  <c r="B112" i="11"/>
  <c r="G64" i="11"/>
  <c r="F49" i="11"/>
  <c r="G99" i="11"/>
  <c r="F48" i="11"/>
  <c r="D20" i="11"/>
  <c r="F73" i="11"/>
  <c r="D98" i="11"/>
  <c r="F27" i="11"/>
  <c r="G118" i="11"/>
  <c r="D71" i="11"/>
  <c r="F84" i="11"/>
  <c r="D39" i="11"/>
  <c r="E99" i="11"/>
  <c r="E86" i="11"/>
  <c r="E69" i="11"/>
  <c r="D50" i="11"/>
  <c r="F47" i="11"/>
  <c r="B106" i="11"/>
  <c r="D124" i="11"/>
  <c r="E108" i="11"/>
  <c r="D102" i="11"/>
  <c r="B17" i="11"/>
  <c r="D133" i="11"/>
  <c r="F39" i="11"/>
  <c r="B19" i="11"/>
  <c r="F134" i="11"/>
  <c r="G125" i="11"/>
  <c r="G129" i="11"/>
  <c r="F81" i="11"/>
  <c r="G135" i="11"/>
  <c r="F104" i="11"/>
  <c r="G95" i="11"/>
  <c r="B90" i="11"/>
  <c r="D92" i="11"/>
  <c r="B58" i="11"/>
  <c r="D95" i="11"/>
  <c r="D99" i="11"/>
  <c r="B32" i="11"/>
  <c r="D58" i="11"/>
  <c r="F77" i="11"/>
  <c r="F44" i="11"/>
  <c r="D88" i="11"/>
  <c r="D52" i="11"/>
  <c r="D35" i="11"/>
  <c r="E84" i="11"/>
  <c r="G132" i="11"/>
  <c r="E63" i="11"/>
  <c r="E25" i="11"/>
  <c r="E112" i="11"/>
  <c r="E65" i="11"/>
  <c r="E40" i="11"/>
  <c r="E118" i="11"/>
  <c r="B60" i="11"/>
  <c r="F20" i="11"/>
  <c r="B79" i="11"/>
  <c r="E45" i="11"/>
  <c r="D116" i="11"/>
  <c r="G81" i="11"/>
  <c r="G54" i="11"/>
  <c r="G33" i="11"/>
  <c r="D70" i="11"/>
  <c r="G86" i="11"/>
  <c r="G16" i="11"/>
  <c r="B107" i="11"/>
  <c r="B94" i="11"/>
  <c r="G58" i="11"/>
  <c r="D46" i="11"/>
  <c r="G106" i="11"/>
  <c r="B96" i="11"/>
  <c r="B97" i="11"/>
  <c r="B45" i="11"/>
  <c r="D123" i="11"/>
  <c r="F120" i="11"/>
  <c r="D117" i="11"/>
  <c r="F127" i="11"/>
  <c r="F135" i="11"/>
  <c r="G102" i="11"/>
  <c r="E78" i="11"/>
  <c r="E83" i="11"/>
  <c r="F29" i="11"/>
  <c r="F94" i="11"/>
  <c r="B30" i="11"/>
  <c r="D31" i="11"/>
  <c r="F25" i="11"/>
  <c r="F121" i="11"/>
  <c r="E19" i="11"/>
  <c r="E37" i="11"/>
  <c r="B76" i="11"/>
  <c r="G12" i="11"/>
  <c r="D134" i="11"/>
  <c r="G110" i="11"/>
  <c r="G87" i="11"/>
  <c r="B20" i="11"/>
  <c r="B15" i="11"/>
  <c r="G66" i="11"/>
  <c r="G60" i="11"/>
  <c r="G17" i="11"/>
  <c r="F10" i="11"/>
  <c r="F24" i="11"/>
  <c r="E105" i="11"/>
  <c r="G56" i="11"/>
  <c r="B115" i="11"/>
  <c r="F78" i="11"/>
  <c r="D107" i="11"/>
  <c r="G113" i="11"/>
  <c r="E122" i="11"/>
  <c r="F51" i="11"/>
  <c r="F42" i="11"/>
  <c r="B124" i="11"/>
  <c r="E117" i="11"/>
  <c r="B56" i="11"/>
  <c r="E48" i="11"/>
  <c r="F83" i="11"/>
  <c r="E100" i="11"/>
  <c r="B126" i="11"/>
  <c r="F131" i="11"/>
  <c r="B123" i="11"/>
  <c r="B49" i="11"/>
  <c r="E129" i="11"/>
  <c r="G9" i="11"/>
  <c r="E134" i="11"/>
  <c r="E64" i="11"/>
  <c r="B103" i="11"/>
  <c r="F69" i="11"/>
  <c r="B83" i="11"/>
  <c r="E106" i="11"/>
  <c r="F109" i="11"/>
  <c r="F91" i="11"/>
  <c r="G80" i="11"/>
  <c r="B14" i="11"/>
  <c r="E95" i="11"/>
  <c r="B129" i="11"/>
  <c r="G92" i="11"/>
  <c r="D32" i="11"/>
  <c r="G50" i="11"/>
  <c r="F132" i="11"/>
  <c r="D105" i="11"/>
  <c r="B52" i="11"/>
  <c r="G23" i="11"/>
  <c r="B54" i="11"/>
  <c r="G31" i="11"/>
  <c r="F115" i="11"/>
  <c r="D90" i="11"/>
  <c r="F26" i="11"/>
  <c r="B117" i="11"/>
  <c r="B43" i="11"/>
  <c r="E20" i="11"/>
  <c r="D14" i="11"/>
  <c r="E61" i="11"/>
  <c r="G108" i="11"/>
  <c r="B108" i="11"/>
  <c r="G42" i="11"/>
  <c r="B134" i="11"/>
  <c r="B48" i="11"/>
  <c r="D74" i="11"/>
  <c r="D111" i="11"/>
  <c r="F55" i="11"/>
  <c r="G29" i="11"/>
  <c r="G15" i="11"/>
  <c r="B95" i="11"/>
  <c r="F43" i="11"/>
  <c r="D72" i="11"/>
  <c r="E123" i="11"/>
  <c r="D128" i="11"/>
  <c r="F22" i="11"/>
  <c r="B113" i="11"/>
  <c r="G46" i="11"/>
  <c r="B36" i="11"/>
  <c r="B102" i="11"/>
  <c r="G73" i="11"/>
  <c r="E24" i="11"/>
  <c r="E104" i="11"/>
  <c r="B41" i="11"/>
  <c r="D53" i="11"/>
  <c r="G116" i="11"/>
  <c r="D60" i="11"/>
  <c r="D25" i="11"/>
  <c r="D122" i="11"/>
  <c r="B121" i="11"/>
  <c r="B33" i="11"/>
  <c r="B53" i="11"/>
  <c r="E127" i="11"/>
  <c r="E17" i="11"/>
  <c r="F12" i="11"/>
  <c r="E136" i="11"/>
  <c r="E36" i="11"/>
  <c r="D132" i="11"/>
  <c r="D40" i="11"/>
  <c r="D85" i="11"/>
  <c r="E126" i="11"/>
  <c r="D41" i="11"/>
  <c r="E26" i="11"/>
  <c r="G75" i="11"/>
  <c r="G107" i="11"/>
  <c r="B77" i="11"/>
  <c r="F11" i="11"/>
  <c r="G123" i="11"/>
  <c r="B120" i="11"/>
  <c r="E121" i="11"/>
  <c r="D37" i="11"/>
  <c r="G133" i="11"/>
  <c r="D96" i="11"/>
  <c r="B38" i="11"/>
  <c r="F113" i="11"/>
  <c r="G85" i="11"/>
  <c r="G70" i="11"/>
  <c r="G124" i="11"/>
  <c r="E135" i="11"/>
  <c r="G44" i="11"/>
  <c r="D11" i="11"/>
  <c r="E12" i="11"/>
  <c r="B64" i="11"/>
  <c r="F34" i="11"/>
  <c r="D13" i="11"/>
  <c r="G14" i="11"/>
  <c r="D61" i="11"/>
  <c r="G18" i="11"/>
  <c r="F106" i="11"/>
  <c r="B71" i="11"/>
  <c r="D65" i="11"/>
  <c r="D73" i="11"/>
  <c r="D33" i="11"/>
  <c r="D112" i="11"/>
  <c r="D30" i="11"/>
  <c r="D10" i="11"/>
  <c r="E125" i="11"/>
  <c r="G84" i="11"/>
  <c r="G76" i="11"/>
  <c r="G120" i="11"/>
  <c r="F103" i="11"/>
  <c r="E39" i="11"/>
  <c r="F19" i="11"/>
  <c r="G109" i="11"/>
  <c r="E67" i="11"/>
  <c r="B81" i="11"/>
  <c r="F116" i="11"/>
  <c r="D29" i="11"/>
  <c r="F18" i="11"/>
  <c r="B78" i="11"/>
  <c r="D23" i="11"/>
  <c r="F28" i="11"/>
  <c r="B59" i="11"/>
  <c r="B73" i="11"/>
  <c r="F79" i="11"/>
  <c r="E11" i="11"/>
  <c r="G89" i="11"/>
  <c r="D130" i="11"/>
  <c r="F92" i="11"/>
  <c r="E115" i="11"/>
  <c r="G38" i="11"/>
  <c r="E54" i="11"/>
  <c r="F112" i="11"/>
  <c r="F16" i="11"/>
  <c r="B24" i="11"/>
  <c r="B25" i="11"/>
  <c r="E9" i="11"/>
  <c r="F87" i="11"/>
  <c r="G115" i="11"/>
  <c r="D136" i="11"/>
  <c r="F124" i="11"/>
  <c r="B37" i="11"/>
  <c r="D106" i="11"/>
  <c r="B88" i="11"/>
  <c r="F60" i="11"/>
  <c r="B13" i="11"/>
  <c r="E98" i="11"/>
  <c r="G71" i="11"/>
  <c r="E57" i="11"/>
  <c r="D45" i="11"/>
  <c r="G49" i="11"/>
  <c r="B136" i="11"/>
  <c r="G13" i="11"/>
  <c r="F88" i="11"/>
  <c r="D48" i="11"/>
  <c r="D115" i="11"/>
  <c r="B47" i="11"/>
  <c r="G82" i="11"/>
  <c r="E96" i="11"/>
  <c r="G67" i="11"/>
  <c r="E23" i="11"/>
  <c r="B65" i="11"/>
  <c r="E15" i="11"/>
  <c r="E56" i="11"/>
  <c r="E51" i="11"/>
  <c r="F95" i="11"/>
  <c r="G59" i="11"/>
  <c r="F35" i="11"/>
  <c r="D56" i="11"/>
  <c r="F74" i="11"/>
  <c r="G100" i="11"/>
  <c r="D77" i="11"/>
  <c r="G127" i="11"/>
  <c r="F108" i="11"/>
  <c r="G122" i="11"/>
  <c r="B119" i="11"/>
  <c r="G35" i="11"/>
  <c r="E55" i="11"/>
  <c r="F80" i="11"/>
  <c r="G53" i="11"/>
  <c r="F136" i="11"/>
  <c r="B75" i="11"/>
  <c r="F66" i="11"/>
  <c r="G103" i="11"/>
  <c r="B72" i="11"/>
  <c r="D121" i="11"/>
  <c r="F15" i="11"/>
  <c r="F71" i="11"/>
  <c r="E70" i="11"/>
  <c r="D21" i="11"/>
  <c r="D15" i="11"/>
  <c r="E85" i="11"/>
  <c r="E13" i="11"/>
  <c r="E101" i="11"/>
  <c r="D18" i="11"/>
  <c r="E73" i="11"/>
  <c r="E32" i="11"/>
  <c r="F50" i="11"/>
  <c r="G24" i="11"/>
  <c r="E21" i="11"/>
  <c r="B130" i="11"/>
  <c r="D17" i="11"/>
  <c r="E41" i="11"/>
  <c r="B131" i="11"/>
  <c r="E60" i="11"/>
  <c r="D57" i="11"/>
  <c r="E89" i="11"/>
  <c r="G90" i="11"/>
  <c r="F128" i="11"/>
  <c r="B42" i="11"/>
  <c r="D76" i="11"/>
  <c r="F46" i="11"/>
  <c r="D78" i="11"/>
  <c r="E80" i="11"/>
  <c r="B68" i="11"/>
  <c r="F23" i="11"/>
  <c r="D127" i="11"/>
  <c r="G30" i="11"/>
  <c r="F31" i="11"/>
  <c r="D109" i="11"/>
  <c r="G47" i="11"/>
  <c r="F99" i="11"/>
  <c r="G48" i="11"/>
  <c r="G26" i="11"/>
  <c r="D80" i="11"/>
  <c r="B92" i="11"/>
  <c r="E53" i="11"/>
  <c r="G131" i="11"/>
  <c r="F110" i="11"/>
  <c r="E74" i="11"/>
  <c r="F76" i="11"/>
  <c r="F45" i="11"/>
  <c r="D47" i="11"/>
  <c r="E103" i="11"/>
  <c r="F100" i="11"/>
  <c r="F54" i="11"/>
  <c r="E92" i="11"/>
  <c r="E62" i="11"/>
  <c r="G20" i="11"/>
  <c r="F68" i="11"/>
  <c r="G25" i="11"/>
  <c r="D26" i="11"/>
  <c r="B67" i="11"/>
  <c r="G27" i="11"/>
  <c r="E28" i="11"/>
  <c r="F52" i="11"/>
  <c r="D51" i="11"/>
  <c r="F61" i="11"/>
  <c r="D126" i="11"/>
  <c r="F111" i="11"/>
  <c r="B104" i="11"/>
  <c r="B91" i="11"/>
  <c r="G98" i="11"/>
  <c r="D94" i="11"/>
  <c r="E76" i="11"/>
  <c r="B11" i="11"/>
  <c r="B55" i="11"/>
  <c r="G36" i="11"/>
  <c r="D114" i="11"/>
  <c r="B74" i="11"/>
  <c r="G112" i="11"/>
  <c r="F126" i="11"/>
  <c r="G10" i="11"/>
  <c r="E75" i="11"/>
  <c r="D38" i="11"/>
  <c r="G91" i="11"/>
  <c r="B84" i="11"/>
  <c r="E34" i="11"/>
  <c r="G28" i="11"/>
  <c r="F101" i="11"/>
  <c r="F117" i="11"/>
  <c r="D87" i="11"/>
  <c r="B122" i="11"/>
  <c r="D67" i="11"/>
  <c r="F38" i="11"/>
  <c r="B22" i="11"/>
  <c r="D16" i="11"/>
  <c r="F67" i="11"/>
  <c r="B127" i="11"/>
  <c r="F59" i="11"/>
  <c r="G104" i="11"/>
  <c r="F130" i="11"/>
  <c r="G21" i="11"/>
  <c r="B66" i="11"/>
  <c r="G63" i="11"/>
  <c r="E120" i="11"/>
  <c r="E14" i="11"/>
  <c r="E58" i="11"/>
  <c r="B39" i="11"/>
  <c r="B93" i="11"/>
  <c r="E88" i="11"/>
  <c r="E93" i="11"/>
  <c r="B100" i="11"/>
  <c r="D63" i="11"/>
  <c r="D54" i="11"/>
  <c r="F56" i="11"/>
  <c r="B61" i="11"/>
  <c r="E33" i="11"/>
  <c r="D118" i="11"/>
  <c r="D101" i="11"/>
  <c r="E27" i="11"/>
  <c r="D135" i="11"/>
  <c r="F17" i="11"/>
  <c r="B10" i="11"/>
  <c r="D81" i="11"/>
  <c r="D119" i="11"/>
  <c r="E116" i="11"/>
  <c r="G61" i="11"/>
  <c r="F36" i="11"/>
  <c r="G43" i="11"/>
  <c r="D55" i="11"/>
  <c r="G79" i="11"/>
  <c r="D59" i="11"/>
  <c r="G57" i="11"/>
  <c r="G101" i="11"/>
  <c r="G11" i="11"/>
  <c r="E47" i="11"/>
  <c r="G69" i="11"/>
  <c r="E46" i="11"/>
  <c r="B28" i="11"/>
  <c r="D75" i="11"/>
  <c r="G51" i="11"/>
  <c r="E90" i="11"/>
  <c r="F97" i="11"/>
  <c r="B86" i="11"/>
  <c r="D27" i="11"/>
  <c r="G62" i="11"/>
  <c r="F62" i="11"/>
  <c r="E66" i="11"/>
  <c r="E29" i="11"/>
  <c r="G117" i="11"/>
  <c r="E71" i="11"/>
  <c r="D79" i="11"/>
  <c r="E119" i="11"/>
  <c r="G39" i="11"/>
  <c r="G96" i="11"/>
  <c r="D49" i="11"/>
  <c r="D104" i="11"/>
  <c r="D42" i="11"/>
  <c r="F125" i="11"/>
  <c r="F37" i="11"/>
  <c r="E50" i="11"/>
  <c r="B31" i="11"/>
  <c r="E52" i="11"/>
  <c r="D24" i="11"/>
  <c r="E77" i="11"/>
  <c r="D83" i="11"/>
  <c r="B70" i="11"/>
  <c r="G121" i="11"/>
  <c r="B21" i="11"/>
  <c r="B46" i="11"/>
  <c r="E49" i="11"/>
  <c r="B40" i="11"/>
  <c r="G37" i="11"/>
  <c r="B87" i="11"/>
  <c r="D82" i="11"/>
  <c r="D125" i="11"/>
  <c r="F63" i="11"/>
  <c r="E35" i="11"/>
  <c r="D44" i="11"/>
  <c r="G55" i="11"/>
  <c r="F53" i="11"/>
  <c r="D68" i="11"/>
  <c r="F98" i="11"/>
  <c r="D97" i="11"/>
  <c r="G97" i="11"/>
  <c r="B118" i="11"/>
  <c r="G88" i="11"/>
  <c r="F89" i="11"/>
  <c r="E16" i="11"/>
  <c r="F30" i="11"/>
  <c r="E10" i="11"/>
  <c r="B44" i="11"/>
  <c r="G19" i="11"/>
  <c r="G22" i="11"/>
  <c r="G83" i="11"/>
  <c r="E68" i="11"/>
  <c r="E129" i="10"/>
  <c r="E130" i="10"/>
  <c r="N124" i="10"/>
  <c r="G124" i="10"/>
  <c r="N125" i="10"/>
  <c r="G125" i="10"/>
  <c r="M119" i="10" a="1"/>
  <c r="M119" i="10" l="1"/>
  <c r="N134" i="10" a="1"/>
  <c r="N134" i="10" s="1"/>
  <c r="N454" i="10" s="1"/>
  <c r="F138" i="11"/>
  <c r="G133" i="10"/>
  <c r="H449" i="10" s="1"/>
  <c r="I130" i="10"/>
  <c r="J129" i="10"/>
  <c r="G138" i="11"/>
  <c r="N451" i="10"/>
  <c r="J130" i="10" l="1"/>
  <c r="N130" i="10" s="1"/>
  <c r="J131" i="10"/>
  <c r="N131" i="10" s="1"/>
  <c r="J135" i="10"/>
  <c r="N129" i="10"/>
  <c r="J136" i="10"/>
  <c r="N135" i="10" l="1"/>
  <c r="N136" i="10"/>
  <c r="N133" i="10"/>
  <c r="M452" i="10"/>
  <c r="N26" i="5"/>
  <c r="J99" i="10"/>
  <c r="J442" i="10" s="1"/>
  <c r="N98" i="10"/>
  <c r="J98" i="10"/>
  <c r="J443" i="10" s="1"/>
  <c r="N443" i="10" s="1"/>
  <c r="N99" i="10"/>
  <c r="J100" i="10"/>
  <c r="K452" i="10" s="1"/>
  <c r="J445" i="10" s="1"/>
  <c r="N445" i="10" s="1"/>
  <c r="N100" i="10"/>
  <c r="N452" i="10" s="1"/>
  <c r="N442" i="10" l="1"/>
  <c r="N441" i="10"/>
  <c r="N92" i="5"/>
  <c r="N265" i="5" s="1"/>
  <c r="K453" i="10"/>
  <c r="J441" i="10"/>
  <c r="N453" i="10" l="1"/>
  <c r="J446" i="10"/>
  <c r="N446" i="10" s="1"/>
  <c r="J447" i="10"/>
  <c r="N447" i="10" s="1"/>
  <c r="N455" i="10" l="1"/>
  <c r="N449" i="10" s="1"/>
  <c r="N457" i="10" s="1"/>
  <c r="N458" i="10" s="1"/>
  <c r="O449" i="10"/>
  <c r="J25" i="7"/>
  <c r="I27" i="7" s="1"/>
  <c r="N25" i="7" l="1"/>
  <c r="J26" i="7"/>
  <c r="N26" i="7" s="1"/>
  <c r="I6" i="8" l="1"/>
  <c r="F6" i="8" s="1"/>
  <c r="L6" i="8" s="1"/>
  <c r="I5" i="7" l="1"/>
  <c r="I23" i="7" s="1"/>
  <c r="J23" i="7" s="1"/>
  <c r="N23" i="7" s="1"/>
  <c r="C6" i="8"/>
  <c r="F28" i="6" s="1"/>
  <c r="F19" i="6"/>
  <c r="K5" i="7"/>
  <c r="H5" i="7"/>
  <c r="I4" i="7" l="1"/>
  <c r="I174" i="7"/>
  <c r="I13" i="7"/>
  <c r="G13" i="7" s="1"/>
  <c r="G88" i="7" s="1"/>
  <c r="H300" i="7" s="1"/>
  <c r="D5" i="7"/>
  <c r="D11" i="7"/>
  <c r="H4" i="7"/>
  <c r="J174" i="7" l="1"/>
  <c r="N37" i="7"/>
  <c r="J40" i="7"/>
  <c r="N40" i="7" s="1"/>
  <c r="N39" i="7"/>
  <c r="J13" i="7"/>
  <c r="N13" i="7" s="1"/>
  <c r="I175" i="7" l="1"/>
  <c r="J175" i="7" s="1"/>
  <c r="N175" i="7" s="1"/>
  <c r="N174" i="7"/>
  <c r="I201" i="7"/>
  <c r="J201" i="7" s="1"/>
  <c r="I14" i="7"/>
  <c r="J14" i="7" s="1"/>
  <c r="N14" i="7" s="1"/>
  <c r="I79" i="7"/>
  <c r="J79" i="7" s="1"/>
  <c r="N79" i="7" s="1"/>
  <c r="I176" i="7" l="1"/>
  <c r="J176" i="7" s="1"/>
  <c r="N176" i="7" s="1"/>
  <c r="N204" i="7" s="1" a="1"/>
  <c r="N204" i="7" s="1"/>
  <c r="N305" i="7" s="1"/>
  <c r="N201" i="7"/>
  <c r="N205" i="7" s="1"/>
  <c r="J205" i="7"/>
  <c r="I9" i="8"/>
  <c r="G9" i="8" s="1"/>
  <c r="L9" i="8" s="1"/>
  <c r="I7" i="8"/>
  <c r="G7" i="8" s="1"/>
  <c r="I8" i="8"/>
  <c r="F8" i="8" s="1"/>
  <c r="L8" i="8" s="1"/>
  <c r="N203" i="7" l="1"/>
  <c r="L7" i="8"/>
  <c r="C7" i="8"/>
  <c r="C8" i="8"/>
  <c r="C9" i="8"/>
  <c r="N90" i="7"/>
  <c r="N302" i="7" s="1"/>
  <c r="N91" i="7"/>
  <c r="N292" i="7" s="1"/>
  <c r="J93" i="7"/>
  <c r="K303" i="7" s="1"/>
  <c r="J296" i="7" s="1"/>
  <c r="N296" i="7" s="1"/>
  <c r="N88" i="7"/>
  <c r="J91" i="7"/>
  <c r="J294" i="7" s="1"/>
  <c r="N294" i="7" s="1"/>
  <c r="N93" i="7"/>
  <c r="N303" i="7" s="1"/>
  <c r="N304" i="7" l="1"/>
  <c r="J292" i="7"/>
  <c r="K304" i="7"/>
  <c r="J297" i="7" l="1"/>
  <c r="N297" i="7" s="1"/>
  <c r="J298" i="7"/>
  <c r="N298" i="7" s="1"/>
  <c r="N306" i="7" l="1"/>
  <c r="N300" i="7" s="1"/>
  <c r="N308" i="7" s="1"/>
  <c r="N309" i="7" s="1"/>
  <c r="O300" i="7"/>
  <c r="N39" i="5"/>
  <c r="N89" i="5" l="1"/>
  <c r="N264" i="5" s="1"/>
  <c r="N262" i="5" s="1"/>
  <c r="N270" i="5" s="1"/>
  <c r="N271" i="5" s="1"/>
  <c r="N87" i="5"/>
  <c r="O2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tc={B65B74AB-305A-467A-A97C-E75A232E05BA}</author>
  </authors>
  <commentList>
    <comment ref="P61" authorId="0" shapeId="0" xr:uid="{B65B74AB-305A-467A-A97C-E75A232E05B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Обращать внимание  если глубина больше 14500 мм! Внимание!</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tc={86DBC86C-E897-42AE-AF58-01A23783E540}</author>
    <author>tc={C076DE23-D15F-4034-AF03-CD0A71865D6A}</author>
  </authors>
  <commentList>
    <comment ref="E265" authorId="0" shapeId="0" xr:uid="{86DBC86C-E897-42AE-AF58-01A23783E540}">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Если глубина корпуса КНС больше 10 м, выбрать другую длину кабеля
</t>
      </text>
    </comment>
    <comment ref="D273" authorId="1" shapeId="0" xr:uid="{C076DE23-D15F-4034-AF03-CD0A71865D6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Поменять таль, если глубина КНС больше 6 м</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tc={93A1DB72-17B8-4035-BD0D-922C13A56448}</author>
  </authors>
  <commentList>
    <comment ref="P46" authorId="0" shapeId="0" xr:uid="{93A1DB72-17B8-4035-BD0D-922C13A564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Обращать внимание  если глубина больше 14500 мм! Внимание!</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tc={AFD27094-75B2-476B-BF9B-3B1EF2F5B3D6}</author>
    <author>tc={273377A5-47E0-4C9F-9F62-0DD9CC3DD1CC}</author>
  </authors>
  <commentList>
    <comment ref="E414" authorId="0" shapeId="0" xr:uid="{AFD27094-75B2-476B-BF9B-3B1EF2F5B3D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Если глубина корпуса КНС больше 10 м, выбрать другую длину кабеля
</t>
      </text>
    </comment>
    <comment ref="D422" authorId="1" shapeId="0" xr:uid="{273377A5-47E0-4C9F-9F62-0DD9CC3DD1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Поменять таль, если глубина КНС больше 6 м</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<sst xmlns="http://schemas.openxmlformats.org/spreadsheetml/2006/main" count="8089" uniqueCount="2204">
  <si>
    <t>Инструкции</t>
  </si>
  <si>
    <t>к содержанию</t>
  </si>
  <si>
    <t>Что запрещается?</t>
  </si>
  <si>
    <t xml:space="preserve">1. </t>
  </si>
  <si>
    <t>Изменять названия листов, категорий</t>
  </si>
  <si>
    <t xml:space="preserve">2. </t>
  </si>
  <si>
    <t>Изменять навзания шапки таблиц во вкладках с Категоряими</t>
  </si>
  <si>
    <t xml:space="preserve">3. </t>
  </si>
  <si>
    <t>Вставлять в ячейку скопированное из другого файла (можно только через правую кнопку мыши "Вставить значения")</t>
  </si>
  <si>
    <t xml:space="preserve">4. </t>
  </si>
  <si>
    <t>Менять цвета (если добавляете какие-то цвета в процессе работы, то когда закончите свою раюоту - верните, пожалуйста, исходные цвета</t>
  </si>
  <si>
    <t xml:space="preserve">5. </t>
  </si>
  <si>
    <t>В наименовании номенклатуры использовать знак "~" (тильда).</t>
  </si>
  <si>
    <t>Как пользоваться Опросным Листом?</t>
  </si>
  <si>
    <t>Заполните поля, выделенные рамкой</t>
  </si>
  <si>
    <r>
      <t xml:space="preserve">В некоторых полях требуется выбрать из выпадающего списка </t>
    </r>
    <r>
      <rPr>
        <i/>
        <sz val="10"/>
        <color theme="1"/>
        <rFont val="Arial"/>
        <family val="2"/>
        <charset val="204"/>
      </rPr>
      <t>(например, диаметр, давление, да/нет, и т.д.)</t>
    </r>
    <r>
      <rPr>
        <sz val="10"/>
        <color theme="1"/>
        <rFont val="Arial"/>
        <family val="2"/>
        <charset val="204"/>
      </rPr>
      <t xml:space="preserve"> в некоторых заполнить произвольным текстом </t>
    </r>
    <r>
      <rPr>
        <i/>
        <sz val="10"/>
        <color theme="1"/>
        <rFont val="Arial"/>
        <family val="2"/>
        <charset val="204"/>
      </rPr>
      <t>(например, заказчик, объект, комментарии и пр.)</t>
    </r>
  </si>
  <si>
    <t>Распечатайте опросный лист</t>
  </si>
  <si>
    <t>Как пользоваться Калькулятором?</t>
  </si>
  <si>
    <t>1.</t>
  </si>
  <si>
    <t>Заполняйте ячейки только на белом фоне (они без формул). Ячейки в бежевом цвете НЕ ЗАПОЛНЯТЬ (они содержат формулы).</t>
  </si>
  <si>
    <t>2.</t>
  </si>
  <si>
    <t>В шапке таблицы с вводными данными есть "белые" ячейки, не требующие обязательного заполнения, т.к. значения для расчета уже подставлены автоматически либо по формуле, либо из таблиц, либо из ОЛ. Однако, если требуется иное значение, то в таких случаях предусмотрена возможность ручного ввода. Рядом (слева от значения по умолчанию) стоят "белые" поля, где можете подставить свое значение. Калькулятор будет брать для расчета "ручное" значение. Если в "белом" поле будет пусто, то калькулятор возьмет для расчета уже подставленное значние из "бежевого" поля.</t>
  </si>
  <si>
    <t>Вставить: форматы.</t>
  </si>
  <si>
    <t>3.</t>
  </si>
  <si>
    <t>В самом калькуляторе многие значения уже подсчитываются по формуле или транслируются из введеных ранее данных или встроенных таблиц, Если же таких автоматически заполненных данных нет, то "открывается" белое окошечко, в которое необходимо подставить значения вручную.</t>
  </si>
  <si>
    <t>Как заполнять поля?</t>
  </si>
  <si>
    <t>Прежде чем выбрать номенклатуру (из выпадающего списка или, если не нашли подходящую, вписать вручную), необходимо выбрать из выпадающего списка категорию номенклатуры</t>
  </si>
  <si>
    <t>Заполнить все "белые" ячейки в строке (иногда это количество, цена, иногда ничего заполнять не надо, т.к. все подтянется автоматически, тогда "белых"ячеек не будет)</t>
  </si>
  <si>
    <t xml:space="preserve">В блоке Фальшпол необходимо выбрать ДА/НЕТ (в зависимости от того, что требуется в исходных данных). А вот такие блоки как Теплоизоляция, Корзина, Дробилка - будут атоматически "утопать" белым цветом, что означает "не участвуют в расчете", или будут обычным черным шрифтом, т.е. "участвуют в расчете", в зависимости от того, что выбрано в ОЛ. </t>
  </si>
  <si>
    <t>Как добавлять/удалять строки</t>
  </si>
  <si>
    <t>Выделите ВСЮ строку, НАД которой будете вставлять строку → на верхней панели инструментов вкладка Главная → Вставить</t>
  </si>
  <si>
    <t>Выделите любую заполненную строку → Скопируйте (Ctrl+C или правкой кнопкой мыши Копировать) → выделите ВСЮ пустую строку и вставьте то, что скопировали в буфер (Ctrl+V или правой кнопкой мыши Вставить)</t>
  </si>
  <si>
    <t>Или выбеделите ВСЮ заполненную строку и просто потяните за уголок вниз (или вверх)</t>
  </si>
  <si>
    <t>Если необзодимо УДАЛИТЬ, то выделите ВСЮ строку, предназначенную для уделения → на верхней панели инструментов вкладка Главная → Удалить</t>
  </si>
  <si>
    <t>Как добавлять номенклатуру, цены, скидки и пр. во вкладки Категории</t>
  </si>
  <si>
    <t xml:space="preserve">Важный момент - шапки заголовков и наименования самих вкладов менять НЕЛЬЗЯ. </t>
  </si>
  <si>
    <t>Чтобы добавить номенклатуру, необходимо либо вручную внести в пустую строку (формат и формулы подтянуться автоматически) либо скопировать из другого файла, но!!! Через правую кнопку мыши "Вставить значения"</t>
  </si>
  <si>
    <r>
      <t xml:space="preserve">В графах ЕИ и Валюта выбрать из выпадающего списка необходимую ЕИ и валюту. Или вставить скопированную как описано в п.1. </t>
    </r>
    <r>
      <rPr>
        <sz val="10"/>
        <color indexed="2"/>
        <rFont val="Arial"/>
        <family val="2"/>
        <charset val="204"/>
      </rPr>
      <t xml:space="preserve">ВНИМАНИЕ! </t>
    </r>
    <r>
      <rPr>
        <sz val="10"/>
        <rFont val="Arial"/>
        <family val="2"/>
        <charset val="204"/>
      </rPr>
      <t>ВСЕ ЕИ и валюта должны быть точно такие же как в выпадающем списке!</t>
    </r>
  </si>
  <si>
    <t>4.</t>
  </si>
  <si>
    <t>Указать цену, процент скидки. Если необходимо, написать комментарий. Все цены вписывать с НДС.</t>
  </si>
  <si>
    <t>5.</t>
  </si>
  <si>
    <t>Можно исправить курс ЕВРО и ДОЛЛАРА при необходимости</t>
  </si>
  <si>
    <t>6.</t>
  </si>
  <si>
    <t>ячейки с бежевым фоном не исправлять</t>
  </si>
  <si>
    <t>Как распечатывать лист?</t>
  </si>
  <si>
    <t>Откройте Лист, который необходимо распечатать. Проверьте все ли правльно. Можете что-то подредактировать, например, отфильтроввать пустые строки.</t>
  </si>
  <si>
    <t>Далее на верхней панеле инструментов Файл → Печать → В разделе Настройки сделать следущие манипуляции:</t>
  </si>
  <si>
    <t>2.1.</t>
  </si>
  <si>
    <t>Если у Вас печать листа, то выбор должен стоять на Напечатать активные листы. Если определенный диапазон (выделить необходимые ячейки), то Напечатать выделенный фрагмент.</t>
  </si>
  <si>
    <t>2.2.</t>
  </si>
  <si>
    <t>Чтобы уместить печать листа на одну страницу необходимо выбрать Вписать лист на одну страницу. В этом случае все, что на листе, будет размещено на одной странице. Посмотрите на образец размещения после печати справа.</t>
  </si>
  <si>
    <t xml:space="preserve">Если необзодимо уместить лист только по ширине в пределах одной страницы, а в "длину" можно на нескольких страницах, то выберете Вписать все столбцы на одну страницу. Посмотрите на образоц справа. </t>
  </si>
  <si>
    <t>2.3.</t>
  </si>
  <si>
    <t>Внизу будет показано количество страниц после печати. Если все устраивает,то нажмите Печать.</t>
  </si>
  <si>
    <t>Содержание</t>
  </si>
  <si>
    <t>Выберите тип опросного листа</t>
  </si>
  <si>
    <t>ОЛ емкости</t>
  </si>
  <si>
    <t>№</t>
  </si>
  <si>
    <t>Описание</t>
  </si>
  <si>
    <t>Опросный лист</t>
  </si>
  <si>
    <t>Калькулятор</t>
  </si>
  <si>
    <t>Заявка на закупку</t>
  </si>
  <si>
    <t>Днище КНС</t>
  </si>
  <si>
    <t>Вес и ПЭ трубы</t>
  </si>
  <si>
    <t>Грузоподъем</t>
  </si>
  <si>
    <t>Детали трубопровода ПЭ ПВХ PP</t>
  </si>
  <si>
    <t>Детали трубопровода сталь</t>
  </si>
  <si>
    <t>Запорная арматура</t>
  </si>
  <si>
    <t>Металлопрокат</t>
  </si>
  <si>
    <t>Метизы</t>
  </si>
  <si>
    <t>Оборудование</t>
  </si>
  <si>
    <t>Прочие материалы</t>
  </si>
  <si>
    <t>Собственное производство</t>
  </si>
  <si>
    <t>Работы</t>
  </si>
  <si>
    <t>Выбор</t>
  </si>
  <si>
    <t>Стадия</t>
  </si>
  <si>
    <t>Шкаф управления</t>
  </si>
  <si>
    <t>Ввод электропитания</t>
  </si>
  <si>
    <t>Пуск ШУ</t>
  </si>
  <si>
    <t xml:space="preserve">Модуль передачи данных в систему диспетчеризации: </t>
  </si>
  <si>
    <t>Вид насосной станции</t>
  </si>
  <si>
    <t>Корзина или Дробилка</t>
  </si>
  <si>
    <t>Тип запорной арматуры</t>
  </si>
  <si>
    <t>Материал трубы</t>
  </si>
  <si>
    <t>Тип соединения</t>
  </si>
  <si>
    <t>Наименование изделия</t>
  </si>
  <si>
    <t>Материал</t>
  </si>
  <si>
    <t>Среда</t>
  </si>
  <si>
    <t>ЕИ</t>
  </si>
  <si>
    <t>ЕИ для ОЛ</t>
  </si>
  <si>
    <t>Валюта</t>
  </si>
  <si>
    <t>DN подвод патрубка</t>
  </si>
  <si>
    <t>Диаметр</t>
  </si>
  <si>
    <t>Давление</t>
  </si>
  <si>
    <t>Давление_для_фланцев</t>
  </si>
  <si>
    <t>Давление_для_проч_эл</t>
  </si>
  <si>
    <t>Жесткость</t>
  </si>
  <si>
    <t>Категории</t>
  </si>
  <si>
    <t>Труба на части</t>
  </si>
  <si>
    <t>Расположение</t>
  </si>
  <si>
    <t>Установка</t>
  </si>
  <si>
    <t>Тип емкости</t>
  </si>
  <si>
    <t>Д шахты обслуживания</t>
  </si>
  <si>
    <t>Класс опасности</t>
  </si>
  <si>
    <t>Тип патрубка</t>
  </si>
  <si>
    <t>Тип крышки</t>
  </si>
  <si>
    <t>Отвод</t>
  </si>
  <si>
    <t>Тройник</t>
  </si>
  <si>
    <t>Фланец</t>
  </si>
  <si>
    <t>Тип_ОЛ</t>
  </si>
  <si>
    <t>Вид днища</t>
  </si>
  <si>
    <t>Назначение ОЛ</t>
  </si>
  <si>
    <t>Тип смолы</t>
  </si>
  <si>
    <t>Марка смолы</t>
  </si>
  <si>
    <t>Отдел</t>
  </si>
  <si>
    <t>Да</t>
  </si>
  <si>
    <t>проект</t>
  </si>
  <si>
    <t>Внутренний</t>
  </si>
  <si>
    <t>Один</t>
  </si>
  <si>
    <t>Стандартный</t>
  </si>
  <si>
    <t>CIM 150 Profibus-DR</t>
  </si>
  <si>
    <t>КНС</t>
  </si>
  <si>
    <t>Корзина для мусора</t>
  </si>
  <si>
    <t>Задвижка клиновая с обрезиненным клином</t>
  </si>
  <si>
    <t>ПЭ</t>
  </si>
  <si>
    <t>фланец</t>
  </si>
  <si>
    <t>Труба</t>
  </si>
  <si>
    <t>СК/НПС</t>
  </si>
  <si>
    <t>К</t>
  </si>
  <si>
    <t>шт</t>
  </si>
  <si>
    <t>л/с</t>
  </si>
  <si>
    <t>руб</t>
  </si>
  <si>
    <t>0,1-0,6</t>
  </si>
  <si>
    <t>0,1-0,4</t>
  </si>
  <si>
    <t>Целая труба</t>
  </si>
  <si>
    <t>Горизонтальное</t>
  </si>
  <si>
    <t>Наземная</t>
  </si>
  <si>
    <t>Накопительная</t>
  </si>
  <si>
    <t>I</t>
  </si>
  <si>
    <t>Раструб</t>
  </si>
  <si>
    <t>Крышка из нерж. стали</t>
  </si>
  <si>
    <t>Отвод с углом изгиба от 0 до 30. 15 град</t>
  </si>
  <si>
    <t>Тройник равнопроходной</t>
  </si>
  <si>
    <t>Формованный фланец под ламинарное/муфтовое соединение</t>
  </si>
  <si>
    <t>Типовая</t>
  </si>
  <si>
    <t>С патрубком</t>
  </si>
  <si>
    <t>Материальный расчет</t>
  </si>
  <si>
    <t>Стандарт</t>
  </si>
  <si>
    <t>ИЗО</t>
  </si>
  <si>
    <t>Дирекция по продажам
(Направление продаж трубной продукции)</t>
  </si>
  <si>
    <t>Нет</t>
  </si>
  <si>
    <t>рабочая</t>
  </si>
  <si>
    <t>Уличный</t>
  </si>
  <si>
    <t xml:space="preserve">Двойной с АВР </t>
  </si>
  <si>
    <t>Плавный</t>
  </si>
  <si>
    <t>CIM 200Modbus RTU/COMLI</t>
  </si>
  <si>
    <t>ДНС</t>
  </si>
  <si>
    <t>Дробилка</t>
  </si>
  <si>
    <t>Задвижка шиберная</t>
  </si>
  <si>
    <t>ПВХ</t>
  </si>
  <si>
    <t>муфта</t>
  </si>
  <si>
    <t>Муфта</t>
  </si>
  <si>
    <t>СК/ВЭС</t>
  </si>
  <si>
    <t>м</t>
  </si>
  <si>
    <r>
      <t>м</t>
    </r>
    <r>
      <rPr>
        <vertAlign val="superscript"/>
        <sz val="11"/>
        <color theme="1"/>
        <rFont val="Calibri"/>
        <family val="2"/>
        <charset val="204"/>
        <scheme val="minor"/>
      </rPr>
      <t>3</t>
    </r>
    <r>
      <rPr>
        <sz val="11"/>
        <color theme="1"/>
        <rFont val="Calibri"/>
        <family val="2"/>
        <charset val="204"/>
        <scheme val="minor"/>
      </rPr>
      <t>/ч</t>
    </r>
  </si>
  <si>
    <t>евро</t>
  </si>
  <si>
    <t>0,6-1,0</t>
  </si>
  <si>
    <t>Выключатели</t>
  </si>
  <si>
    <t>Труба частями</t>
  </si>
  <si>
    <t>Вертикальное</t>
  </si>
  <si>
    <t>Подземная</t>
  </si>
  <si>
    <t>Химстойкая</t>
  </si>
  <si>
    <t>II</t>
  </si>
  <si>
    <t>Формованный стеклокомпозитный фланец</t>
  </si>
  <si>
    <t>Крышка стеклокомпозитная</t>
  </si>
  <si>
    <t>Отвод с углом изгиба от 0 до 30. 30 град</t>
  </si>
  <si>
    <t>Металлический фланец на формованном упоре</t>
  </si>
  <si>
    <t>ОЛ насосной станции</t>
  </si>
  <si>
    <t>Сборная</t>
  </si>
  <si>
    <t>Без патрубка</t>
  </si>
  <si>
    <t>Расчет на всплытие</t>
  </si>
  <si>
    <t>Винилэфирная стандарт</t>
  </si>
  <si>
    <t>Девинил911</t>
  </si>
  <si>
    <t>Дирекция по продажам
(Направление проектных продаж)</t>
  </si>
  <si>
    <t>кд</t>
  </si>
  <si>
    <t xml:space="preserve">Частотный преобразователь  </t>
  </si>
  <si>
    <t>CIM 250 GSM/GPRS</t>
  </si>
  <si>
    <t>ВНС</t>
  </si>
  <si>
    <t>Корзина для мусора и Дробилка</t>
  </si>
  <si>
    <t>Задвижка шиберная с электроприводом</t>
  </si>
  <si>
    <t>ПНД</t>
  </si>
  <si>
    <t>раструб</t>
  </si>
  <si>
    <t>Фасонные детали</t>
  </si>
  <si>
    <t>кг</t>
  </si>
  <si>
    <r>
      <t>м</t>
    </r>
    <r>
      <rPr>
        <vertAlign val="superscript"/>
        <sz val="11"/>
        <color theme="1"/>
        <rFont val="Calibri"/>
        <family val="2"/>
        <charset val="204"/>
        <scheme val="minor"/>
      </rPr>
      <t>3</t>
    </r>
    <r>
      <rPr>
        <sz val="11"/>
        <color theme="1"/>
        <rFont val="Calibri"/>
        <family val="2"/>
        <charset val="204"/>
        <scheme val="minor"/>
      </rPr>
      <t>/сут</t>
    </r>
  </si>
  <si>
    <t>долл</t>
  </si>
  <si>
    <t>1,0-1,6</t>
  </si>
  <si>
    <t>Детали труб_да ПЭ ПВХ PPR</t>
  </si>
  <si>
    <t>В помещении</t>
  </si>
  <si>
    <t>Аккумулирующая</t>
  </si>
  <si>
    <t>III</t>
  </si>
  <si>
    <t>Отвод с углом изгиба от 31 до 60. 45 град</t>
  </si>
  <si>
    <t>ОЛ колодца</t>
  </si>
  <si>
    <t>Расчет кольцевой жесткости (толщины стенки корпуса)</t>
  </si>
  <si>
    <t>Винилэфирная высокотемпературная (до 180°С)</t>
  </si>
  <si>
    <t>Derakan470</t>
  </si>
  <si>
    <t>Дирекция инжиниринга и проектных работ
(Проектно-конструкторский отдел)</t>
  </si>
  <si>
    <t>Отправить на подбор смолы</t>
  </si>
  <si>
    <t>продажа</t>
  </si>
  <si>
    <t>нет</t>
  </si>
  <si>
    <t>Задвижка клиновая с обрезиненным клином с электроприводом</t>
  </si>
  <si>
    <t>ПП</t>
  </si>
  <si>
    <t>чел. ч</t>
  </si>
  <si>
    <t>1,6-2,0</t>
  </si>
  <si>
    <t>Автомобиль</t>
  </si>
  <si>
    <t>Питьевая</t>
  </si>
  <si>
    <t>IV</t>
  </si>
  <si>
    <t>Фланцевый патрубок с заглушкой</t>
  </si>
  <si>
    <t>Отвод с углом изгиба от 31 до 60. 60 град</t>
  </si>
  <si>
    <t>Согласовательный чертеж</t>
  </si>
  <si>
    <t>Дирекция инжиниринга и проектных работ
(Опытно-технологический отдел)</t>
  </si>
  <si>
    <t>тендер</t>
  </si>
  <si>
    <t>Асбестцемент</t>
  </si>
  <si>
    <t>м²</t>
  </si>
  <si>
    <t>Емкость с насосным оборудованием</t>
  </si>
  <si>
    <t>Отвод с углом изгиба от 61 до 90. 75 град</t>
  </si>
  <si>
    <t>Дирекция инжиниринга и проектных работ
(Конструкторско-технологический отдел)</t>
  </si>
  <si>
    <t>Труба Корсис</t>
  </si>
  <si>
    <t>руб/м</t>
  </si>
  <si>
    <t>Отвод с углом изгиба от 61 до 90. 90 град</t>
  </si>
  <si>
    <t>Дирекция по развитию 
(Отдел продаж емкостного оборудования)</t>
  </si>
  <si>
    <t>Труба стеклокомпозитная</t>
  </si>
  <si>
    <t xml:space="preserve">Департамент по закупкам и логистике </t>
  </si>
  <si>
    <t>Прочее оборудование</t>
  </si>
  <si>
    <t>Насосы, АТМ</t>
  </si>
  <si>
    <t>Датчики</t>
  </si>
  <si>
    <t>Расходомеры</t>
  </si>
  <si>
    <t>Шкафы</t>
  </si>
  <si>
    <t>ФОТ</t>
  </si>
  <si>
    <r>
      <rPr>
        <b/>
        <sz val="11"/>
        <color theme="1"/>
        <rFont val="Calibri"/>
        <family val="2"/>
        <charset val="204"/>
        <scheme val="minor"/>
      </rPr>
      <t>ОБЩЕСТВО С ОГРАНИЧЕННОЙ ОТВЕТСТВЕННОСТЬЮ</t>
    </r>
    <r>
      <rPr>
        <sz val="11"/>
        <color theme="1"/>
        <rFont val="Calibri"/>
        <family val="2"/>
        <charset val="204"/>
        <scheme val="minor"/>
      </rPr>
      <t xml:space="preserve">
</t>
    </r>
    <r>
      <rPr>
        <b/>
        <sz val="16"/>
        <color rgb="FF005D50"/>
        <rFont val="Calibri"/>
        <family val="2"/>
        <charset val="204"/>
        <scheme val="minor"/>
      </rPr>
      <t>«НОВЫЕ ТРУБНЫЕ ТЕХНОЛОГИИ»</t>
    </r>
    <r>
      <rPr>
        <sz val="11"/>
        <color theme="1"/>
        <rFont val="Calibri"/>
        <family val="2"/>
        <charset val="204"/>
        <scheme val="minor"/>
      </rPr>
      <t xml:space="preserve">
</t>
    </r>
    <r>
      <rPr>
        <sz val="8"/>
        <color theme="1"/>
        <rFont val="Calibri"/>
        <family val="2"/>
        <charset val="204"/>
        <scheme val="minor"/>
      </rPr>
      <t>141320, Московская область, г.о. Сергиево-Посадский, д. Коврово, д. 50, помещ. 2                                                                                                                                                                                                                                                                                                                                                                                              E-mail: info@ntt.su, тел/факс: +7(499) 949-14-04</t>
    </r>
  </si>
  <si>
    <t>ОПРОСНЫЙ ЛИСТ КОЛОДЦА</t>
  </si>
  <si>
    <t>*к заявке ООО «НТТ» №</t>
  </si>
  <si>
    <t>Тип колодца</t>
  </si>
  <si>
    <t>Назначение ОЛ*</t>
  </si>
  <si>
    <t>→</t>
  </si>
  <si>
    <t>*(выберите одно или несколько назначений)</t>
  </si>
  <si>
    <t>*Дата заполнения:</t>
  </si>
  <si>
    <t>*Заказчик:</t>
  </si>
  <si>
    <t>Стадия проекта:</t>
  </si>
  <si>
    <t>Объект:</t>
  </si>
  <si>
    <t>Регион объекта:</t>
  </si>
  <si>
    <t>Предполагаемые параметры колодца:</t>
  </si>
  <si>
    <t>*Диаметр рабочей части колодца DN, мм</t>
  </si>
  <si>
    <t>*Давление PN, Мпа</t>
  </si>
  <si>
    <t>*Жесткость SN, Па</t>
  </si>
  <si>
    <t>Склад</t>
  </si>
  <si>
    <t>Высота возвышения корпуса горловины/корпуса колодца над землей, мм</t>
  </si>
  <si>
    <t>Установка под проезжей частью (Да/Нет):</t>
  </si>
  <si>
    <t>*Глубина рабочей части корпуса (H), мм</t>
  </si>
  <si>
    <t>Наличие горловины колодца</t>
  </si>
  <si>
    <t>Диаметр горловины колодца d,мм</t>
  </si>
  <si>
    <t>Высота горловины h (до верха рабочей части емкости), мм</t>
  </si>
  <si>
    <t>Лестница</t>
  </si>
  <si>
    <t>Смола:</t>
  </si>
  <si>
    <r>
      <t xml:space="preserve">MAX температура жидкости, </t>
    </r>
    <r>
      <rPr>
        <vertAlign val="superscript"/>
        <sz val="12"/>
        <color rgb="FF00000A"/>
        <rFont val="Arial"/>
        <family val="2"/>
        <charset val="204"/>
      </rPr>
      <t>о</t>
    </r>
    <r>
      <rPr>
        <sz val="12"/>
        <color rgb="FF00000A"/>
        <rFont val="Arial"/>
        <family val="2"/>
        <charset val="204"/>
      </rPr>
      <t>С</t>
    </r>
  </si>
  <si>
    <t>Вид стоков</t>
  </si>
  <si>
    <t>Хозяйственно-бытовые</t>
  </si>
  <si>
    <t>Возможное MAX внутреннее давление, кг/см2</t>
  </si>
  <si>
    <t>Параметры патрубков:</t>
  </si>
  <si>
    <t>подводящего</t>
  </si>
  <si>
    <t>отводящего</t>
  </si>
  <si>
    <t>Материал подводящего патрубка</t>
  </si>
  <si>
    <t>Материал отводящего патрубка</t>
  </si>
  <si>
    <t>Глубина залегания H лотка, мм</t>
  </si>
  <si>
    <t>Глубина залегания, мм</t>
  </si>
  <si>
    <t>Проходной (внутренний) диаметр, DА, мм.</t>
  </si>
  <si>
    <t>Проходной (внутренний) диаметр, DB, мм.</t>
  </si>
  <si>
    <t>Направление подводящего патрубка, в часах</t>
  </si>
  <si>
    <t>Направление отводящего патрубка, в часах</t>
  </si>
  <si>
    <t>Количество подводящих патрубков, шт.</t>
  </si>
  <si>
    <t>Количество отводящих патрубков, шт.</t>
  </si>
  <si>
    <t>Наличие дополнительного оборудования:</t>
  </si>
  <si>
    <t>Наличие дробилки/корзины для мусора</t>
  </si>
  <si>
    <t>Датчики:</t>
  </si>
  <si>
    <t>Тип:</t>
  </si>
  <si>
    <t>давления</t>
  </si>
  <si>
    <t>Марка шкафа:</t>
  </si>
  <si>
    <t>температуры</t>
  </si>
  <si>
    <t>Ввод электропитания:</t>
  </si>
  <si>
    <t>уровня</t>
  </si>
  <si>
    <t>Пуск ШУ:</t>
  </si>
  <si>
    <t>манометр</t>
  </si>
  <si>
    <t xml:space="preserve">Модуль передачи данных в систему диспетчеризации:  </t>
  </si>
  <si>
    <t>расходомер</t>
  </si>
  <si>
    <t>*Теплоизоляция</t>
  </si>
  <si>
    <t>Глубина теплоизоляции, мм</t>
  </si>
  <si>
    <t>Обязательные дополнения к заявке:</t>
  </si>
  <si>
    <t>* - поля обязательные для заполнения</t>
  </si>
  <si>
    <t xml:space="preserve">Приложение: документы заказчика на </t>
  </si>
  <si>
    <t>Менеджер отдела продаж емкостного оборудования ООО «НТТ»</t>
  </si>
  <si>
    <t>______________________________ (________________________)</t>
  </si>
  <si>
    <t>Начальник отдела продаж емкостного оборудования ООО «НТТ»</t>
  </si>
  <si>
    <t>Дата заполнения таблицы</t>
  </si>
  <si>
    <t>Заказчик/ Объект/ Вид насосной станции/ Параметры</t>
  </si>
  <si>
    <t>DN трубы,  мм</t>
  </si>
  <si>
    <t>Глубина корп., L мм</t>
  </si>
  <si>
    <t>DN вход. патрубка, мм</t>
  </si>
  <si>
    <t>Кол-во вход. патрубков, шт</t>
  </si>
  <si>
    <t>DN вых.патрубка, мм</t>
  </si>
  <si>
    <t>Кол-во выход. патрубков, шт</t>
  </si>
  <si>
    <t>Высота горловины, мм</t>
  </si>
  <si>
    <t>Материал изделия</t>
  </si>
  <si>
    <t>Транспортируемая среда</t>
  </si>
  <si>
    <t>Давление трубопровода, PN МПа</t>
  </si>
  <si>
    <t>Жесткость, SN Па</t>
  </si>
  <si>
    <t>D гильзы для прохода вход.патрубка, мм</t>
  </si>
  <si>
    <t>D гильзы для прохода выход. труб-да, мм</t>
  </si>
  <si>
    <t>Диаметр горовины, мм</t>
  </si>
  <si>
    <t>+100</t>
  </si>
  <si>
    <t>Вручную</t>
  </si>
  <si>
    <t>Категория</t>
  </si>
  <si>
    <t>Материалы,работы, услуги.</t>
  </si>
  <si>
    <t>Закупка</t>
  </si>
  <si>
    <t>Вес, кг/пм</t>
  </si>
  <si>
    <t>Кол-во за 1 ед.</t>
  </si>
  <si>
    <t>Общ. кол-во</t>
  </si>
  <si>
    <t>Цена за 1 ед., руб</t>
  </si>
  <si>
    <t>Сумма, руб</t>
  </si>
  <si>
    <t>Примечание</t>
  </si>
  <si>
    <t>МТО</t>
  </si>
  <si>
    <t>Логистика</t>
  </si>
  <si>
    <t>1.1</t>
  </si>
  <si>
    <t>Корпус. Материалы</t>
  </si>
  <si>
    <t>Кол-во корпусов:</t>
  </si>
  <si>
    <t>Придание изделию товарного вида</t>
  </si>
  <si>
    <t>Входящий патрубок</t>
  </si>
  <si>
    <t>ламинирование патрубка/муфты к корпуск коэффициент = 1</t>
  </si>
  <si>
    <t>Выходящий патрубок</t>
  </si>
  <si>
    <t>Горловина для колодца:</t>
  </si>
  <si>
    <t>DN:</t>
  </si>
  <si>
    <t>SN:</t>
  </si>
  <si>
    <t>PN:</t>
  </si>
  <si>
    <t>кол-во:</t>
  </si>
  <si>
    <t>Заготовка трубы для горловины колодца</t>
  </si>
  <si>
    <t>Механическая формовка горловины к корпусу</t>
  </si>
  <si>
    <t>Ламинирование горловины к корпусу емкости</t>
  </si>
  <si>
    <t>Фальшпол:</t>
  </si>
  <si>
    <t>Труба ПВХ Ду160 оранжевая (наружная)</t>
  </si>
  <si>
    <t>Отверстия для гильз под бетон 2шт</t>
  </si>
  <si>
    <t>Механическая формовка деталей фальшпола</t>
  </si>
  <si>
    <t>Ламинирование фальшпола к корпусу</t>
  </si>
  <si>
    <t>Теплоизоляция:</t>
  </si>
  <si>
    <t>Теплоизоляция - Изофом ППЭ ОР 15 1,5х40</t>
  </si>
  <si>
    <t>Вертикальная изоляция корпуса</t>
  </si>
  <si>
    <t>Изоляция крышки</t>
  </si>
  <si>
    <t>Защитный слой ламинации 4 мм на теплоизоляцию</t>
  </si>
  <si>
    <t>Ламинирование 1 простой петли = 0,4 кг, ламинирование 1 усиленной петли =0,6 кг</t>
  </si>
  <si>
    <t>Дробилка:</t>
  </si>
  <si>
    <t>Механическая формовка деталей канала под дробилку</t>
  </si>
  <si>
    <t>Ламинирование деталей площадки под дробилку в сборке</t>
  </si>
  <si>
    <t>Коэффициент ламинации 1</t>
  </si>
  <si>
    <t>Уголок 50х50х5мм 12Х18Н10Т (AISI304) ГОСТ 8509-93</t>
  </si>
  <si>
    <t>Круг 5 мм 12Х18Н10Т ГOCT 5949-75</t>
  </si>
  <si>
    <t xml:space="preserve">Цепь короткозвенная сварная 5 мм DIN 766 А2/А4 </t>
  </si>
  <si>
    <t xml:space="preserve">Карабин винтовой 5 мм нерж. А4 ART 8253 </t>
  </si>
  <si>
    <t>1.2</t>
  </si>
  <si>
    <r>
      <t xml:space="preserve">Корпус </t>
    </r>
    <r>
      <rPr>
        <b/>
        <i/>
        <u/>
        <sz val="9"/>
        <color theme="1"/>
        <rFont val="Arial"/>
        <family val="2"/>
        <charset val="204"/>
      </rPr>
      <t xml:space="preserve">Работы </t>
    </r>
    <r>
      <rPr>
        <b/>
        <i/>
        <sz val="9"/>
        <color theme="1"/>
        <rFont val="Arial"/>
        <family val="2"/>
        <charset val="204"/>
      </rPr>
      <t>(ФОТ)</t>
    </r>
  </si>
  <si>
    <t>Предварительные работы для подготовки трубы (транспортировка, разметка осей, шлифовка)</t>
  </si>
  <si>
    <t>DN/(200*6) * Lтр</t>
  </si>
  <si>
    <t>Прорезка отверстия патрубка в корпусе</t>
  </si>
  <si>
    <t>прорезка любого отверстия: (DN* П/1000)*0,5*количество патрубков - вырезать 1 м окружности занимает 0,5 чел.ч.</t>
  </si>
  <si>
    <t>Прорезка отверстия для горловины обслуживания</t>
  </si>
  <si>
    <t xml:space="preserve">Изготовление Петель монтажных </t>
  </si>
  <si>
    <t>0,5 чел. За 1 петлю</t>
  </si>
  <si>
    <t xml:space="preserve">Монтаж Петель монтажных </t>
  </si>
  <si>
    <t>Монтаж теплоизоляции</t>
  </si>
  <si>
    <t>1 м2 = 1 чел.ч для вертикальной части корпуса, 1 м2 = 1 чел.ч для изоляции крышки</t>
  </si>
  <si>
    <t>Последняя строка</t>
  </si>
  <si>
    <t>Итого: Корпус</t>
  </si>
  <si>
    <t>в т.ч. Материалы на закупку:</t>
  </si>
  <si>
    <t>в т.ч. Труба, муфта:</t>
  </si>
  <si>
    <t>необходимо указать стоимость трубы/муфты</t>
  </si>
  <si>
    <t>в т.ч. Работы участка фитингов, ФОТ:</t>
  </si>
  <si>
    <t>в т.ч. Работы участка РМУ, ФОТ:</t>
  </si>
  <si>
    <t>в т.ч. Формовка:</t>
  </si>
  <si>
    <r>
      <t xml:space="preserve">Корзина </t>
    </r>
    <r>
      <rPr>
        <b/>
        <i/>
        <u/>
        <sz val="9"/>
        <color theme="1"/>
        <rFont val="Arial"/>
        <family val="2"/>
        <charset val="204"/>
      </rPr>
      <t>Материалы</t>
    </r>
    <r>
      <rPr>
        <b/>
        <i/>
        <sz val="9"/>
        <color theme="1"/>
        <rFont val="Arial"/>
        <family val="2"/>
        <charset val="204"/>
      </rPr>
      <t>:</t>
    </r>
  </si>
  <si>
    <t>Количество корзин</t>
  </si>
  <si>
    <t>Уголок 20х20х1,5мм 08Х18Н10Т(AISI304) ГОСТ 8509-93</t>
  </si>
  <si>
    <t>Лист нержавеющий перфорированный 1х1000х2000мм Qg 10.0-12.0 марка 10х18н10</t>
  </si>
  <si>
    <t>Труба 45х3,0 ГОСТ 9941-81 ст 12Х18Н10Т (AISI 321)  (бесшовная холоднодеформированная) ГОСТ 9941-81</t>
  </si>
  <si>
    <t xml:space="preserve">Цепь короткозвенная сварная 3 мм DIN 766 А2/А4 </t>
  </si>
  <si>
    <r>
      <t xml:space="preserve">Корзина </t>
    </r>
    <r>
      <rPr>
        <b/>
        <i/>
        <u/>
        <sz val="9"/>
        <color theme="1"/>
        <rFont val="Arial"/>
        <family val="2"/>
        <charset val="204"/>
      </rPr>
      <t xml:space="preserve">Работа </t>
    </r>
    <r>
      <rPr>
        <b/>
        <i/>
        <sz val="9"/>
        <color theme="1"/>
        <rFont val="Arial"/>
        <family val="2"/>
        <charset val="204"/>
      </rPr>
      <t>(ФОТ)</t>
    </r>
  </si>
  <si>
    <t>Изготовление Сороудерживающей корзины</t>
  </si>
  <si>
    <t>Монтаж Сороудерживающей корзины</t>
  </si>
  <si>
    <t>Изготовление направляющих корзины</t>
  </si>
  <si>
    <t>обычно у корзины 2 направляющие, за 2 шт. - 2 чел.ч.</t>
  </si>
  <si>
    <t>Монтаж направляющих корзины</t>
  </si>
  <si>
    <t>Итого: Корзина</t>
  </si>
  <si>
    <t>2.1</t>
  </si>
  <si>
    <r>
      <t xml:space="preserve">Лестницы </t>
    </r>
    <r>
      <rPr>
        <b/>
        <i/>
        <u/>
        <sz val="9"/>
        <color theme="1"/>
        <rFont val="Arial"/>
        <family val="2"/>
        <charset val="204"/>
      </rPr>
      <t xml:space="preserve">Материалы </t>
    </r>
  </si>
  <si>
    <t>Длина лестницы 1</t>
  </si>
  <si>
    <t>Длина лестницы 2</t>
  </si>
  <si>
    <t>Уголок 40х40х3мм 08Х18Н10Т(AISI304) ГОСТ 8509-93</t>
  </si>
  <si>
    <t>Труба 25х2 мм 12Х18Н10Т (AISI 304) ГОСТ 9941-81</t>
  </si>
  <si>
    <t>2.2</t>
  </si>
  <si>
    <r>
      <t xml:space="preserve">Лестница КНС </t>
    </r>
    <r>
      <rPr>
        <b/>
        <i/>
        <u/>
        <sz val="9"/>
        <color theme="1"/>
        <rFont val="Arial"/>
        <family val="2"/>
        <charset val="204"/>
      </rPr>
      <t xml:space="preserve">Работа </t>
    </r>
    <r>
      <rPr>
        <b/>
        <i/>
        <sz val="9"/>
        <color theme="1"/>
        <rFont val="Arial"/>
        <family val="2"/>
        <charset val="204"/>
      </rPr>
      <t>(ФОТ)</t>
    </r>
  </si>
  <si>
    <t>Изготовление Лестницы</t>
  </si>
  <si>
    <t>1,25 чел.ч на каждый метр лестницы</t>
  </si>
  <si>
    <t>Монтаж Лестницы</t>
  </si>
  <si>
    <t>Итого: Лестница</t>
  </si>
  <si>
    <t xml:space="preserve">Перекрытие, площадка и несущие балки Материалы </t>
  </si>
  <si>
    <t>3.1</t>
  </si>
  <si>
    <r>
      <t xml:space="preserve">Перекрытие, площадка и несущие балки </t>
    </r>
    <r>
      <rPr>
        <b/>
        <i/>
        <u/>
        <sz val="9"/>
        <color theme="1"/>
        <rFont val="Arial"/>
        <family val="2"/>
        <charset val="204"/>
      </rPr>
      <t xml:space="preserve">Материалы </t>
    </r>
  </si>
  <si>
    <t>Тип крышки:</t>
  </si>
  <si>
    <t>общ.кол-во:</t>
  </si>
  <si>
    <t xml:space="preserve">Верхнее перекрытие </t>
  </si>
  <si>
    <t>Механическая формовка верхнего перекрытия</t>
  </si>
  <si>
    <t>внести данные вручную</t>
  </si>
  <si>
    <t>Ламинирование верхнего перекрытия</t>
  </si>
  <si>
    <t xml:space="preserve">Труба 100х50х2мм 08Х18Н10 (AISI304) ГОСТ 8645-68 </t>
  </si>
  <si>
    <t>Выбор люка (горловины)</t>
  </si>
  <si>
    <t>Вид люка:</t>
  </si>
  <si>
    <t>Квадратный (прямоугольный)</t>
  </si>
  <si>
    <t>Количество люков</t>
  </si>
  <si>
    <t>Механическая формовка стеклокомпозитной крышки</t>
  </si>
  <si>
    <t>Ламинирование стеклокомпозитной крышки</t>
  </si>
  <si>
    <t>Ручка складная оцинкованная</t>
  </si>
  <si>
    <t>Верхнее нержавеющее перекрытие</t>
  </si>
  <si>
    <t>Лист ромб/ чечевица г/к Б-ПН-О-3х1250х2500мм 12Х18Н10Т (AISI 304)</t>
  </si>
  <si>
    <t>Петля приварная трехлепестковая АРТ 814754 А2 118Х88</t>
  </si>
  <si>
    <t>Площадка обслуживания</t>
  </si>
  <si>
    <t>Композитный решетчатый настил ISO-FR 30х997х2026</t>
  </si>
  <si>
    <t>Крепление металлоконструкций</t>
  </si>
  <si>
    <t>Количество стульчиков</t>
  </si>
  <si>
    <t>Размер стульчиков</t>
  </si>
  <si>
    <t>Уголок 100х100х6мм 12Х18Н10Т (AISI304) ГОСТ 8509-93</t>
  </si>
  <si>
    <t>Ламинирование болтов к корпусу</t>
  </si>
  <si>
    <t>Крепление оборудования (любого установленного в колодце)</t>
  </si>
  <si>
    <t xml:space="preserve">Цепь короткозвенная сварная 6 мм DIN 766 А2/А4 </t>
  </si>
  <si>
    <t xml:space="preserve">Карабин винтовой 6 мм нерж. А4 ART 8253 </t>
  </si>
  <si>
    <t>Круг 6 мм 12Х18Н10Т ГOCT 5949-75</t>
  </si>
  <si>
    <t>Крепление к бетонному основанию</t>
  </si>
  <si>
    <t>Уголок 125х125х10мм ст3пс  ГОСТ 8509-93</t>
  </si>
  <si>
    <t>Анкерный болт распорный 16х100</t>
  </si>
  <si>
    <t>3.2</t>
  </si>
  <si>
    <r>
      <t xml:space="preserve">Площадка и несущие балки </t>
    </r>
    <r>
      <rPr>
        <b/>
        <i/>
        <u/>
        <sz val="9"/>
        <color theme="1"/>
        <rFont val="Arial"/>
        <family val="2"/>
        <charset val="204"/>
      </rPr>
      <t>Работа (ФОТ)</t>
    </r>
  </si>
  <si>
    <t>Верхнее стеклокомпозитное перекрытие</t>
  </si>
  <si>
    <t xml:space="preserve">Изготовление рамы перекрытия из профильной трубы </t>
  </si>
  <si>
    <t>за 1 раму перекрытия 6 чел.ч при &lt; DN2500, при &gt; DN2500 7 чел.ч</t>
  </si>
  <si>
    <t>Монтаж рамы перекрытия на верхнем стеклокомпозитном перекрытии</t>
  </si>
  <si>
    <t>за 1 раму перекрытия 5 чел.ч при &lt; DN2500, при &gt; DN2500 6 чел.ч</t>
  </si>
  <si>
    <t>Монтаж складных ручек на болтах М6</t>
  </si>
  <si>
    <t>0,5 чел.ч на ручку</t>
  </si>
  <si>
    <t>Монтаж рамы перекрытия на верхнем нержавеющем перекрытии</t>
  </si>
  <si>
    <t>Раскрой ст.листов и их монтаж на раму перекрытия при помощи саморезов</t>
  </si>
  <si>
    <t>Изготовление люков обслуживания из стальных листов и уголка 40х40х3</t>
  </si>
  <si>
    <t>Монтаж люков обслуживания на перекрытие на приварных петлях</t>
  </si>
  <si>
    <t>Монтаж петли приварной из нержавеющей стали</t>
  </si>
  <si>
    <t>Изготовление поддержив. конструкций площадки обслуживания из проф.трубы</t>
  </si>
  <si>
    <t>Монтаж площадки</t>
  </si>
  <si>
    <t>Изготовление "стульчиков" из уголка 100х100х6,0</t>
  </si>
  <si>
    <t>Монтаж "стульчиков"</t>
  </si>
  <si>
    <t>Крепление оборудования</t>
  </si>
  <si>
    <t>Изготовление "башмаков" из уголка 125х125х10</t>
  </si>
  <si>
    <t>0,5 чел.ч за 1 башмак</t>
  </si>
  <si>
    <t>Монтаж "башмаков" из уголка 125х125х10</t>
  </si>
  <si>
    <t>Итого: Перекрытие, площадка и несущие балки</t>
  </si>
  <si>
    <t>Вентиляционный стояк</t>
  </si>
  <si>
    <t>4.1</t>
  </si>
  <si>
    <r>
      <t xml:space="preserve">Вентиляционный стояк, патрубки </t>
    </r>
    <r>
      <rPr>
        <b/>
        <i/>
        <u/>
        <sz val="9"/>
        <color theme="1"/>
        <rFont val="Arial"/>
        <family val="2"/>
        <charset val="204"/>
      </rPr>
      <t xml:space="preserve">Материалы </t>
    </r>
  </si>
  <si>
    <t>Общее количество</t>
  </si>
  <si>
    <t>Муфта ПВХ Ду110</t>
  </si>
  <si>
    <t>Дефлектор ПВХ Ду110</t>
  </si>
  <si>
    <t>Труба ПВХ Ду110 оранжевая (наружная)</t>
  </si>
  <si>
    <t>4.2</t>
  </si>
  <si>
    <r>
      <t xml:space="preserve">Вентиляционный стояк </t>
    </r>
    <r>
      <rPr>
        <b/>
        <i/>
        <u/>
        <sz val="9"/>
        <color theme="1"/>
        <rFont val="Arial"/>
        <family val="2"/>
        <charset val="204"/>
      </rPr>
      <t>Работа (ФОТ)</t>
    </r>
  </si>
  <si>
    <t>Прорезка отверстия вентиляции в перекрытии</t>
  </si>
  <si>
    <t>Монтаж вентиляционного стояка</t>
  </si>
  <si>
    <t>просто фиксированное значение - 3 чел.ч</t>
  </si>
  <si>
    <t>Итого: Вентиляционный стояк, входные патрубки</t>
  </si>
  <si>
    <t>Крепеж</t>
  </si>
  <si>
    <t>6.1</t>
  </si>
  <si>
    <r>
      <t>Крепёж</t>
    </r>
    <r>
      <rPr>
        <b/>
        <i/>
        <u/>
        <sz val="9"/>
        <color theme="1"/>
        <rFont val="Arial"/>
        <family val="2"/>
        <charset val="204"/>
      </rPr>
      <t xml:space="preserve">Материалы </t>
    </r>
  </si>
  <si>
    <t xml:space="preserve">Болт М12-6gх90.58.12Х18Н10Т ГОСТ 7798-70 (DIN 931, DIN 933) </t>
  </si>
  <si>
    <t xml:space="preserve">Шайба 2.М12.12Х18Н10Т ГОСТ 11371-78 (DIN125) </t>
  </si>
  <si>
    <t xml:space="preserve">Шайба М12 12Х18Н10Т ГОСТ 6402-70 (DIN 127) </t>
  </si>
  <si>
    <t xml:space="preserve">Гайка М12-6Н.5.12Х18Н10Т ГОСТ 5915-70 (DIN 934) </t>
  </si>
  <si>
    <t>6.2</t>
  </si>
  <si>
    <r>
      <t>Крепёж</t>
    </r>
    <r>
      <rPr>
        <b/>
        <i/>
        <u/>
        <sz val="9"/>
        <color theme="1"/>
        <rFont val="Arial"/>
        <family val="2"/>
        <charset val="204"/>
      </rPr>
      <t>Работа (ФОТ)</t>
    </r>
  </si>
  <si>
    <t>Учитывается в разделах монтажа площадок, балок, трубопровода и оборудования</t>
  </si>
  <si>
    <t>Итого: Крепеж</t>
  </si>
  <si>
    <t>Оборудование и запорная арматура</t>
  </si>
  <si>
    <t>7.1</t>
  </si>
  <si>
    <r>
      <t>Оборудование и запорная арматура</t>
    </r>
    <r>
      <rPr>
        <b/>
        <i/>
        <u/>
        <sz val="9"/>
        <color theme="1"/>
        <rFont val="Arial"/>
        <family val="2"/>
        <charset val="204"/>
      </rPr>
      <t xml:space="preserve">Материалы </t>
    </r>
  </si>
  <si>
    <t>7.2</t>
  </si>
  <si>
    <r>
      <t>Оборудование и запорная арматура</t>
    </r>
    <r>
      <rPr>
        <b/>
        <i/>
        <u/>
        <sz val="9"/>
        <color theme="1"/>
        <rFont val="Arial"/>
        <family val="2"/>
        <charset val="204"/>
      </rPr>
      <t>Работа (ФОТ)</t>
    </r>
  </si>
  <si>
    <t>Монтаж Задвижки шиберной ножевой</t>
  </si>
  <si>
    <t>монтаж 1 задвижки - 1 чел.ч</t>
  </si>
  <si>
    <t>Монтаж Клапанов обратных шаровых</t>
  </si>
  <si>
    <t>монтаж 1 клапана - 1 чел.ч</t>
  </si>
  <si>
    <t>Итого: Оборудование и запорная арматура</t>
  </si>
  <si>
    <t>Сумма чел/ч по участку фитингов</t>
  </si>
  <si>
    <t>Сумма чел/ч по участку РМУ</t>
  </si>
  <si>
    <t>ФОТ на ПЗР:</t>
  </si>
  <si>
    <t>Прочие затраты:</t>
  </si>
  <si>
    <t>Ацетон</t>
  </si>
  <si>
    <t>СИЗ и РМ:</t>
  </si>
  <si>
    <t>ед.</t>
  </si>
  <si>
    <t>Накладные расходы</t>
  </si>
  <si>
    <t>ИТОГО себестоимость с НДС:</t>
  </si>
  <si>
    <t>в т.ч.:</t>
  </si>
  <si>
    <t>Труба, муфта:</t>
  </si>
  <si>
    <t>Формовка:</t>
  </si>
  <si>
    <t>Работы, ФОТ:</t>
  </si>
  <si>
    <t>Материалы на закупку:</t>
  </si>
  <si>
    <t>Наценка:</t>
  </si>
  <si>
    <t>Цена продажи:</t>
  </si>
  <si>
    <t>Рентабельность:</t>
  </si>
  <si>
    <r>
      <rPr>
        <b/>
        <sz val="11"/>
        <color theme="1"/>
        <rFont val="Calibri"/>
        <family val="2"/>
        <charset val="204"/>
        <scheme val="minor"/>
      </rPr>
      <t>ОБЩЕСТВО С ОГРАНИЧЕННОЙ ОТВЕТСТВЕННОСТЬЮ</t>
    </r>
    <r>
      <rPr>
        <sz val="11"/>
        <color theme="1"/>
        <rFont val="Calibri"/>
        <family val="2"/>
        <charset val="204"/>
        <scheme val="minor"/>
      </rPr>
      <t xml:space="preserve">
</t>
    </r>
    <r>
      <rPr>
        <b/>
        <sz val="16"/>
        <color rgb="FF005D50"/>
        <rFont val="Calibri"/>
        <family val="2"/>
        <charset val="204"/>
        <scheme val="minor"/>
      </rPr>
      <t xml:space="preserve">«НОВЫЕ ТРУБНЫЕ ТЕХНОЛОГИИ»   </t>
    </r>
    <r>
      <rPr>
        <sz val="11"/>
        <color theme="1"/>
        <rFont val="Calibri"/>
        <family val="2"/>
        <charset val="204"/>
        <scheme val="minor"/>
      </rPr>
      <t xml:space="preserve">
</t>
    </r>
    <r>
      <rPr>
        <sz val="8"/>
        <color theme="1"/>
        <rFont val="Calibri"/>
        <family val="2"/>
        <charset val="204"/>
        <scheme val="minor"/>
      </rPr>
      <t>141320, Московская область, г.о. Сергиево-Посадский, д. Коврово, д. 50, помещ. 2                                                                                                                                                                                                                                                                                                                                                                                              E-mail: info@ntt.su, тел/факс: +7(499) 949-14-04</t>
    </r>
  </si>
  <si>
    <t>ОПРОСНЫЙ ЛИСТ ЕМКОСТИ</t>
  </si>
  <si>
    <r>
      <t>Предполагаемый размер емкости</t>
    </r>
    <r>
      <rPr>
        <sz val="12"/>
        <color rgb="FF00000A"/>
        <rFont val="Arial"/>
        <family val="2"/>
        <charset val="204"/>
      </rPr>
      <t>*</t>
    </r>
    <r>
      <rPr>
        <b/>
        <sz val="12"/>
        <color rgb="FF00000A"/>
        <rFont val="Arial"/>
        <family val="2"/>
        <charset val="204"/>
      </rPr>
      <t>:</t>
    </r>
  </si>
  <si>
    <t>Ручной ввод</t>
  </si>
  <si>
    <t>Расчет</t>
  </si>
  <si>
    <r>
      <t>*Объем, м</t>
    </r>
    <r>
      <rPr>
        <vertAlign val="superscript"/>
        <sz val="12"/>
        <color rgb="FF00000A"/>
        <rFont val="Arial"/>
        <family val="2"/>
        <charset val="204"/>
      </rPr>
      <t>3</t>
    </r>
  </si>
  <si>
    <t>*Диаметр DN, мм</t>
  </si>
  <si>
    <r>
      <rPr>
        <b/>
        <sz val="8"/>
        <color rgb="FF00000A"/>
        <rFont val="Arial"/>
        <family val="2"/>
        <charset val="204"/>
      </rPr>
      <t>ВАЖНО</t>
    </r>
    <r>
      <rPr>
        <sz val="8"/>
        <color rgb="FF00000A"/>
        <rFont val="Arial"/>
        <family val="2"/>
        <charset val="204"/>
      </rPr>
      <t xml:space="preserve"> от выбранного давления  зависит масса формованных слоев на стыке (кг) </t>
    </r>
  </si>
  <si>
    <t>Производство</t>
  </si>
  <si>
    <t>Высота возвышения корпуса емкости/шахты обслуживания над землей, мм</t>
  </si>
  <si>
    <t>Длина рабочей части емкости при горизонтальном расположении, мм</t>
  </si>
  <si>
    <t>Длина рабочей части емкости при вертикальном расположении, мм</t>
  </si>
  <si>
    <t>Наличие шахты обслуживания</t>
  </si>
  <si>
    <t>Диаметр шахты d,мм</t>
  </si>
  <si>
    <t>Высота шахты h (до верха рабочей части емкости), мм</t>
  </si>
  <si>
    <r>
      <rPr>
        <b/>
        <i/>
        <u/>
        <sz val="12"/>
        <color rgb="FF00000A"/>
        <rFont val="Arial"/>
        <family val="2"/>
        <charset val="204"/>
      </rPr>
      <t>подводящего</t>
    </r>
    <r>
      <rPr>
        <b/>
        <i/>
        <sz val="12"/>
        <color rgb="FF00000A"/>
        <rFont val="Arial"/>
        <family val="2"/>
        <charset val="204"/>
      </rPr>
      <t>:</t>
    </r>
  </si>
  <si>
    <t>отводящего:</t>
  </si>
  <si>
    <t>Материал патрубка</t>
  </si>
  <si>
    <t>*Номинальный диаметр патрубка DN, мм</t>
  </si>
  <si>
    <t>Кол-во патрубков</t>
  </si>
  <si>
    <t>*Глубина залегания H лотка (от уровня грунта до низа лотка патрубка), мм</t>
  </si>
  <si>
    <t>Наличие насосного оборудования:</t>
  </si>
  <si>
    <t>*Максимальный приток сточных вод</t>
  </si>
  <si>
    <t>&lt;- выберите ЕИ</t>
  </si>
  <si>
    <t>*Расчетный напор на выходе, м</t>
  </si>
  <si>
    <t>Марка насосов:</t>
  </si>
  <si>
    <t>*Количество насосов:</t>
  </si>
  <si>
    <t>- рабочих</t>
  </si>
  <si>
    <t>- резервных</t>
  </si>
  <si>
    <t>- запасных на склад</t>
  </si>
  <si>
    <t xml:space="preserve">Взрывозащита насосов:     </t>
  </si>
  <si>
    <t>Вентиляция</t>
  </si>
  <si>
    <t>Заказчик/ Объект/ Вид емкости/ Параметры</t>
  </si>
  <si>
    <t>Габаритная длина рабочей части емкости, L мм</t>
  </si>
  <si>
    <t>Объем емкости, м3</t>
  </si>
  <si>
    <t>Объем 2х элиптических днищ для горизонтальной установки, м3</t>
  </si>
  <si>
    <t>Количество одинаковых линий</t>
  </si>
  <si>
    <t>D шахты обслуживания, мм</t>
  </si>
  <si>
    <t>Кол-во емкостей</t>
  </si>
  <si>
    <t>Корпус емкости. Материалы</t>
  </si>
  <si>
    <t>Транспортировочная длина трубы (отрезок):</t>
  </si>
  <si>
    <t>расчет при новом способе: =(Мф/0,707 + Мф/2)*М5</t>
  </si>
  <si>
    <t>расчет при старом способе:</t>
  </si>
  <si>
    <t>Ламинирование патрубка к корпусу</t>
  </si>
  <si>
    <t>Шахта обслуживания:</t>
  </si>
  <si>
    <t>DN</t>
  </si>
  <si>
    <t>SN</t>
  </si>
  <si>
    <t>PN</t>
  </si>
  <si>
    <t>Заготовка трубы для шахты обслуживания</t>
  </si>
  <si>
    <t xml:space="preserve">Ламинирование шахты обслуживания к корпусу </t>
  </si>
  <si>
    <t>Ламинирование соединительного патрубка к корпусу</t>
  </si>
  <si>
    <r>
      <t xml:space="preserve">Корпус емкости </t>
    </r>
    <r>
      <rPr>
        <b/>
        <i/>
        <u/>
        <sz val="9"/>
        <color theme="1"/>
        <rFont val="Arial"/>
        <family val="2"/>
        <charset val="204"/>
      </rPr>
      <t xml:space="preserve">Работы </t>
    </r>
    <r>
      <rPr>
        <b/>
        <i/>
        <sz val="9"/>
        <color theme="1"/>
        <rFont val="Arial"/>
        <family val="2"/>
        <charset val="204"/>
      </rPr>
      <t>(ФОТ)</t>
    </r>
  </si>
  <si>
    <t>Прорезка отверстия шахты обслуживания</t>
  </si>
  <si>
    <t xml:space="preserve">Прорезка отверстия соединительного патрубка </t>
  </si>
  <si>
    <t xml:space="preserve">Труба 25х2,5мм 12Х18Н10Т (AISI 304) ГОСТ 9941-81 </t>
  </si>
  <si>
    <r>
      <t xml:space="preserve">Лестница емкости </t>
    </r>
    <r>
      <rPr>
        <b/>
        <i/>
        <u/>
        <sz val="9"/>
        <color theme="1"/>
        <rFont val="Arial"/>
        <family val="2"/>
        <charset val="204"/>
      </rPr>
      <t xml:space="preserve">Работа </t>
    </r>
    <r>
      <rPr>
        <b/>
        <i/>
        <sz val="9"/>
        <color theme="1"/>
        <rFont val="Arial"/>
        <family val="2"/>
        <charset val="204"/>
      </rPr>
      <t>(ФОТ)</t>
    </r>
  </si>
  <si>
    <t>Круглый</t>
  </si>
  <si>
    <t>Замок натяжной АРТ 8427 А2 115-125</t>
  </si>
  <si>
    <t>Концевой выключатель KZ 81-08</t>
  </si>
  <si>
    <t>Крепление насосного оборудования</t>
  </si>
  <si>
    <t>Ø трубы направляющей из паспорта насоса:</t>
  </si>
  <si>
    <t>Труба 54х2мм 12Х18Н10Т (AISI 304) ГОСТ 9941-81</t>
  </si>
  <si>
    <t>54х2,0</t>
  </si>
  <si>
    <t>Швеллер 12-П ст3пс ГОСТ 8240-97</t>
  </si>
  <si>
    <t>Уголок 63х63х6мм ст3пс ГОСТ8509-93</t>
  </si>
  <si>
    <t>Ремень стяжной с натяжным устройством и крюками на концах (Прочность на разрыв 10тонн, Длина ремня 10 метров, Ширина 50мм)</t>
  </si>
  <si>
    <t>Анкерный болт с гайкой SZ-B MKT М20х165/30 высокой прочности (резьбовая часть М2</t>
  </si>
  <si>
    <t>Рым-гайка М20 DIN 582 оцинкованная</t>
  </si>
  <si>
    <t>Монтаж замка натяжного, петли и концевого выключателя</t>
  </si>
  <si>
    <t>Изготовление направляющих насосов</t>
  </si>
  <si>
    <t>на 1 насос 2 направляющие = 2 чел.ч</t>
  </si>
  <si>
    <t>Монтаж направляющих насосов</t>
  </si>
  <si>
    <t>Изготовление рамы насосов</t>
  </si>
  <si>
    <t>за 1 раму насосов 6 чел.ч при &lt; DN2500, при &gt; DN2500 7 чел.ч</t>
  </si>
  <si>
    <t>Монтаж рамы насосов</t>
  </si>
  <si>
    <t>за 1 раму насосов 5 чел.ч при &lt; DN2500, при &gt; DN2500 6 чел.ч</t>
  </si>
  <si>
    <t>Вентиляционный стояк, входные патрубки</t>
  </si>
  <si>
    <t>Напорный трубопровод</t>
  </si>
  <si>
    <t>Сложный</t>
  </si>
  <si>
    <t>5.1</t>
  </si>
  <si>
    <r>
      <t xml:space="preserve">Напорный трубопровод </t>
    </r>
    <r>
      <rPr>
        <b/>
        <i/>
        <u/>
        <sz val="9"/>
        <color theme="1"/>
        <rFont val="Arial"/>
        <family val="2"/>
        <charset val="204"/>
      </rPr>
      <t xml:space="preserve">Материалы </t>
    </r>
  </si>
  <si>
    <t>Труба ПЭ 100 SDR17 Ø63×3,8 PN10 ГОСТ 18599-2001</t>
  </si>
  <si>
    <t xml:space="preserve">Втулка под фланец ПЭ 100 SDR17 Ø50×3 PN10 </t>
  </si>
  <si>
    <t>Труба 108х4мм 12Х18Н10Т (AISI 304) ГОСТ 9941-81</t>
  </si>
  <si>
    <t>Переход К-159х4,5-108х4-12х18н10т ГОСТ 17378-2001</t>
  </si>
  <si>
    <t>Отвод 90-108х3-12Х18Н10Т ГОСТ 17375-2001</t>
  </si>
  <si>
    <t>Прокладка А-50-40-ПОН ГОСТ 15180</t>
  </si>
  <si>
    <t>Сварка 1 стыка деталей из ПЭ 100 DN50 в сторонней организации</t>
  </si>
  <si>
    <t>5.2</t>
  </si>
  <si>
    <r>
      <t xml:space="preserve">Напорный трубопровод </t>
    </r>
    <r>
      <rPr>
        <b/>
        <i/>
        <u/>
        <sz val="9"/>
        <color theme="1"/>
        <rFont val="Arial"/>
        <family val="2"/>
        <charset val="204"/>
      </rPr>
      <t>Работа (ФОТ)</t>
    </r>
  </si>
  <si>
    <t>Изготовление напорного трубопровода</t>
  </si>
  <si>
    <t>среднее значение 28 чел.ч (несложный трубопровод)</t>
  </si>
  <si>
    <t>Монтаж напорного трубопровода</t>
  </si>
  <si>
    <t>среднее значение 24 чел.ч (несложный трубопровод)</t>
  </si>
  <si>
    <t>Итого: Напорный трубопровод</t>
  </si>
  <si>
    <t xml:space="preserve">Болт М16-6gх80.58.12Х18Н10Т ГОСТ 7798-70 (DIN 931, DIN 933) </t>
  </si>
  <si>
    <t xml:space="preserve">Шайба 2.М16.12Х18Н10Т ГОСТ 11371-78 (DIN125) </t>
  </si>
  <si>
    <t xml:space="preserve">Шайба М16 12Х18Н10Т ГОСТ 6402-70 (DIN 127) </t>
  </si>
  <si>
    <t xml:space="preserve">Гайка М16-6Н.5.12Х18Н10Т ГОСТ 5915-70 (DIN 934) </t>
  </si>
  <si>
    <t xml:space="preserve">Болт М6-6gх30.58.12Х18Н10Т ГОСТ 7798-70 (DIN 931, DIN 933) </t>
  </si>
  <si>
    <t xml:space="preserve">Шайба 2.М6.12Х18Н10Т ГОСТ 11371-78 (DIN125)  </t>
  </si>
  <si>
    <t xml:space="preserve">Шайба М6 12Х18Н10Т ГОСТ 6402-70 (DIN 127) </t>
  </si>
  <si>
    <t xml:space="preserve">Гайка М6-6Н.5.12Х18Н10Т ГОСТ 5915-70 (DIN 934) </t>
  </si>
  <si>
    <t>Длина трубы для емкости при вертикальном расположении с шахтой обслуживания, мм</t>
  </si>
  <si>
    <t>Длина трубы для емкости при вертикальном расположении без шахты обслуживания, мм</t>
  </si>
  <si>
    <t>Длина трубы для емкости при горизонтальном расположении с шахтой обслуживания, мм</t>
  </si>
  <si>
    <t>Длина трубы для емкости при горизонтальном расположении без шахты обслуживания, мм</t>
  </si>
  <si>
    <t>Длина (для подставновки в ОЛ)</t>
  </si>
  <si>
    <t>ВертикальноеПодземнаяДа</t>
  </si>
  <si>
    <t>ВертикальноеПодземнаяНет</t>
  </si>
  <si>
    <t>ВертикальноеНаземнаяДа</t>
  </si>
  <si>
    <t>ВертикальноеНаземнаяНет</t>
  </si>
  <si>
    <t>ГоризонтальноеПодземнаяДа</t>
  </si>
  <si>
    <t>ГоризонтальноеПодземнаяНет</t>
  </si>
  <si>
    <t>ГоризонтальноеНаземнаяДа</t>
  </si>
  <si>
    <t>ГоризонтальноеНаземнаяНет</t>
  </si>
  <si>
    <t>ОПРОСНЫЙ ЛИСТ НАСОСНОЙ СТАНЦИИ</t>
  </si>
  <si>
    <t>Тип насосной станции</t>
  </si>
  <si>
    <r>
      <t>Предполагаемый размер насосной станции</t>
    </r>
    <r>
      <rPr>
        <sz val="12"/>
        <color rgb="FF00000A"/>
        <rFont val="Arial"/>
        <family val="2"/>
        <charset val="204"/>
      </rPr>
      <t>*</t>
    </r>
    <r>
      <rPr>
        <b/>
        <sz val="12"/>
        <color rgb="FF00000A"/>
        <rFont val="Arial"/>
        <family val="2"/>
        <charset val="204"/>
      </rPr>
      <t>:</t>
    </r>
  </si>
  <si>
    <t>Высота возвышения корпуса насосной станции над землей, мм</t>
  </si>
  <si>
    <r>
      <rPr>
        <b/>
        <i/>
        <u/>
        <sz val="12"/>
        <color rgb="FF00000A"/>
        <rFont val="Arial"/>
        <family val="2"/>
        <charset val="204"/>
      </rPr>
      <t>подводящего трубопровода</t>
    </r>
    <r>
      <rPr>
        <b/>
        <i/>
        <sz val="12"/>
        <color rgb="FF00000A"/>
        <rFont val="Arial"/>
        <family val="2"/>
        <charset val="204"/>
      </rPr>
      <t>:</t>
    </r>
  </si>
  <si>
    <t>напорного трубопровода:</t>
  </si>
  <si>
    <t>Материал подводящего трубопровода</t>
  </si>
  <si>
    <t>Материал напорного трубопровода:</t>
  </si>
  <si>
    <t>Vэф=</t>
  </si>
  <si>
    <t>м3</t>
  </si>
  <si>
    <t>пусков в час</t>
  </si>
  <si>
    <t>*Глубина залегания подводящего трубопровода А, мм.</t>
  </si>
  <si>
    <t>*Глубина залегания напорного трубопровода В, мм</t>
  </si>
  <si>
    <t>Vмин=</t>
  </si>
  <si>
    <t>поминутная работа</t>
  </si>
  <si>
    <r>
      <rPr>
        <sz val="12"/>
        <rFont val="Arial"/>
        <family val="2"/>
        <charset val="204"/>
      </rPr>
      <t>*Номинальный</t>
    </r>
    <r>
      <rPr>
        <sz val="12"/>
        <color rgb="FF00000A"/>
        <rFont val="Arial"/>
        <family val="2"/>
        <charset val="204"/>
      </rPr>
      <t xml:space="preserve"> диаметр подводящего трубопровода DА, мм</t>
    </r>
  </si>
  <si>
    <t>*Номинальный диаметр напорного трубопровода DВ, мм</t>
  </si>
  <si>
    <t>Vраб=</t>
  </si>
  <si>
    <t>*Направление подводящего трубопровода, в часах</t>
  </si>
  <si>
    <t>*Направление напорного трубопровода, в часах</t>
  </si>
  <si>
    <t>*Количество подводящих трубопроводов, шт.</t>
  </si>
  <si>
    <t>*Количество напорных трубопроводов, шт.</t>
  </si>
  <si>
    <t>hраб=</t>
  </si>
  <si>
    <t>Предполагаемый тип соединения подводящего трубопровода с КНС</t>
  </si>
  <si>
    <t>*Тип запорной арматуры</t>
  </si>
  <si>
    <t>hР=</t>
  </si>
  <si>
    <t>с учетом поплавков и рамы насосов</t>
  </si>
  <si>
    <t>Количество задвижек</t>
  </si>
  <si>
    <t>Нподз</t>
  </si>
  <si>
    <t>мм</t>
  </si>
  <si>
    <t>Наличие запорной арматуры на подводящем трубопроводе</t>
  </si>
  <si>
    <t xml:space="preserve">Наличие аварийного трубопровода </t>
  </si>
  <si>
    <t>Параметры для насосного оборудования:</t>
  </si>
  <si>
    <t>← выберите ЕИ</t>
  </si>
  <si>
    <t>листах</t>
  </si>
  <si>
    <t>DN напор. труб-да на вых.КНС, мм</t>
  </si>
  <si>
    <t>Кол-во напор. труб-дов, шт</t>
  </si>
  <si>
    <t>D гильзы для прохода напор. труб-да, мм</t>
  </si>
  <si>
    <t>Корпус КНС. Материалы</t>
  </si>
  <si>
    <t>Ручная формовка гильз для ввода кабелей</t>
  </si>
  <si>
    <t>Кольцо сварное полированное АРТ 8229 А4 10Х60</t>
  </si>
  <si>
    <t>Скоба такелажная прямая М6</t>
  </si>
  <si>
    <r>
      <t xml:space="preserve">Корпус КНС </t>
    </r>
    <r>
      <rPr>
        <b/>
        <i/>
        <u/>
        <sz val="9"/>
        <color theme="1"/>
        <rFont val="Arial"/>
        <family val="2"/>
        <charset val="204"/>
      </rPr>
      <t xml:space="preserve">Работы </t>
    </r>
    <r>
      <rPr>
        <b/>
        <i/>
        <sz val="9"/>
        <color theme="1"/>
        <rFont val="Arial"/>
        <family val="2"/>
        <charset val="204"/>
      </rPr>
      <t>(ФОТ)</t>
    </r>
  </si>
  <si>
    <t>Прорезка отверстия под гильзу входящего патрубка</t>
  </si>
  <si>
    <t>Прорезка отверстия под гильзу напорного патрубка (ов)</t>
  </si>
  <si>
    <t>Прорезка отверстия под гильзу ввода кабелей</t>
  </si>
  <si>
    <t>Монтаж направляющих дробилки</t>
  </si>
  <si>
    <t>обычно у дробилки 2 направляющие, за 2 шт. - 2 чел.ч.</t>
  </si>
  <si>
    <t>Кольцо сварное полированное АРТ 8229 А4 5Х50</t>
  </si>
  <si>
    <t>Для корзины цепи 3 мм</t>
  </si>
  <si>
    <t>Лестница приставная односекционная 14 ступеней 3,98 м (алюминиевая)</t>
  </si>
  <si>
    <t>монтаж= изготовление/2</t>
  </si>
  <si>
    <t>Труба 60х30х2мм 12Х18Н10Т ГОСТ 8639-82</t>
  </si>
  <si>
    <t>Уголок 20х20х3мм 12Х18Н10Т (AISI304) ГОСТ 8509-93</t>
  </si>
  <si>
    <t>Поручень для спуска</t>
  </si>
  <si>
    <t>Лист 3х1000х2000мм 12Х18Н10Т (AISI 304)</t>
  </si>
  <si>
    <t>1 болт ламинирование = 0,15 кг. На каждый стульчик 2 болта</t>
  </si>
  <si>
    <t>Швеллер 8-П ГОСТ 8240-97 ст3сп ГОСТ 535-2005</t>
  </si>
  <si>
    <t>Перехватывающее устройство</t>
  </si>
  <si>
    <t>Швеллер 6.5-П 12Х18Н10Т ГОСТ 8240-97</t>
  </si>
  <si>
    <t>Лист г/к Б-ПН-О-6,0х1500х3000 ГОСТ 19903-74 // Ст3пс ГОСТ 14637-89</t>
  </si>
  <si>
    <t xml:space="preserve">Гайка М24-6Н.5.12Х18Н10Т ГОСТ 5915-70 (DIN 934) </t>
  </si>
  <si>
    <t>Арматура 20-А-I Ст3пс ГОСТ 5781-82 гладкая (А240)</t>
  </si>
  <si>
    <t>Прорезка люков (горловин) в стеклокомпозитном перекрытии</t>
  </si>
  <si>
    <t>Изготовление поручня для спуска</t>
  </si>
  <si>
    <t>Монтаж поручня для спуска</t>
  </si>
  <si>
    <t>Нержавеющая сталь</t>
  </si>
  <si>
    <r>
      <t xml:space="preserve">Вентиляция ПЭ </t>
    </r>
    <r>
      <rPr>
        <b/>
        <i/>
        <u/>
        <sz val="9"/>
        <color theme="1"/>
        <rFont val="Arial"/>
        <family val="2"/>
        <charset val="204"/>
      </rPr>
      <t xml:space="preserve">Материалы </t>
    </r>
  </si>
  <si>
    <r>
      <t xml:space="preserve">Вентиляция нержавеющая (для МВК) </t>
    </r>
    <r>
      <rPr>
        <b/>
        <i/>
        <u/>
        <sz val="9"/>
        <color theme="1"/>
        <rFont val="Arial"/>
        <family val="2"/>
        <charset val="204"/>
      </rPr>
      <t xml:space="preserve">Материалы </t>
    </r>
  </si>
  <si>
    <t>Хомут обжимной D110 мм. 0,5 м. (AISI 430/0,5 мм)</t>
  </si>
  <si>
    <t>Зонт D110мм нерж. (AISI 430/0,5мм)</t>
  </si>
  <si>
    <t>Дымоход D110 мм. 1 м. (AISI 430/0,5 мм)</t>
  </si>
  <si>
    <t>Хомут для трубы DN100 с приварным стержнем 12x55 мм AISI304</t>
  </si>
  <si>
    <t xml:space="preserve">Шпилька резьбовая М10х1000 12Х18Н10Т ГОСТ 22032-76 (DIN 938) </t>
  </si>
  <si>
    <t xml:space="preserve">Гайка М10-6Н.5.12Х18Н10Т ГОСТ 5915-70 (DIN 934) </t>
  </si>
  <si>
    <t>Труба ПЭ 100+ SDR17 Ø250×14,8 PN10 ГОСТ 18599-2001</t>
  </si>
  <si>
    <t xml:space="preserve">Втулка под фланец ПЭ 100 SDR17 Ø250×14,8 PN10 </t>
  </si>
  <si>
    <t>Фланец 250-10-01-1-В-12Х18Н10Т-1 ГОСТ 33259-2015 с расточкой до 291 мм</t>
  </si>
  <si>
    <t>Прокладка А-250-40-ТМКЩ ГОСТ 15180</t>
  </si>
  <si>
    <t>Прокладка А-100-40-ТМКЩ ГОСТ 15180</t>
  </si>
  <si>
    <t>Фланец 100-10-01-1-В-12Х18Н10Т-1 ГОСТ 33259-2015</t>
  </si>
  <si>
    <t>Труба 108х2 мм 12Х18Н10Т (AISI 304) ГОСТ 10704-91</t>
  </si>
  <si>
    <t>Фланец свободный DN 100/108 AISI 304 PN 10 (8 отверстий)</t>
  </si>
  <si>
    <t>Борт шайба DN 100 (108х2,0) AISI 304</t>
  </si>
  <si>
    <t>Тройник 108х4-12х18н10т ГОСТ 17376-2001 сварной</t>
  </si>
  <si>
    <t>Труба 159х2 мм 12Х18Н10Т (AISI 304) ГОСТ 10704-91</t>
  </si>
  <si>
    <t>Отвод 90-159х3-12Х18Н10Т ГОСТ 17375-2001</t>
  </si>
  <si>
    <t>Фланец свободный DN 150/159 AISI 304 PN 10 (8 отверстий)</t>
  </si>
  <si>
    <t>Борт шайба DN 150 (159х2,0) AISI 304</t>
  </si>
  <si>
    <t>Переход К-108х4-57х3,5-12х18н10т ГОСТ 17378-2001</t>
  </si>
  <si>
    <t>Труба 57х3,5мм 12Х18Н10Т (AISI 304) ГОСТ 9941-81</t>
  </si>
  <si>
    <t>Фланец 50 свободный DN 50/60,3 AISI 304 PN10  (8 отверстий)</t>
  </si>
  <si>
    <t>Борт шайба DN 50 (57х3,0) AISI 304</t>
  </si>
  <si>
    <t>Прокладка А-50-40-ТМКЩ ГОСТ 15180</t>
  </si>
  <si>
    <t>Патрубок резьбовой  из трубы 168х8-12Х18Н10Т ГОСТ 9940-81 длиной 100 мм</t>
  </si>
  <si>
    <t xml:space="preserve">Втулка под фланец ПЭ 100+ SDR17 Ø110×6,6 PN10 </t>
  </si>
  <si>
    <t>Переход ПЭ 100 SDR17 DN160/110</t>
  </si>
  <si>
    <t>Труба ПЭ 100+ SDR17 Ø110×6,6 PN10 ГОСТ 18599-2001 (для МВК)</t>
  </si>
  <si>
    <t>Сварка 1 стыка деталей из ПЭ 100 DN250 в сторонней организации</t>
  </si>
  <si>
    <t>Сварка 1 стыка деталей из ПЭ 100 DN160 в сторонней организации</t>
  </si>
  <si>
    <t>среднее значение 28 чел.ч (простой трубопровод)</t>
  </si>
  <si>
    <t>среднее значение 24 чел.ч (простой трубопровод)</t>
  </si>
  <si>
    <t xml:space="preserve">Болт М20-6gх200.58.12Х18Н10Т ГОСТ 7798-70 (DIN 931, DIN 933) </t>
  </si>
  <si>
    <t xml:space="preserve">Болт М20-6gх140.58.12Х18Н10Т ГОСТ 7798-70 (DIN 931, DIN 933) </t>
  </si>
  <si>
    <t xml:space="preserve">Шайба 2.М20.12Х18Н10Т ГОСТ 11371-78 (DIN125) </t>
  </si>
  <si>
    <t xml:space="preserve">Шайба М20 12Х18Н10Т ГОСТ 6402-70 (DIN 127) </t>
  </si>
  <si>
    <t xml:space="preserve">Гайка М20-6Н.5.12Х18Н10Т ГОСТ 5915-70 (DIN 934) </t>
  </si>
  <si>
    <t xml:space="preserve">Болт М16-6gх120.58.12Х18Н10Т ГОСТ 7798-70 (DIN 931, DIN 933) </t>
  </si>
  <si>
    <t>ПОПЛАВКОВЫЙ ВЫКЛЮЧАТЕЛЬ КАБЕЛЬ 20 М</t>
  </si>
  <si>
    <t xml:space="preserve">Газоанализатор АНКАТ-7641Микро-26 </t>
  </si>
  <si>
    <t>Трехходовой кран со спусником DN25</t>
  </si>
  <si>
    <t xml:space="preserve">Кран шаровой DN25 </t>
  </si>
  <si>
    <t xml:space="preserve">Бобышка DN25 </t>
  </si>
  <si>
    <t>Газовая пружина (упор) 805 мм / 350 мм / 400 N</t>
  </si>
  <si>
    <t>Труба ПЭ 100 SDR17 Ø110×6,6 PN10 ГОСТ 18599-2001</t>
  </si>
  <si>
    <t>Монтаж Задвижки клиновой</t>
  </si>
  <si>
    <t>за любой выбранный датчик 1 чел.ч</t>
  </si>
  <si>
    <t>за любое дополнительное оборудование - 2 чел.ч</t>
  </si>
  <si>
    <t>Монтаж Систем автоматической трубной муфты</t>
  </si>
  <si>
    <t>3 чел.с - 1 муфта</t>
  </si>
  <si>
    <t>Монтаж Поплавковых выключателей</t>
  </si>
  <si>
    <t>1 чел.ч - 1 выключатель</t>
  </si>
  <si>
    <t>Монтаж датчиков</t>
  </si>
  <si>
    <t>Дата составления:</t>
  </si>
  <si>
    <t>21 июля 2020 год</t>
  </si>
  <si>
    <t>Составил:</t>
  </si>
  <si>
    <t>Изюмова И.В.</t>
  </si>
  <si>
    <t>Заявка на приобретение изм.1 (для ДЗЛ)
Для комплектации КНС 3000х8800 по заявке №627/1-з необходимо приобрести:</t>
  </si>
  <si>
    <t>Наименование</t>
  </si>
  <si>
    <t>Кол-во</t>
  </si>
  <si>
    <t>Бюджет. цена, руб/ед.</t>
  </si>
  <si>
    <t>Бюджет. ст-ть, руб</t>
  </si>
  <si>
    <t>Дата закупки</t>
  </si>
  <si>
    <t>Отметка об исполнении</t>
  </si>
  <si>
    <t>Дата</t>
  </si>
  <si>
    <t>Итого:</t>
  </si>
  <si>
    <t>Эксперт Конструкторско-технологического отдела Департамента инжиниринга</t>
  </si>
  <si>
    <t xml:space="preserve">Изюмова И.В. </t>
  </si>
  <si>
    <t>Директор департамента инжиниринга</t>
  </si>
  <si>
    <t>Буханцов Ю.В.</t>
  </si>
  <si>
    <t>Директор производства</t>
  </si>
  <si>
    <t>Никифоров Д.Н.</t>
  </si>
  <si>
    <t>Директор Департамента по закупкам и логистике</t>
  </si>
  <si>
    <t>Марченкова Н.В.</t>
  </si>
  <si>
    <t>Для усиленной петли</t>
  </si>
  <si>
    <t>кол-во, шт</t>
  </si>
  <si>
    <t>Болт М24-6ɡх100.21.Ст20 ГОСТ 7798-70</t>
  </si>
  <si>
    <t>Шайба 24.21.Ст20 ГОСТ 11371-78</t>
  </si>
  <si>
    <t xml:space="preserve">Шайба 24.30х13 Ст20 ГОСТ 6402-70 </t>
  </si>
  <si>
    <t>Гайка М24-7Н.Ст20 ГОСТ 5915-70</t>
  </si>
  <si>
    <t>Лист г/к Б-ПН-О-12,0х1500х3000 ГОСТ 19903-74 // Ст3пс ГОСТ 14637-89</t>
  </si>
  <si>
    <t>Ламинирование петель к корпусу</t>
  </si>
  <si>
    <t>Для простой петли</t>
  </si>
  <si>
    <t xml:space="preserve">Болт М12-6gх50.58.12Х18Н10Т ГОСТ 7798-70 (DIN 931, DIN 933) </t>
  </si>
  <si>
    <t>Гайка M12-7H.5.016.Ст20 ГОСТ 5915-70</t>
  </si>
  <si>
    <t>Шайба 12.65Г.029.Ст20 ГОСТ 6402-70</t>
  </si>
  <si>
    <t>Лист г/к Б-ПН-О-3,0х1500х3000 ГОСТ 19903-74 // Ст3пс ГОСТ 16523-97</t>
  </si>
  <si>
    <t>Арматура 10-А-I Ст3пс ГОСТ 5781-82 гладкая (А240)</t>
  </si>
  <si>
    <t>Dу</t>
  </si>
  <si>
    <t>1000-b</t>
  </si>
  <si>
    <t>1200-b</t>
  </si>
  <si>
    <t>1400-b</t>
  </si>
  <si>
    <t>1500-b</t>
  </si>
  <si>
    <t>1600-b</t>
  </si>
  <si>
    <t>1800-b</t>
  </si>
  <si>
    <t>1900-b</t>
  </si>
  <si>
    <t>2000-b</t>
  </si>
  <si>
    <t>2200-b</t>
  </si>
  <si>
    <t>2400-b</t>
  </si>
  <si>
    <t>2500-b</t>
  </si>
  <si>
    <t>2600-b</t>
  </si>
  <si>
    <t>2700-b</t>
  </si>
  <si>
    <t>3000-b</t>
  </si>
  <si>
    <t>(Dн1192)</t>
  </si>
  <si>
    <t>(Dн1390)</t>
  </si>
  <si>
    <t>(Dн 1588)</t>
  </si>
  <si>
    <t>(Dн 1639)</t>
  </si>
  <si>
    <t>(Dн 1786)</t>
  </si>
  <si>
    <t>(Dн 1984)</t>
  </si>
  <si>
    <t>(Dн 2047)</t>
  </si>
  <si>
    <t>(Dн 2183)</t>
  </si>
  <si>
    <t>(Dн 2381)</t>
  </si>
  <si>
    <t>(Dн 2578)</t>
  </si>
  <si>
    <t>(Dн 2658)</t>
  </si>
  <si>
    <t>(Dн 2758)</t>
  </si>
  <si>
    <t>(Dн 3064)</t>
  </si>
  <si>
    <t>L(м)</t>
  </si>
  <si>
    <t>До 3м</t>
  </si>
  <si>
    <t xml:space="preserve">До3,5 </t>
  </si>
  <si>
    <t>До 4 м</t>
  </si>
  <si>
    <t xml:space="preserve">До 4,5 </t>
  </si>
  <si>
    <t>До 5 м</t>
  </si>
  <si>
    <t xml:space="preserve">До 5,5 </t>
  </si>
  <si>
    <t>До 6 м</t>
  </si>
  <si>
    <t xml:space="preserve">До 6,5 </t>
  </si>
  <si>
    <t>До 7 м</t>
  </si>
  <si>
    <t xml:space="preserve">До 12 </t>
  </si>
  <si>
    <t>Формовка эллиптических днищ</t>
  </si>
  <si>
    <t>Dн</t>
  </si>
  <si>
    <t xml:space="preserve">До 3,5 </t>
  </si>
  <si>
    <t>До 4,5</t>
  </si>
  <si>
    <t>До 5,5</t>
  </si>
  <si>
    <t>До 6м</t>
  </si>
  <si>
    <t>Формовка простых патрубков</t>
  </si>
  <si>
    <t>Диаметр номинальный</t>
  </si>
  <si>
    <t>Диаметр наружный</t>
  </si>
  <si>
    <t>Минимальная длина патрубка</t>
  </si>
  <si>
    <t>Мф общая, кг</t>
  </si>
  <si>
    <t>Н1, мм</t>
  </si>
  <si>
    <t>S1, мм</t>
  </si>
  <si>
    <t>Наружный диаметр трубы - D, мм.</t>
  </si>
  <si>
    <t>Внутреннее давление PN, атм.</t>
  </si>
  <si>
    <t>сцепка</t>
  </si>
  <si>
    <t>H, мм.</t>
  </si>
  <si>
    <t>S, мм.</t>
  </si>
  <si>
    <t>X, мм.</t>
  </si>
  <si>
    <t>Y, мм.</t>
  </si>
  <si>
    <t>Мс - масса формованных слоев на стыке* кг.</t>
  </si>
  <si>
    <t>Условный (наружный диаметр) (DN - Dнар)</t>
  </si>
  <si>
    <t>Номинальная жесткость SN</t>
  </si>
  <si>
    <t>Условное давление PN,Мпа</t>
  </si>
  <si>
    <t>Толщина стенки трубы tст</t>
  </si>
  <si>
    <t>Вес трубы (кг/пм)</t>
  </si>
  <si>
    <t>H, мм</t>
  </si>
  <si>
    <t>S, мм</t>
  </si>
  <si>
    <t>Х, мм</t>
  </si>
  <si>
    <t>Y, мм</t>
  </si>
  <si>
    <t>Мформ (вн)</t>
  </si>
  <si>
    <t>Мформ (нар)</t>
  </si>
  <si>
    <t>Мформ общ</t>
  </si>
  <si>
    <t>Толщина крышки, мм</t>
  </si>
  <si>
    <t>М формов круга крышки</t>
  </si>
  <si>
    <t>М форм крышки</t>
  </si>
  <si>
    <t>DNнар</t>
  </si>
  <si>
    <t>t ст</t>
  </si>
  <si>
    <t>вес, кг</t>
  </si>
  <si>
    <t>ПЭ-100 SDR 17 ⌀32</t>
  </si>
  <si>
    <t>2 мм</t>
  </si>
  <si>
    <t>0,193 </t>
  </si>
  <si>
    <t>ПЭ-100 SDR 17 ⌀40</t>
  </si>
  <si>
    <t>2,4 мм</t>
  </si>
  <si>
    <t>ПЭ-100 SDR 17 ⌀50</t>
  </si>
  <si>
    <t>3 мм</t>
  </si>
  <si>
    <t>0,449 </t>
  </si>
  <si>
    <t>ПЭ-100 SDR 17 ⌀63</t>
  </si>
  <si>
    <t>3,8 мм</t>
  </si>
  <si>
    <t>ПЭ-100 SDR 17 ⌀75</t>
  </si>
  <si>
    <t>4,5 мм</t>
  </si>
  <si>
    <t>ПЭ-100 SDR 17 ⌀90</t>
  </si>
  <si>
    <t>5,4 мм</t>
  </si>
  <si>
    <t>ПЭ-100 SDR 17 ⌀110</t>
  </si>
  <si>
    <t>6,6 мм</t>
  </si>
  <si>
    <t>ПЭ-100 SDR 17 ⌀125</t>
  </si>
  <si>
    <t>7,4 мм</t>
  </si>
  <si>
    <t>2,75 </t>
  </si>
  <si>
    <t>ПЭ-100 SDR 17 ⌀140</t>
  </si>
  <si>
    <t>8,3 мм</t>
  </si>
  <si>
    <t>3,46 </t>
  </si>
  <si>
    <t>ПЭ-100 SDR 17 ⌀160</t>
  </si>
  <si>
    <t>9,5 мм</t>
  </si>
  <si>
    <t>ПЭ-100 SDR 17 ⌀180</t>
  </si>
  <si>
    <t>10,7 мм</t>
  </si>
  <si>
    <t>ПЭ-100 SDR 17 ⌀200</t>
  </si>
  <si>
    <t>11,9 мм</t>
  </si>
  <si>
    <t>ПЭ-100 SDR 17 ⌀225</t>
  </si>
  <si>
    <t>13,4 мм</t>
  </si>
  <si>
    <t>8,94 </t>
  </si>
  <si>
    <t>ПЭ-100 SDR 17 ⌀250</t>
  </si>
  <si>
    <t>14,8 мм</t>
  </si>
  <si>
    <t>ПЭ-100 SDR 17 ⌀280</t>
  </si>
  <si>
    <t>16,6 мм</t>
  </si>
  <si>
    <t>ПЭ-100 SDR 17 ⌀315</t>
  </si>
  <si>
    <t>18,7 мм</t>
  </si>
  <si>
    <t>ПЭ-100 SDR 17 ⌀355</t>
  </si>
  <si>
    <t>21,1 мм</t>
  </si>
  <si>
    <t>ПЭ-100 SDR 17 ⌀400</t>
  </si>
  <si>
    <t>23,7 мм</t>
  </si>
  <si>
    <t>28 </t>
  </si>
  <si>
    <t>ПЭ-100 SDR 17 ⌀450</t>
  </si>
  <si>
    <t>26,7 мм</t>
  </si>
  <si>
    <t>ПЭ-100 SDR 17 ⌀500</t>
  </si>
  <si>
    <t>29,7 мм</t>
  </si>
  <si>
    <t>43,9 </t>
  </si>
  <si>
    <t>ПЭ-100 SDR 17 ⌀560</t>
  </si>
  <si>
    <t>33,2 мм</t>
  </si>
  <si>
    <t>55 </t>
  </si>
  <si>
    <t>ПЭ-100 SDR 17 ⌀630</t>
  </si>
  <si>
    <t>37,4 мм</t>
  </si>
  <si>
    <t>69,6 </t>
  </si>
  <si>
    <t>ПЭ-100 SDR 17 ⌀710</t>
  </si>
  <si>
    <t>42,1 мм</t>
  </si>
  <si>
    <t>ПЭ-100 SDR 17 ⌀800</t>
  </si>
  <si>
    <t>47,4 мм</t>
  </si>
  <si>
    <t>ПЭ-100 SDR 17 ⌀900</t>
  </si>
  <si>
    <t>53,3 мм</t>
  </si>
  <si>
    <t>ПЭ-100 SDR 17 ⌀1000</t>
  </si>
  <si>
    <t>59,3 мм</t>
  </si>
  <si>
    <t>175 </t>
  </si>
  <si>
    <r>
      <t xml:space="preserve">Для формул </t>
    </r>
    <r>
      <rPr>
        <sz val="11"/>
        <color indexed="2"/>
        <rFont val="Calibri"/>
        <family val="2"/>
        <charset val="204"/>
        <scheme val="minor"/>
      </rPr>
      <t>Этот столбец надо копировать при вставке новой строки</t>
    </r>
  </si>
  <si>
    <t>Группа</t>
  </si>
  <si>
    <t>Столбец1</t>
  </si>
  <si>
    <t>Номенклатура</t>
  </si>
  <si>
    <t>Для фильтра2</t>
  </si>
  <si>
    <t>Цена без скидки</t>
  </si>
  <si>
    <t>Скидка, %</t>
  </si>
  <si>
    <t>Цена, руб</t>
  </si>
  <si>
    <t>Комментарии</t>
  </si>
  <si>
    <r>
      <t xml:space="preserve">Курс </t>
    </r>
    <r>
      <rPr>
        <b/>
        <sz val="8"/>
        <color theme="1"/>
        <rFont val="Calibri"/>
        <family val="2"/>
        <charset val="204"/>
      </rPr>
      <t>€</t>
    </r>
  </si>
  <si>
    <t>Курс $</t>
  </si>
  <si>
    <t>Формовка гильз</t>
  </si>
  <si>
    <t>Формовочный материал</t>
  </si>
  <si>
    <t>Механическое формованное дно</t>
  </si>
  <si>
    <t>Механическая формовка плоского днища</t>
  </si>
  <si>
    <t>Механическая формовка эллиптических днищ</t>
  </si>
  <si>
    <t>Ламинация днища (косые и центральный стыки)</t>
  </si>
  <si>
    <t>Механическая формовка эллиптического днища к муфте</t>
  </si>
  <si>
    <t>Ламинирование эллиптического днища к корпусу</t>
  </si>
  <si>
    <t>Ламинирование дна к фальшполу</t>
  </si>
  <si>
    <t>Ламинирование плоского днища</t>
  </si>
  <si>
    <t>Ручная формовка соединительного патрубка к корпусу</t>
  </si>
  <si>
    <t>Ручная формовка шахты обслуживания к корпусу</t>
  </si>
  <si>
    <t>Ручная формовка патрубка</t>
  </si>
  <si>
    <t>Ручная формовка равнопроходного тройника</t>
  </si>
  <si>
    <t>Ручная формовка перегородки</t>
  </si>
  <si>
    <t>Ламинирование частей корпуса</t>
  </si>
  <si>
    <t>Ламинирование равнопроходного тройника</t>
  </si>
  <si>
    <t>Ламинирование перегородки к корпусу</t>
  </si>
  <si>
    <t>Ламинирование проходной муфты к корпусу</t>
  </si>
  <si>
    <t>Собственное производствоМонтаж замка натяжного, петли и концевого выключателячел. Ч</t>
  </si>
  <si>
    <t>Изготовление трубопровода гидросмыва</t>
  </si>
  <si>
    <t>Монтаж  трубопровода гидросмыва</t>
  </si>
  <si>
    <t xml:space="preserve">Монтаж Насосов </t>
  </si>
  <si>
    <t>Монтаж измельчителя</t>
  </si>
  <si>
    <t>Монтаж сорбционного фильтра</t>
  </si>
  <si>
    <t>Монтаж УФ установки</t>
  </si>
  <si>
    <t>Монтаж Шкафа управления</t>
  </si>
  <si>
    <t>ПОПЛАВКОВЫЙ ВЫКЛЮЧАТЕЛЬ  КАБЕЛЬ 10 М</t>
  </si>
  <si>
    <t>ПОПЛАВКОВЫЙ ВЫКЛЮЧАТЕЛЬ КАБЕЛЬ 30 М</t>
  </si>
  <si>
    <t>ПОПЛАВКОВЫЙ ВЫКЛЮЧАТЕЛЬ  КАБЕЛЬ 40 М</t>
  </si>
  <si>
    <t>Цепь длиннозвенная DIN 763 3мм сталь А2 3х26</t>
  </si>
  <si>
    <t>Цепь длиннозвенная DIN 763 5мм сталь А2 5х35</t>
  </si>
  <si>
    <t xml:space="preserve">Карабин винтовой 4 мм нерж. А4 ART 8253     </t>
  </si>
  <si>
    <t xml:space="preserve">Карабин винтовой 8 мм нерж. А4 ART 8253 </t>
  </si>
  <si>
    <t xml:space="preserve">Таль ручная цепная ТРШС 0,5т Н=6м </t>
  </si>
  <si>
    <t>Тренога перегрузочная ТП-1000 г/п 1000 кг (без тали)</t>
  </si>
  <si>
    <t>Таль ручная шестеренная стационарная ТРШСК 1,0 т 9,0м</t>
  </si>
  <si>
    <t xml:space="preserve">Сигнализатор уровня жир раздела сред LC2-1 </t>
  </si>
  <si>
    <t>Сигнализатор уровня пескоотделителей LC2-1 (песок)</t>
  </si>
  <si>
    <t xml:space="preserve">Кабель 30 м для сигнализаторов уровня LS-1, LS-2 </t>
  </si>
  <si>
    <t>Заглушка для раструба НПВХ 110 НК</t>
  </si>
  <si>
    <t xml:space="preserve">Втулка под фланец ПЭ 100 SDR17 Ø40х2,4 PN16 </t>
  </si>
  <si>
    <t xml:space="preserve">Втулка под фланец ПЭ 100 SDR17 Ø63×3,8 PN10 </t>
  </si>
  <si>
    <t xml:space="preserve">Втулка под фланец ПЭ 100 SDR17 Ø63×3,8 PN16 </t>
  </si>
  <si>
    <t xml:space="preserve">Втулка под фланец ПЭ 100 SDR17 Ø75×4,5 PN10 </t>
  </si>
  <si>
    <t>Втулка под фланец ПЭ 100 SDR11 Ø90×8,2 PN16</t>
  </si>
  <si>
    <t xml:space="preserve">Втулка под фланец ПЭ 100 SDR17 Ø90×5,4 PN10 </t>
  </si>
  <si>
    <t xml:space="preserve">Втулка под фланец ПЭ 100 SDR17 Ø110×6,6 PN10 </t>
  </si>
  <si>
    <t xml:space="preserve">Втулка под фланец ПЭ 100 SDR17 Ø160×9,5 PN10 </t>
  </si>
  <si>
    <t>Втулка под фланец ПЭ 100+ SDR17 Ø160×9,5 PN10 (для МВК)</t>
  </si>
  <si>
    <t xml:space="preserve">Втулка под фланец ПЭ 100 SDR17 Ø225×13,4 PN10 </t>
  </si>
  <si>
    <t>Втулка под фланец ПЭ 100+ SDR17 Ø225×13,4 PN10 (для МВК)</t>
  </si>
  <si>
    <t xml:space="preserve">Втулка под фланец ПЭ 100 SDR17 Ø280×16,6 PN10 </t>
  </si>
  <si>
    <t xml:space="preserve">Втулка под фланец ПЭ 100 SDR17 Ø315×18,7 PN10 </t>
  </si>
  <si>
    <t xml:space="preserve">Втулка под фланец ПЭ 100 SDR17 Ø355×21,1 PN10 </t>
  </si>
  <si>
    <t xml:space="preserve">Втулка под фланец ПЭ 100 SDR17 Ø630×37,4 PN10 </t>
  </si>
  <si>
    <t xml:space="preserve">Втулка под фланец ПЭ 100 SDR17 Ø800×47,4 PN10 </t>
  </si>
  <si>
    <t>Муфта редукционная 225/160 ПЭ100 SDR17</t>
  </si>
  <si>
    <t>Муфта редукционная 250/225 ПЭ100 SDR11</t>
  </si>
  <si>
    <t>Муфта редукционная 225/110 ПЭ100 SDR11</t>
  </si>
  <si>
    <t>Муфта редукционная 110/90 ПЭ100 SDR17</t>
  </si>
  <si>
    <t xml:space="preserve">Отвод сегментный 90 градусов ПЭ100 SDR17 Ø355×21,1 PN10 </t>
  </si>
  <si>
    <t xml:space="preserve">Отвод сегментный 90 градусов ПЭ100 SDR17  Ø225×13,4 PN10   </t>
  </si>
  <si>
    <t xml:space="preserve">Отвод сегментный  90 градусов ПЭ100 SDR17  Ø280×16,6 PN10   </t>
  </si>
  <si>
    <t>Отвод 90 гр. 90 мм ПЭ100 SDR11 литой</t>
  </si>
  <si>
    <t>Отвод 90 гр. 355 мм ПЭ100 SDR11</t>
  </si>
  <si>
    <t xml:space="preserve">Переход ПЭ 100 SDR17 DN110/63 </t>
  </si>
  <si>
    <t>Переход ПЭ 100 SDR17 DN110/75</t>
  </si>
  <si>
    <t xml:space="preserve">Переход ПЭ 100 SDR17 DN63/50 </t>
  </si>
  <si>
    <t>Переход ПЭ 100 SDR17 DN90/DN63</t>
  </si>
  <si>
    <t xml:space="preserve">Переход ПЭ 100 SDR17 DN160/DN90 </t>
  </si>
  <si>
    <t xml:space="preserve">Переход ПЭ 100 SDR17 DN225/110 </t>
  </si>
  <si>
    <t>Переход ПЭ 100 SDR17 DN225/160</t>
  </si>
  <si>
    <t xml:space="preserve">Переход ПЭ 100 SDR17 DN250/225 </t>
  </si>
  <si>
    <t>Переход ПЭ100 SDR11 280/225</t>
  </si>
  <si>
    <t>Переход ПЭ 100 SDR17 DN315/225</t>
  </si>
  <si>
    <t>Переход ПЭ 100 SDR17 DN450/280</t>
  </si>
  <si>
    <t>Переход ПЭ 100 SDR17 DN500/355</t>
  </si>
  <si>
    <t>Переход ПЭ 100 SDR11 DN500/355</t>
  </si>
  <si>
    <t>Переход ПЭ 100+ SDR17 DN110/90 ГОСТ 18599-2001</t>
  </si>
  <si>
    <t>Переход ПЭ 100+ SDR17 DN160/110 ГОСТ 18599-2001</t>
  </si>
  <si>
    <t>Переход ПЭ 100+ SDR17 DN225/160 ГОСТ 18599-2001</t>
  </si>
  <si>
    <t>Труба ПЭ 100 SDR17 Ø32×2 PN10 ГОСТ 18599-2001</t>
  </si>
  <si>
    <t xml:space="preserve">Труба ПЭ 100 SDR17 Ø40×2,4 PN16 ГОСТ 18599-2001 </t>
  </si>
  <si>
    <t xml:space="preserve">Труба ПЭ 100 SDR17 Ø63×3,8 PN16 ГОСТ 18599-2001 </t>
  </si>
  <si>
    <t xml:space="preserve">Труба ПЭ 100+ SDR17 Ø63×3,8 PN16 ГОСТ 18599-2001 </t>
  </si>
  <si>
    <t>Труба ПЭ 100 SDR17 Ø75×4,5 PN10 ГОСТ 18599-2001</t>
  </si>
  <si>
    <t>Труба ПЭ 100 SDR11 Ø90×8,2 PN16 ГОСТ 18599-2001</t>
  </si>
  <si>
    <t>Труба ПЭ 100 SDR17 Ø90×5,4 PN10 ГОСТ 18599-2001</t>
  </si>
  <si>
    <t>Труба ПЭ 100+ SDR17 Ø90×5,4 PN10 ГОСТ 18599-2001</t>
  </si>
  <si>
    <t>Труба ПВХ Ду200 оранжевая (наружная)</t>
  </si>
  <si>
    <t>Труба ПВХ Ду250 оранжевая (наружная)</t>
  </si>
  <si>
    <t>Труба НПВХ Ду 50 серая (внутренняя)</t>
  </si>
  <si>
    <t>Труба НПВХ Ду 110 серая (внутренняя)</t>
  </si>
  <si>
    <t>Труба НПВХ Ду 160х4 серая (внутренняя)</t>
  </si>
  <si>
    <t>Труба ПЭ 100 SDR17 Ø160×9,5 PN10 ГОСТ 18599-2001</t>
  </si>
  <si>
    <t>Труба ПЭ 100+ SDR17 Ø160×9,5 PN10 ГОСТ 18599-2001 (для МВК)</t>
  </si>
  <si>
    <t>Труба ПЭ 100 SDR17 Ø225×13,4 PN10 ГОСТ 18599-2001</t>
  </si>
  <si>
    <t>Труба ПЭ 100+ SDR17 Ø225×13,4 PN10 ГОСТ 18599-2001 (для МВК)</t>
  </si>
  <si>
    <t>Труба ПЭ 100 SDR17 Ø250×14,8 PN10 ГОСТ 18599-2001</t>
  </si>
  <si>
    <t>Труба ПЭ 100 SDR17 Ø280×16,6 PN10 ГОСТ 18599-2001</t>
  </si>
  <si>
    <t>Труба ПЭ 100 SDR17 Ø315×18,7 PN10 ГОСТ 18599-2001</t>
  </si>
  <si>
    <t>Труба ПЭ 100 SDR17 Ø355×21,1 PN10 ГОСТ 18599-2001</t>
  </si>
  <si>
    <t>Труба ПЭ 100 SDR17 Ø400×23,7 PN10 ГОСТ 18599-2001</t>
  </si>
  <si>
    <t>Труба ПЭ 100 SDR17 Ø450×26,7 PN10 ГОСТ 18599-2001</t>
  </si>
  <si>
    <t>Труба ПЭ 100 SDR17 Ø500×29,7 PN10 ГОСТ 18599-2001</t>
  </si>
  <si>
    <t>Труба ПЭ 100 SDR17 Ø630×37,4 PN10 ГОСТ 18599-2001</t>
  </si>
  <si>
    <t>Труба ПЭ 100 SDR17 Ø800×37,4 PN10 ГОСТ 18599-2001</t>
  </si>
  <si>
    <t>Труба ПЭ100 SDR11 - 0090х8,2 питьевая</t>
  </si>
  <si>
    <t>Труба ПЭ100 SDR11 - 0355х32,2 питьевая</t>
  </si>
  <si>
    <t>Труба ПЭ100 SDR11 - 0500х45,4 питьевая</t>
  </si>
  <si>
    <t xml:space="preserve">Труба PP-R 50 БЕЛАЯ РУ10 SDR11 </t>
  </si>
  <si>
    <t xml:space="preserve">Труба PP-R 63 БЕЛАЯ РУ10 SDR11 </t>
  </si>
  <si>
    <t xml:space="preserve">Труба PP-R 75 БЕЛАЯ РУ10 SDR11 </t>
  </si>
  <si>
    <t xml:space="preserve">Труба PP-R 90 БЕЛАЯ РУ10 SDR11 </t>
  </si>
  <si>
    <t xml:space="preserve">Труба PP-R 110 БЕЛАЯ РУ10 SDR11 </t>
  </si>
  <si>
    <t>Сварка 1 стыка деталей из ПЭ 100 DN63 в сторонней организации</t>
  </si>
  <si>
    <t>Сварка 1 стыка деталей из ПЭ 100 DN90  в сторонней организации</t>
  </si>
  <si>
    <t>Сварка 1 стыка деталей из ПЭ 100 DN110 в сторонней организации</t>
  </si>
  <si>
    <t>Сварка 1 стыка деталей из ПЭ 100 DN225 в сторонней организации</t>
  </si>
  <si>
    <t>Сварка 1 стыка деталей из ПЭ 100 DN280 в сторонней организации</t>
  </si>
  <si>
    <t>Сварка 1 стыка деталей из ПЭ 100 DN315 в сторонней организации</t>
  </si>
  <si>
    <t>Сварка 1 стыка деталей из ПЭ 100 DN355 в сторонней организации</t>
  </si>
  <si>
    <t>Сварка 1 стыка деталей из ПЭ 100 DN450 в сторонней организации</t>
  </si>
  <si>
    <t>Сварка 1 стыка деталей из ПЭ 100 DN630 в сторонней организации</t>
  </si>
  <si>
    <t>Сварка 1 стыка деталей из ПЭ 100 DN800 в сторонней организации</t>
  </si>
  <si>
    <t xml:space="preserve">Фланец 50-10-01-1-В-12Х18Н10Т-1 ГОСТ 33259-2015 </t>
  </si>
  <si>
    <t>Фланец 50 свободный DN 50/60,3 AISI 304 PN6  (8 отверстий)</t>
  </si>
  <si>
    <t>Фланец 50-10-01-1-В-12Х18Н10Т-1 ГОСТ 33259-2015 с расточкой до 75 мм</t>
  </si>
  <si>
    <t>Фланец 65 свободный DN 65/76,1 PN 10 AISI 304 (8 отверстий)</t>
  </si>
  <si>
    <t>Фланец 65 свободный DN 65/76,1 PN 6   AISI 304 (8 отверстий)</t>
  </si>
  <si>
    <t>Борт шайба DN 65 (76,1х3,0) AISI 304</t>
  </si>
  <si>
    <t>Фланец 65-10-01-1-В-12Х18Н10Т-1 ГОСТ 33259-2015 с расточкой до 94 мм</t>
  </si>
  <si>
    <t xml:space="preserve">Фланец 65-10-01-1-В-12Х18Н10Т-1 ГОСТ 33259-2015 </t>
  </si>
  <si>
    <t xml:space="preserve">Фланец 80-10-01-1-В-12Х18Н10Т-1 ГОСТ 33259-2015 </t>
  </si>
  <si>
    <t>Фланец 80-10-01-1-В-12Х18Н10Т-1 ГОСТ 33259-2015 с расточкой до 105 мм</t>
  </si>
  <si>
    <t>Фланец свободный DN 80/88,9 AISI 304 PN 10 (8 отверстий)</t>
  </si>
  <si>
    <t>Фланец свободный DN 80/88,9 AISI 304 PN 06 (8 отверстий)</t>
  </si>
  <si>
    <t>Борт шайба DN 80 (88,9х2,0) AISI 304</t>
  </si>
  <si>
    <t>Фланец 100-10-01-1-В-12Х18Н10Т-1 ГОСТ 33259-2015 с расточкой до 125</t>
  </si>
  <si>
    <t>Фланец свободный DN 100/108 AISI 304 PN 06 (8 отверстий)</t>
  </si>
  <si>
    <t xml:space="preserve">Фланец 150-10-01-1-В-12Х18Н10Т-1 ГОСТ 33259-2015 </t>
  </si>
  <si>
    <t>Фланец 150-10-01-1-В-12Х18Н10Т-1 ГОСТ 33259-2015 с расточкой до 175 мм</t>
  </si>
  <si>
    <t>Фланец свободный DN 150/159 AISI 304 PN 06 (8 отверстий)</t>
  </si>
  <si>
    <t xml:space="preserve">Фланец 200-10-01-1-В-12Х18Н10Т-1 ГОСТ 33259-2015 </t>
  </si>
  <si>
    <t>Фланец 200-10-01-1-В-12Х18Н10Т-1 ГОСТ 33259-2015 с расточкой до 235 мм</t>
  </si>
  <si>
    <t>Фланец свободный DN 200/219,1 AISI 304 PN 10 (8 отверстий)</t>
  </si>
  <si>
    <t>Фланец свободный DN 200/219,1 AISI 304 PN 6 (8 отверстий)</t>
  </si>
  <si>
    <t>Борт шайба DN 200 (219,1х2,0) AISI 304</t>
  </si>
  <si>
    <t xml:space="preserve">Фланец 250-10-01-1-В-12Х18Н10Т-1 ГОСТ 33259-2015 </t>
  </si>
  <si>
    <t xml:space="preserve">Фланец 250-10-02-1-В-12Х18Н10Т-1 ГОСТ 33259-2015 </t>
  </si>
  <si>
    <t>Фланец 250-10-02-1-В-12Х18Н10Т-1 ГОСТ 33259-2015 с расточкой до 285 мм</t>
  </si>
  <si>
    <t>Фланец 250-16-01-1-В-12Х18Н10Т-1 ГОСТ 33259-2015</t>
  </si>
  <si>
    <t>Фланец 300-10-01-1-В-12Х18Н10Т-1 ГОСТ 33259-2015</t>
  </si>
  <si>
    <t>Фланец 300-10-02-1-В-12Х18Н10Т-1 ГОСТ 33259-2015</t>
  </si>
  <si>
    <t>Фланец 300-10-02-1-В-12Х18Н10Т-1 ГОСТ 33259-2015 с расточкой до 335 мм</t>
  </si>
  <si>
    <t>Фланец 300-10-02-1-В-12Х18Н10Т-1 ГОСТ 33259-2015 с расточкой до 338 мм</t>
  </si>
  <si>
    <t>Фланец 300-16-01-1-В-12Х18Н10Т-1 ГОСТ 33259-2015</t>
  </si>
  <si>
    <t>Фланец 350-10-01-1-В-12Х18Н10Т-1 ГОСТ 33259-2015</t>
  </si>
  <si>
    <t>Фланец 350-10-02-1-В-12Х18Н10Т-1 ГОСТ 33259-2015</t>
  </si>
  <si>
    <t>Фланец 350-10-02-1-В-12Х18Н10Т-1 ГОСТ 33259-2015 с расточкой до 394 мм</t>
  </si>
  <si>
    <t>Фланец 350-16-01-1-В-12Х18Н10Т-1 ГОСТ 33259-2015</t>
  </si>
  <si>
    <t>Фланец 350-16-01-1-В-12Х18Н10Т-1 ГОСТ 33259-2015 с расточкой до 394 мм</t>
  </si>
  <si>
    <t>Фланец 400-10-01-1-В-12Х18Н10Т-1 ГОСТ 33259-2015</t>
  </si>
  <si>
    <t>Фланец 400-16-01-1-В-12Х18Н10Т-1 ГОСТ 33259-2015</t>
  </si>
  <si>
    <t>Фланец 400-10-02-1-В-12Х18Н10Т-1 ГОСТ 33259-2015</t>
  </si>
  <si>
    <t>Фланец 500-10-01-1-В-12Х18Н10Т-1 ГОСТ 33259-2015</t>
  </si>
  <si>
    <t>Фланец 500-10-02-1-В-12Х18Н10Т-1 ГОСТ 33259-2015</t>
  </si>
  <si>
    <t>Фланец 500-16-01-1-В-12Х18Н10Т-1 ГОСТ 33259-2015</t>
  </si>
  <si>
    <t>Фланец 600-10-01-1-В-12Х18Н10Т-1 ГОСТ 33259-2015</t>
  </si>
  <si>
    <t xml:space="preserve">Фланец 600-16-01-1-В-12Х18Н10Т-1 ГОСТ 33259-2015 </t>
  </si>
  <si>
    <t xml:space="preserve">Фланец 700-10-01-1-В-12Х18Н10Т-1 ГОСТ 33259-2015 </t>
  </si>
  <si>
    <t xml:space="preserve">Фланец 800-10-01-1-В-12Х18Н10Т-1 ГОСТ 33259-2015 </t>
  </si>
  <si>
    <t xml:space="preserve">Фланец 800-16-01-1-В-12Х18Н10Т-1 ГОСТ 33259-2015 </t>
  </si>
  <si>
    <t>Фланец 900-10-01-1-В-12Х18Н9Т-1 ГОСТ 33259-2015</t>
  </si>
  <si>
    <t xml:space="preserve">Фланец 1000-10-01-1-В-12Х18Н10Т-1 ГОСТ 33259-2015 </t>
  </si>
  <si>
    <t>Фланец 50-06-01-1-В-Ст20 ГОСТ 33259-2015 (ГОСТ 12820-80)</t>
  </si>
  <si>
    <t>Фланец 50-10-01-1-В-Ст20 ГОСТ 33259-2015 (ГОСТ 12820-80)</t>
  </si>
  <si>
    <t>Фланец 50-16-01-1-В-Ст20 ГОСТ 33259-2015 (ГОСТ 12820-80)</t>
  </si>
  <si>
    <t>Фланец 65-06-01-1-В-Ст20 ГОСТ 33259-2015 (ГОСТ 12820-80)</t>
  </si>
  <si>
    <t>Фланец 65-10-01-1-В-Ст20 ГОСТ 33259-2015 (ГОСТ 12820-80)</t>
  </si>
  <si>
    <t>Фланец 65-16-01-1-В-Ст20 ГОСТ 33259-2015 (ГОСТ 12820-80)</t>
  </si>
  <si>
    <t>Фланец 80-06-01-1-В-Ст20 ГОСТ 33259-2015 (ГОСТ 12820-80)</t>
  </si>
  <si>
    <t>Фланец 80-10-01-1-В-Ст20 ГОСТ 33259-2015 (ГОСТ 12820-80)</t>
  </si>
  <si>
    <t>Фланец 80-16-01-1-В-Ст20 ГОСТ 33259-2015 (ГОСТ 12820-80)</t>
  </si>
  <si>
    <t>Фланец 100-06-01-1-В-Ст20 ГОСТ 33259-2015 (ГОСТ 12820-80)</t>
  </si>
  <si>
    <t>Фланец 100-10-01-1-В-Ст20 ГОСТ 33259-2015 (ГОСТ 12820-80)</t>
  </si>
  <si>
    <t>Фланец 100-16-01-1-В-Ст20 ГОСТ 33259-2015 (ГОСТ 12820-80)</t>
  </si>
  <si>
    <t>Фланец 125-06-01-1-В-Ст20 ГОСТ 33259-2015 (ГОСТ 12820-80)</t>
  </si>
  <si>
    <t>Фланец 125-10-01-1-В-Ст20 ГОСТ 33259-2015 (ГОСТ 12820-80)</t>
  </si>
  <si>
    <t>Фланец 125-16-01-1-В-Ст20 ГОСТ 33259-2015 (ГОСТ 12820-80)</t>
  </si>
  <si>
    <t>Фланец 150-06-01-1-В-Ст20 ГОСТ 33259-2015 (ГОСТ 12820-80)</t>
  </si>
  <si>
    <t>Фланец 150-10-01-1-В-Ст20 ГОСТ 33259-2015 (ГОСТ 12820-80)</t>
  </si>
  <si>
    <t>Фланец 150-16-01-1-В-Ст20 ГОСТ 33259-2015 (ГОСТ 12820-80)</t>
  </si>
  <si>
    <t>Фланец 200-06-01-1-В-Ст20 ГОСТ 33259-2015 (ГОСТ 12820-80)</t>
  </si>
  <si>
    <t>Фланец 200-10-01-1-В-Ст20 ГОСТ 33259-2015 (ГОСТ 12820-80)</t>
  </si>
  <si>
    <t>Фланец 200-16-01-1-В-Ст20 ГОСТ 33259-2015 (ГОСТ 12820-80)</t>
  </si>
  <si>
    <t>Фланец 250-06-01-1-В-Ст20 ГОСТ 33259-2015 (ГОСТ 12820-80)</t>
  </si>
  <si>
    <t>Фланец 250-10-01-1-В-Ст20 ГОСТ 33259-2015 (ГОСТ 12820-80)</t>
  </si>
  <si>
    <t>Фланец 250-16-01-1-В-Ст20 ГОСТ 33259-2015 (ГОСТ 12820-80)</t>
  </si>
  <si>
    <t>Фланец 300-06-01-1-В-Ст20 ГОСТ 33259-2015 (ГОСТ 12820-80)</t>
  </si>
  <si>
    <t>Фланец 300-10-01-1-В-Ст20 ГОСТ 33259-2015 (ГОСТ 12820-80)</t>
  </si>
  <si>
    <t>Фланец 300-16-01-1-В-Ст20 ГОСТ 33259-2015 (ГОСТ 12820-80)</t>
  </si>
  <si>
    <t>Фланец 350-06-01-1-В-Ст20 ГОСТ 33259-2015 (ГОСТ 12820-80)</t>
  </si>
  <si>
    <t>Фланец 350-10-01-1-В-Ст20 ГОСТ 33259-2015 (ГОСТ 12820-80)</t>
  </si>
  <si>
    <t>Фланец 350-16-01-1-В-Ст20 ГОСТ 33259-2015 (ГОСТ 12820-80)</t>
  </si>
  <si>
    <t>Фланец 400-06-01-1-В-Ст20 ГОСТ 33259-2015 (ГОСТ 12820-80)</t>
  </si>
  <si>
    <t>Фланец 400-10-01-1-В-Ст20 ГОСТ 33259-2015 (ГОСТ 12820-80)</t>
  </si>
  <si>
    <t>Фланец 400-16-01-1-В-Ст20 ГОСТ 33259-2015 (ГОСТ 12820-80)</t>
  </si>
  <si>
    <t>Фланец 450-10-01-1-В-Ст20 ГОСТ 33259-2015 (ГОСТ 12820-80)</t>
  </si>
  <si>
    <t>Фланец 450-16-01-1-В-Ст20 ГОСТ 33259-2015 (ГОСТ 12820-80)</t>
  </si>
  <si>
    <t>Фланец 500-06-01-1-В-Ст20 ГОСТ 33259-2015 (ГОСТ 12820-80)</t>
  </si>
  <si>
    <t>Фланец 500-10-01-1-В-Ст20 ГОСТ 33259-2015 (ГОСТ 12820-80)</t>
  </si>
  <si>
    <t>Фланец 500-16-01-1-В-Ст20 ГОСТ 33259-2015 (ГОСТ 12820-80)</t>
  </si>
  <si>
    <t>Фланец 600-06-01-1-В-Ст20 ГОСТ 33259-2015 (ГОСТ 12820-80)</t>
  </si>
  <si>
    <t>Фланец 600-10-01-1-В-Ст20 ГОСТ 33259-2015 (ГОСТ 12820-80)</t>
  </si>
  <si>
    <t>Фланец 600-16-01-1-В-Ст20 ГОСТ 33259-2015 (ГОСТ 12820-80)</t>
  </si>
  <si>
    <t>Фланец 700-06-01-1-В-Ст20 ГОСТ 33259-2015 (ГОСТ 12820-80)</t>
  </si>
  <si>
    <t>Фланец 700-10-01-1-В-Ст20 ГОСТ 33259-2015 (ГОСТ 12820-80)</t>
  </si>
  <si>
    <t>Фланец 700-16-01-1-В-Ст20 ГОСТ 33259-2015 (ГОСТ 12820-80)</t>
  </si>
  <si>
    <t>Фланец 800-06-01-1-В-Ст20 ГОСТ 33259-2015 (ГОСТ 12820-80)</t>
  </si>
  <si>
    <t>Фланец 800-10-01-1-В-Ст20 ГОСТ 33259-2015 (ГОСТ 12820-80)</t>
  </si>
  <si>
    <t>Фланец 800-16-01-1-В-Ст20 ГОСТ 33259-2015 (ГОСТ 12820-80)</t>
  </si>
  <si>
    <t>Фланец 900-06-01-1-В-Ст20 ГОСТ 33259-2015 (ГОСТ 12820-80)</t>
  </si>
  <si>
    <t>Фланец 900-10-01-1-В-Ст20 ГОСТ 33259-2015 (ГОСТ 12820-80)</t>
  </si>
  <si>
    <t>Фланец 900-16-01-1-В-Ст20 ГОСТ 33259-2015 (ГОСТ 12820-80)</t>
  </si>
  <si>
    <t>Фланец 1000-06-01-1-В-Ст20 ГОСТ 33259-2015 (ГОСТ 12820-80)</t>
  </si>
  <si>
    <t>Фланец 1000-10-01-1-В-Ст20 ГОСТ 33259-2015 (ГОСТ 12820-80)</t>
  </si>
  <si>
    <t>Фланец 1000-16-01-1-В-Ст20 ГОСТ 33259-2015 (ГОСТ 12820-80)</t>
  </si>
  <si>
    <t>Фланец 1200-06-01-1-В-Ст20 ГОСТ 33259-2015 (ГОСТ 12820-80)</t>
  </si>
  <si>
    <t>Фланец 1200-10-01-1-В-Ст20 ГОСТ 33259-2015 (ГОСТ 12820-80)</t>
  </si>
  <si>
    <t>Фланец 1200-16-01-1-В-Ст20 ГОСТ 33259-2015 (ГОСТ 12820-80)</t>
  </si>
  <si>
    <t>Фланец 1400-06-01-1-В-Ст20 ГОСТ 33259-2015 (ГОСТ 12820-80)</t>
  </si>
  <si>
    <t>Фланец 1400-10-01-1-В-Ст20 ГОСТ 33259-2015 (ГОСТ 12820-80)</t>
  </si>
  <si>
    <t>Фланец 1600-06-01-1-В-Ст20 ГОСТ 33259-2015 (ГОСТ 12820-80)</t>
  </si>
  <si>
    <t>Фланец 1600-10-01-1-В-Ст20 ГОСТ 33259-2015 (ГОСТ 12820-80)</t>
  </si>
  <si>
    <t>Отвод 45-25х2,0-12Х18Н10Т ГОСТ 17375-2001</t>
  </si>
  <si>
    <t>Отвод 45-32х3,0-12х18н10т ГОСТ 17375-2001</t>
  </si>
  <si>
    <t>Отвод 45-45х2,5-12Х18Н10Т ГОСТ 17375-2001</t>
  </si>
  <si>
    <t>Отвод 45-57х3,0-12Х18Н10Т ГОСТ 17375-2001</t>
  </si>
  <si>
    <t>Отвод 45-89х4,0-12Х18Н10Т ГОСТ 17375-2001</t>
  </si>
  <si>
    <t>Отвод 45-108х4,0-12х18н10т ГОСТ 17375</t>
  </si>
  <si>
    <t>Отвод 45-159х4,5-12Х18Н10Т ГОСТ 17375-2001</t>
  </si>
  <si>
    <t>Отвод 90-57х3-12Х18Н10Т ГОСТ 17375-2001</t>
  </si>
  <si>
    <t>Отвод 90-57х5-12Х18Н10Т ГОСТ 17375-2001</t>
  </si>
  <si>
    <t>Отвод 90-76х3-12Х18Н10Т ГОСТ 17375-2001</t>
  </si>
  <si>
    <t>Отвод 90-76х5-12Х18Н10Т ГОСТ 17375-2001</t>
  </si>
  <si>
    <t>Отвод 90-89х3,5-12Х18Н10Т ГОСТ 17375-2001</t>
  </si>
  <si>
    <t>Отвод 90-89х5-12Х18Н10Т ГОСТ 17375-2001</t>
  </si>
  <si>
    <t>Отвод 90-108х5-12Х18Н10Т ГОСТ 17375-2001</t>
  </si>
  <si>
    <t>Отвод 90-159х5-12Х18Н10Т ГОСТ 17375-2001</t>
  </si>
  <si>
    <t>Отвод 90-219х3-12Х18Н10Т ГОСТ 17375-2001</t>
  </si>
  <si>
    <t>Отвод 90-219х6-12Х18Н10Т ГОСТ 17375-2001</t>
  </si>
  <si>
    <t>Отвод 90-273х6-12Х18Н10Т ГОСТ 17375-2001</t>
  </si>
  <si>
    <t>Отвод 90-273х8-12Х18Н10Т ГОСТ 17375-2001</t>
  </si>
  <si>
    <t>Переход К-25х3-18х3-12х18н10т ГОСТ 17378-2001</t>
  </si>
  <si>
    <t>Переход К-32х3-18х3-12х18н10т ГОСТ 17378-2001</t>
  </si>
  <si>
    <t>Переход К-32х3-25х3-12х18н10т ГОСТ 17378-2001</t>
  </si>
  <si>
    <t>Переход К-38х3-25х3-12х18н10т ГОСТ 17378-2001</t>
  </si>
  <si>
    <t>Переход К-38х3-32х3-12х18н10т ГОСТ 17378-2001</t>
  </si>
  <si>
    <t>Переход К-42,4х2,6-21,3х2,6-12х18н10т ГОСТ 17378-2001</t>
  </si>
  <si>
    <t>Переход К-45х3-25х3-12х18н10т ГОСТ 17378-2001</t>
  </si>
  <si>
    <t>Переход К-45х3-32х3-12х18н10т ГОСТ 17378-2001</t>
  </si>
  <si>
    <t>Переход К-45х3-38х3-12х18н10т ГОСТ 17378-2001</t>
  </si>
  <si>
    <t>Переход К-57х3,5-25х3-12х18н10т ГОСТ 17378-2001</t>
  </si>
  <si>
    <t>Переход К-57х3,5-32х3-12х18н10т ГОСТ 17378-2001</t>
  </si>
  <si>
    <t>Переход К-57х3,5-38х3-12х18н10т ГОСТ 17378-2001</t>
  </si>
  <si>
    <t>Переход К-57х3,5-45х3-12х18н10т ГОСТ 17378-2001</t>
  </si>
  <si>
    <t>Переход К-57х5-25х3-12х18н10т ГОСТ 17378-2001</t>
  </si>
  <si>
    <t>Переход К-57х5-32х3-12х18н10т ГОСТ 17378-2001</t>
  </si>
  <si>
    <t>Переход К-57х5-38х4-12х18н10т ГОСТ 17378-2001</t>
  </si>
  <si>
    <t>Переход К-57х5-45х4-12х18н10т ГОСТ 17378-2001</t>
  </si>
  <si>
    <t>Переход К-76х4-38х3-12х18н10т ГОСТ 17378-2001</t>
  </si>
  <si>
    <t>Переход К-76х4-45х3-12х18н10т ГОСТ 17378-2001</t>
  </si>
  <si>
    <t>Переход К-76х4-57х3,5-12х18н10т ГОСТ 17378-2001</t>
  </si>
  <si>
    <t>Переход К-89х4-45х3-12х18н10т ГОСТ 17378-2001</t>
  </si>
  <si>
    <t>Переход К-89х4-57х3,5-12х18н10т ГОСТ 17378-2001</t>
  </si>
  <si>
    <t>Переход К-89х4-76х3,5-12х18н10т ГОСТ 17378-2001</t>
  </si>
  <si>
    <t>Переход К-89х6-45х4-12х18н10т ГОСТ 17378-2001</t>
  </si>
  <si>
    <t>Переход К-89х6-57х5-12х18н10т ГОСТ 17378-2001</t>
  </si>
  <si>
    <t>Переход К-89х6-76х5-12х18н10т ГОСТ 17378-2001</t>
  </si>
  <si>
    <t>Переход К-108х4-76х3,5-12х18н10т ГОСТ 17378-2001</t>
  </si>
  <si>
    <t>Переход К-108х4-89х3,5-12х18н10т ГОСТ 17378-2001</t>
  </si>
  <si>
    <t>Переход К-108х5-76х5-12х18н10т ГОСТ 17378-2001</t>
  </si>
  <si>
    <t>Переход К-108х6-57х5-12х18н10т ГОСТ 17378-2001</t>
  </si>
  <si>
    <t>Переход К-108х6-76х5-12х18н10т ГОСТ 17378-2001</t>
  </si>
  <si>
    <t>Переход К-108х6-89х6-12х18н10т ГОСТ 17378-2001</t>
  </si>
  <si>
    <t>Переход К-114х4,5-76х4-12х18н10т ГОСТ 17378-2001</t>
  </si>
  <si>
    <t>Переход К-114х4,5-89х4-12х18н10т ГОСТ 17378-2001</t>
  </si>
  <si>
    <t>Переход К-133х4,5-76х4-12х18н10т ГОСТ 17378-2001</t>
  </si>
  <si>
    <t>Переход К-133х4,5-89х4-12х18н10т ГОСТ 17378-2001</t>
  </si>
  <si>
    <t>Переход К-133х4,5-108х4-12х18н10т ГОСТ 17378-2001</t>
  </si>
  <si>
    <t>Переход К-159х4-273х4,5-12х18н10т ГОСТ 17378-2001</t>
  </si>
  <si>
    <t>Переход К-159х4,5-133х4-12х18н10т ГОСТ 17378-2001</t>
  </si>
  <si>
    <t>Переход К-159х4,5-89х4-12х18н10т ГОСТ 17378-2001</t>
  </si>
  <si>
    <t>Переход К-159х5-57х4-12х18н10т ГОСТ 17378-2001</t>
  </si>
  <si>
    <t>Переход К-159х5-76х4-12х18н10т ГОСТ 17378-2001</t>
  </si>
  <si>
    <t>Переход К-159х6-89х5-12х18н10т ГОСТ 17378-2001</t>
  </si>
  <si>
    <t>Переход К-159х6-108х4-12х18н10т ГОСТ 17378-2001</t>
  </si>
  <si>
    <t>Переход К-168х4,5-108х4-12х18н10т ГОСТ 17378-2001</t>
  </si>
  <si>
    <t>Переход К-168х6-108х4-12х18н10т ГОСТ 17378-2001</t>
  </si>
  <si>
    <t>Переход К-168х6-114х4,5-12х18н10т ГОСТ 17378-2001</t>
  </si>
  <si>
    <t>Переход К-219х6-57х3-12х18н10т ГОСТ 17378-2001</t>
  </si>
  <si>
    <t>Переход К-219х6-76х3,5-12х18н10т ГОСТ 17378-2001</t>
  </si>
  <si>
    <t>Переход К-219х6-89х3,5-12х18н10т ГОСТ 17378-2001</t>
  </si>
  <si>
    <t>Переход К-219х6-89х4-12х18н10т ГОСТ 17378-2001</t>
  </si>
  <si>
    <t>Переход К-219х6-108х4,5-12х18н10т ГОСТ 17378-2001</t>
  </si>
  <si>
    <t>Переход К-219х6-114х4,5-12х18н10т ГОСТ 17378-2001</t>
  </si>
  <si>
    <t>Переход К-219х6-133х4,5-12х18н10т ГОСТ 17378-2001</t>
  </si>
  <si>
    <t>Переход К-219х6-159х4,5-12х18н10т ГОСТ 17378-2001</t>
  </si>
  <si>
    <t>Переход К-219х6-168х4,5-12х18н10т ГОСТ 17378-2001</t>
  </si>
  <si>
    <t>Переход К-273х4,5-159х4,0-12х18н10т ГОСТ 17378-2001</t>
  </si>
  <si>
    <t>Переход К-273х4,5-219х4,0-12х18н10т ГОСТ 17378-2001</t>
  </si>
  <si>
    <t>Переход К-273х7-159х4,5-12х18н10т ГОСТ 17378-2001</t>
  </si>
  <si>
    <t>Переход К-273х8-159х6-12х18н10т ГОСТ 17378-2001</t>
  </si>
  <si>
    <t>Переход К-273х8-159х7-12х18н10т ГОСТ 17378-2001</t>
  </si>
  <si>
    <t>Переход К-273х8-219х6-12х18н10т ГОСТ 17378-2001</t>
  </si>
  <si>
    <t>Переход К-273х8-219х7-12х18н10т ГОСТ 17378-2001</t>
  </si>
  <si>
    <t>Переход К-273х10-219х10-12х18н10т ГОСТ 17378-2001</t>
  </si>
  <si>
    <t>Переход К-325х5-219х4,5-12х18н10т ГОСТ 17378-2001</t>
  </si>
  <si>
    <t>Переход К-325х8-219х6-12х18н10т ГОСТ 17378-2001</t>
  </si>
  <si>
    <t>Переход К-325х8-219х8-12х18н10т ГОСТ 17378-2001</t>
  </si>
  <si>
    <t>Переход К-325х8-273х6-12х18н10т ГОСТ 17378-2001</t>
  </si>
  <si>
    <t>Переход К-325х8-273х7-12х18н10т ГОСТ 17378-2001</t>
  </si>
  <si>
    <t>Переход К-325х10-219х8-12х18н10т ГОСТ 17378-2001</t>
  </si>
  <si>
    <t>Переход К-325х10-273х10-12х18н10т ГОСТ 17378-2001</t>
  </si>
  <si>
    <t>Переход К-377х10-325х8-12х18н10т ГОСТ 17378-2001</t>
  </si>
  <si>
    <t>Переход К-426х10-325х10-12х18н10т ГОСТ 17378-2001</t>
  </si>
  <si>
    <t>Переход К-426х10-377х10-12х18н10т ГОСТ 17378-2001</t>
  </si>
  <si>
    <t>Переход К-530х10-377х10-12х18н10т ГОСТ 17378-2001</t>
  </si>
  <si>
    <t>Переход К-530х10-426х10-12х18н10т ГОСТ 17378-2001</t>
  </si>
  <si>
    <t>Тройник 10х2-12х18н10т ГОСТ 17376-2001 сварной</t>
  </si>
  <si>
    <t>Тройник 14х2-12х18н10т ГОСТ 17376-2001 сварной</t>
  </si>
  <si>
    <t>Тройник 18х3-12х18н10т ГОСТ 17376-2001 сварной</t>
  </si>
  <si>
    <t>Тройник 25х3-12х18н10т ГОСТ 17376-2001 сварной</t>
  </si>
  <si>
    <t>Тройник 25х3-18х2,5-12х18н10т ГОСТ 17376-2001 сварной</t>
  </si>
  <si>
    <t>Тройник 32х3-12х18н10т ГОСТ 17376-2001 сварной</t>
  </si>
  <si>
    <t>Тройник 32х3-25х3-12х18н10т ГОСТ 17376-2001 сварной</t>
  </si>
  <si>
    <t>Тройник 38х3-12х18н10т ГОСТ 17376-2001 сварной</t>
  </si>
  <si>
    <t>Тройник 38х3-25х3-12х18н10т ГОСТ 17376-2001 сварной</t>
  </si>
  <si>
    <t>Тройник 38х3-32х3-12х18н10т ГОСТ 17376-2001 сварной</t>
  </si>
  <si>
    <t>Тройник 45х3-12х18н10т ГОСТ 17376-2001 сварной</t>
  </si>
  <si>
    <t>Тройник 45х3-25х3-12х18н10т ГОСТ 17376-2001 сварной</t>
  </si>
  <si>
    <t>Тройник 45х3-32х3-12х18н10т ГОСТ 17376-2001 сварной</t>
  </si>
  <si>
    <t>Тройник 45х3-38х3-12х18н10т ГОСТ 17376-2001 сварной</t>
  </si>
  <si>
    <t>Тройник 57х3-12х18н10т ГОСТ 17376-2001 сварной</t>
  </si>
  <si>
    <t>Тройник 57х3-32х2,5-12х18н10т ГОСТ 17376-2001 сварной</t>
  </si>
  <si>
    <t>Тройник 57х3-38х2,5-12х18н10т ГОСТ 17376-2001 сварной</t>
  </si>
  <si>
    <t>Тройник 57х3,5-12х18н10т ГОСТ 17376-2001 сварной</t>
  </si>
  <si>
    <t>Тройник 57х3,5-25х3-12х18н10т ГОСТ 17376-2001 сварной</t>
  </si>
  <si>
    <t>Тройник 57х3,5-32х3-12х18н10т ГОСТ 17376-2001 сварной</t>
  </si>
  <si>
    <t>Тройник 57х3,5-38х3-12х18н10т ГОСТ 17376-2001 сварной</t>
  </si>
  <si>
    <t>Тройник 57х3,5-45х3-12х18н10т ГОСТ 17376-2001 сварной</t>
  </si>
  <si>
    <t>Тройник 57х4-12х18н10т ГОСТ 17376-2001 сварной</t>
  </si>
  <si>
    <t>Тройник 57х5-12х18н10т ГОСТ 17376-2001 сварной</t>
  </si>
  <si>
    <t>Тройник 76х3,5-12х18н10т ГОСТ 17376-2001 сварной</t>
  </si>
  <si>
    <t>Тройник 76х3,5-45х3-12х18н10т ГОСТ 17376-2001 сварной</t>
  </si>
  <si>
    <t>Тройник 76х3,5-57х3,5-12х18н10т ГОСТ 17376-2001 сварной</t>
  </si>
  <si>
    <t>Тройник 76х4-12х18н10т ГОСТ 17376-2001 сварной</t>
  </si>
  <si>
    <t>Тройник 76х6-12х18н10т ГОСТ 17376-2001 сварной</t>
  </si>
  <si>
    <t>Тройник 89х4-12х18н10т ГОСТ 17376-2001 сварной</t>
  </si>
  <si>
    <t>Тройник 89х4-45х3-12х18н10т ГОСТ 17376-2001 сварной</t>
  </si>
  <si>
    <t>Тройник 89х4-57х3,5-12х18н10т ГОСТ 17376-2001 сварной</t>
  </si>
  <si>
    <t>Тройник 89х4-76х3,5-12х18н10т ГОСТ 17376-2001 сварной</t>
  </si>
  <si>
    <t>Тройник 89х6-12х18н10т ГОСТ 17376-2001 сварной</t>
  </si>
  <si>
    <t>Тройник 89х6-57х5-12х18н10т ГОСТ 17376-2001 сварной</t>
  </si>
  <si>
    <t>Тройник 108х4-45х3-12х18н10т ГОСТ 17376-2001 сварной</t>
  </si>
  <si>
    <t>Тройник 108х4-57х3,5-12х18н10т ГОСТ 17376-2001 сварной</t>
  </si>
  <si>
    <t>Тройник 108х4-76х3,5-12х18н10т ГОСТ 17376-2001 сварной</t>
  </si>
  <si>
    <t>Тройник 108х4-89х4-12х18н10т ГОСТ 17376-2001 сварной</t>
  </si>
  <si>
    <t>Тройник 114х4,5-12х18н10т ГОСТ 17376-2001 сварной</t>
  </si>
  <si>
    <t>Тройник 133х4-89х4-12х18н10т ГОСТ 17376-2001 сварной</t>
  </si>
  <si>
    <t>Тройник 133х4-108х4-12х18н10т ГОСТ 17376-2001 сварной</t>
  </si>
  <si>
    <t>Тройник 133х4,5-12х18н10т ГОСТ 17376-2001 сварной</t>
  </si>
  <si>
    <t>Тройник 133х4,5-108х4-12х18н10т ГОСТ 17376-2001 сварной</t>
  </si>
  <si>
    <t>Тройник 133х5-76х3,5-12х18н10т ГОСТ 17376-2001 сварной</t>
  </si>
  <si>
    <t>Тройник 133х5-89х4-12х18н10т ГОСТ 17376-2001 сварной</t>
  </si>
  <si>
    <t>Тройник 133х6-12х18н10т ГОСТ 17376-2001 сварной</t>
  </si>
  <si>
    <t>Тройник 159х4,5-12х18н10т ГОСТ 17376-2001 сварной</t>
  </si>
  <si>
    <t>Тройник 159х4,5-76х3,5-12х18н10т ГОСТ 17376-2001 сварной</t>
  </si>
  <si>
    <t>Тройник 159х4,5-89х4-12х18н10т ГОСТ 17376-2001 сварной</t>
  </si>
  <si>
    <t>Тройник 159х4,5-108х4-12х18н10т ГОСТ 17376-2001 сварной</t>
  </si>
  <si>
    <t>Тройник 159х4,5-133х4-12х18н10т ГОСТ 17376-2001 сварной</t>
  </si>
  <si>
    <t>Тройник 159х6-12х18н10т ГОСТ 17376-2001 сварной</t>
  </si>
  <si>
    <t>Тройник 219х6-12х18н10т ГОСТ 17376-2001 сварной</t>
  </si>
  <si>
    <t>Тройник 219х6-108х4-12х18н10т ГОСТ 17376-2001 сварной</t>
  </si>
  <si>
    <t>Тройник 219х6-133х4-12х18н10т ГОСТ 17376-2001 сварной</t>
  </si>
  <si>
    <t>Тройник 219х6-159х4,5-12х18н10т ГОСТ 17376-2001 сварной</t>
  </si>
  <si>
    <t>Тройник 219х8-12х18н10т ГОСТ 17376-2001 сварной</t>
  </si>
  <si>
    <t>Тройник 219х10-12х18н10т ГОСТ 17376-2001 сварной</t>
  </si>
  <si>
    <t>Тройник 273х6-12х18н10т ГОСТ 17376-2001 сварной</t>
  </si>
  <si>
    <t>Тройник 273х7-12х18н10т ГОСТ 17376-2001 сварной</t>
  </si>
  <si>
    <t>Тройник 273х10-12х18н10т ГОСТ 17376-2001 сварной</t>
  </si>
  <si>
    <t>Тройник  273х12 -12х18н10т ГОСТ 17376-2001 сварной</t>
  </si>
  <si>
    <t>Тройник 325х8-12х18н10т ГОСТ 17376-2001 сварной</t>
  </si>
  <si>
    <t>Тройник 325х12-12х18н10т ГОСТ 17376-2001 сварной</t>
  </si>
  <si>
    <t>Тройник 325х14-12х18н10т ГОСТ 17376-2001 сварной</t>
  </si>
  <si>
    <t>Тройник 377х12(10)-12х18н10т ГОСТ 17376-2001 сварной</t>
  </si>
  <si>
    <t>Тройник 426х12(10)-12х18н10т ГОСТ 17376-2001 сварной</t>
  </si>
  <si>
    <t>Заглушка 32х3 12Х18Н10Т ГОСТ 17379  эллиптическая</t>
  </si>
  <si>
    <t>Заглушка 38х3 12Х18Н10Т ГОСТ 17379  эллиптическая</t>
  </si>
  <si>
    <t>Заглушка 45х3 12Х18Н10Т ГОСТ 17379  эллиптическая</t>
  </si>
  <si>
    <t>Заглушка 57х3 12Х18Н10Т ГОСТ 17379  эллиптическая</t>
  </si>
  <si>
    <t>Заглушка 57х5 12Х18Н10Т ГОСТ 17379  эллиптическая</t>
  </si>
  <si>
    <t>Заглушка 76х4 12Х18Н10Т ГОСТ 17379  эллиптическая</t>
  </si>
  <si>
    <t>Заглушка 76х5 12Х18Н10Т ГОСТ 17379  эллиптическая</t>
  </si>
  <si>
    <t>Заглушка 76х6 12Х18Н10Т ГОСТ 17379  эллиптическая</t>
  </si>
  <si>
    <t>Заглушка 89х4 12Х18Н10Т ГОСТ 17379  эллиптическая</t>
  </si>
  <si>
    <t>Заглушка 89х5 12Х18Н10Т ГОСТ 17379  эллиптическая</t>
  </si>
  <si>
    <t>Заглушка 89х6 12Х18Н10Т ГОСТ 17379  эллиптическая</t>
  </si>
  <si>
    <t>Заглушка 89х8 12Х18Н10Т ГОСТ 17379  эллиптическая</t>
  </si>
  <si>
    <t>Заглушка 108х4 12Х18Н10Т ГОСТ 17379  эллиптическая</t>
  </si>
  <si>
    <t>Заглушка 108х5 12Х18Н10Т ГОСТ 17379  эллиптическая</t>
  </si>
  <si>
    <t>Заглушка 108х6 12Х18Н10Т ГОСТ 17379  эллиптическая</t>
  </si>
  <si>
    <t>Заглушка 108x8 12Х18Н10Т ГОСТ 17379  эллиптическая</t>
  </si>
  <si>
    <t>Заглушка 114x5 12Х18Н10Т ГОСТ 17379  эллиптическая</t>
  </si>
  <si>
    <t>Заглушка 133х5 12Х18Н10Т ГОСТ 17379  эллиптическая</t>
  </si>
  <si>
    <t>Заглушка 133х8 12Х18Н10Т ГОСТ 17379  эллиптическая</t>
  </si>
  <si>
    <t>Заглушка 159х5 12Х18Н10Т ГОСТ 17379  эллиптическая</t>
  </si>
  <si>
    <t>Заглушка 159х6 12Х18Н10Т ГОСТ 17379  эллиптическая</t>
  </si>
  <si>
    <t>Заглушка 168х6 12Х18Н10Т ГОСТ 17379  эллиптическая</t>
  </si>
  <si>
    <t>Заглушка 219х6 12Х18Н10Т ГОСТ 17379  эллиптическая</t>
  </si>
  <si>
    <t>Заглушка 219х8 12Х18Н10Т ГОСТ 17379  эллиптическая</t>
  </si>
  <si>
    <t>Заглушка 273х8 12Х18Н10Т ГОСТ 17379  эллиптическая</t>
  </si>
  <si>
    <t>Заглушка 273х10 12Х18Н10Т ГОСТ 17379  эллиптическая</t>
  </si>
  <si>
    <t>Заглушка 325х10 12Х18Н10Т ГОСТ 17379  эллиптическая</t>
  </si>
  <si>
    <t>Заглушка 377х12 12Х18Н10Т ГОСТ 17379  эллиптическая</t>
  </si>
  <si>
    <t>Заглушка 426х10 12Х18Н10Т ГОСТ 17379  эллиптическая</t>
  </si>
  <si>
    <t>Заглушка 530х10 12Х18Н10Т ГОСТ 17379  эллиптическая</t>
  </si>
  <si>
    <t xml:space="preserve">Сгон 15 AISI нерж </t>
  </si>
  <si>
    <t xml:space="preserve">Сгон 25 AISI нерж </t>
  </si>
  <si>
    <t xml:space="preserve">Сгон 32 AISI нерж </t>
  </si>
  <si>
    <t xml:space="preserve">Сгон 40 AISI нерж </t>
  </si>
  <si>
    <t xml:space="preserve">Сгон 50 AISI нерж </t>
  </si>
  <si>
    <t xml:space="preserve">Сгон 65 AISI нерж </t>
  </si>
  <si>
    <t>Резьба (ниппель приварной) 15</t>
  </si>
  <si>
    <t>Резьба (ниппель приварной) 20</t>
  </si>
  <si>
    <t>Резьба (ниппель приварной) 25</t>
  </si>
  <si>
    <t>Резьба (ниппель приварной) 32</t>
  </si>
  <si>
    <t>Резьба (ниппель приварной) 40</t>
  </si>
  <si>
    <t>Резьба (ниппель приварной) 50</t>
  </si>
  <si>
    <t>Резьба (ниппель приварной) 65</t>
  </si>
  <si>
    <t>Резьба (ниппель приварной) 80</t>
  </si>
  <si>
    <t>Прокладка А-10-40-ПОН ГОСТ 15180</t>
  </si>
  <si>
    <t>Прокладка А-15-40-ПОН ГОСТ 15180</t>
  </si>
  <si>
    <t>Прокладка А-20-40-ПОН ГОСТ 15180</t>
  </si>
  <si>
    <t>Прокладка А-25-40-ПОН ГОСТ 15180</t>
  </si>
  <si>
    <t>Прокладка А-32-40-ПОН ГОСТ 15180</t>
  </si>
  <si>
    <t>Прокладка А-40-40-ПОН ГОСТ 15180</t>
  </si>
  <si>
    <t>Прокладка А-65-40-ПОН ГОСТ 15180</t>
  </si>
  <si>
    <t>Прокладка А-80-40-ПОН ГОСТ 15180</t>
  </si>
  <si>
    <t>Прокладка А-100-40-ПОН ГОСТ 15180</t>
  </si>
  <si>
    <t>Прокладка А-125-40-ПОН ГОСТ 15180</t>
  </si>
  <si>
    <t>Прокладка А-150-40-ПОН ГОСТ 15180</t>
  </si>
  <si>
    <t>Прокладка А-200-40-ПОН ГОСТ 15180</t>
  </si>
  <si>
    <t>Прокладка А-250-40-ПОН ГОСТ 15180</t>
  </si>
  <si>
    <t>Прокладка А-300-40-ПОН ГОСТ 15180</t>
  </si>
  <si>
    <t>Прокладка А-350-40-ПОН ГОСТ 15180</t>
  </si>
  <si>
    <t>Прокладка А-400-40-ПОН ГОСТ 15180</t>
  </si>
  <si>
    <t>Прокладка А-500-40-ПОН ГОСТ 15180</t>
  </si>
  <si>
    <t>Прокладка А-600-40-ПОН ГОСТ 15180</t>
  </si>
  <si>
    <t>Прокладка А-700-40-ПОН ГОСТ 15180</t>
  </si>
  <si>
    <t>Прокладка А-800-40-ПОН ГОСТ 15180</t>
  </si>
  <si>
    <t>Прокладка А-1000-16-ПОН ГОСТ 15180</t>
  </si>
  <si>
    <t>Прокладка А-1000-40-ПОН ГОСТ 15180</t>
  </si>
  <si>
    <t xml:space="preserve">Прокладка А-1400-10 ПОН-ГОСТ 15180-86 </t>
  </si>
  <si>
    <t>Прокладка А-1800-40 ПОН-ГОСТ 15180-86</t>
  </si>
  <si>
    <t>Прокладка А-15-40-ТМКЩ ГОСТ 15180</t>
  </si>
  <si>
    <t>Прокладка А-20-40-ТМКЩ ГОСТ 15180</t>
  </si>
  <si>
    <t>Прокладка А-25-40-ТМКЩ ГОСТ 15180</t>
  </si>
  <si>
    <t>Прокладка А-32-40-ТМКЩ ГОСТ 15180</t>
  </si>
  <si>
    <t>Прокладка А-40-40-ТМКЩ ГОСТ 15180</t>
  </si>
  <si>
    <t>Прокладка А-65-40-ТМКЩ ГОСТ 15180</t>
  </si>
  <si>
    <t>Прокладка А-80-40-ТМКЩ ГОСТ 15180</t>
  </si>
  <si>
    <t>Прокладка А-125-40-ТМКЩ ГОСТ 15180</t>
  </si>
  <si>
    <t>Прокладка А-150-40-ТМКЩ ГОСТ 15180</t>
  </si>
  <si>
    <t>Прокладка А-200-40-ТМКЩ ГОСТ 15180</t>
  </si>
  <si>
    <t>Прокладка А-300-40-ТМКЩ ГОСТ 15180</t>
  </si>
  <si>
    <t>Прокладка А-350-40-ТМКЩ ГОСТ 15180</t>
  </si>
  <si>
    <t>Прокладка А-400-40-ТМКЩ ГОСТ 15180</t>
  </si>
  <si>
    <t>Прокладка А-500-40-ТМКЩ ГОСТ 15180</t>
  </si>
  <si>
    <t>Прокладка А-600-40-ТМКЩ ГОСТ 15180</t>
  </si>
  <si>
    <t>Прокладка А-1000-10-ТМКЩ ГОСТ 15180</t>
  </si>
  <si>
    <t>Прокладка А-1600-10-ТМКЩ ГОСТ 15180</t>
  </si>
  <si>
    <t>Прокладка А-1800-10-ТМКЩ ГОСТ 15180</t>
  </si>
  <si>
    <t>Арматура 24-А-I Ст3пс ГОСТ 5781-82 гладкая (А240)</t>
  </si>
  <si>
    <t>Круг 20 мм 12Х18Н10Т ГOCT 5949-75</t>
  </si>
  <si>
    <t>Круг 7 мм 12Х18Н10Т ГOCT 5949-75</t>
  </si>
  <si>
    <t>Круг 8 мм 12Х18Н10Т ГOCT 5949-75</t>
  </si>
  <si>
    <t>Лист г/к Б-ПН-О-4,0х1500х3000 ГОСТ 19903-74 // Ст3пс  ГОСТ 14637-89</t>
  </si>
  <si>
    <t>Лист г/к Б-ПН-О-5,0х1500х3000 ГОСТ 19903-74 // Ст3пс  ГОСТ 14637-89</t>
  </si>
  <si>
    <t>Лист г/к Б-ПН-О-8,0х1500х6000 ГОСТ 19903-74 // Ст3пс  ГОСТ 14637-89</t>
  </si>
  <si>
    <t>Лист г/к Б-ПН-О-10,0х1500х6000 ГОСТ 19903-74 // Ст3пс  ГОСТ 14637-89</t>
  </si>
  <si>
    <t>Лист г/к Б-ПН-О-25,0х1500х6000 ГОСТ 19903-74 // Ст3пс ГОСТ 14637-89</t>
  </si>
  <si>
    <t>Лист нержавеющий перфорированный 1,5х1000х2000мм Qg 10.0-12.0 марка 10х18н10</t>
  </si>
  <si>
    <t xml:space="preserve">Лист ромб/ чечевица г/к Б-ПН-О-2,0х1250х2500 ГОСТ 8568-77//ст08х18н10 ГОСТ 19903-74 (AISI 304)  </t>
  </si>
  <si>
    <t>Лист ромб/ чечевица г/к Б-ПН-О-4х1250х2500мм 12Х18Н10Т (AISI 304)</t>
  </si>
  <si>
    <t>Лист ромб/ чечевица г/к Б-ПН-О-5х1250х2500мм 12Х18Н10Т (AISI 304)</t>
  </si>
  <si>
    <t>Лист 4х1000х3100 мм 12Х18Н10Т (AISI304) просечно-вытяжной</t>
  </si>
  <si>
    <t>Лист нержавеющий матовый 0,5х1000х2000</t>
  </si>
  <si>
    <t>Лист нержавеющий матовый 1,0х1000х2000</t>
  </si>
  <si>
    <t>Лист 6х1000х2000мм 12Х18Н10Т (AISI 304)</t>
  </si>
  <si>
    <t>Лист 5х1000х2000мм 12Х18Н10Т (AISI 304)</t>
  </si>
  <si>
    <t>Лист 4х1000х2000мм 12Х18Н10Т (AISI 304)</t>
  </si>
  <si>
    <t>Лист 2х1000х2000мм 12Х18Н10Т (AISI 304)</t>
  </si>
  <si>
    <t>Лист 10х1000х2000мм 12Х18Н10Т (AISI 304)</t>
  </si>
  <si>
    <t>Труба 20х1,5мм 12Х18Н10Т (AISI 304) ГОСТ 9941-81</t>
  </si>
  <si>
    <t>Труба 25х3мм 12Х18Н10Т (AISI 304) ГОСТ 9941-81</t>
  </si>
  <si>
    <t>Труба ВГП 25х3,2 ГОСТ 3262-75 ГОСТ 9941-81</t>
  </si>
  <si>
    <t>Труба 32х2мм 12Х18Н10Т (AISI 304) ГОСТ 9941-81</t>
  </si>
  <si>
    <t>Труба 34х2,5 ГОСТ 9941-81 ст 12Х18Н10Т (AISI 321)  (бесшовная холоднодеформированная) ГОСТ 9941-81</t>
  </si>
  <si>
    <t>Труба нержавеющая 38х2 AISI 304 (08Х18Н10)  ГОСТ 9941-81</t>
  </si>
  <si>
    <t>Труба 48х3,0 ГОСТ 9941-81 ст 12Х18Н10Т (AISI 321)  (бесшовная холоднодеформированная) ГОСТ 9941-81</t>
  </si>
  <si>
    <t>Труба 48х5мм 12Х18Н10Т (AISI 304) ГОСТ 9941-81</t>
  </si>
  <si>
    <t>Труба 50х3мм 12Х18Н10Т (AISI 304) ГОСТ 9941-81</t>
  </si>
  <si>
    <t xml:space="preserve">Труба 50х4мм 12Х18Н10Т (AISI 304) ГОСТ 9941-81 </t>
  </si>
  <si>
    <t>Труба 60х3,0мм 12Х18Н10Т (AISI 304) ГОСТ 9941-81</t>
  </si>
  <si>
    <t>Труба 76х1,5мм 12Х18Н10Т (AISI 304) ГОСТ 9941-81</t>
  </si>
  <si>
    <t>Труба 76х3,5мм 12Х18Н10Т (AISI 304) ГОСТ 9941-81</t>
  </si>
  <si>
    <t>Труба 76х4мм 12Х18Н10Т (AISI 304) ГОСТ 9941-81</t>
  </si>
  <si>
    <t>Труба 89х3,5мм 12Х18Н10Т (AISI 304) ГОСТ 9941-81</t>
  </si>
  <si>
    <t>Труба  89х4,5мм 12Х18Н10Т (AISI 304) ГОСТ 9941-81</t>
  </si>
  <si>
    <t>Труба 108х5мм 12Х18Н10Т (AISI 304) ГОСТ 9941-81</t>
  </si>
  <si>
    <t>Труба 219х3мм 12Х18Н10Т ГОСТ 9941-81</t>
  </si>
  <si>
    <t>Труба 133х10мм 12Х18Н10Т (AISI 304) ГОСТ 9941-81</t>
  </si>
  <si>
    <t>Труба 152х8мм 12Х18Н10Т (AISI 304) ГОСТ 9941-81</t>
  </si>
  <si>
    <t>Труба 159х4,5мм 12Х18Н10Т (AISI 304) ГОСТ 9941-81</t>
  </si>
  <si>
    <t>Труба 159х3мм 12Х18Н10Т (AISI 304) ГОСТ 9941-81</t>
  </si>
  <si>
    <t>Труба 168х10мм 12Х18Н10Т (AISI 304) ГОСТ 9941-81</t>
  </si>
  <si>
    <t>Труба 168х7,5мм 12Х18Н10Т (AISI 304) ГОСТ 9941-81</t>
  </si>
  <si>
    <t>Труба 219х5мм 12Х18Н10Т (AISI 304) ГОСТ 9941-81</t>
  </si>
  <si>
    <t>Труба 219х6мм 12Х18Н10Т (AISI 304) ГОСТ 9941-81</t>
  </si>
  <si>
    <t>Труба 273х6,5- Ст.10 ГОСТ 8732-78</t>
  </si>
  <si>
    <t>Труба 273х6,0 12Х18Н10Т (AISI 304) ГОСТ 9941-81</t>
  </si>
  <si>
    <t>Труба 325х5,0мм 12Х18Н10Т (AISI 304) ГОСТ 9941-81</t>
  </si>
  <si>
    <t>Труба 530х8,0 12Х18Н10Т (AISI 304) ГОСТ 9941-81</t>
  </si>
  <si>
    <t>Труба 630х8,0 12Х18Н10Т (AISI 304) ГОСТ 9941-81</t>
  </si>
  <si>
    <t>Труба 40х40х4мм 12Х18Н10Т (AISI304) ГОСТ 8639-82</t>
  </si>
  <si>
    <t xml:space="preserve">Труба 40х40х3мм 12Х18Н10Т (AISI304) ГОСТ 8639-82 </t>
  </si>
  <si>
    <t>Труба 40х20х2мм 12Х18Н10Т (AISI304) ГОСТ 8639-82</t>
  </si>
  <si>
    <t xml:space="preserve">Труба 50х50х3мм Ст.3 ГОСТ13663-86 ГОСТ 8639-82 </t>
  </si>
  <si>
    <t xml:space="preserve">Труба 50х50х4мм 08х18н10 ГОСТ 8639-82 </t>
  </si>
  <si>
    <t xml:space="preserve">Труба 60х60х3мм Ст.3 ГОСТ 8639-82 </t>
  </si>
  <si>
    <t>Труба 80х80х4мм 12Х18Н10Т (AISI304) ГОСТ 8639-82</t>
  </si>
  <si>
    <t>Труба 80х80х6мм 12Х18Н10Т (AISI304) ГОСТ 8639-82</t>
  </si>
  <si>
    <t xml:space="preserve">Труба 100х50х3мм 08Х18Н10 (AISI304) ГОСТ 8645-68 </t>
  </si>
  <si>
    <t xml:space="preserve">Труба 100х50х4мм 08Х18Н10 (AISI304) ГОСТ 8645-68 </t>
  </si>
  <si>
    <t xml:space="preserve">Труба 100х100х3мм 12Х18Н10Т (AISI304) ГОСТ 8639-82 </t>
  </si>
  <si>
    <t>Труба 100х100х8 12Х18Н10Т (AISI304) ГОСТ 8639-82</t>
  </si>
  <si>
    <t>Труба 120х120х8 12Х18Н10Т (AISI304) ГОСТ 8639-82</t>
  </si>
  <si>
    <t>Уголок 40х40х4мм 08Х18Н10Т(AISI304) ГОСТ 8509-93</t>
  </si>
  <si>
    <t>Уголок 60х60х5мм 12Х18Н10Т (AISI304) ГОСТ 8509-93</t>
  </si>
  <si>
    <t>Уголок 60х60х6мм 12Х18Н10Т (AISI304) ГОСТ 8509-93</t>
  </si>
  <si>
    <t>Уголок 63х63х5 ст3пс ГОСТ8509-93</t>
  </si>
  <si>
    <t>Уголок 70х70х4,5мм 08Х18Н10Т(AISI304) ГОСТ 8509-93</t>
  </si>
  <si>
    <t>Уголок 80х80х6мм 12Х18Н10Т (AISI304) ГОСТ 8509-93</t>
  </si>
  <si>
    <t>Швеллер 8- П 08Х18Н10Т (AISI304)  ГОСТ 8240-97</t>
  </si>
  <si>
    <t>Швеллер 10-П 08Х18Н10Т (AISI304)  ГОСТ 8240-97</t>
  </si>
  <si>
    <t>Швеллер 12-П 08Х18Н10Т (AISI304)  ГОСТ 8240-97</t>
  </si>
  <si>
    <t>Швеллер 14-П ст3пс ГОСТ 8240-97</t>
  </si>
  <si>
    <t>Швеллер 14-П 08Х18Н10Т (AISI304)  ГОСТ 8240-97</t>
  </si>
  <si>
    <t>Швеллер 16-П 08Х18Н10Т (AISI304)  ГОСТ 8240-97</t>
  </si>
  <si>
    <t>Швеллер 16-П ст3пс ГОСТ 8240-97</t>
  </si>
  <si>
    <t xml:space="preserve">Швеллер 50х25х3 08Х18Н10Т (AISI304) ГОСТ 8278-83 </t>
  </si>
  <si>
    <t xml:space="preserve">Швеллер 100х50х4 08Х18Н10Т (AISI304) ГОСТ 8278-83 </t>
  </si>
  <si>
    <t>Швеллер 120х40х3 мм ст3 гнутый</t>
  </si>
  <si>
    <t xml:space="preserve">Болт М6-6gх20.58.12Х18Н10Т ГОСТ 7798-70 (DIN 931, DIN 933) </t>
  </si>
  <si>
    <t xml:space="preserve">Болт М6-6gх25.58.12Х18Н10Т ГОСТ 7798-70 (DIN 931, DIN 933) </t>
  </si>
  <si>
    <t xml:space="preserve">Болт М6-6gх40.58.12Х18Н10Т ГОСТ 7798-70 (DIN 931, DIN 933) </t>
  </si>
  <si>
    <t xml:space="preserve">Болт М6-6gх50.58.12Х18Н10Т ГОСТ 7798-70 (DIN 931, DIN 933) </t>
  </si>
  <si>
    <t xml:space="preserve">Болт М6-6gх60.58.12Х18Н10Т ГОСТ 7798-70 (DIN 931, DIN 933) </t>
  </si>
  <si>
    <t xml:space="preserve">Болт М6-6gх70.58.12Х18Н10Т ГОСТ 7798-70 (DIN 931, DIN 933) </t>
  </si>
  <si>
    <t xml:space="preserve">Болт М6-6gх80.58.12Х18Н10Т ГОСТ 7798-70 (DIN 931, DIN 933) </t>
  </si>
  <si>
    <t xml:space="preserve">Болт М8-6gх20.58.12Х18Н10Т ГОСТ 7798-70 (DIN 931, DIN 933) </t>
  </si>
  <si>
    <t xml:space="preserve">Болт М8-6gх30.58.12Х18Н10Т ГОСТ 7798-70 (DIN 931, DIN 933) </t>
  </si>
  <si>
    <t xml:space="preserve">Болт М8-6gх40.58.12Х18Н10Т ГОСТ 7798-70 (DIN 931, DIN 933) </t>
  </si>
  <si>
    <t xml:space="preserve">Болт М8-6gх50.58.12Х18Н10Т ГОСТ 7798-70 (DIN 931, DIN 933) </t>
  </si>
  <si>
    <t xml:space="preserve">Болт М8-6gх60.58.12Х18Н10Т ГОСТ 7798-70 (DIN 931, DIN 933) </t>
  </si>
  <si>
    <t xml:space="preserve">Болт М8-6gх70.58.12Х18Н10Т ГОСТ 7798-70 (DIN 931, DIN 933) </t>
  </si>
  <si>
    <t xml:space="preserve">Болт М8-6gх80.58.12Х18Н10Т ГОСТ 7798-70 (DIN 931, DIN 933) </t>
  </si>
  <si>
    <t xml:space="preserve">Болт М10-6gх20.58.12Х18Н10Т ГОСТ 7798-70 (DIN 931, DIN 933) </t>
  </si>
  <si>
    <t xml:space="preserve">Болт М10-6gх30.58.12Х18Н10Т ГОСТ 7798-70 (DIN 931, DIN 933) </t>
  </si>
  <si>
    <t xml:space="preserve">Болт М10-6gх40.58.12Х18Н10Т ГОСТ 7798-70 (DIN 931, DIN 933) </t>
  </si>
  <si>
    <t xml:space="preserve">Болт М10-6gх50.58.12Х18Н10Т ГОСТ 7798-70 (DIN 931, DIN 933) </t>
  </si>
  <si>
    <t xml:space="preserve">Болт М10-6gх60.58.12Х18Н10Т ГОСТ 7798-70 (DIN 931, DIN 933) </t>
  </si>
  <si>
    <t xml:space="preserve">Болт М10-6gх70.58.12Х18Н10Т ГОСТ 7798-70 (DIN 931, DIN 933) </t>
  </si>
  <si>
    <t xml:space="preserve">Болт М10-6gх80.58.12Х18Н10Т ГОСТ 7798-70 (DIN 931, DIN 933) </t>
  </si>
  <si>
    <t xml:space="preserve">Болт М10-6gх90.58.12Х18Н10Т ГОСТ 7798-70 (DIN 931, DIN 933) </t>
  </si>
  <si>
    <t xml:space="preserve">Болт М10-6gх100.58.12Х18Н10Т ГОСТ 7798-70 (DIN 931, DIN 933) </t>
  </si>
  <si>
    <t xml:space="preserve">Болт М10-6gх110.58.12Х18Н10Т ГОСТ 7798-70 (DIN 931, DIN 933) </t>
  </si>
  <si>
    <t xml:space="preserve">Болт М10-6gх120.58.12Х18Н10Т ГОСТ 7798-70 (DIN 931, DIN 933) </t>
  </si>
  <si>
    <t xml:space="preserve">Болт М10-6gх130.58.12Х18Н10Т ГОСТ 7798-70 (DIN 931, DIN 933) </t>
  </si>
  <si>
    <t xml:space="preserve">Болт М10-6gх140.58.12Х18Н10Т ГОСТ 7798-70 (DIN 931, DIN 933) </t>
  </si>
  <si>
    <t xml:space="preserve">Болт М10-6gх150.58.12Х18Н10Т ГОСТ 7798-70 (DIN 931, DIN 933) </t>
  </si>
  <si>
    <t xml:space="preserve">Болт М12-6gх30.58.12Х18Н10Т ГОСТ 7798-70 (DIN 931, DIN 933) </t>
  </si>
  <si>
    <t xml:space="preserve">Болт М12-6gх40.58.12Х18Н10Т ГОСТ 7798-70 (DIN 931, DIN 933) </t>
  </si>
  <si>
    <t xml:space="preserve">Болт М12-6gх60.58.12Х18Н10Т ГОСТ 7798-70 (DIN 931, DIN 933) </t>
  </si>
  <si>
    <t xml:space="preserve">Болт М12-6gх70.58.12Х18Н10Т ГОСТ 7798-70 (DIN 931, DIN 933) </t>
  </si>
  <si>
    <t xml:space="preserve">Болт М12-6gх80.58.12Х18Н10Т ГОСТ 7798-70 (DIN 931, DIN 933) </t>
  </si>
  <si>
    <t xml:space="preserve">Болт М12-6gх85.58.12Х18Н10Т ГОСТ 7798-70 (DIN 931, DIN 933) </t>
  </si>
  <si>
    <t xml:space="preserve">Болт М12-6gх100.58.12Х18Н10Т ГОСТ 7798-70 (DIN 931, DIN 933) </t>
  </si>
  <si>
    <t xml:space="preserve">Болт М12-6gх110.58.12Х18Н10Т ГОСТ 7798-70 (DIN 931, DIN 933) </t>
  </si>
  <si>
    <t xml:space="preserve">Болт М12-6gх120.58.12Х18Н10Т ГОСТ 7798-70 (DIN 931, DIN 933) </t>
  </si>
  <si>
    <t xml:space="preserve">Болт М12-6gх130.58.12Х18Н10Т ГОСТ 7798-70 (DIN 931, DIN 933) </t>
  </si>
  <si>
    <t xml:space="preserve">Болт М12-6gх140.58.12Х18Н10Т ГОСТ 7798-70 (DIN 931, DIN 933) </t>
  </si>
  <si>
    <t xml:space="preserve">Болт М12-6gх150.58.12Х18Н10Т ГОСТ 7798-70 (DIN 931, DIN 933) </t>
  </si>
  <si>
    <t xml:space="preserve">Болт М16-6gх20.58.12Х18Н10Т ГОСТ 7798-70 (DIN 931, DIN 933) </t>
  </si>
  <si>
    <t xml:space="preserve">Болт М16-6gх30.58.12Х18Н10Т ГОСТ 7798-70 (DIN 931, DIN 933) </t>
  </si>
  <si>
    <t xml:space="preserve">Болт М16-6gх40.58.12Х18Н10Т ГОСТ 7798-70 (DIN 931, DIN 933) </t>
  </si>
  <si>
    <t xml:space="preserve">Болт М16-6gх50.58.12Х18Н10Т ГОСТ 7798-70 (DIN 931, DIN 933) </t>
  </si>
  <si>
    <t xml:space="preserve">Болт М16-6gх60.58.12Х18Н10Т ГОСТ 7798-70 (DIN 931, DIN 933) </t>
  </si>
  <si>
    <t xml:space="preserve">Болт М16-6gх70.58.12Х18Н10Т ГОСТ 7798-70 (DIN 931, DIN 933) </t>
  </si>
  <si>
    <t xml:space="preserve">Болт М16-6gх90.58.12Х18Н10Т ГОСТ 7798-70 (DIN 931, DIN 933) </t>
  </si>
  <si>
    <t xml:space="preserve">Болт М16-6gх100.58.12Х18Н10Т ГОСТ 7798-70 (DIN 931, DIN 933) </t>
  </si>
  <si>
    <t xml:space="preserve">Болт М16-6gх110.58.12Х18Н10Т ГОСТ 7798-70 (DIN 931, DIN 933) </t>
  </si>
  <si>
    <t xml:space="preserve">Болт М16-6gх130.58.12Х18Н10Т ГОСТ 7798-70 (DIN 931, DIN 933) </t>
  </si>
  <si>
    <t xml:space="preserve">Болт М16-6gх140.58.12Х18Н10Т ГОСТ 7798-70 (DIN 931, DIN 933) </t>
  </si>
  <si>
    <t xml:space="preserve">Болт М16-6gх150.58.12Х18Н10Т ГОСТ 7798-70 (DIN 931, DIN 933) </t>
  </si>
  <si>
    <t xml:space="preserve">Болт М16-6gх160.58.12Х18Н10Т ГОСТ 7798-70 (DIN 931, DIN 933) </t>
  </si>
  <si>
    <t xml:space="preserve">Болт М16-6gх170.58.12Х18Н10Т ГОСТ 7798-70 (DIN 931, DIN 933) </t>
  </si>
  <si>
    <t xml:space="preserve">Болт М16-6gх180.58.12Х18Н10Т ГОСТ 7798-70 (DIN 931, DIN 933) </t>
  </si>
  <si>
    <t xml:space="preserve">Болт М16-6gх190.58.12Х18Н10Т ГОСТ 7798-70 (DIN 931, DIN 933) </t>
  </si>
  <si>
    <t xml:space="preserve">Болт М16-6gх200.58.12Х18Н10Т ГОСТ 7798-70 (DIN 931, DIN 933) </t>
  </si>
  <si>
    <t xml:space="preserve">Болт М18-6gх80.58.12Х18Н10Т ГОСТ 7798-70 (DIN 931, DIN 933) </t>
  </si>
  <si>
    <t xml:space="preserve">Болт М18-6gх90.58.12Х18Н10Т ГОСТ 7798-70 (DIN 931, DIN 933) </t>
  </si>
  <si>
    <t xml:space="preserve">Болт М18-6gх100.58.12Х18Н10Т ГОСТ 7798-70 (DIN 931, DIN 933) </t>
  </si>
  <si>
    <t xml:space="preserve">Болт М18-6gх110.58.12Х18Н10Т ГОСТ 7798-70 (DIN 931, DIN 933) </t>
  </si>
  <si>
    <t xml:space="preserve">Болт М18-6gх120.12Х18Н10Т ГОСТ 7798-70 (DIN 931, DIN 933) </t>
  </si>
  <si>
    <t xml:space="preserve">Болт М18-6gх130.12Х18Н10Т ГОСТ 7798-70 (DIN 931, DIN 933) </t>
  </si>
  <si>
    <t xml:space="preserve">Болт М18-6gх140.12Х18Н10Т ГОСТ 7798-70 (DIN 931, DIN 933) </t>
  </si>
  <si>
    <t xml:space="preserve">Болт М18-6gх150.12Х18Н10Т ГОСТ 7798-70 (DIN 931, DIN 933) </t>
  </si>
  <si>
    <t xml:space="preserve">Болт М20-6gх65.58.12Х18Н10Т ГОСТ 7798-70 (DIN 931, DIN 933) </t>
  </si>
  <si>
    <t xml:space="preserve">Болт М20-6gх70.58.12Х18Н10Т ГОСТ 7798-70 (DIN 931, DIN 933) </t>
  </si>
  <si>
    <t xml:space="preserve">Болт М20-6gх80.58.12Х18Н10Т ГОСТ 7798-70 (DIN 931, DIN 933) </t>
  </si>
  <si>
    <t xml:space="preserve">Болт М20-6gх90.58.12Х18Н10Т ГОСТ 7798-70 (DIN 931, DIN 933) </t>
  </si>
  <si>
    <t xml:space="preserve">Болт М20-6gх100.58.12Х18Н10Т ГОСТ 7798-70 (DIN 931, DIN 933) </t>
  </si>
  <si>
    <t xml:space="preserve">Болт М20-6gх110.58.12Х18Н10Т ГОСТ 7798-70 (DIN 931, DIN 933) </t>
  </si>
  <si>
    <t xml:space="preserve">Болт М20-6gх120.58.12Х18Н10Т ГОСТ 7798-70 (DIN 931, DIN 933) </t>
  </si>
  <si>
    <t xml:space="preserve">Болт М20-6gх130.58.12Х18Н10Т ГОСТ 7798-70 (DIN 931, DIN 933) </t>
  </si>
  <si>
    <t xml:space="preserve">Болт М20-6gх150.58.12Х18Н10Т ГОСТ 7798-70 (DIN 931, DIN 933) </t>
  </si>
  <si>
    <t xml:space="preserve">Болт М20-6gх160.58.12Х18Н10Т ГОСТ 7798-70 (DIN 931, DIN 933) </t>
  </si>
  <si>
    <t xml:space="preserve">Болт М20-6gх170.58.12Х18Н10Т ГОСТ 7798-70 (DIN 931, DIN 933) </t>
  </si>
  <si>
    <t xml:space="preserve">Болт М20-6gх180.58.12Х18Н10Т ГОСТ 7798-70 (DIN 931, DIN 933) </t>
  </si>
  <si>
    <t xml:space="preserve">Болт М20-6gх190.58.12Х18Н10Т ГОСТ 7798-70 (DIN 931, DIN 933) </t>
  </si>
  <si>
    <t xml:space="preserve">Болт М24-6gх100.58.12Х18Н10Т ГОСТ 7798-70 (DIN 931, DIN 933) </t>
  </si>
  <si>
    <t xml:space="preserve">Болт М24-6gх110.58.12Х18Н10Т ГОСТ 7798-70 (DIN 931, DIN 933) </t>
  </si>
  <si>
    <t xml:space="preserve">Болт М24-6gх120.58.12Х18Н10Т ГОСТ 7798-70 (DIN 931, DIN 933) </t>
  </si>
  <si>
    <t xml:space="preserve">Болт М24-6gх130.58.12Х18Н10Т ГОСТ 7798-70 (DIN 931, DIN 933) </t>
  </si>
  <si>
    <t xml:space="preserve">Болт М24-6gх140.58.12Х18Н10Т ГОСТ 7798-70 (DIN 931, DIN 933) </t>
  </si>
  <si>
    <t xml:space="preserve">Болт М27-6gх110.58.12Х18Н10Т ГОСТ 7798-70 (DIN 931, DIN 933) </t>
  </si>
  <si>
    <t xml:space="preserve">Болт М30-6gх150.58.12Х18Н10Т ГОСТ 7798-70 (DIN 931, DIN 933) </t>
  </si>
  <si>
    <t xml:space="preserve">Гайка М8-6Н.5.12Х18Н10Т ГОСТ 5915-70 (DIN 934) </t>
  </si>
  <si>
    <t xml:space="preserve">Гайка М14-6Н.5.12Х18Н10Т ГОСТ 5915-70 (DIN 934) </t>
  </si>
  <si>
    <t xml:space="preserve">Гайка М18-6Н.5.12Х18Н10Т ГОСТ 5915-70 (DIN 934) </t>
  </si>
  <si>
    <t xml:space="preserve">Гайка М27-6Н.5.12Х18Н10Т ГОСТ 5915-70 (DIN 934) </t>
  </si>
  <si>
    <t xml:space="preserve">Гайка М30-6Н.5.12Х18Н10Т ГОСТ 5915-70 (DIN 934) </t>
  </si>
  <si>
    <t xml:space="preserve">Гайка М36-6Н.5.12Х18Н10Т ГОСТ 5915-70 (DIN 934) </t>
  </si>
  <si>
    <t xml:space="preserve">Гайка М42-6Н.5.12Х18Н10Т ГОСТ 5915-70 (DIN 934) </t>
  </si>
  <si>
    <t xml:space="preserve">Шайба 2.М8.12Х18Н10Т ГОСТ 11371-78 (DIN125)  </t>
  </si>
  <si>
    <t xml:space="preserve">Шайба М8 12Х18Н10Т ГОСТ 6402-70 (DIN 127) </t>
  </si>
  <si>
    <t xml:space="preserve">Шайба 2.М10.12Х18Н10Т ГОСТ 11371-78 (DIN125) </t>
  </si>
  <si>
    <t xml:space="preserve">Шайба М10 12Х18Н10Т ГОСТ 6402-70 (DIN 127) </t>
  </si>
  <si>
    <t xml:space="preserve">Шайба 2.М14.12Х18Н10Т ГОСТ 11371-78 (DIN125) </t>
  </si>
  <si>
    <t xml:space="preserve">Шайба М14 12Х18Н10Т ГОСТ 6402-70 (DIN 127) </t>
  </si>
  <si>
    <t xml:space="preserve">Шайба 2.М18.12Х18Н10Т ГОСТ 11371-78 (DIN125) </t>
  </si>
  <si>
    <t xml:space="preserve">Шайба М18 12Х18Н10Т ГОСТ 6402-70 (DIN 127) </t>
  </si>
  <si>
    <t xml:space="preserve">Шайба 2.М24.12Х18Н10Т ГОСТ 11371-78 (DIN125) </t>
  </si>
  <si>
    <t xml:space="preserve">Шайба М24 12Х18Н10Т ГОСТ 6402-70 (DIN 127) </t>
  </si>
  <si>
    <t xml:space="preserve">Шайба 2.М27.12Х18Н10Т ГОСТ 11371-78 (DIN125) </t>
  </si>
  <si>
    <t xml:space="preserve">Шайба М27 12Х18Н10Т ГОСТ 6402-70 (DIN 127) </t>
  </si>
  <si>
    <t xml:space="preserve">Шайба 2.М30.12Х18Н10Т ГОСТ 11371-78 (DIN125) </t>
  </si>
  <si>
    <t xml:space="preserve">Шайба М30 12Х18Н10Т ГОСТ 6402-70 (DIN 127) </t>
  </si>
  <si>
    <t xml:space="preserve">Шайба 2.М36.12Х18Н10Т ГОСТ 11371-78 (DIN125) </t>
  </si>
  <si>
    <t xml:space="preserve">Шайба М36 12Х18Н10Т ГОСТ 6402-70 (DIN 127) </t>
  </si>
  <si>
    <t xml:space="preserve">Шайба 2.М42.12Х18Н10Т ГОСТ 11371-78 (DIN125) </t>
  </si>
  <si>
    <t xml:space="preserve">Шайба М42 12Х18Н10Т ГОСТ 6402-70 (DIN 127) </t>
  </si>
  <si>
    <t xml:space="preserve">Шпилька резьбовая М6х1000 12Х18Н10Т ГОСТ 22032-76 (DIN 938) </t>
  </si>
  <si>
    <t xml:space="preserve">Шпилька резьбовая М8х1000 12Х18Н10Т ГОСТ 22032-76 (DIN 938) </t>
  </si>
  <si>
    <t xml:space="preserve">Шпилька резьбовая М12х1000 12Х18Н10Т ГОСТ 22032-76 (DIN 938) </t>
  </si>
  <si>
    <t xml:space="preserve">Шпилька резьбовая М14х1000 12Х18Н10Т ГОСТ 22032-76 (DIN 938) </t>
  </si>
  <si>
    <t xml:space="preserve">Шпилька резьбовая М16х1000 12Х18Н10Т ГОСТ 22032-76 (DIN 938) </t>
  </si>
  <si>
    <t xml:space="preserve">Шпилька резьбовая М18х1000 12Х18Н10Т ГОСТ 22032-76 (DIN 938) </t>
  </si>
  <si>
    <t xml:space="preserve">Шпилька резьбовая М20х1000 12Х18Н10Т ГОСТ 22032-76 (DIN 938) </t>
  </si>
  <si>
    <t>Саморез кровельный оцинкованный 5,5х19</t>
  </si>
  <si>
    <t>Анкерный болт распорный 20х200</t>
  </si>
  <si>
    <t>Болты М20х90 ст20 ГОСТ 7798-70</t>
  </si>
  <si>
    <t>Болт М12-6gх50.58.Ст20 ГОСТ 7798-70</t>
  </si>
  <si>
    <t xml:space="preserve">Болт анкерный М8х25 ГОСТ24379.1-80 с гайкой М8 ГОСТ 5915-70 (Ц) </t>
  </si>
  <si>
    <t>Болт анкерный М8х40 ГОСТ24379.1-80 с гайкой М8 ГОСТ 5915-70 (Ц)</t>
  </si>
  <si>
    <t>Болт М48-6gх200.58.ст20 ГОСТ 7798-70 (DIN 931, DIN 933)</t>
  </si>
  <si>
    <t>Болт М30-6gх240.58.ст20 ГОСТ 7798-70 (DIN 931, DIN 933)</t>
  </si>
  <si>
    <t>Шайба 2.М48.ст20 ГОСТ 11371-78</t>
  </si>
  <si>
    <t>Шайба 2.М30.ст20 ГОСТ 11371-78</t>
  </si>
  <si>
    <t>Гайка М48-6Н.5.ст20 ГОСТ 5915-70 (DIN 934)</t>
  </si>
  <si>
    <t>Гайка М30-6Н.5.ст20 ГОСТ 5915-70 (DIN 934)</t>
  </si>
  <si>
    <t>Замок натяжной АРТ 8427 А2 75-90</t>
  </si>
  <si>
    <t>Люк смотровых колодцев, полимер-песок Ду700 Арт.15813303</t>
  </si>
  <si>
    <t>Зонт D110мм нерж. (AISI 321/0,5мм)</t>
  </si>
  <si>
    <t>Дымоход D110 мм. 0,5 м. (AISI 430/0,5 мм)</t>
  </si>
  <si>
    <t>Дымоход D110 мм. 1 м. (AISI 321/0,5 мм)</t>
  </si>
  <si>
    <t>Адаптер D110 мм. 0,5 м. (AISI 430/0,5 мм)</t>
  </si>
  <si>
    <t>Заглушка 100 нерж. 0,5мм с сеткой</t>
  </si>
  <si>
    <t>Хомут для трубы DN100 с приварным стержнем 12x55 мм AISI321</t>
  </si>
  <si>
    <t>Хомут обжимной D110 мм. 0,5 м. (AISI 321/0,5 мм)</t>
  </si>
  <si>
    <t>Хомут для трубы DN 200 с приварным стержнем 20x133 AISI304</t>
  </si>
  <si>
    <t>Хомут 107-112 мм с винтовым креплением 4",  с резиновым профилем</t>
  </si>
  <si>
    <t>ХОМУТ-СКОБА U-ОБРАЗНЫЙ 228 DN200 (8") 216-219.1 ММ M16 ЦИНК</t>
  </si>
  <si>
    <t>ХОМУТ-СКОБА U-ОБРАЗНЫЙ 332 DN300 (12") 318-323.9 ММ M16 ЦИНК</t>
  </si>
  <si>
    <t>Датчик магнитно-контактный ИО 102-26 исп.0</t>
  </si>
  <si>
    <t>Фонарь светодиодный 12 Вольт, IP65, с проводом ПВС 2х075</t>
  </si>
  <si>
    <t>Сорбент Мегасорб марка Ф полотно (25мм, рулон 1000х20000мм)</t>
  </si>
  <si>
    <t>Сорбент Активированный уголь марки АГ-3</t>
  </si>
  <si>
    <t>Сетчатые мешки для активированного угля по 20 кг</t>
  </si>
  <si>
    <t>Сетка нержавеющая 2,2х0,7 м2</t>
  </si>
  <si>
    <t>Коалесцентный модуль Авестпласт 1200/350/300 с рем комплектом</t>
  </si>
  <si>
    <t>Лестница приставная односекционная 12 ступеней 3,42 м (алюминиевая)</t>
  </si>
  <si>
    <t>Лестница приставная односекционная 11 ступеней 3,14 м (алюминиевая)</t>
  </si>
  <si>
    <t>Лестница приставная односекционная 10 ступеней 2,86 м (алюминиевая)</t>
  </si>
  <si>
    <t>Патрубок резьбовой М95х4-6ɡ из трубы 98х4-12Х18Н10Т ГОСТ 9940-81 длиной 65 мм</t>
  </si>
  <si>
    <t>Патрубок резьбовой М150х6-6ɡ из трубы 152х8-12Х18Н10Т ГОСТ 9940-81 длиной 130 мм</t>
  </si>
  <si>
    <t xml:space="preserve">Гермоввод 50/57 (комплектация 1) </t>
  </si>
  <si>
    <t>Гермоввод 110 (комплектация 1)</t>
  </si>
  <si>
    <t>цена по запросу</t>
  </si>
  <si>
    <t xml:space="preserve">    Шкафы управления ОМЕГА типа АШУ для дренажных и канализационных систем</t>
  </si>
  <si>
    <t>Маркировка</t>
  </si>
  <si>
    <t>Мощн, кВт</t>
  </si>
  <si>
    <t>Номинальный ток, А (одного насоса)</t>
  </si>
  <si>
    <t>Кол-во насосов</t>
  </si>
  <si>
    <t>Размер шкафа</t>
  </si>
  <si>
    <t>Н, мм</t>
  </si>
  <si>
    <t>L, мм</t>
  </si>
  <si>
    <t>B, мм</t>
  </si>
  <si>
    <t>АШУ40-001-54-11У</t>
  </si>
  <si>
    <t>0,63 - 1,0</t>
  </si>
  <si>
    <t>АШУ40-001-54К-22У</t>
  </si>
  <si>
    <t>АШУ40-001-54К-33У</t>
  </si>
  <si>
    <t>АШУ40-002-54-11У</t>
  </si>
  <si>
    <t>1,0 - 1,6</t>
  </si>
  <si>
    <t>АШУ40-002-54К-22У</t>
  </si>
  <si>
    <t>АШУ40-002-54К-33У</t>
  </si>
  <si>
    <t>АШУ40-003-54-11У</t>
  </si>
  <si>
    <t>1,6 - 2,5</t>
  </si>
  <si>
    <t>АШУ40-003-54К-22У</t>
  </si>
  <si>
    <t>АШУ40-003-54К-33У</t>
  </si>
  <si>
    <t>АШУ40-004-54-11У</t>
  </si>
  <si>
    <t>2,5 - 4,0</t>
  </si>
  <si>
    <t>АШУ40-004-54К-22У</t>
  </si>
  <si>
    <t>АШУ40-004-54К-33У</t>
  </si>
  <si>
    <t>АШУ40-006-54-11У</t>
  </si>
  <si>
    <t>4,0 - 6,3</t>
  </si>
  <si>
    <t>АШУ40-006-54К-22У</t>
  </si>
  <si>
    <t>АШУ40-006-54К-33У</t>
  </si>
  <si>
    <t>АШУ40-008-54-11У</t>
  </si>
  <si>
    <t>6,3 - 8,0</t>
  </si>
  <si>
    <t>АШУ40-008-54К-22У</t>
  </si>
  <si>
    <t>АШУ40-008-54К-33У</t>
  </si>
  <si>
    <t>АШУ40-010-54-11У</t>
  </si>
  <si>
    <t>8,0 - 10,0</t>
  </si>
  <si>
    <t>АШУ40-010-54К-22У</t>
  </si>
  <si>
    <t>АШУ40-010-54К-33У</t>
  </si>
  <si>
    <t>АШУ40-013-54-11У</t>
  </si>
  <si>
    <t>10,0 - 13,0</t>
  </si>
  <si>
    <t>АШУ40-013-54К-22У</t>
  </si>
  <si>
    <t>АШУ40-013-54К-33У</t>
  </si>
  <si>
    <t>АШУ40-016-54-11У</t>
  </si>
  <si>
    <t>13,0 - 16,0</t>
  </si>
  <si>
    <t>АШУ40-016-54К-22У</t>
  </si>
  <si>
    <t>АШУ40-016-54К-33У</t>
  </si>
  <si>
    <t>АШУ40-020-54-11У</t>
  </si>
  <si>
    <t>16 - 20</t>
  </si>
  <si>
    <t>АШУ40-020-54К-22У</t>
  </si>
  <si>
    <t>АШУ40-020-54К-33У</t>
  </si>
  <si>
    <t>АШУ40-025-54-11У</t>
  </si>
  <si>
    <t>20 - 25</t>
  </si>
  <si>
    <t>АШУ40-025-54К-22У</t>
  </si>
  <si>
    <t>АШУ40-025-54К-33У</t>
  </si>
  <si>
    <t>АШУ40-032-54-11У</t>
  </si>
  <si>
    <t>25 - 32</t>
  </si>
  <si>
    <t>АШУ40-032-54К-22У</t>
  </si>
  <si>
    <t>АШУ40-032-54К-33У</t>
  </si>
  <si>
    <t>АШУ40-040-54-11У</t>
  </si>
  <si>
    <t>32 - 40</t>
  </si>
  <si>
    <t>АШУ40-040-54К-22У</t>
  </si>
  <si>
    <t>АШУ40-040-54К-33У</t>
  </si>
  <si>
    <t>АШУ40-050-54-11У</t>
  </si>
  <si>
    <t>40 - 50</t>
  </si>
  <si>
    <t>АШУ40-050-54К-22У</t>
  </si>
  <si>
    <t>АШУ40-050-54К-33У</t>
  </si>
  <si>
    <t>АШУ40-063-54-11У</t>
  </si>
  <si>
    <t>50 - 63</t>
  </si>
  <si>
    <t>АШУ40-063-54К-22У</t>
  </si>
  <si>
    <t>АШУ40-063-54К-33У</t>
  </si>
  <si>
    <t>АШУ40-075-54-11У</t>
  </si>
  <si>
    <t>63 - 75</t>
  </si>
  <si>
    <t>АШУ40-075-54К-22У</t>
  </si>
  <si>
    <t>АШУ40-075-54К-33У</t>
  </si>
  <si>
    <t>АШУ40-100-54-11У</t>
  </si>
  <si>
    <t>75 - 100</t>
  </si>
  <si>
    <t>АШУ40-100-54К-22У</t>
  </si>
  <si>
    <t>АШУ40-100-54К-33У</t>
  </si>
  <si>
    <t>С Устройством плавного пуска на каждый насос</t>
  </si>
  <si>
    <t xml:space="preserve">Размер шкафа </t>
  </si>
  <si>
    <t>АШУ40-001-54П-11У</t>
  </si>
  <si>
    <t>АШУ40-001-54КП-22У</t>
  </si>
  <si>
    <t>АШУ40-001-54КП-33У</t>
  </si>
  <si>
    <t>АШУ40-002-54П-11У</t>
  </si>
  <si>
    <t>АШУ40-002-54КП-22У</t>
  </si>
  <si>
    <t>АШУ40-002-54КП-33У</t>
  </si>
  <si>
    <t>АШУ40-003-54П-11У</t>
  </si>
  <si>
    <t>АШУ40-003-54КП-22У</t>
  </si>
  <si>
    <t>АШУ40-003-54КП-33У</t>
  </si>
  <si>
    <t>АШУ40-004-54П-11У</t>
  </si>
  <si>
    <t>АШУ40-004-54КП-22У</t>
  </si>
  <si>
    <t>АШУ40-004-54КП-33У</t>
  </si>
  <si>
    <t>АШУ40-006-54П-11У</t>
  </si>
  <si>
    <t>АШУ40-006-54КП-22У</t>
  </si>
  <si>
    <t>АШУ40-006-54КП-33У</t>
  </si>
  <si>
    <t>АШУ40-008-54П-11У</t>
  </si>
  <si>
    <t>АШУ40-008-54КП-22У</t>
  </si>
  <si>
    <t>АШУ40-008-54КП-33У</t>
  </si>
  <si>
    <t>АШУ40-010-54П-11У</t>
  </si>
  <si>
    <t>АШУ40-010-54КП-22У</t>
  </si>
  <si>
    <t>АШУ40-010-54КП-33У</t>
  </si>
  <si>
    <t>АШУ40-013-54П-11У</t>
  </si>
  <si>
    <t>АШУ40-013-54КП-22У</t>
  </si>
  <si>
    <t>АШУ40-013-54КП-33У</t>
  </si>
  <si>
    <t>АШУ40-016-54П-11У</t>
  </si>
  <si>
    <t>АШУ40-016-54КП-22У</t>
  </si>
  <si>
    <t>АШУ40-016-54КП-33У</t>
  </si>
  <si>
    <t>АШУ40-020-54П-11У</t>
  </si>
  <si>
    <t>АШУ40-020-54КП-22У</t>
  </si>
  <si>
    <t>АШУ40-020-54КП-33У</t>
  </si>
  <si>
    <t>АШУ40-025-54П-11У</t>
  </si>
  <si>
    <t>АШУ40-025-54КП-22У</t>
  </si>
  <si>
    <t>АШУ40-025-54КП-33У</t>
  </si>
  <si>
    <t>АШУ40-030-54П-11У</t>
  </si>
  <si>
    <t>25 - 30</t>
  </si>
  <si>
    <t>АШУ40-030-54КП-22У</t>
  </si>
  <si>
    <t>АШУ40-030-54КП-33У</t>
  </si>
  <si>
    <t>АШУ40-037-54П-11У</t>
  </si>
  <si>
    <t>30 - 37</t>
  </si>
  <si>
    <t>АШУ40-037-54КП-22У</t>
  </si>
  <si>
    <t>АШУ40-037-54КП-33У</t>
  </si>
  <si>
    <t>АШУ40-045-54П-11У</t>
  </si>
  <si>
    <t>37 - 45</t>
  </si>
  <si>
    <t>АШУ40-045-54КП-22У</t>
  </si>
  <si>
    <t>АШУ40-045-54КП-33У</t>
  </si>
  <si>
    <t>АШУ40-060-54П-11У</t>
  </si>
  <si>
    <t>45 - 60</t>
  </si>
  <si>
    <t>АШУ40-060-54КП-22У</t>
  </si>
  <si>
    <t>АШУ40-060-54КП-33У</t>
  </si>
  <si>
    <t>АШУ40-072-54П-11У</t>
  </si>
  <si>
    <t>60 - 72</t>
  </si>
  <si>
    <t>АШУ40-072-54КП-22У</t>
  </si>
  <si>
    <t>АШУ40-072-54КП-33У</t>
  </si>
  <si>
    <t>АШУ40-085-54П-11У</t>
  </si>
  <si>
    <t>72 - 85</t>
  </si>
  <si>
    <t>АШУ40-085-54КП-22У</t>
  </si>
  <si>
    <t>АШУ40-085-54КП-33У</t>
  </si>
  <si>
    <t>Прямой пуск насосов, с силовым АВР по питанию</t>
  </si>
  <si>
    <t>АШУ40-001-54-11УБ</t>
  </si>
  <si>
    <t>АШУ40-001-54К-22УБ</t>
  </si>
  <si>
    <t>АШУ40-001-54К-33УБ</t>
  </si>
  <si>
    <t>АШУ40-002-54-11УБ</t>
  </si>
  <si>
    <t>АШУ40-002-54К-22УБ</t>
  </si>
  <si>
    <t>АШУ40-002-54К-33УБ</t>
  </si>
  <si>
    <t>АШУ40-003-54-11УБ</t>
  </si>
  <si>
    <t>АШУ40-003-54К-22УБ</t>
  </si>
  <si>
    <t>АШУ40-003-54К-33УБ</t>
  </si>
  <si>
    <t>АШУ40-004-54-11УБ</t>
  </si>
  <si>
    <t>АШУ40-004-54К-22УБ</t>
  </si>
  <si>
    <t>АШУ40-004-54К-33УБ</t>
  </si>
  <si>
    <t>АШУ40-006-54-11УБ</t>
  </si>
  <si>
    <t>АШУ40-006-54К-22УБ</t>
  </si>
  <si>
    <t>АШУ40-006-54К-33УБ</t>
  </si>
  <si>
    <t>АШУ40-008-54-11УБ</t>
  </si>
  <si>
    <t>АШУ40-008-54К-22УБ</t>
  </si>
  <si>
    <t>АШУ40-008-54К-33УБ</t>
  </si>
  <si>
    <t>АШУ40-010-54-11УБ</t>
  </si>
  <si>
    <t>АШУ40-010-54К-22УБ</t>
  </si>
  <si>
    <t>АШУ40-010-54К-33УБ</t>
  </si>
  <si>
    <t>АШУ40-013-54-11УБ</t>
  </si>
  <si>
    <t>АШУ40-013-54К-22УБ</t>
  </si>
  <si>
    <t>АШУ40-013-54К-33УБ</t>
  </si>
  <si>
    <t>АШУ40-016-54-11УБ</t>
  </si>
  <si>
    <t>АШУ40-016-54К-22УБ</t>
  </si>
  <si>
    <t>АШУ40-016-54К-33УБ</t>
  </si>
  <si>
    <t>АШУ40-020-54-11УБ</t>
  </si>
  <si>
    <t>АШУ40-020-54К-22УБ</t>
  </si>
  <si>
    <t>АШУ40-020-54К-33УБ</t>
  </si>
  <si>
    <t>АШУ40-025-54-11УБ</t>
  </si>
  <si>
    <t>АШУ40-025-54К-22УБ</t>
  </si>
  <si>
    <t>АШУ40-025-54К-33УБ</t>
  </si>
  <si>
    <t>АШУ40-032-54-11УБ</t>
  </si>
  <si>
    <t>АШУ40-032-54К-22УБ</t>
  </si>
  <si>
    <t>АШУ40-032-54К-33УБ</t>
  </si>
  <si>
    <t>АШУ40-040-54-11УБ</t>
  </si>
  <si>
    <t>АШУ40-040-54К-22УБ</t>
  </si>
  <si>
    <t>АШУ40-040-54К-33УБ</t>
  </si>
  <si>
    <t>АШУ40-050-54-11УБ</t>
  </si>
  <si>
    <t>АШУ40-050-54К-22УБ</t>
  </si>
  <si>
    <t>АШУ40-050-54К-33УБ</t>
  </si>
  <si>
    <t>АШУ40-063-54-11УБ</t>
  </si>
  <si>
    <t>АШУ40-063-54К-22УБ</t>
  </si>
  <si>
    <t>АШУ40-063-54К-33УБ</t>
  </si>
  <si>
    <t>АШУ40-075-54-11УБ</t>
  </si>
  <si>
    <t>АШУ40-075-54К-22УБ</t>
  </si>
  <si>
    <t>АШУ40-075-54К-33УБ</t>
  </si>
  <si>
    <t>АШУ40-100-54-11УБ</t>
  </si>
  <si>
    <t>АШУ40-100-54К-22УБ</t>
  </si>
  <si>
    <t>АШУ40-100-54К-33УБ</t>
  </si>
  <si>
    <t>С Устройством плавного пуска на каждый насос, с силовым АВР по питанию</t>
  </si>
  <si>
    <t>АШУ40-001-54П-11УБ</t>
  </si>
  <si>
    <t>АШУ40-001-54КП-22УБ</t>
  </si>
  <si>
    <t>АШУ40-001-54КП-33УБ</t>
  </si>
  <si>
    <t>АШУ40-002-54П-11УБ</t>
  </si>
  <si>
    <t>АШУ40-002-54КП-22УБ</t>
  </si>
  <si>
    <t>АШУ40-002-54КП-33УБ</t>
  </si>
  <si>
    <t>АШУ40-003-54П-11УБ</t>
  </si>
  <si>
    <t>АШУ40-003-54КП-22УБ</t>
  </si>
  <si>
    <t>АШУ40-003-54КП-33УБ</t>
  </si>
  <si>
    <t>АШУ40-004-54П-11УБ</t>
  </si>
  <si>
    <t>АШУ40-004-54КП-22УБ</t>
  </si>
  <si>
    <t>АШУ40-004-54КП-33УБ</t>
  </si>
  <si>
    <t>АШУ40-006-54П-11УБ</t>
  </si>
  <si>
    <t>АШУ40-006-54КП-22УБ</t>
  </si>
  <si>
    <t>АШУ40-006-54КП-33УБ</t>
  </si>
  <si>
    <t>АШУ40-008-54П-11УБ</t>
  </si>
  <si>
    <t>АШУ40-008-54КП-22УБ</t>
  </si>
  <si>
    <t>АШУ40-008-54КП-33УБ</t>
  </si>
  <si>
    <t>АШУ40-010-54П-11УБ</t>
  </si>
  <si>
    <t>АШУ40-010-54КП-22УБ</t>
  </si>
  <si>
    <t>АШУ40-010-54КП-33УБ</t>
  </si>
  <si>
    <t>АШУ40-013-54П-11УБ</t>
  </si>
  <si>
    <t>АШУ40-013-54КП-22УБ</t>
  </si>
  <si>
    <t>АШУ40-013-54КП-33УБ</t>
  </si>
  <si>
    <t>АШУ40-016-54П-11УБ</t>
  </si>
  <si>
    <t>АШУ40-016-54КП-22УБ</t>
  </si>
  <si>
    <t>АШУ40-016-54КП-33УБ</t>
  </si>
  <si>
    <t>АШУ40-020-54П-11УБ</t>
  </si>
  <si>
    <t>АШУ40-020-54КП-22УБ</t>
  </si>
  <si>
    <t>АШУ40-020-54КП-33УБ</t>
  </si>
  <si>
    <t>АШУ40-025-54П-11УБ</t>
  </si>
  <si>
    <t>АШУ40-025-54КП-22УБ</t>
  </si>
  <si>
    <t>АШУ40-025-54КП-33УБ</t>
  </si>
  <si>
    <t>АШУ40-032-54П-11УБ</t>
  </si>
  <si>
    <t>АШУ40-032-54КП-22УБ</t>
  </si>
  <si>
    <t>АШУ40-032-54КП-33УБ</t>
  </si>
  <si>
    <t>АШУ40-040-54П-11УБ</t>
  </si>
  <si>
    <t>АШУ40-040-54КП-22УБ</t>
  </si>
  <si>
    <t>АШУ40-040-54КП-33УБ</t>
  </si>
  <si>
    <t>АШУ40-050-54П-11УБ</t>
  </si>
  <si>
    <t>АШУ40-050-54КП-22УБ</t>
  </si>
  <si>
    <t>АШУ40-050-54КП-33УБ</t>
  </si>
  <si>
    <t>АШУ40-063-54П-11УБ</t>
  </si>
  <si>
    <t>АШУ40-063-54КП-22УБ</t>
  </si>
  <si>
    <t>АШУ40-063-54КП-33УБ</t>
  </si>
  <si>
    <t>АШУ40-075-54П-11УБ</t>
  </si>
  <si>
    <t>АШУ40-075-54КП-22УБ</t>
  </si>
  <si>
    <t>АШУ40-075-54КП-33УБ</t>
  </si>
  <si>
    <t>АШУ40-100-54П-11УБ</t>
  </si>
  <si>
    <t>АШУ40-100-54КП-22УБ</t>
  </si>
  <si>
    <t>АШУ40-100-54КП-33УБ</t>
  </si>
  <si>
    <t xml:space="preserve">Цепь короткозвенная сварная 8 мм DIN 766 А2/А4 </t>
  </si>
  <si>
    <t xml:space="preserve">Втулка под фланец ПЭ 100+ SDR17 Ø90×5,4 PN10 </t>
  </si>
  <si>
    <t xml:space="preserve">Переход ПЭ 100+ SDR17 DN110/DN90 </t>
  </si>
  <si>
    <t>8 шт</t>
  </si>
  <si>
    <t>Отвод 90-33.7х2.3-12Х18Н10Т ГОСТ 17375-2001</t>
  </si>
  <si>
    <t>По ТЗ</t>
  </si>
  <si>
    <t>Труба 42х3,0 ГОСТ 9941-81 ст 12Х18Н10Т (AISI 321)  (бесшовная холоднодеформированная) ГОСТ 9941-81</t>
  </si>
  <si>
    <t>Труба 34х3,5 ГОСТ 9941-81 ст 12Х18Н10Т (AISI 321)  (бесшовная холоднодеформированная) ГОСТ 9941-81</t>
  </si>
  <si>
    <t>Патрубок резьбовой 3 дюйма из трубы 89х3-12Х18Н10Т ГОСТ 9940-81 длиной 70 мм</t>
  </si>
  <si>
    <t>Защитный слой ламинации 5 мм на теплоизоляцию</t>
  </si>
  <si>
    <t>Труба 60х4,0мм 12Х18Н10Т (AISI 304) ГОСТ 9941-81</t>
  </si>
  <si>
    <t>Отвод 90-60.3х2.9-12Х18Н10Т ГОСТ 17375-2001</t>
  </si>
  <si>
    <t>Тройник 60.3х2.9-12х18н10т ГОСТ 17376-2001 сварной</t>
  </si>
  <si>
    <t>Труба 30х2мм 12Х18Н10Т (AISI 304) ГОСТ 9941-81</t>
  </si>
  <si>
    <t>Отвод 90-32х2-12Х18Н10Т ГОСТ 17375-2001</t>
  </si>
  <si>
    <t>Кран 3-х ходовой м/м, М20х1,5 (G1/2")</t>
  </si>
  <si>
    <t>Кран шаровый КШ.Ц.М.015.040.02</t>
  </si>
  <si>
    <t>Сгон 15-12Х18Н10Т ГОСТ 8969-75</t>
  </si>
  <si>
    <t>Усиление перегородки</t>
  </si>
  <si>
    <t xml:space="preserve">Люк чугунный ОУЭ-600 ТМ (Д400) </t>
  </si>
  <si>
    <t>Обратный клапан D110 мм. (AISI 321/0,5 мм)</t>
  </si>
  <si>
    <t xml:space="preserve">Переход ПЭ 100+ SDR17 DN110/DN75 </t>
  </si>
  <si>
    <t>Сварка 1 стыка деталей из ПЭ 100 DN75  в сторонней организации</t>
  </si>
  <si>
    <t>Производственные</t>
  </si>
  <si>
    <t>Фланцевый патрубок</t>
  </si>
  <si>
    <t>Ручная формовка стеклокомпозитного фланца</t>
  </si>
  <si>
    <r>
      <rPr>
        <b/>
        <sz val="11"/>
        <color theme="1"/>
        <rFont val="Calibri"/>
        <family val="2"/>
        <charset val="204"/>
        <scheme val="minor"/>
      </rPr>
      <t>ОБЩЕСТВО С ОГРАНИЧЕННОЙ ОТВЕТСТВЕННОСТЬЮ</t>
    </r>
    <r>
      <rPr>
        <sz val="11"/>
        <color theme="1"/>
        <rFont val="Calibri"/>
        <family val="2"/>
        <charset val="204"/>
        <scheme val="minor"/>
      </rPr>
      <t xml:space="preserve">
</t>
    </r>
    <r>
      <rPr>
        <b/>
        <sz val="16"/>
        <color rgb="FF005D50"/>
        <rFont val="Calibri"/>
        <family val="2"/>
        <charset val="204"/>
        <scheme val="minor"/>
      </rPr>
      <t>«НОВЫЕ ТРУБНЫЕ ТЕХНОЛОГИИ»</t>
    </r>
    <r>
      <rPr>
        <sz val="11"/>
        <color theme="1"/>
        <rFont val="Calibri"/>
        <family val="2"/>
        <charset val="204"/>
        <scheme val="minor"/>
      </rPr>
      <t xml:space="preserve">
</t>
    </r>
    <r>
      <rPr>
        <sz val="8"/>
        <color theme="1"/>
        <rFont val="Calibri"/>
        <family val="2"/>
        <charset val="204"/>
        <scheme val="minor"/>
      </rPr>
      <t>141320, Московская область, г.о. Сергиево-Посадский, д. Коврово, д. 50, помещ. 2  E-mail: info@ntt.su, тел/факс: +7(499) 949-14-04</t>
    </r>
  </si>
  <si>
    <t>м3/ч</t>
  </si>
  <si>
    <r>
      <t xml:space="preserve">В графах ЕИ и Валюта выбрать из выпадающего списка необходимую ЕИ и валюту. Или вставить скопированную как описано в п.1. </t>
    </r>
    <r>
      <rPr>
        <sz val="10"/>
        <color rgb="FFFF0000"/>
        <rFont val="Arial"/>
        <family val="2"/>
        <charset val="204"/>
      </rPr>
      <t xml:space="preserve">ВНИМАНИЕ! </t>
    </r>
    <r>
      <rPr>
        <sz val="10"/>
        <rFont val="Arial"/>
        <family val="2"/>
        <charset val="204"/>
      </rPr>
      <t>ВСЕ ЕИ и валюта должны быть точно такие же как в выпадающем списке!</t>
    </r>
  </si>
  <si>
    <t>ОЛ/</t>
  </si>
  <si>
    <t>Канализационная</t>
  </si>
  <si>
    <t>*Глубина корпуса L (подземная часть) , мм</t>
  </si>
  <si>
    <t>возвышение люков</t>
  </si>
  <si>
    <t>По ТТ МВК (Да/Нет):</t>
  </si>
  <si>
    <t>дно фальшпола+второе дно - новая конструкция</t>
  </si>
  <si>
    <t>Металлический</t>
  </si>
  <si>
    <t>Откидывающиеся люки</t>
  </si>
  <si>
    <t>устанавливается над кнс (на поверхности земли)</t>
  </si>
  <si>
    <t>Раскрой листов настила для площадки обслуживания</t>
  </si>
  <si>
    <t>Монтаж анкерных болтов к плите перекрытия</t>
  </si>
  <si>
    <t>0,5 чел.ч за 1 болт</t>
  </si>
  <si>
    <t>LMK 858 / Погружной датчик уровня (гидростатического давления) с керамическим сенсором в корпусе из пластика PVC (поливинилхлорида) стандартного диаметра (45 мм - 10м Под МВК)</t>
  </si>
  <si>
    <t>по ТТ МВК</t>
  </si>
  <si>
    <t>Полный габарит корп., Н мм</t>
  </si>
  <si>
    <t>Подзем. Часть L, м</t>
  </si>
  <si>
    <t>Монтаж замка натяжного, петли и концевого выключателя, складных ручек</t>
  </si>
  <si>
    <r>
      <t>Автоматическая трубная муфта</t>
    </r>
    <r>
      <rPr>
        <b/>
        <sz val="9"/>
        <rFont val="Arial"/>
        <family val="2"/>
        <charset val="204"/>
      </rPr>
      <t xml:space="preserve"> </t>
    </r>
  </si>
  <si>
    <t>обращать внимание на расход воздуха</t>
  </si>
  <si>
    <t>заполнить стоимость трубы, если формованный патрубок</t>
  </si>
  <si>
    <t>Фланцевый патрубок для задвижки на подводящем патрубке</t>
  </si>
  <si>
    <t>Ручная формовка фланца для задвижки на подводящем трубопроводе</t>
  </si>
  <si>
    <t>Мф фланца, кг</t>
  </si>
  <si>
    <t>Высота рамы насосов</t>
  </si>
  <si>
    <t>Приложение 1</t>
  </si>
  <si>
    <t>Гидравлический расчет (работа на 1 нитку)</t>
  </si>
  <si>
    <t>Q</t>
  </si>
  <si>
    <t>м3/сут</t>
  </si>
  <si>
    <t>производительность КНС</t>
  </si>
  <si>
    <t>м3/с</t>
  </si>
  <si>
    <t>Нпл.земл</t>
  </si>
  <si>
    <t>отметка планировки земли в месте установки</t>
  </si>
  <si>
    <t>Hввод</t>
  </si>
  <si>
    <t xml:space="preserve">отметка подводящего трубопровода на вводе в КНС </t>
  </si>
  <si>
    <t>Нвывод</t>
  </si>
  <si>
    <t xml:space="preserve">отметка напорного трубопровода на выводе из КНС </t>
  </si>
  <si>
    <t xml:space="preserve">отметка минимального уровня воды в КНС </t>
  </si>
  <si>
    <t>d</t>
  </si>
  <si>
    <t>l</t>
  </si>
  <si>
    <t>длина напорного трубопровода в КНС</t>
  </si>
  <si>
    <t>D</t>
  </si>
  <si>
    <t>L</t>
  </si>
  <si>
    <t>длина напорного трубопровода вне КНС</t>
  </si>
  <si>
    <t>Скорости потоков в трубопроводах</t>
  </si>
  <si>
    <t>Vкнс</t>
  </si>
  <si>
    <t>м/с</t>
  </si>
  <si>
    <t>скорость течения жидкости в напорном трубопроводе КНС</t>
  </si>
  <si>
    <t>V</t>
  </si>
  <si>
    <t>скорость течения жидкости в напорном трубопроводе вне КНС</t>
  </si>
  <si>
    <t>Потери на трение в напорном трубопроводе при скорости &gt; 1,2 м/с</t>
  </si>
  <si>
    <t>Требуемый напор</t>
  </si>
  <si>
    <t>Hтр</t>
  </si>
  <si>
    <t>Сопротивление системы</t>
  </si>
  <si>
    <t>S</t>
  </si>
  <si>
    <t>с2*м/л2</t>
  </si>
  <si>
    <t>График системы</t>
  </si>
  <si>
    <t>Q, л/с</t>
  </si>
  <si>
    <t>H,м</t>
  </si>
  <si>
    <t>Hполн, м</t>
  </si>
  <si>
    <t>Qв1, л/с</t>
  </si>
  <si>
    <t>Qв2, л/с</t>
  </si>
  <si>
    <t>Нг</t>
  </si>
  <si>
    <t xml:space="preserve">График насоса </t>
  </si>
  <si>
    <t>Qн1,л/с</t>
  </si>
  <si>
    <t>Qн2,л/с</t>
  </si>
  <si>
    <t>внутренний диаметр напорного трубопровода в КНС</t>
  </si>
  <si>
    <t>внутренний диаметр напорного трубопровода вне КНС</t>
  </si>
  <si>
    <t>Hрасч = Hгеод + ∑ Hпот + Hизл</t>
  </si>
  <si>
    <t>Нмин. ур.воды</t>
  </si>
  <si>
    <t>Hдикт. точка</t>
  </si>
  <si>
    <t xml:space="preserve">диктующая точка точка </t>
  </si>
  <si>
    <t>Hгеом</t>
  </si>
  <si>
    <t xml:space="preserve">Геометрический напор </t>
  </si>
  <si>
    <t>Свободный напор на излив</t>
  </si>
  <si>
    <t>Hизл</t>
  </si>
  <si>
    <t xml:space="preserve">∑ Hпот = ∆h + hпот + hнс </t>
  </si>
  <si>
    <t>∆h= 1000i*к*L</t>
  </si>
  <si>
    <t xml:space="preserve">hнс </t>
  </si>
  <si>
    <t>hпот</t>
  </si>
  <si>
    <t>∆h – потери по длине</t>
  </si>
  <si>
    <t>∑ Hпот</t>
  </si>
  <si>
    <t>Глубина корпуса, м</t>
  </si>
  <si>
    <t>Дн, м</t>
  </si>
  <si>
    <r>
      <t xml:space="preserve">*На 1 башмак - 1 распорный анкер-болт класса 5.8 с резьбой М16 (рубашка </t>
    </r>
    <r>
      <rPr>
        <sz val="11"/>
        <color theme="1"/>
        <rFont val="Calibri"/>
        <family val="2"/>
        <charset val="204"/>
      </rPr>
      <t xml:space="preserve">Ø20 мм) </t>
    </r>
    <r>
      <rPr>
        <sz val="11"/>
        <color theme="1"/>
        <rFont val="Calibri"/>
        <family val="2"/>
        <charset val="204"/>
        <scheme val="minor"/>
      </rPr>
      <t>на расчётное усилие 27500 Н. Количество анкеров рассчитано на пустой корпус практически без запаса прочности. Запас прочности обеспечивается за счёт нагружения корпуса оборудованием и бетонным пригрузом под фальшполом, а в процессе эксплуатации, дополнительно - рабочим объёмом жидкости.</t>
    </r>
  </si>
  <si>
    <t>Количество башмаков/анкеров</t>
  </si>
  <si>
    <t>ручной ввод</t>
  </si>
  <si>
    <t>Поиск крепления</t>
  </si>
  <si>
    <t>Поиск глубины:</t>
  </si>
  <si>
    <t>Диапозон давления</t>
  </si>
  <si>
    <t>0...0,1</t>
  </si>
  <si>
    <t>0...0,16</t>
  </si>
  <si>
    <t>0...0,25</t>
  </si>
  <si>
    <t>0...0,4</t>
  </si>
  <si>
    <t>0...0,6</t>
  </si>
  <si>
    <t>0…1</t>
  </si>
  <si>
    <t>0…1,6</t>
  </si>
  <si>
    <t>0…2,5</t>
  </si>
  <si>
    <t>0…4</t>
  </si>
  <si>
    <t>0…6</t>
  </si>
  <si>
    <t>0…10</t>
  </si>
  <si>
    <t>Диапозон давления (в барах) зависит от расчетного напора (в метрах) насосного оборудования</t>
  </si>
  <si>
    <t>Болтовое соединение для фланца</t>
  </si>
  <si>
    <t>Количество отверстий</t>
  </si>
  <si>
    <t>М16х80</t>
  </si>
  <si>
    <t>М20х90</t>
  </si>
  <si>
    <t>М24х100</t>
  </si>
  <si>
    <t>М27х110</t>
  </si>
  <si>
    <t>1 раб. 1 резерв. = 4 поплавка, 2 раб, 1 резер. = 5 поплавков</t>
  </si>
  <si>
    <t>Монтаж расходомера</t>
  </si>
  <si>
    <t>Аварийный трубопровод</t>
  </si>
  <si>
    <t>РОТ-ГАЙКА ГМ150</t>
  </si>
  <si>
    <t>Гермоввод для труб 50/57 (комплектация 2-1)</t>
  </si>
  <si>
    <t>заполнить стоимость трубы,</t>
  </si>
  <si>
    <t>Как пользоваться Опросным Листом для КНС?</t>
  </si>
  <si>
    <t>Заполните ячейки с общей информацией по задача/объекту</t>
  </si>
  <si>
    <t xml:space="preserve"> </t>
  </si>
  <si>
    <r>
      <t xml:space="preserve">Например: уровень </t>
    </r>
    <r>
      <rPr>
        <b/>
        <sz val="10"/>
        <color theme="1"/>
        <rFont val="Arial"/>
        <family val="2"/>
        <charset val="204"/>
      </rPr>
      <t>C.W.L.</t>
    </r>
  </si>
  <si>
    <r>
      <t xml:space="preserve">Основные параметры КНС: </t>
    </r>
    <r>
      <rPr>
        <b/>
        <sz val="10"/>
        <color theme="1"/>
        <rFont val="Arial"/>
        <family val="2"/>
        <charset val="204"/>
      </rPr>
      <t xml:space="preserve">расход и расчетный напор </t>
    </r>
    <r>
      <rPr>
        <sz val="10"/>
        <color theme="1"/>
        <rFont val="Arial"/>
        <family val="2"/>
        <charset val="204"/>
      </rPr>
      <t>для подбора насосного оборудования и габаритов корпуса</t>
    </r>
  </si>
  <si>
    <t>Высота подъема на выходе из КНС (геометр. Подъем)</t>
  </si>
  <si>
    <t>Подбор корпуса происходит рядом с основным листом КНС. Подбор корпуса зависит от высоты полезного объема, мин. уровня жидкости в КНС. В этой таблице вручную заполняется только уровень из тех. паспорта насоса, высота рамы насосов, остальные параметра - расчетные</t>
  </si>
  <si>
    <t>Согласно ТЗ (или поставленной задаче) выбирается количество пусков насосов в час: 5,10,20 пусков в час, 5-10-20 минутная работа насосов)</t>
  </si>
  <si>
    <t>Согласно поставленной задаче выбирается диаметр корпуса и жесткость. Диаметр должен быть согласован с менеджерами (труба со склада или из конкретного выпуска)</t>
  </si>
  <si>
    <t>Обязательно для заполнения вкладка по ТТ МВК Да/Нет, т.к. много блоков учтены именно для МВК</t>
  </si>
  <si>
    <t>Номер ОЛ вводится вручную</t>
  </si>
  <si>
    <t>Тип станции можно выбрать из списка</t>
  </si>
  <si>
    <r>
      <t xml:space="preserve">Производительность КНС лучше всегда указывать в </t>
    </r>
    <r>
      <rPr>
        <b/>
        <sz val="10"/>
        <color theme="1"/>
        <rFont val="Arial"/>
        <family val="2"/>
        <charset val="204"/>
      </rPr>
      <t>м3/ч</t>
    </r>
    <r>
      <rPr>
        <sz val="10"/>
        <color theme="1"/>
        <rFont val="Arial"/>
        <family val="2"/>
        <charset val="204"/>
      </rPr>
      <t>, т.к. подбор габаритов корпуса рассчитывается в м3/ч. Производительность вводится вручную</t>
    </r>
  </si>
  <si>
    <t>Мин.уровень жидкости для работы насоса указан в тех.паспорте подобранного насоса</t>
  </si>
  <si>
    <t>Глубина корпуса (подземная часть) расчитывается отдельно рядом с основным полем ОЛ. Если подобранная глубина корпуса не соответствует исходным данным, можно поставить длину вручную</t>
  </si>
  <si>
    <t>Заполняются исходные данные (если таковые имеются): диаметры входных и выходных патрубков, их глубины, количество, материал</t>
  </si>
  <si>
    <t xml:space="preserve">Все ячейки из данного блока обязательны к заполнению для разработки мат. расчета. </t>
  </si>
  <si>
    <t xml:space="preserve">2.4. </t>
  </si>
  <si>
    <t>После предварительного подбора корпуса заполняются данные о шкафах управления (если таковые имеются), наличии датчиков, доп. Оборудования и теплоизоляции</t>
  </si>
  <si>
    <t>2.5.</t>
  </si>
  <si>
    <t xml:space="preserve">Если нужно посчитать не по формуле, а поставить конкретное число, то для этого по всему калькулятору есть столбец Н. То есть в любой строчке расчета можно поставить значение вручную, </t>
  </si>
  <si>
    <t xml:space="preserve">Прежде чем выбрать номенклатуру (из выпадающего списка или, если не нашли подходящую, вписать вручную), необходимо выбрать из выпадающего списка категорию номенклатуры. То есть в каждой категории своя номенклатура. </t>
  </si>
  <si>
    <t>Вручную можно заполнить наименование оборудования, труб, металлопрокатов, если необходимой позиции нет в выпадающем списке</t>
  </si>
  <si>
    <t>Согласно выбранной категории подтягивается перечень позиций, и нужная выбирается. Если нужно ввести вручную всегда значения ставятся в столбец Н, если не нужно, все подтягивается автоматически</t>
  </si>
  <si>
    <t>Если позиция была введена вручную (не из списка номенклатуры), то и стоимость этой позиции нужно будет ввести вручную (это будет столбец L)</t>
  </si>
  <si>
    <t xml:space="preserve">Важный момент - шапки заголовков и наименования самих вкладок менять НЕЛЬЗЯ. </t>
  </si>
  <si>
    <t>(для МВК)</t>
  </si>
  <si>
    <t>для МВК</t>
  </si>
  <si>
    <t>Изготовление откидывающихся люков</t>
  </si>
  <si>
    <t>Монтаж откидывающихся люков</t>
  </si>
  <si>
    <t>Изготовление перехватывающего устройства</t>
  </si>
  <si>
    <t>Монтаж перехватывающего устройства</t>
  </si>
  <si>
    <t xml:space="preserve">Защитный футляр c перфорацией для гидростатического датчика уровня выведен до отметки 0.000 </t>
  </si>
  <si>
    <t>32х3</t>
  </si>
  <si>
    <t>Дождевые</t>
  </si>
  <si>
    <t>срок поставки 2 недели</t>
  </si>
  <si>
    <t>Трубопровод взмучивания</t>
  </si>
  <si>
    <t xml:space="preserve">Наличие трубопровода взмучивания </t>
  </si>
  <si>
    <t>меняется количество</t>
  </si>
  <si>
    <t>Напорный трубопровод DN150 1+1</t>
  </si>
  <si>
    <t>Для датчика давления</t>
  </si>
  <si>
    <t>Автоматическая трубная муфта (из тех. паспорта насосов)</t>
  </si>
  <si>
    <t>Распределительный</t>
  </si>
  <si>
    <t>DMP 331 110-1600-1-3-400-500-3-00R</t>
  </si>
  <si>
    <t xml:space="preserve">Переносной газоанализатор (CH4, H2S, CO, O2) </t>
  </si>
  <si>
    <t>Клевер-М</t>
  </si>
  <si>
    <t>Вентилятор осевой канальный  производительностью до 250 м³/ч</t>
  </si>
  <si>
    <t>Era Typhoon 100 2SP</t>
  </si>
  <si>
    <t>Угольный фильтр производительностью до 160 м³/ч с патрубком DN100</t>
  </si>
  <si>
    <t>Угольный фильтр производительностью до 250 м³/ч с патрубком DN100</t>
  </si>
  <si>
    <t>Угольный фильтр производительностью до 350 м³/ч с патрубком DN125</t>
  </si>
  <si>
    <t>Угольный фильтр производительностью до 500 м³/ч с патрубком DN160</t>
  </si>
  <si>
    <t xml:space="preserve">Вентилятор осевой канальный  производительностью до 160 м³/ч </t>
  </si>
  <si>
    <t>Вентилятор осевой канальный производительностью до 500 м³/ч</t>
  </si>
  <si>
    <t>Вентилятор осевой канальный производительностью до 350 м³/ч</t>
  </si>
  <si>
    <t>Измельчитель ПОТОК П-200 - 80 м³/ч без барабана и без рамы с ШУ с кабелем 10м</t>
  </si>
  <si>
    <t>Измельчитель ПОТОК П-300 - 120 м³/ч без барабана и без рамы с ШУ с кабелем 10 м</t>
  </si>
  <si>
    <t>Измельчитель ПОТОК П-400 - 160 м³/ч без барабана и без рамы с ШУ кабелем 10 м</t>
  </si>
  <si>
    <t>Измельчитель ПОТОК П-500 - 210 м³/ч без барабана и без рамы  с ШУ кабелем 10 м</t>
  </si>
  <si>
    <t xml:space="preserve">Измельчитель ПОТОК П-600 - 260 м³/ч без барабана и без рамы с ШУ кабелем 10 м </t>
  </si>
  <si>
    <t xml:space="preserve">Измельчитель ПОТОК П-800 - 370 м³/ч без барабана и без рамы с  ШУ кабелем 10 м </t>
  </si>
  <si>
    <t>SMARTFLOW 26.51.52.001</t>
  </si>
  <si>
    <t xml:space="preserve">Расходомер электромагнитный DN50 с фланцевым типом присоединения, с раздельным конструкционным исполнением, со степенью защиты IP68 </t>
  </si>
  <si>
    <t xml:space="preserve">Расходомер электромагнитный DN65 с фланцевым типом присоединения, с раздельным конструкционным исполнением, со степенью защиты IP68 </t>
  </si>
  <si>
    <t xml:space="preserve">Расходомер электромагнитный DN80 с фланцевым типом присоединения, с раздельным конструкционным исполнением, со степенью защиты IP68 </t>
  </si>
  <si>
    <t xml:space="preserve">Расходомер электромагнитный DN100 с фланцевым типом присоединения, с раздельным конструкционным исполнением, со степенью защиты IP68 </t>
  </si>
  <si>
    <t xml:space="preserve">Расходомер электромагнитный DN150 с фланцевым типом присоединения, с раздельным конструкционным исполнением, со степенью защиты IP68 </t>
  </si>
  <si>
    <t xml:space="preserve">Расходомер электромагнитный DN200 с фланцевым типом присоединения, с раздельным конструкционным исполнением, со степенью защиты IP68 </t>
  </si>
  <si>
    <t xml:space="preserve">Расходомер электромагнитный DN250 с фланцевым типом присоединения, с раздельным конструкционным исполнением, со степенью защиты IP68 </t>
  </si>
  <si>
    <t xml:space="preserve">Расходомер электромагнитный DN300 с фланцевым типом присоединения, с раздельным конструкционным исполнением, со степенью защиты IP68 </t>
  </si>
  <si>
    <t xml:space="preserve">Расходомер электромагнитный DN400 с фланцевым типом присоединения, с раздельным конструкционным исполнением, со степенью защиты IP68 </t>
  </si>
  <si>
    <t>ШУ</t>
  </si>
  <si>
    <t>Датчик давления общепромышленного применения (диапазон измерения 0..10 бар, выходной сигнал 4..20 мA / 2-х пров. / 12..36 В, присоединение М20х1.5 DIN 3852, уплотнение EPDM, стандартное исполнение) с кабелем 10 м</t>
  </si>
  <si>
    <t xml:space="preserve">Датчик давления общепромышленного применения (диапазон измерения 0..10 бар, выходной сигнал 4..20 мA / 2-х пров. / 12..36 В, присоединение М20х1.5 DIN 3852, уплотнение EPDM, стандартное исполнение) с кабелем 20 м    </t>
  </si>
  <si>
    <t>Погружной датчик уровня (гидростатического давления) (диапазон измерения 0..10 бар), с керамическим сенсором в корпусе из пластика PVC (поливинилхлорида), уплотнение EPDM) в защитном кожухе с кабелем 10 м</t>
  </si>
  <si>
    <t>Погружной датчик уровня (гидростатического давления) (диапазон измерения 0..10 бар), с керамическим сенсором в корпусе из пластика PVC (поливинилхлорида), уплотнение EPDM) в защитном кожухе с кабелем 20 м</t>
  </si>
  <si>
    <t>Мин. уровень жидкости в КНС (уровень 1 поплавка от дна КНС)</t>
  </si>
  <si>
    <t>схема обвязки напорного трубопровода</t>
  </si>
  <si>
    <t>1+1</t>
  </si>
  <si>
    <t>2+1</t>
  </si>
  <si>
    <t xml:space="preserve">нестандартное </t>
  </si>
  <si>
    <t>Новый способ</t>
  </si>
  <si>
    <r>
      <t>Минимальный уровень жидкости для работы насоса (</t>
    </r>
    <r>
      <rPr>
        <b/>
        <sz val="11"/>
        <color theme="1"/>
        <rFont val="Calibri"/>
        <family val="2"/>
        <charset val="204"/>
        <scheme val="minor"/>
      </rPr>
      <t>из тех. паспорта подобранного насоса вводится вручную</t>
    </r>
    <r>
      <rPr>
        <sz val="11"/>
        <color theme="1"/>
        <rFont val="Calibri"/>
        <family val="2"/>
        <charset val="204"/>
        <scheme val="minor"/>
      </rPr>
      <t>)</t>
    </r>
  </si>
  <si>
    <t>Перегородка</t>
  </si>
  <si>
    <r>
      <t xml:space="preserve">При перекачке стоков по полиэтиленовым трубам </t>
    </r>
    <r>
      <rPr>
        <sz val="11"/>
        <color rgb="FFFF0000"/>
        <rFont val="Calibri"/>
        <family val="2"/>
        <charset val="204"/>
        <scheme val="minor"/>
      </rPr>
      <t xml:space="preserve">ПЭ100+ SDR17 Ø160х9,5 мм </t>
    </r>
    <r>
      <rPr>
        <sz val="11"/>
        <color theme="1"/>
        <rFont val="Calibri"/>
        <family val="2"/>
        <charset val="204"/>
        <scheme val="minor"/>
      </rPr>
      <t>потери напора на 1 м длины - 1000i= 14,309 (https://vik.by/instruments/shevelev-online)</t>
    </r>
  </si>
  <si>
    <t>Цепь длиннозвенная DIN 763 6мм сталь А2 6х25</t>
  </si>
  <si>
    <t>Ремень стяжной с натяжным устройством и крюками на концах (Прочность на разрыв 18тонн, Длина ремня 10 метров, Ширина 100мм)</t>
  </si>
  <si>
    <t>Кольцо сварное полированное АРТ 8229 А4 5Х30</t>
  </si>
  <si>
    <t>Скоба такелажная прямая М4</t>
  </si>
  <si>
    <t>Скоба такелажная прямая М8</t>
  </si>
  <si>
    <t xml:space="preserve">Таль ручная цепная ТРШС 0,5т Н=9м </t>
  </si>
  <si>
    <t xml:space="preserve">Таль ручная цепная ТРШС 0,5т Н=12м </t>
  </si>
  <si>
    <t xml:space="preserve">Таль ручная цепная ТРШС 0,5т Н=18м </t>
  </si>
  <si>
    <t>Тренога перегрузочная ТП-500 г/п 500 кг (без тали)</t>
  </si>
  <si>
    <t>Вантуз воздушный фланцевый (воздухоотводчик), PN10/16 DN80  корпус чугун</t>
  </si>
  <si>
    <t xml:space="preserve">Задвижка чугунная клиновая металл/металл DN50 PN10/16 клин бронза </t>
  </si>
  <si>
    <t xml:space="preserve">Задвижка чугунная клиновая металл/металл DN65 PN10/16 клин бронза </t>
  </si>
  <si>
    <t xml:space="preserve">Задвижка чугунная клиновая металл/металл DN80 PN10/16 клин бронза </t>
  </si>
  <si>
    <t xml:space="preserve">Задвижка чугунная клиновая металл/металл DN100 PN10/16 клин бронза </t>
  </si>
  <si>
    <t xml:space="preserve">Задвижка чугунная клиновая металл/металл DN150 PN10/16 клин бронза </t>
  </si>
  <si>
    <t xml:space="preserve">Задвижка чугунная клиновая металл/металл DN200 PN10/16 клин бронза </t>
  </si>
  <si>
    <t xml:space="preserve">Задвижка чугунная клиновая металл/металл DN250 PN10/16 клин бронза </t>
  </si>
  <si>
    <t xml:space="preserve">Задвижка чугунная клиновая металл/металл DN300 PN10/16 клин бронза </t>
  </si>
  <si>
    <t xml:space="preserve">Клапан обратный фланцевый с мягким уплотнением и наклонным седлом DN50 PN10/16 </t>
  </si>
  <si>
    <t xml:space="preserve">Клапан обратный фланцевый с мягким уплотнением и наклонным седлом DN65 PN10/16 </t>
  </si>
  <si>
    <t xml:space="preserve">Клапан обратный фланцевый с мягким уплотнением и наклонным седлом DN80 PN10/16 </t>
  </si>
  <si>
    <t xml:space="preserve">Клапан обратный фланцевый с мягким уплотнением и наклонным седлом DN100 PN10/16 </t>
  </si>
  <si>
    <t xml:space="preserve">Клапан обратный фланцевый с мягким уплотнением и наклонным седлом DN150 PN10/16 </t>
  </si>
  <si>
    <t xml:space="preserve">Клапан обратный фланцевый с мягким уплотнением и наклонным седлом DN200 PN10/16 </t>
  </si>
  <si>
    <t xml:space="preserve">Клапан обратный фланцевый с мягким уплотнением и наклонным седлом DN250 PN10/16 </t>
  </si>
  <si>
    <t xml:space="preserve">Клапан обратный фланцевый с мягким уплотнением и наклонным седлом DN300 PN10/16 </t>
  </si>
  <si>
    <t>Шиберная задвижка DN50 PN10/16 штурвал, невыдвижной шток, нож AISI304, седловое уплотнение NBR</t>
  </si>
  <si>
    <t>Шиберная задвижка DN65 PN10/16 штурвал, невыдвижной шток, нож AISI304, седловое уплотнение NBR</t>
  </si>
  <si>
    <t>Шиберная задвижка DN80 PN10/16 штурвал, невыдвижной шток, нож AISI304, седловое уплотнение NBR</t>
  </si>
  <si>
    <t>Шиберная задвижка DN100 PN10/16 штурвал, невыдвижной шток, нож AISI304, седловое уплотнение NBR</t>
  </si>
  <si>
    <t>Шиберная задвижка DN150 PN10/16 штурвал, невыдвижной шток, нож AISI304, седловое уплотнение NBR</t>
  </si>
  <si>
    <t>Шиберная задвижка DN200 PN10/16 штурвал, невыдвижной шток, нож AISI304, седловое уплотнение NBR</t>
  </si>
  <si>
    <t>Шиберная задвижка DN250 PN10/16 штурвал, невыдвижной шток, нож AISI304, седловое уплотнение NBR</t>
  </si>
  <si>
    <t>Шиберная задвижка DN400 PN10/16 штурвал, невыдвижной шток, нож AISI304, седловое уплотнение NBR</t>
  </si>
  <si>
    <t>Шиберная задвижка DN300 PN10/16 штурвал, невыдвижной шток, нож AISI304, седловое уплотнение NBR</t>
  </si>
  <si>
    <t xml:space="preserve">Болт М18-6gх160.12Х18Н10Т ГОСТ 7798-70 (DIN 931, DIN 933) </t>
  </si>
  <si>
    <t xml:space="preserve">Болт М18-6gх170.12Х18Н10Т ГОСТ 7798-70 (DIN 931, DIN 933) </t>
  </si>
  <si>
    <t xml:space="preserve">Болт М18-6gх180.12Х18Н10Т ГОСТ 7798-70 (DIN 931, DIN 933) </t>
  </si>
  <si>
    <t xml:space="preserve">Болт М18-6gх190.12Х18Н10Т ГОСТ 7798-70 (DIN 931, DIN 933) </t>
  </si>
  <si>
    <t xml:space="preserve">Болт М18-6gх200.12Х18Н10Т ГОСТ 7798-70 (DIN 931, DIN 933) </t>
  </si>
  <si>
    <t xml:space="preserve">Болт М20-6gх210.58.12Х18Н10Т ГОСТ 7798-70 (DIN 931, DIN 933) </t>
  </si>
  <si>
    <t xml:space="preserve">Болт М20-6gх220.58.12Х18Н10Т ГОСТ 7798-70 (DIN 931, DIN 933) </t>
  </si>
  <si>
    <t xml:space="preserve">Болт М27-6gх210.58.12Х18Н10Т ГОСТ 7798-70 (DIN 931, DIN 933) </t>
  </si>
  <si>
    <t xml:space="preserve">Болт М30-6gх250.58.12Х18Н10Т ГОСТ 7798-70 (DIN 931, DIN 933) </t>
  </si>
  <si>
    <t xml:space="preserve">Болт М36-6gх300.58.12Х18Н10Т ГОСТ 7798-70 (DIN 931, DIN 933) </t>
  </si>
  <si>
    <t>Гайка пожарная ГМ100</t>
  </si>
  <si>
    <t>Гайка пожарная ГМ50</t>
  </si>
  <si>
    <t>Гайка пожарная ГМ80</t>
  </si>
  <si>
    <t>Гайка пожарная ГМ125</t>
  </si>
  <si>
    <t>Гайка пожарная ГМ150</t>
  </si>
  <si>
    <t xml:space="preserve">Щебень 5-20 мм </t>
  </si>
  <si>
    <t>Гермоввод для труб 89/110 (комплектация 1)</t>
  </si>
  <si>
    <r>
      <t>Насос погружной</t>
    </r>
    <r>
      <rPr>
        <b/>
        <sz val="9"/>
        <rFont val="Arial"/>
        <family val="2"/>
        <charset val="204"/>
      </rPr>
      <t xml:space="preserve"> VSL.100.30.2.5.0D </t>
    </r>
    <r>
      <rPr>
        <sz val="9"/>
        <rFont val="Arial"/>
        <family val="2"/>
        <charset val="204"/>
      </rPr>
      <t xml:space="preserve">канализационный производительностью </t>
    </r>
    <r>
      <rPr>
        <b/>
        <sz val="9"/>
        <rFont val="Arial"/>
        <family val="2"/>
        <charset val="204"/>
      </rPr>
      <t>11,2 л/ с</t>
    </r>
    <r>
      <rPr>
        <sz val="9"/>
        <rFont val="Arial"/>
        <family val="2"/>
        <charset val="204"/>
      </rPr>
      <t xml:space="preserve">, с напором </t>
    </r>
    <r>
      <rPr>
        <b/>
        <sz val="9"/>
        <rFont val="Arial"/>
        <family val="2"/>
        <charset val="204"/>
      </rPr>
      <t>12,8 м</t>
    </r>
    <r>
      <rPr>
        <sz val="9"/>
        <rFont val="Arial"/>
        <family val="2"/>
        <charset val="204"/>
      </rPr>
      <t xml:space="preserve"> (2 рабочих, 1 резервный, 1 на склад), мощностью 3,9 кВт</t>
    </r>
  </si>
  <si>
    <t>Хомут обжимной D160 мм. 0,5 м. (AISI 430/0,5 мм)</t>
  </si>
  <si>
    <t>Зонт D160 мм нерж. (AISI 430/0,5мм)</t>
  </si>
  <si>
    <t>Дымоход D160 мм. 1 м. (AISI 430/0,5 мм)</t>
  </si>
  <si>
    <t>Хомут для трубы DN160 с приварным стержнем 12x55 мм AISI321</t>
  </si>
  <si>
    <r>
      <t xml:space="preserve">Лестница </t>
    </r>
    <r>
      <rPr>
        <b/>
        <i/>
        <u/>
        <sz val="9"/>
        <color theme="1"/>
        <rFont val="Arial"/>
        <family val="2"/>
        <charset val="204"/>
      </rPr>
      <t xml:space="preserve">Работа </t>
    </r>
    <r>
      <rPr>
        <b/>
        <i/>
        <sz val="9"/>
        <color theme="1"/>
        <rFont val="Arial"/>
        <family val="2"/>
        <charset val="204"/>
      </rPr>
      <t>(ФОТ)</t>
    </r>
  </si>
  <si>
    <t>Алюминиевая</t>
  </si>
  <si>
    <t>Приточно-вытяжная с мех. побуждением</t>
  </si>
  <si>
    <t>Приточная</t>
  </si>
  <si>
    <r>
      <rPr>
        <b/>
        <i/>
        <sz val="8"/>
        <rFont val="Arial"/>
        <family val="2"/>
        <charset val="204"/>
      </rPr>
      <t>ВАЖНО</t>
    </r>
    <r>
      <rPr>
        <i/>
        <sz val="8"/>
        <rFont val="Arial"/>
        <family val="2"/>
        <charset val="204"/>
      </rPr>
      <t xml:space="preserve"> от выбранного давления  зависит масса формованных слоев на стыке (кг) </t>
    </r>
  </si>
  <si>
    <t>фальшпол может быть предусмотрен, только если есть насосное оборудование</t>
  </si>
  <si>
    <t>Количество шахт, шт.</t>
  </si>
  <si>
    <t>Ламинирование стыков частей трубы</t>
  </si>
  <si>
    <t>шт.</t>
  </si>
  <si>
    <t>Крепление емкости/оборудования</t>
  </si>
  <si>
    <t xml:space="preserve">Размер стульчиков </t>
  </si>
  <si>
    <t>Монтаж емкости к бетонному основанию ремнями стяжными</t>
  </si>
  <si>
    <t>8.1</t>
  </si>
  <si>
    <t>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</si>
</sst>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7" formatCode="#,##0.00\ &quot;₽&quot;;\-#,##0.00\ &quot;₽&quot;"/>
    <numFmt numFmtId="44" formatCode="_-* #,##0.00\ &quot;₽&quot;_-;\-* #,##0.00\ &quot;₽&quot;_-;_-* &quot;-&quot;??\ &quot;₽&quot;_-;_-@_-"/>
    <numFmt numFmtId="43" formatCode="_-* #,##0.00_-;\-* #,##0.00_-;_-* &quot;-&quot;??_-;_-@_-"/>
    <numFmt numFmtId="164" formatCode="_-* #,##0.00_р_._-;\-* #,##0.00_р_._-;_-* &quot;-&quot;??_р_._-;_-@_-"/>
    <numFmt numFmtId="165" formatCode="_-* #,##0.00\ _₽_-;\-* #,##0.00\ _₽_-;_-* &quot;-&quot;??\ _₽_-;_-@_-"/>
    <numFmt numFmtId="166" formatCode="0.0"/>
    <numFmt numFmtId="167" formatCode="#,##0.0"/>
    <numFmt numFmtId="168" formatCode="#,##0;\-#,##0;&quot;-&quot;"/>
    <numFmt numFmtId="169" formatCode="#,##0.00\ _₽"/>
    <numFmt numFmtId="170" formatCode="_-* #,##0_-;\-* #,##0_-;_-* &quot;-&quot;??_-;_-@_-"/>
    <numFmt numFmtId="171" formatCode="0.00&quot; кг&quot;"/>
    <numFmt numFmtId="172" formatCode="0.000"/>
    <numFmt numFmtId="173" formatCode="&quot;DN&quot;0"/>
    <numFmt numFmtId="174" formatCode="&quot;DN &quot;0"/>
    <numFmt numFmtId="175" formatCode="0&quot; шт.&quot;"/>
    <numFmt numFmtId="176" formatCode="0.00&quot; чел. ч&quot;"/>
    <numFmt numFmtId="177" formatCode="#,##0.00;\-#,##0.00;&quot;-&quot;"/>
    <numFmt numFmtId="178" formatCode="#,##0.00&quot; кг&quot;"/>
    <numFmt numFmtId="179" formatCode="0.0&quot; чел. ч&quot;"/>
    <numFmt numFmtId="180" formatCode="&quot;Гильза Ø&quot;0"/>
    <numFmt numFmtId="181" formatCode="_-[$$-409]* #,##0.00_ ;_-[$$-409]* \-#,##0.00\ ;_-[$$-409]* &quot;-&quot;??_ ;_-@_ "/>
    <numFmt numFmtId="182" formatCode="0.00000"/>
    <numFmt numFmtId="183" formatCode="0.000000"/>
    <numFmt numFmtId="184" formatCode="#,##0.000"/>
  </numFmts>
  <fonts count="186">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indexed="64"/>
      <name val="Calibri"/>
      <family val="2"/>
      <charset val="204"/>
    </font>
    <font>
      <sz val="11"/>
      <color indexed="65"/>
      <name val="Calibri"/>
      <family val="2"/>
      <charset val="204"/>
    </font>
    <font>
      <sz val="11"/>
      <color indexed="20"/>
      <name val="Calibri"/>
      <family val="2"/>
      <charset val="204"/>
    </font>
    <font>
      <b/>
      <sz val="11"/>
      <color indexed="52"/>
      <name val="Calibri"/>
      <family val="2"/>
      <charset val="204"/>
    </font>
    <font>
      <b/>
      <sz val="11"/>
      <color indexed="65"/>
      <name val="Calibri"/>
      <family val="2"/>
      <charset val="204"/>
    </font>
    <font>
      <i/>
      <sz val="11"/>
      <color indexed="23"/>
      <name val="Calibri"/>
      <family val="2"/>
      <charset val="204"/>
    </font>
    <font>
      <sz val="11"/>
      <color indexed="17"/>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1"/>
      <color indexed="60"/>
      <name val="Calibri"/>
      <family val="2"/>
      <charset val="204"/>
    </font>
    <font>
      <b/>
      <sz val="11"/>
      <color indexed="63"/>
      <name val="Calibri"/>
      <family val="2"/>
      <charset val="204"/>
    </font>
    <font>
      <b/>
      <sz val="18"/>
      <color indexed="56"/>
      <name val="Cambria"/>
      <family val="1"/>
      <charset val="204"/>
    </font>
    <font>
      <b/>
      <sz val="11"/>
      <color indexed="64"/>
      <name val="Calibri"/>
      <family val="2"/>
      <charset val="204"/>
    </font>
    <font>
      <sz val="11"/>
      <color indexed="2"/>
      <name val="Calibri"/>
      <family val="2"/>
      <charset val="204"/>
    </font>
    <font>
      <u/>
      <sz val="11"/>
      <color theme="10"/>
      <name val="Calibri"/>
      <family val="2"/>
      <charset val="204"/>
      <scheme val="minor"/>
    </font>
    <font>
      <u/>
      <sz val="10"/>
      <color theme="10"/>
      <name val="Arial"/>
      <family val="2"/>
      <charset val="204"/>
    </font>
    <font>
      <u/>
      <sz val="10"/>
      <color indexed="4"/>
      <name val="Arial Cyr"/>
    </font>
    <font>
      <u/>
      <sz val="8"/>
      <color theme="10"/>
      <name val="Arial"/>
      <family val="2"/>
      <charset val="204"/>
    </font>
    <font>
      <sz val="10"/>
      <color theme="1"/>
      <name val="Arial"/>
      <family val="2"/>
      <charset val="204"/>
    </font>
    <font>
      <sz val="10"/>
      <name val="Arial Cyr"/>
    </font>
    <font>
      <sz val="10"/>
      <name val="Arial"/>
      <family val="2"/>
      <charset val="204"/>
    </font>
    <font>
      <sz val="8"/>
      <name val="Arial"/>
      <family val="2"/>
      <charset val="204"/>
    </font>
    <font>
      <sz val="9"/>
      <name val="宋体"/>
    </font>
    <font>
      <sz val="9"/>
      <color rgb="FF005D50"/>
      <name val="Arial"/>
      <family val="2"/>
      <charset val="204"/>
    </font>
    <font>
      <sz val="11"/>
      <color rgb="FF005D50"/>
      <name val="Arial"/>
      <family val="2"/>
      <charset val="204"/>
    </font>
    <font>
      <sz val="16"/>
      <color theme="0"/>
      <name val="Arial"/>
      <family val="2"/>
      <charset val="204"/>
    </font>
    <font>
      <sz val="10"/>
      <color theme="0"/>
      <name val="Arial"/>
      <family val="2"/>
      <charset val="204"/>
    </font>
    <font>
      <u/>
      <sz val="11"/>
      <color theme="2"/>
      <name val="Calibri"/>
      <family val="2"/>
      <charset val="204"/>
      <scheme val="minor"/>
    </font>
    <font>
      <sz val="11"/>
      <color theme="0"/>
      <name val="Calibri"/>
      <family val="2"/>
      <charset val="204"/>
      <scheme val="minor"/>
    </font>
    <font>
      <u/>
      <sz val="11"/>
      <color theme="10"/>
      <name val="Calibri"/>
      <family val="2"/>
      <charset val="204"/>
    </font>
    <font>
      <b/>
      <sz val="11"/>
      <color theme="0"/>
      <name val="Calibri"/>
      <family val="2"/>
      <charset val="204"/>
      <scheme val="minor"/>
    </font>
    <font>
      <sz val="12"/>
      <color theme="1"/>
      <name val="Calibri"/>
      <family val="2"/>
      <charset val="204"/>
      <scheme val="minor"/>
    </font>
    <font>
      <sz val="12"/>
      <color theme="1"/>
      <name val="Arial"/>
      <family val="2"/>
      <charset val="204"/>
    </font>
    <font>
      <b/>
      <sz val="12"/>
      <color rgb="FF00000A"/>
      <name val="Arial"/>
      <family val="2"/>
      <charset val="204"/>
    </font>
    <font>
      <sz val="12"/>
      <color rgb="FF00000A"/>
      <name val="Arial"/>
      <family val="2"/>
      <charset val="204"/>
    </font>
    <font>
      <b/>
      <sz val="12"/>
      <color theme="1"/>
      <name val="Arial"/>
      <family val="2"/>
      <charset val="204"/>
    </font>
    <font>
      <sz val="8"/>
      <color indexed="2"/>
      <name val="Arial"/>
      <family val="2"/>
      <charset val="204"/>
    </font>
    <font>
      <sz val="8"/>
      <color theme="0" tint="-0.34998626667073579"/>
      <name val="Arial"/>
      <family val="2"/>
      <charset val="204"/>
    </font>
    <font>
      <sz val="8"/>
      <color rgb="FF00000A"/>
      <name val="Arial"/>
      <family val="2"/>
      <charset val="204"/>
    </font>
    <font>
      <b/>
      <i/>
      <u/>
      <sz val="12"/>
      <color rgb="FF00000A"/>
      <name val="Arial"/>
      <family val="2"/>
      <charset val="204"/>
    </font>
    <font>
      <b/>
      <sz val="12"/>
      <color indexed="2"/>
      <name val="Arial"/>
      <family val="2"/>
      <charset val="204"/>
    </font>
    <font>
      <sz val="12"/>
      <name val="Arial"/>
      <family val="2"/>
      <charset val="204"/>
    </font>
    <font>
      <b/>
      <i/>
      <sz val="12"/>
      <color rgb="FF00000A"/>
      <name val="Arial"/>
      <family val="2"/>
      <charset val="204"/>
    </font>
    <font>
      <sz val="10"/>
      <color rgb="FF0D776E"/>
      <name val="Arial"/>
      <family val="2"/>
      <charset val="204"/>
    </font>
    <font>
      <sz val="10"/>
      <color rgb="FF005D50"/>
      <name val="Arial"/>
      <family val="2"/>
      <charset val="204"/>
    </font>
    <font>
      <sz val="9"/>
      <color indexed="2"/>
      <name val="Arial"/>
      <family val="2"/>
      <charset val="204"/>
    </font>
    <font>
      <sz val="8"/>
      <color theme="1"/>
      <name val="Arial"/>
      <family val="2"/>
      <charset val="204"/>
    </font>
    <font>
      <sz val="7"/>
      <color theme="0"/>
      <name val="Arial"/>
      <family val="2"/>
      <charset val="204"/>
    </font>
    <font>
      <sz val="11"/>
      <color rgb="FF005D50"/>
      <name val="Calibri"/>
      <family val="2"/>
      <charset val="204"/>
      <scheme val="minor"/>
    </font>
    <font>
      <b/>
      <sz val="8"/>
      <color theme="0"/>
      <name val="Arial"/>
      <family val="2"/>
      <charset val="204"/>
    </font>
    <font>
      <b/>
      <sz val="10"/>
      <name val="Arial"/>
      <family val="2"/>
      <charset val="204"/>
    </font>
    <font>
      <sz val="11"/>
      <name val="Arial"/>
      <family val="2"/>
      <charset val="204"/>
    </font>
    <font>
      <sz val="9"/>
      <color theme="1"/>
      <name val="Arial"/>
      <family val="2"/>
      <charset val="204"/>
    </font>
    <font>
      <sz val="9"/>
      <name val="Arial"/>
      <family val="2"/>
      <charset val="204"/>
    </font>
    <font>
      <sz val="11"/>
      <color indexed="2"/>
      <name val="Calibri"/>
      <family val="2"/>
      <charset val="204"/>
      <scheme val="minor"/>
    </font>
    <font>
      <b/>
      <sz val="10"/>
      <color theme="0"/>
      <name val="Arial"/>
      <family val="2"/>
      <charset val="204"/>
    </font>
    <font>
      <sz val="8"/>
      <color theme="0"/>
      <name val="Arial"/>
      <family val="2"/>
      <charset val="204"/>
    </font>
    <font>
      <sz val="9"/>
      <color rgb="FF005D50"/>
      <name val="Times New Roman"/>
      <family val="1"/>
      <charset val="204"/>
    </font>
    <font>
      <b/>
      <sz val="9"/>
      <color theme="0"/>
      <name val="Arial"/>
      <family val="2"/>
      <charset val="204"/>
    </font>
    <font>
      <b/>
      <sz val="9"/>
      <color rgb="FF005D50"/>
      <name val="Times New Roman"/>
      <family val="1"/>
      <charset val="204"/>
    </font>
    <font>
      <b/>
      <sz val="8"/>
      <color theme="1"/>
      <name val="Arial"/>
      <family val="2"/>
      <charset val="204"/>
    </font>
    <font>
      <b/>
      <sz val="9"/>
      <color theme="1"/>
      <name val="Arial"/>
      <family val="2"/>
      <charset val="204"/>
    </font>
    <font>
      <b/>
      <sz val="10"/>
      <color theme="1"/>
      <name val="Arial"/>
      <family val="2"/>
      <charset val="204"/>
    </font>
    <font>
      <b/>
      <sz val="9"/>
      <color rgb="FF005D50"/>
      <name val="Arial"/>
      <family val="2"/>
      <charset val="204"/>
    </font>
    <font>
      <b/>
      <i/>
      <u/>
      <sz val="9"/>
      <color theme="1"/>
      <name val="Arial"/>
      <family val="2"/>
      <charset val="204"/>
    </font>
    <font>
      <b/>
      <i/>
      <sz val="9"/>
      <color theme="1"/>
      <name val="Arial"/>
      <family val="2"/>
      <charset val="204"/>
    </font>
    <font>
      <i/>
      <sz val="9"/>
      <color theme="1"/>
      <name val="Arial"/>
      <family val="2"/>
      <charset val="204"/>
    </font>
    <font>
      <i/>
      <sz val="7"/>
      <color theme="1"/>
      <name val="Arial"/>
      <family val="2"/>
      <charset val="204"/>
    </font>
    <font>
      <b/>
      <sz val="9"/>
      <name val="Arial"/>
      <family val="2"/>
      <charset val="204"/>
    </font>
    <font>
      <b/>
      <i/>
      <sz val="9"/>
      <name val="Arial"/>
      <family val="2"/>
      <charset val="204"/>
    </font>
    <font>
      <i/>
      <sz val="9"/>
      <name val="Arial"/>
      <family val="2"/>
      <charset val="204"/>
    </font>
    <font>
      <sz val="8"/>
      <color rgb="FF005D50"/>
      <name val="Arial"/>
      <family val="2"/>
      <charset val="204"/>
    </font>
    <font>
      <sz val="9"/>
      <color rgb="FF0C776E"/>
      <name val="Arial"/>
      <family val="2"/>
      <charset val="204"/>
    </font>
    <font>
      <sz val="9"/>
      <color theme="2" tint="-9.9978637043366805E-2"/>
      <name val="Arial"/>
      <family val="2"/>
      <charset val="204"/>
    </font>
    <font>
      <b/>
      <sz val="12"/>
      <name val="Arial"/>
      <family val="2"/>
      <charset val="204"/>
    </font>
    <font>
      <b/>
      <sz val="14"/>
      <name val="Arial"/>
      <family val="2"/>
      <charset val="204"/>
    </font>
    <font>
      <b/>
      <sz val="11"/>
      <color theme="1"/>
      <name val="Arial"/>
      <family val="2"/>
      <charset val="204"/>
    </font>
    <font>
      <sz val="12"/>
      <color rgb="FF005D50"/>
      <name val="Arial"/>
      <family val="2"/>
      <charset val="204"/>
    </font>
    <font>
      <b/>
      <sz val="12"/>
      <color rgb="FF005D50"/>
      <name val="Arial"/>
      <family val="2"/>
      <charset val="204"/>
    </font>
    <font>
      <i/>
      <u/>
      <sz val="9"/>
      <color rgb="FF0C776E"/>
      <name val="Arial"/>
      <family val="2"/>
      <charset val="204"/>
    </font>
    <font>
      <sz val="11"/>
      <color theme="1"/>
      <name val="Arial"/>
      <family val="2"/>
      <charset val="204"/>
    </font>
    <font>
      <sz val="9"/>
      <color indexed="2"/>
      <name val="Calibri"/>
      <family val="2"/>
      <charset val="204"/>
      <scheme val="minor"/>
    </font>
    <font>
      <b/>
      <sz val="9"/>
      <color indexed="2"/>
      <name val="Arial"/>
      <family val="2"/>
      <charset val="204"/>
    </font>
    <font>
      <sz val="9"/>
      <color rgb="FF10A092"/>
      <name val="Arial"/>
      <family val="2"/>
      <charset val="204"/>
    </font>
    <font>
      <sz val="11"/>
      <color indexed="2"/>
      <name val="Arial"/>
      <family val="2"/>
      <charset val="204"/>
    </font>
    <font>
      <i/>
      <sz val="10"/>
      <name val="Arial"/>
      <family val="2"/>
      <charset val="204"/>
    </font>
    <font>
      <b/>
      <sz val="11"/>
      <name val="Arial"/>
      <family val="2"/>
      <charset val="204"/>
    </font>
    <font>
      <i/>
      <sz val="11"/>
      <name val="Arial"/>
      <family val="2"/>
      <charset val="204"/>
    </font>
    <font>
      <b/>
      <i/>
      <sz val="10"/>
      <color rgb="FF005D50"/>
      <name val="Arial"/>
      <family val="2"/>
      <charset val="204"/>
    </font>
    <font>
      <i/>
      <u/>
      <sz val="10"/>
      <name val="Arial"/>
      <family val="2"/>
      <charset val="204"/>
    </font>
    <font>
      <i/>
      <sz val="12"/>
      <name val="Arial"/>
      <family val="2"/>
      <charset val="204"/>
    </font>
    <font>
      <b/>
      <i/>
      <sz val="11"/>
      <name val="Arial"/>
      <family val="2"/>
      <charset val="204"/>
    </font>
    <font>
      <b/>
      <i/>
      <sz val="10"/>
      <name val="Arial"/>
      <family val="2"/>
      <charset val="204"/>
    </font>
    <font>
      <sz val="12"/>
      <color theme="0" tint="-0.34998626667073579"/>
      <name val="Arial"/>
      <family val="2"/>
      <charset val="204"/>
    </font>
    <font>
      <sz val="12"/>
      <color indexed="2"/>
      <name val="Arial"/>
      <family val="2"/>
      <charset val="204"/>
    </font>
    <font>
      <sz val="12"/>
      <color theme="0"/>
      <name val="Arial"/>
      <family val="2"/>
      <charset val="204"/>
    </font>
    <font>
      <sz val="11"/>
      <color rgb="FF00000A"/>
      <name val="Arial"/>
      <family val="2"/>
      <charset val="204"/>
    </font>
    <font>
      <b/>
      <u/>
      <sz val="12"/>
      <color rgb="FF00000A"/>
      <name val="Arial"/>
      <family val="2"/>
      <charset val="204"/>
    </font>
    <font>
      <b/>
      <i/>
      <sz val="12"/>
      <color theme="1"/>
      <name val="Arial"/>
      <family val="2"/>
      <charset val="204"/>
    </font>
    <font>
      <sz val="10"/>
      <color rgb="FF00000A"/>
      <name val="Arial"/>
      <family val="2"/>
      <charset val="204"/>
    </font>
    <font>
      <sz val="10"/>
      <color indexed="2"/>
      <name val="Arial"/>
      <family val="2"/>
      <charset val="204"/>
    </font>
    <font>
      <b/>
      <sz val="8"/>
      <color indexed="2"/>
      <name val="Arial"/>
      <family val="2"/>
      <charset val="204"/>
    </font>
    <font>
      <b/>
      <sz val="10"/>
      <color indexed="2"/>
      <name val="Arial"/>
      <family val="2"/>
      <charset val="204"/>
    </font>
    <font>
      <b/>
      <sz val="11"/>
      <color theme="1"/>
      <name val="Calibri"/>
      <family val="2"/>
      <charset val="204"/>
      <scheme val="minor"/>
    </font>
    <font>
      <i/>
      <sz val="8"/>
      <name val="Arial"/>
      <family val="2"/>
      <charset val="204"/>
    </font>
    <font>
      <b/>
      <i/>
      <sz val="8"/>
      <name val="Arial"/>
      <family val="2"/>
      <charset val="204"/>
    </font>
    <font>
      <b/>
      <i/>
      <sz val="9"/>
      <color indexed="2"/>
      <name val="Arial"/>
      <family val="2"/>
      <charset val="204"/>
    </font>
    <font>
      <b/>
      <sz val="8"/>
      <color rgb="FF00000A"/>
      <name val="Arial"/>
      <family val="2"/>
      <charset val="204"/>
    </font>
    <font>
      <sz val="9"/>
      <color theme="0"/>
      <name val="Arial"/>
      <family val="2"/>
      <charset val="204"/>
    </font>
    <font>
      <i/>
      <sz val="10"/>
      <color rgb="FF005D50"/>
      <name val="Arial"/>
      <family val="2"/>
      <charset val="204"/>
    </font>
    <font>
      <sz val="11"/>
      <name val="Calibri"/>
      <family val="2"/>
      <charset val="204"/>
      <scheme val="minor"/>
    </font>
    <font>
      <sz val="10"/>
      <color theme="2" tint="-0.499984740745262"/>
      <name val="Arial"/>
      <family val="2"/>
      <charset val="204"/>
    </font>
    <font>
      <b/>
      <sz val="9"/>
      <color rgb="FF0C776E"/>
      <name val="Arial"/>
      <family val="2"/>
      <charset val="204"/>
    </font>
    <font>
      <i/>
      <sz val="11"/>
      <color indexed="2"/>
      <name val="Arial"/>
      <family val="2"/>
      <charset val="204"/>
    </font>
    <font>
      <b/>
      <sz val="10"/>
      <color theme="1"/>
      <name val="Calibri"/>
      <family val="2"/>
      <charset val="204"/>
      <scheme val="minor"/>
    </font>
    <font>
      <b/>
      <sz val="10"/>
      <color indexed="64"/>
      <name val="Times New Roman"/>
      <family val="1"/>
      <charset val="204"/>
    </font>
    <font>
      <sz val="10"/>
      <color theme="1"/>
      <name val="Calibri"/>
      <family val="2"/>
      <charset val="204"/>
      <scheme val="minor"/>
    </font>
    <font>
      <i/>
      <sz val="11"/>
      <color theme="1"/>
      <name val="Calibri"/>
      <family val="2"/>
      <charset val="204"/>
      <scheme val="minor"/>
    </font>
    <font>
      <sz val="11"/>
      <color theme="1"/>
      <name val="Algerian"/>
      <family val="5"/>
    </font>
    <font>
      <sz val="11"/>
      <color indexed="64"/>
      <name val="Times New Roman"/>
      <family val="1"/>
      <charset val="204"/>
    </font>
    <font>
      <sz val="11"/>
      <color theme="1"/>
      <name val="Times New Roman"/>
      <family val="1"/>
      <charset val="204"/>
    </font>
    <font>
      <b/>
      <sz val="11"/>
      <color indexed="64"/>
      <name val="Times New Roman"/>
      <family val="1"/>
      <charset val="204"/>
    </font>
    <font>
      <b/>
      <sz val="11"/>
      <color indexed="2"/>
      <name val="Times New Roman"/>
      <family val="1"/>
      <charset val="204"/>
    </font>
    <font>
      <sz val="9"/>
      <color indexed="64"/>
      <name val="Times New Roman"/>
      <family val="1"/>
      <charset val="204"/>
    </font>
    <font>
      <b/>
      <sz val="9"/>
      <color indexed="64"/>
      <name val="Times New Roman"/>
      <family val="1"/>
      <charset val="204"/>
    </font>
    <font>
      <sz val="9"/>
      <color theme="0" tint="-0.249977111117893"/>
      <name val="Times New Roman"/>
      <family val="1"/>
      <charset val="204"/>
    </font>
    <font>
      <sz val="11"/>
      <color rgb="FFE5E2D3"/>
      <name val="Calibri"/>
      <family val="2"/>
      <charset val="204"/>
      <scheme val="minor"/>
    </font>
    <font>
      <b/>
      <sz val="16"/>
      <color rgb="FF0070C0"/>
      <name val="Arial"/>
      <family val="2"/>
      <charset val="204"/>
    </font>
    <font>
      <b/>
      <sz val="10"/>
      <name val="Arial Cyr"/>
    </font>
    <font>
      <sz val="11"/>
      <color theme="1"/>
      <name val="Calibri"/>
      <family val="2"/>
      <charset val="204"/>
      <scheme val="minor"/>
    </font>
    <font>
      <i/>
      <sz val="10"/>
      <color theme="1"/>
      <name val="Arial"/>
      <family val="2"/>
      <charset val="204"/>
    </font>
    <font>
      <vertAlign val="superscript"/>
      <sz val="11"/>
      <color theme="1"/>
      <name val="Calibri"/>
      <family val="2"/>
      <charset val="204"/>
      <scheme val="minor"/>
    </font>
    <font>
      <b/>
      <sz val="16"/>
      <color rgb="FF005D50"/>
      <name val="Calibri"/>
      <family val="2"/>
      <charset val="204"/>
      <scheme val="minor"/>
    </font>
    <font>
      <sz val="8"/>
      <color theme="1"/>
      <name val="Calibri"/>
      <family val="2"/>
      <charset val="204"/>
      <scheme val="minor"/>
    </font>
    <font>
      <vertAlign val="superscript"/>
      <sz val="12"/>
      <color rgb="FF00000A"/>
      <name val="Arial"/>
      <family val="2"/>
      <charset val="204"/>
    </font>
    <font>
      <b/>
      <sz val="8"/>
      <color theme="1"/>
      <name val="Calibri"/>
      <family val="2"/>
      <charset val="204"/>
    </font>
    <font>
      <sz val="8"/>
      <color theme="1"/>
      <name val="Arial"/>
      <family val="2"/>
      <charset val="204"/>
    </font>
    <font>
      <sz val="10"/>
      <name val="Arial"/>
      <family val="2"/>
    </font>
    <font>
      <b/>
      <sz val="11"/>
      <color indexed="8"/>
      <name val="Calibri"/>
      <family val="2"/>
      <charset val="204"/>
    </font>
    <font>
      <sz val="11"/>
      <color indexed="10"/>
      <name val="Calibri"/>
      <family val="2"/>
      <charset val="204"/>
    </font>
    <font>
      <sz val="11"/>
      <color indexed="8"/>
      <name val="Calibri"/>
      <family val="2"/>
      <charset val="204"/>
    </font>
    <font>
      <sz val="11"/>
      <color indexed="9"/>
      <name val="Calibri"/>
      <family val="2"/>
      <charset val="204"/>
    </font>
    <font>
      <b/>
      <sz val="11"/>
      <color indexed="9"/>
      <name val="Calibri"/>
      <family val="2"/>
      <charset val="204"/>
    </font>
    <font>
      <b/>
      <sz val="18"/>
      <color indexed="56"/>
      <name val="Cambria"/>
      <family val="2"/>
      <charset val="204"/>
    </font>
    <font>
      <u/>
      <sz val="10"/>
      <color indexed="12"/>
      <name val="Arial Cyr"/>
      <charset val="204"/>
    </font>
    <font>
      <sz val="10"/>
      <name val="Arial Cyr"/>
      <charset val="204"/>
    </font>
    <font>
      <sz val="10"/>
      <name val="Arial Cyr"/>
      <family val="2"/>
      <charset val="204"/>
    </font>
    <font>
      <sz val="8"/>
      <name val="Arial"/>
      <family val="2"/>
    </font>
    <font>
      <sz val="11"/>
      <color theme="1"/>
      <name val="Calibri"/>
      <family val="2"/>
      <scheme val="minor"/>
    </font>
    <font>
      <u/>
      <sz val="8"/>
      <color theme="10"/>
      <name val="Arial"/>
      <family val="2"/>
    </font>
    <font>
      <sz val="8"/>
      <color theme="1"/>
      <name val="Arial"/>
      <family val="2"/>
      <charset val="204"/>
    </font>
    <font>
      <b/>
      <i/>
      <sz val="9"/>
      <color theme="0"/>
      <name val="Arial"/>
      <family val="2"/>
      <charset val="204"/>
    </font>
    <font>
      <i/>
      <sz val="9"/>
      <color theme="0"/>
      <name val="Arial"/>
      <family val="2"/>
      <charset val="204"/>
    </font>
    <font>
      <sz val="9"/>
      <color rgb="FFFF0000"/>
      <name val="Arial"/>
      <family val="2"/>
      <charset val="204"/>
    </font>
    <font>
      <sz val="8"/>
      <name val="Calibri"/>
      <family val="2"/>
      <charset val="204"/>
      <scheme val="minor"/>
    </font>
    <font>
      <sz val="11"/>
      <color rgb="FFFF0000"/>
      <name val="Calibri"/>
      <family val="2"/>
      <charset val="204"/>
      <scheme val="minor"/>
    </font>
    <font>
      <sz val="10"/>
      <color rgb="FFFF0000"/>
      <name val="Arial"/>
      <family val="2"/>
      <charset val="204"/>
    </font>
    <font>
      <sz val="11"/>
      <color rgb="FF000000"/>
      <name val="Times New Roman"/>
      <family val="1"/>
      <charset val="204"/>
    </font>
    <font>
      <sz val="11"/>
      <color theme="1"/>
      <name val="Calibri"/>
      <family val="2"/>
      <charset val="204"/>
    </font>
    <font>
      <sz val="12"/>
      <color theme="1"/>
      <name val="Times New Roman"/>
      <family val="1"/>
      <charset val="204"/>
    </font>
    <font>
      <b/>
      <sz val="14"/>
      <color theme="1"/>
      <name val="Times New Roman"/>
      <family val="1"/>
      <charset val="204"/>
    </font>
    <font>
      <b/>
      <sz val="12"/>
      <color theme="1"/>
      <name val="Times New Roman"/>
      <family val="1"/>
      <charset val="204"/>
    </font>
    <font>
      <sz val="12"/>
      <name val="Times New Roman"/>
      <family val="1"/>
      <charset val="204"/>
    </font>
    <font>
      <sz val="12"/>
      <color rgb="FFFF0000"/>
      <name val="Times New Roman"/>
      <family val="1"/>
      <charset val="204"/>
    </font>
    <font>
      <b/>
      <sz val="12"/>
      <name val="Times New Roman"/>
      <family val="1"/>
      <charset val="204"/>
    </font>
    <font>
      <b/>
      <sz val="12"/>
      <color theme="1"/>
      <name val="Calibri"/>
      <family val="2"/>
      <charset val="204"/>
      <scheme val="minor"/>
    </font>
    <font>
      <b/>
      <sz val="10"/>
      <color rgb="FF00000A"/>
      <name val="Arial"/>
      <family val="2"/>
      <charset val="204"/>
    </font>
    <font>
      <i/>
      <sz val="12"/>
      <color theme="1"/>
      <name val="Arial"/>
      <family val="2"/>
      <charset val="204"/>
    </font>
    <font>
      <sz val="8"/>
      <color theme="1"/>
      <name val="Arial"/>
      <family val="2"/>
      <charset val="204"/>
    </font>
    <font>
      <i/>
      <sz val="8"/>
      <color theme="1"/>
      <name val="Arial"/>
      <family val="2"/>
      <charset val="204"/>
    </font>
    <font>
      <b/>
      <i/>
      <sz val="10"/>
      <color theme="1"/>
      <name val="Arial"/>
      <family val="2"/>
      <charset val="204"/>
    </font>
  </fonts>
  <fills count="80">
    <fill>
      <patternFill patternType="none"/>
    </fill>
    <fill>
      <patternFill patternType="gray125"/>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55"/>
        <bgColor indexed="55"/>
      </patternFill>
    </fill>
    <fill>
      <patternFill patternType="solid">
        <fgColor indexed="43"/>
        <bgColor indexed="43"/>
      </patternFill>
    </fill>
    <fill>
      <patternFill patternType="solid">
        <fgColor indexed="26"/>
        <bgColor indexed="26"/>
      </patternFill>
    </fill>
    <fill>
      <patternFill patternType="solid">
        <fgColor theme="2"/>
        <bgColor theme="2"/>
      </patternFill>
    </fill>
    <fill>
      <patternFill patternType="solid">
        <fgColor rgb="FF005D50"/>
        <bgColor rgb="FF005D50"/>
      </patternFill>
    </fill>
    <fill>
      <patternFill patternType="solid">
        <fgColor theme="0" tint="-4.9989318521683403E-2"/>
        <bgColor theme="0" tint="-4.9989318521683403E-2"/>
      </patternFill>
    </fill>
    <fill>
      <patternFill patternType="solid">
        <fgColor theme="4"/>
        <bgColor theme="4"/>
      </patternFill>
    </fill>
    <fill>
      <patternFill patternType="solid">
        <fgColor theme="4" tint="0.39997558519241921"/>
        <bgColor theme="4" tint="0.39997558519241921"/>
      </patternFill>
    </fill>
    <fill>
      <patternFill patternType="solid">
        <fgColor rgb="FF0C776E"/>
        <bgColor rgb="FF0C776E"/>
      </patternFill>
    </fill>
    <fill>
      <patternFill patternType="solid">
        <fgColor theme="5" tint="0.59999389629810485"/>
        <bgColor theme="5" tint="0.59999389629810485"/>
      </patternFill>
    </fill>
    <fill>
      <patternFill patternType="solid">
        <fgColor theme="0"/>
        <bgColor theme="0"/>
      </patternFill>
    </fill>
    <fill>
      <patternFill patternType="solid">
        <fgColor theme="6" tint="0.79998168889431442"/>
        <bgColor theme="6" tint="0.79998168889431442"/>
      </patternFill>
    </fill>
    <fill>
      <patternFill patternType="solid">
        <fgColor theme="5" tint="0.79998168889431442"/>
        <bgColor theme="5" tint="0.79998168889431442"/>
      </patternFill>
    </fill>
    <fill>
      <patternFill patternType="solid">
        <fgColor theme="2" tint="-9.9978637043366805E-2"/>
        <bgColor theme="2" tint="-9.9978637043366805E-2"/>
      </patternFill>
    </fill>
    <fill>
      <patternFill patternType="solid">
        <fgColor indexed="5"/>
        <bgColor indexed="5"/>
      </patternFill>
    </fill>
    <fill>
      <patternFill patternType="solid">
        <fgColor rgb="FFF4F0EB"/>
        <bgColor rgb="FFF4F0EB"/>
      </patternFill>
    </fill>
    <fill>
      <patternFill patternType="solid">
        <fgColor theme="9" tint="0.79998168889431442"/>
        <bgColor theme="9" tint="0.79998168889431442"/>
      </patternFill>
    </fill>
    <fill>
      <patternFill patternType="solid">
        <fgColor theme="7" tint="0.59999389629810485"/>
        <bgColor theme="7" tint="0.5999938962981048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79998168889431442"/>
        <bgColor indexed="64"/>
      </patternFill>
    </fill>
    <fill>
      <patternFill patternType="solid">
        <fgColor theme="2"/>
        <bgColor indexed="64"/>
      </patternFill>
    </fill>
    <fill>
      <patternFill patternType="solid">
        <fgColor theme="2"/>
        <bgColor theme="0" tint="-4.9989318521683403E-2"/>
      </patternFill>
    </fill>
    <fill>
      <patternFill patternType="solid">
        <fgColor theme="2"/>
        <bgColor indexed="5"/>
      </patternFill>
    </fill>
    <fill>
      <patternFill patternType="solid">
        <fgColor theme="0" tint="-4.9989318521683403E-2"/>
        <bgColor theme="2"/>
      </patternFill>
    </fill>
    <fill>
      <patternFill patternType="solid">
        <fgColor theme="7" tint="0.79998168889431442"/>
        <bgColor indexed="64"/>
      </patternFill>
    </fill>
    <fill>
      <patternFill patternType="solid">
        <fgColor rgb="FF005D5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39997558519241921"/>
        <bgColor theme="2"/>
      </patternFill>
    </fill>
    <fill>
      <patternFill patternType="solid">
        <fgColor theme="6" tint="0.39997558519241921"/>
        <bgColor theme="0" tint="-4.9989318521683403E-2"/>
      </patternFill>
    </fill>
    <fill>
      <patternFill patternType="solid">
        <fgColor rgb="FFFFFF00"/>
        <bgColor indexed="64"/>
      </patternFill>
    </fill>
    <fill>
      <patternFill patternType="solid">
        <fgColor theme="6" tint="0.59999389629810485"/>
        <bgColor theme="2"/>
      </patternFill>
    </fill>
    <fill>
      <patternFill patternType="solid">
        <fgColor theme="7" tint="0.79998168889431442"/>
        <bgColor theme="2"/>
      </patternFill>
    </fill>
    <fill>
      <patternFill patternType="solid">
        <fgColor rgb="FFFFFF00"/>
        <bgColor rgb="FF92D050"/>
      </patternFill>
    </fill>
    <fill>
      <patternFill patternType="solid">
        <fgColor theme="0"/>
        <bgColor indexed="64"/>
      </patternFill>
    </fill>
    <fill>
      <patternFill patternType="solid">
        <fgColor theme="2"/>
        <bgColor theme="6" tint="0.79998168889431442"/>
      </patternFill>
    </fill>
    <fill>
      <patternFill patternType="solid">
        <fgColor theme="2"/>
        <bgColor theme="0"/>
      </patternFill>
    </fill>
  </fills>
  <borders count="1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tted">
        <color theme="0" tint="-0.24994659260841701"/>
      </left>
      <right/>
      <top style="dotted">
        <color theme="0" tint="-0.24994659260841701"/>
      </top>
      <bottom style="dotted">
        <color theme="0" tint="-0.24994659260841701"/>
      </bottom>
      <diagonal/>
    </border>
    <border>
      <left/>
      <right style="dotted">
        <color theme="0" tint="-0.24994659260841701"/>
      </right>
      <top style="dotted">
        <color theme="0" tint="-0.24994659260841701"/>
      </top>
      <bottom style="dotted">
        <color theme="0" tint="-0.24994659260841701"/>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top/>
      <bottom/>
      <diagonal/>
    </border>
    <border>
      <left/>
      <right/>
      <top style="thin">
        <color theme="4"/>
      </top>
      <bottom/>
      <diagonal/>
    </border>
    <border>
      <left style="medium">
        <color auto="1"/>
      </left>
      <right/>
      <top style="thin">
        <color theme="4"/>
      </top>
      <bottom/>
      <diagonal/>
    </border>
    <border>
      <left style="thin">
        <color theme="4"/>
      </left>
      <right/>
      <top style="thin">
        <color theme="4"/>
      </top>
      <bottom style="thin">
        <color theme="4"/>
      </bottom>
      <diagonal/>
    </border>
    <border>
      <left style="thin">
        <color theme="4"/>
      </left>
      <right style="thin">
        <color theme="4"/>
      </right>
      <top style="thin">
        <color theme="4"/>
      </top>
      <bottom style="thin">
        <color theme="4"/>
      </bottom>
      <diagonal/>
    </border>
    <border>
      <left/>
      <right/>
      <top/>
      <bottom style="thin">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indexed="64"/>
      </left>
      <right style="dotted">
        <color indexed="64"/>
      </right>
      <top style="dotted">
        <color indexed="64"/>
      </top>
      <bottom style="dotted">
        <color indexed="64"/>
      </bottom>
      <diagonal/>
    </border>
    <border>
      <left/>
      <right style="dotted">
        <color auto="1"/>
      </right>
      <top/>
      <bottom/>
      <diagonal/>
    </border>
    <border>
      <left style="dotted">
        <color indexed="64"/>
      </left>
      <right style="dotted">
        <color auto="1"/>
      </right>
      <top style="dotted">
        <color auto="1"/>
      </top>
      <bottom style="dotted">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style="dotted">
        <color auto="1"/>
      </right>
      <top/>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right style="dotted">
        <color auto="1"/>
      </right>
      <top style="dotted">
        <color auto="1"/>
      </top>
      <bottom style="dotted">
        <color auto="1"/>
      </bottom>
      <diagonal/>
    </border>
    <border>
      <left style="dotted">
        <color theme="0" tint="-0.24994659260841701"/>
      </left>
      <right style="dotted">
        <color theme="0" tint="-0.24994659260841701"/>
      </right>
      <top style="dotted">
        <color theme="0" tint="-0.24994659260841701"/>
      </top>
      <bottom/>
      <diagonal/>
    </border>
    <border>
      <left/>
      <right/>
      <top/>
      <bottom style="dotted">
        <color auto="1"/>
      </bottom>
      <diagonal/>
    </border>
    <border>
      <left style="dotted">
        <color theme="0" tint="-0.24994659260841701"/>
      </left>
      <right style="dotted">
        <color theme="0" tint="-0.24994659260841701"/>
      </right>
      <top/>
      <bottom style="dotted">
        <color theme="0" tint="-0.24994659260841701"/>
      </bottom>
      <diagonal/>
    </border>
    <border>
      <left/>
      <right style="dotted">
        <color theme="0" tint="-0.24994659260841701"/>
      </right>
      <top style="dotted">
        <color auto="1"/>
      </top>
      <bottom style="dotted">
        <color auto="1"/>
      </bottom>
      <diagonal/>
    </border>
    <border>
      <left/>
      <right style="dotted">
        <color theme="0" tint="-0.24994659260841701"/>
      </right>
      <top style="dotted">
        <color auto="1"/>
      </top>
      <bottom/>
      <diagonal/>
    </border>
    <border>
      <left/>
      <right style="dotted">
        <color theme="0" tint="-0.24994659260841701"/>
      </right>
      <top/>
      <bottom style="dotted">
        <color auto="1"/>
      </bottom>
      <diagonal/>
    </border>
    <border>
      <left style="dotted">
        <color auto="1"/>
      </left>
      <right style="dotted">
        <color theme="0" tint="-0.24994659260841701"/>
      </right>
      <top style="dotted">
        <color auto="1"/>
      </top>
      <bottom style="dotted">
        <color auto="1"/>
      </bottom>
      <diagonal/>
    </border>
    <border>
      <left/>
      <right/>
      <top/>
      <bottom style="thick">
        <color auto="1"/>
      </bottom>
      <diagonal/>
    </border>
    <border>
      <left style="dotted">
        <color auto="1"/>
      </left>
      <right/>
      <top style="thick">
        <color auto="1"/>
      </top>
      <bottom/>
      <diagonal/>
    </border>
    <border>
      <left/>
      <right/>
      <top style="thick">
        <color auto="1"/>
      </top>
      <bottom/>
      <diagonal/>
    </border>
    <border>
      <left/>
      <right style="dotted">
        <color auto="1"/>
      </right>
      <top style="thick">
        <color auto="1"/>
      </top>
      <bottom/>
      <diagonal/>
    </border>
    <border>
      <left style="dotted">
        <color auto="1"/>
      </left>
      <right/>
      <top/>
      <bottom/>
      <diagonal/>
    </border>
    <border>
      <left style="dotted">
        <color auto="1"/>
      </left>
      <right style="dotted">
        <color auto="1"/>
      </right>
      <top style="thick">
        <color auto="1"/>
      </top>
      <bottom/>
      <diagonal/>
    </border>
    <border>
      <left/>
      <right style="dotted">
        <color theme="0" tint="-0.2499465926084170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bottom style="medium">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dotted">
        <color theme="2" tint="-9.9948118533890809E-2"/>
      </left>
      <right style="dotted">
        <color theme="2" tint="-9.9948118533890809E-2"/>
      </right>
      <top/>
      <bottom/>
      <diagonal/>
    </border>
    <border>
      <left style="dotted">
        <color theme="2" tint="-9.9917600024414813E-2"/>
      </left>
      <right style="dotted">
        <color theme="2" tint="-9.9917600024414813E-2"/>
      </right>
      <top style="dotted">
        <color theme="2" tint="-9.9917600024414813E-2"/>
      </top>
      <bottom style="dotted">
        <color theme="2" tint="-9.9917600024414813E-2"/>
      </bottom>
      <diagonal/>
    </border>
    <border>
      <left/>
      <right style="dotted">
        <color theme="2" tint="-9.9948118533890809E-2"/>
      </right>
      <top style="dotted">
        <color theme="2" tint="-9.9917600024414813E-2"/>
      </top>
      <bottom/>
      <diagonal/>
    </border>
    <border>
      <left/>
      <right style="dotted">
        <color theme="2" tint="-9.9948118533890809E-2"/>
      </right>
      <top/>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diagonal/>
    </border>
    <border>
      <left style="dotted">
        <color rgb="FF000000"/>
      </left>
      <right style="dotted">
        <color rgb="FF000000"/>
      </right>
      <top style="dotted">
        <color rgb="FF000000"/>
      </top>
      <bottom style="dotted">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60">
    <xf numFmtId="0" fontId="0" fillId="0" borderId="0"/>
    <xf numFmtId="0" fontId="12" fillId="2" borderId="0" applyNumberFormat="0" applyBorder="0" applyProtection="0"/>
    <xf numFmtId="0" fontId="12" fillId="3" borderId="0" applyNumberFormat="0" applyBorder="0" applyProtection="0"/>
    <xf numFmtId="0" fontId="12" fillId="4" borderId="0" applyNumberFormat="0" applyBorder="0" applyProtection="0"/>
    <xf numFmtId="0" fontId="12" fillId="5" borderId="0" applyNumberFormat="0" applyBorder="0" applyProtection="0"/>
    <xf numFmtId="0" fontId="12" fillId="6" borderId="0" applyNumberFormat="0" applyBorder="0" applyProtection="0"/>
    <xf numFmtId="0" fontId="12" fillId="7" borderId="0" applyNumberFormat="0" applyBorder="0" applyProtection="0"/>
    <xf numFmtId="0" fontId="12" fillId="8" borderId="0" applyNumberFormat="0" applyBorder="0" applyProtection="0"/>
    <xf numFmtId="0" fontId="12" fillId="9" borderId="0" applyNumberFormat="0" applyBorder="0" applyProtection="0"/>
    <xf numFmtId="0" fontId="12" fillId="10" borderId="0" applyNumberFormat="0" applyBorder="0" applyProtection="0"/>
    <xf numFmtId="0" fontId="12" fillId="5" borderId="0" applyNumberFormat="0" applyBorder="0" applyProtection="0"/>
    <xf numFmtId="0" fontId="12" fillId="8" borderId="0" applyNumberFormat="0" applyBorder="0" applyProtection="0"/>
    <xf numFmtId="0" fontId="12" fillId="11" borderId="0" applyNumberFormat="0" applyBorder="0" applyProtection="0"/>
    <xf numFmtId="0" fontId="13" fillId="12" borderId="0" applyNumberFormat="0" applyBorder="0" applyProtection="0"/>
    <xf numFmtId="0" fontId="13" fillId="9" borderId="0" applyNumberFormat="0" applyBorder="0" applyProtection="0"/>
    <xf numFmtId="0" fontId="13" fillId="10" borderId="0" applyNumberFormat="0" applyBorder="0" applyProtection="0"/>
    <xf numFmtId="0" fontId="13" fillId="13" borderId="0" applyNumberFormat="0" applyBorder="0" applyProtection="0"/>
    <xf numFmtId="0" fontId="13" fillId="14" borderId="0" applyNumberFormat="0" applyBorder="0" applyProtection="0"/>
    <xf numFmtId="0" fontId="13" fillId="15" borderId="0" applyNumberFormat="0" applyBorder="0" applyProtection="0"/>
    <xf numFmtId="0" fontId="13" fillId="16" borderId="0" applyNumberFormat="0" applyBorder="0" applyProtection="0"/>
    <xf numFmtId="0" fontId="13" fillId="17" borderId="0" applyNumberFormat="0" applyBorder="0" applyProtection="0"/>
    <xf numFmtId="0" fontId="13" fillId="18" borderId="0" applyNumberFormat="0" applyBorder="0" applyProtection="0"/>
    <xf numFmtId="0" fontId="13" fillId="13" borderId="0" applyNumberFormat="0" applyBorder="0" applyProtection="0"/>
    <xf numFmtId="0" fontId="13" fillId="14" borderId="0" applyNumberFormat="0" applyBorder="0" applyProtection="0"/>
    <xf numFmtId="0" fontId="13" fillId="19" borderId="0" applyNumberFormat="0" applyBorder="0" applyProtection="0"/>
    <xf numFmtId="0" fontId="14" fillId="3" borderId="0" applyNumberFormat="0" applyBorder="0" applyProtection="0"/>
    <xf numFmtId="0" fontId="15" fillId="20" borderId="1" applyNumberFormat="0" applyProtection="0"/>
    <xf numFmtId="0" fontId="16" fillId="21" borderId="2" applyNumberFormat="0" applyProtection="0"/>
    <xf numFmtId="0" fontId="17" fillId="0" borderId="0" applyNumberFormat="0" applyFill="0" applyBorder="0" applyProtection="0"/>
    <xf numFmtId="0" fontId="18" fillId="4" borderId="0" applyNumberFormat="0" applyBorder="0" applyProtection="0"/>
    <xf numFmtId="0" fontId="19" fillId="0" borderId="3" applyNumberFormat="0" applyFill="0" applyProtection="0"/>
    <xf numFmtId="0" fontId="20" fillId="0" borderId="4" applyNumberFormat="0" applyFill="0" applyProtection="0"/>
    <xf numFmtId="0" fontId="21" fillId="0" borderId="5" applyNumberFormat="0" applyFill="0" applyProtection="0"/>
    <xf numFmtId="0" fontId="21" fillId="0" borderId="0" applyNumberFormat="0" applyFill="0" applyBorder="0" applyProtection="0"/>
    <xf numFmtId="0" fontId="22" fillId="7" borderId="1" applyNumberFormat="0" applyProtection="0"/>
    <xf numFmtId="0" fontId="23" fillId="0" borderId="6" applyNumberFormat="0" applyFill="0" applyProtection="0"/>
    <xf numFmtId="0" fontId="24" fillId="22" borderId="0" applyNumberFormat="0" applyBorder="0" applyProtection="0"/>
    <xf numFmtId="0" fontId="12" fillId="23" borderId="7" applyNumberFormat="0" applyFont="0" applyProtection="0"/>
    <xf numFmtId="0" fontId="25" fillId="20" borderId="8" applyNumberFormat="0" applyProtection="0"/>
    <xf numFmtId="0" fontId="26" fillId="0" borderId="0" applyNumberFormat="0" applyFill="0" applyBorder="0" applyProtection="0"/>
    <xf numFmtId="0" fontId="27" fillId="0" borderId="9" applyNumberFormat="0" applyFill="0" applyProtection="0"/>
    <xf numFmtId="0" fontId="28" fillId="0" borderId="0" applyNumberFormat="0" applyFill="0" applyBorder="0" applyProtection="0"/>
    <xf numFmtId="0" fontId="29" fillId="0" borderId="0" applyNumberFormat="0" applyFill="0" applyBorder="0" applyProtection="0"/>
    <xf numFmtId="0" fontId="30" fillId="0" borderId="0" applyNumberFormat="0" applyFill="0" applyBorder="0" applyProtection="0"/>
    <xf numFmtId="0" fontId="31" fillId="0" borderId="0" applyNumberFormat="0" applyFill="0" applyBorder="0" applyProtection="0">
      <alignment vertical="top"/>
      <protection locked="0"/>
    </xf>
    <xf numFmtId="0" fontId="29" fillId="0" borderId="0" applyNumberFormat="0" applyFill="0" applyBorder="0" applyProtection="0"/>
    <xf numFmtId="0" fontId="32" fillId="0" borderId="0" applyNumberFormat="0" applyFill="0" applyBorder="0" applyProtection="0"/>
    <xf numFmtId="44" fontId="144" fillId="0" borderId="0" applyFont="0" applyFill="0" applyBorder="0" applyProtection="0"/>
    <xf numFmtId="44" fontId="144" fillId="0" borderId="0" applyFont="0" applyFill="0" applyBorder="0" applyProtection="0"/>
    <xf numFmtId="44" fontId="144" fillId="0" borderId="0" applyFont="0" applyFill="0" applyBorder="0" applyProtection="0"/>
    <xf numFmtId="44" fontId="144" fillId="0" borderId="0" applyFont="0" applyFill="0" applyBorder="0" applyProtection="0"/>
    <xf numFmtId="44" fontId="144" fillId="0" borderId="0" applyFont="0" applyFill="0" applyBorder="0" applyProtection="0"/>
    <xf numFmtId="0" fontId="33" fillId="0" borderId="0"/>
    <xf numFmtId="0" fontId="34" fillId="0" borderId="0"/>
    <xf numFmtId="0" fontId="144" fillId="0" borderId="0"/>
    <xf numFmtId="0" fontId="34" fillId="0" borderId="0"/>
    <xf numFmtId="0" fontId="35" fillId="0" borderId="0"/>
    <xf numFmtId="0" fontId="36" fillId="0" borderId="0"/>
    <xf numFmtId="0" fontId="36" fillId="0" borderId="0"/>
    <xf numFmtId="0" fontId="36" fillId="0" borderId="0">
      <alignment horizontal="left"/>
    </xf>
    <xf numFmtId="0" fontId="35" fillId="0" borderId="0">
      <alignment vertical="center"/>
    </xf>
    <xf numFmtId="0" fontId="144" fillId="0" borderId="0"/>
    <xf numFmtId="0" fontId="144" fillId="0" borderId="0"/>
    <xf numFmtId="0" fontId="144" fillId="0" borderId="0"/>
    <xf numFmtId="0" fontId="12" fillId="0" borderId="0"/>
    <xf numFmtId="0" fontId="35" fillId="0" borderId="0"/>
    <xf numFmtId="0" fontId="36" fillId="0" borderId="0"/>
    <xf numFmtId="0" fontId="36" fillId="0" borderId="0"/>
    <xf numFmtId="0" fontId="34" fillId="0" borderId="0"/>
    <xf numFmtId="0" fontId="34" fillId="0" borderId="0"/>
    <xf numFmtId="0" fontId="144" fillId="0" borderId="0"/>
    <xf numFmtId="0" fontId="34" fillId="0" borderId="0"/>
    <xf numFmtId="0" fontId="34" fillId="0" borderId="0"/>
    <xf numFmtId="0" fontId="34" fillId="0" borderId="0"/>
    <xf numFmtId="0" fontId="34" fillId="0" borderId="0"/>
    <xf numFmtId="0" fontId="36" fillId="0" borderId="0"/>
    <xf numFmtId="0" fontId="36" fillId="0" borderId="0"/>
    <xf numFmtId="9" fontId="144" fillId="0" borderId="0" applyFont="0" applyFill="0" applyBorder="0" applyProtection="0"/>
    <xf numFmtId="43" fontId="144" fillId="0" borderId="0" applyFont="0" applyFill="0" applyBorder="0" applyProtection="0"/>
    <xf numFmtId="164" fontId="144" fillId="0" borderId="0" applyFont="0" applyFill="0" applyBorder="0" applyProtection="0"/>
    <xf numFmtId="165" fontId="144" fillId="0" borderId="0" applyFont="0" applyFill="0" applyBorder="0" applyProtection="0"/>
    <xf numFmtId="43" fontId="144" fillId="0" borderId="0" applyFont="0" applyFill="0" applyBorder="0" applyProtection="0"/>
    <xf numFmtId="43" fontId="144" fillId="0" borderId="0" applyFont="0" applyFill="0" applyBorder="0" applyProtection="0"/>
    <xf numFmtId="43" fontId="144" fillId="0" borderId="0" applyFont="0" applyFill="0" applyBorder="0" applyProtection="0"/>
    <xf numFmtId="43" fontId="144" fillId="0" borderId="0" applyFont="0" applyFill="0" applyBorder="0" applyProtection="0"/>
    <xf numFmtId="0" fontId="37" fillId="0" borderId="0">
      <alignment vertical="center"/>
    </xf>
    <xf numFmtId="0" fontId="11" fillId="0" borderId="0"/>
    <xf numFmtId="0" fontId="30" fillId="0" borderId="0" applyNumberFormat="0" applyFill="0" applyBorder="0" applyAlignment="0" applyProtection="0"/>
    <xf numFmtId="0" fontId="152" fillId="0" borderId="0">
      <alignment vertical="center"/>
    </xf>
    <xf numFmtId="43" fontId="11" fillId="0" borderId="0" applyFont="0" applyFill="0" applyBorder="0" applyAlignment="0" applyProtection="0"/>
    <xf numFmtId="44" fontId="11" fillId="0" borderId="0" applyFont="0" applyFill="0" applyBorder="0" applyAlignment="0" applyProtection="0"/>
    <xf numFmtId="0" fontId="155" fillId="39" borderId="0" applyNumberFormat="0" applyBorder="0" applyAlignment="0" applyProtection="0"/>
    <xf numFmtId="0" fontId="155" fillId="40" borderId="0" applyNumberFormat="0" applyBorder="0" applyAlignment="0" applyProtection="0"/>
    <xf numFmtId="0" fontId="155" fillId="41" borderId="0" applyNumberFormat="0" applyBorder="0" applyAlignment="0" applyProtection="0"/>
    <xf numFmtId="0" fontId="155" fillId="42" borderId="0" applyNumberFormat="0" applyBorder="0" applyAlignment="0" applyProtection="0"/>
    <xf numFmtId="0" fontId="155" fillId="43" borderId="0" applyNumberFormat="0" applyBorder="0" applyAlignment="0" applyProtection="0"/>
    <xf numFmtId="0" fontId="155" fillId="44" borderId="0" applyNumberFormat="0" applyBorder="0" applyAlignment="0" applyProtection="0"/>
    <xf numFmtId="0" fontId="155" fillId="45" borderId="0" applyNumberFormat="0" applyBorder="0" applyAlignment="0" applyProtection="0"/>
    <xf numFmtId="0" fontId="155" fillId="46" borderId="0" applyNumberFormat="0" applyBorder="0" applyAlignment="0" applyProtection="0"/>
    <xf numFmtId="0" fontId="155" fillId="47" borderId="0" applyNumberFormat="0" applyBorder="0" applyAlignment="0" applyProtection="0"/>
    <xf numFmtId="0" fontId="155" fillId="42" borderId="0" applyNumberFormat="0" applyBorder="0" applyAlignment="0" applyProtection="0"/>
    <xf numFmtId="0" fontId="155" fillId="45" borderId="0" applyNumberFormat="0" applyBorder="0" applyAlignment="0" applyProtection="0"/>
    <xf numFmtId="0" fontId="155" fillId="48" borderId="0" applyNumberFormat="0" applyBorder="0" applyAlignment="0" applyProtection="0"/>
    <xf numFmtId="0" fontId="156" fillId="49" borderId="0" applyNumberFormat="0" applyBorder="0" applyAlignment="0" applyProtection="0"/>
    <xf numFmtId="0" fontId="156" fillId="46" borderId="0" applyNumberFormat="0" applyBorder="0" applyAlignment="0" applyProtection="0"/>
    <xf numFmtId="0" fontId="156" fillId="47" borderId="0" applyNumberFormat="0" applyBorder="0" applyAlignment="0" applyProtection="0"/>
    <xf numFmtId="0" fontId="156" fillId="50" borderId="0" applyNumberFormat="0" applyBorder="0" applyAlignment="0" applyProtection="0"/>
    <xf numFmtId="0" fontId="156" fillId="51" borderId="0" applyNumberFormat="0" applyBorder="0" applyAlignment="0" applyProtection="0"/>
    <xf numFmtId="0" fontId="156" fillId="52" borderId="0" applyNumberFormat="0" applyBorder="0" applyAlignment="0" applyProtection="0"/>
    <xf numFmtId="0" fontId="156" fillId="53" borderId="0" applyNumberFormat="0" applyBorder="0" applyAlignment="0" applyProtection="0"/>
    <xf numFmtId="0" fontId="156" fillId="54" borderId="0" applyNumberFormat="0" applyBorder="0" applyAlignment="0" applyProtection="0"/>
    <xf numFmtId="0" fontId="156" fillId="55" borderId="0" applyNumberFormat="0" applyBorder="0" applyAlignment="0" applyProtection="0"/>
    <xf numFmtId="0" fontId="156" fillId="50" borderId="0" applyNumberFormat="0" applyBorder="0" applyAlignment="0" applyProtection="0"/>
    <xf numFmtId="0" fontId="156" fillId="51" borderId="0" applyNumberFormat="0" applyBorder="0" applyAlignment="0" applyProtection="0"/>
    <xf numFmtId="0" fontId="156" fillId="56" borderId="0" applyNumberFormat="0" applyBorder="0" applyAlignment="0" applyProtection="0"/>
    <xf numFmtId="0" fontId="14" fillId="40" borderId="0" applyNumberFormat="0" applyBorder="0" applyAlignment="0" applyProtection="0"/>
    <xf numFmtId="0" fontId="15" fillId="57" borderId="1" applyNumberFormat="0" applyAlignment="0" applyProtection="0"/>
    <xf numFmtId="0" fontId="157" fillId="58" borderId="2" applyNumberFormat="0" applyAlignment="0" applyProtection="0"/>
    <xf numFmtId="0" fontId="17" fillId="0" borderId="0" applyNumberFormat="0" applyFill="0" applyBorder="0" applyAlignment="0" applyProtection="0"/>
    <xf numFmtId="0" fontId="18" fillId="41"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2" fillId="44" borderId="1" applyNumberFormat="0" applyAlignment="0" applyProtection="0"/>
    <xf numFmtId="0" fontId="23" fillId="0" borderId="6" applyNumberFormat="0" applyFill="0" applyAlignment="0" applyProtection="0"/>
    <xf numFmtId="0" fontId="24" fillId="59" borderId="0" applyNumberFormat="0" applyBorder="0" applyAlignment="0" applyProtection="0"/>
    <xf numFmtId="0" fontId="155" fillId="60" borderId="7" applyNumberFormat="0" applyFont="0" applyAlignment="0" applyProtection="0"/>
    <xf numFmtId="0" fontId="25" fillId="57" borderId="8" applyNumberFormat="0" applyAlignment="0" applyProtection="0"/>
    <xf numFmtId="0" fontId="158" fillId="0" borderId="0" applyNumberFormat="0" applyFill="0" applyBorder="0" applyAlignment="0" applyProtection="0"/>
    <xf numFmtId="0" fontId="153" fillId="0" borderId="9" applyNumberFormat="0" applyFill="0" applyAlignment="0" applyProtection="0"/>
    <xf numFmtId="0" fontId="154" fillId="0" borderId="0" applyNumberFormat="0" applyFill="0" applyBorder="0" applyAlignment="0" applyProtection="0"/>
    <xf numFmtId="0" fontId="159" fillId="0" borderId="0" applyNumberFormat="0" applyFill="0" applyBorder="0" applyAlignment="0" applyProtection="0">
      <alignment vertical="top"/>
      <protection locked="0"/>
    </xf>
    <xf numFmtId="164" fontId="11" fillId="0" borderId="0" applyFont="0" applyFill="0" applyBorder="0" applyAlignment="0" applyProtection="0"/>
    <xf numFmtId="0" fontId="160" fillId="0" borderId="0"/>
    <xf numFmtId="0" fontId="160" fillId="0" borderId="0"/>
    <xf numFmtId="0" fontId="11" fillId="0" borderId="0"/>
    <xf numFmtId="0" fontId="160" fillId="0" borderId="0"/>
    <xf numFmtId="0" fontId="160" fillId="0" borderId="0"/>
    <xf numFmtId="0" fontId="11" fillId="0" borderId="0"/>
    <xf numFmtId="0" fontId="161" fillId="0" borderId="0"/>
    <xf numFmtId="0" fontId="161" fillId="0" borderId="0"/>
    <xf numFmtId="0" fontId="155" fillId="0" borderId="0"/>
    <xf numFmtId="0" fontId="161" fillId="0" borderId="0"/>
    <xf numFmtId="0" fontId="161" fillId="0" borderId="0"/>
    <xf numFmtId="0" fontId="162" fillId="0" borderId="0"/>
    <xf numFmtId="0" fontId="163" fillId="0" borderId="0"/>
    <xf numFmtId="0" fontId="29" fillId="0" borderId="0" applyNumberFormat="0" applyFill="0" applyBorder="0" applyAlignment="0" applyProtection="0"/>
    <xf numFmtId="0" fontId="11" fillId="0" borderId="0"/>
    <xf numFmtId="0" fontId="162" fillId="0" borderId="0"/>
    <xf numFmtId="0" fontId="164" fillId="0" borderId="0" applyNumberFormat="0" applyFill="0" applyBorder="0" applyAlignment="0" applyProtection="0"/>
    <xf numFmtId="165" fontId="163" fillId="0" borderId="0" applyFont="0" applyFill="0" applyBorder="0" applyAlignment="0" applyProtection="0"/>
    <xf numFmtId="0" fontId="163"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cellStyleXfs>
  <cellXfs count="1478">
    <xf numFmtId="0" fontId="0" fillId="0" borderId="0" xfId="0"/>
    <xf numFmtId="0" fontId="0" fillId="24" borderId="0" xfId="0" applyFill="1"/>
    <xf numFmtId="0" fontId="38" fillId="24" borderId="0" xfId="0" applyFont="1" applyFill="1"/>
    <xf numFmtId="0" fontId="39" fillId="24" borderId="0" xfId="0" applyFont="1" applyFill="1" applyAlignment="1">
      <alignment vertical="center"/>
    </xf>
    <xf numFmtId="0" fontId="29" fillId="24" borderId="0" xfId="42" applyFill="1" applyAlignment="1" applyProtection="1">
      <alignment horizontal="right"/>
    </xf>
    <xf numFmtId="0" fontId="33" fillId="0" borderId="0" xfId="52"/>
    <xf numFmtId="0" fontId="33" fillId="0" borderId="0" xfId="52" applyAlignment="1">
      <alignment horizontal="center" vertical="center"/>
    </xf>
    <xf numFmtId="0" fontId="33" fillId="0" borderId="0" xfId="52" applyAlignment="1">
      <alignment horizontal="left" vertical="center" wrapText="1"/>
    </xf>
    <xf numFmtId="0" fontId="33" fillId="0" borderId="0" xfId="52" applyAlignment="1">
      <alignment horizontal="left" vertical="center"/>
    </xf>
    <xf numFmtId="0" fontId="40" fillId="25" borderId="0" xfId="52" applyFont="1" applyFill="1" applyAlignment="1">
      <alignment horizontal="left" vertical="center"/>
    </xf>
    <xf numFmtId="0" fontId="41" fillId="25" borderId="0" xfId="52" applyFont="1" applyFill="1" applyAlignment="1">
      <alignment horizontal="left" vertical="center" wrapText="1"/>
    </xf>
    <xf numFmtId="0" fontId="33" fillId="26" borderId="0" xfId="52" applyFill="1" applyAlignment="1">
      <alignment horizontal="center" vertical="center"/>
    </xf>
    <xf numFmtId="0" fontId="33" fillId="26" borderId="0" xfId="52" applyFill="1" applyAlignment="1">
      <alignment horizontal="left" vertical="center" wrapText="1"/>
    </xf>
    <xf numFmtId="0" fontId="33" fillId="26" borderId="0" xfId="52" applyFill="1" applyAlignment="1">
      <alignment wrapText="1"/>
    </xf>
    <xf numFmtId="0" fontId="33" fillId="26" borderId="0" xfId="52" applyFill="1" applyAlignment="1">
      <alignment vertical="center" wrapText="1"/>
    </xf>
    <xf numFmtId="0" fontId="42" fillId="24" borderId="0" xfId="42" applyFont="1" applyFill="1" applyAlignment="1" applyProtection="1">
      <alignment horizontal="right" vertical="center"/>
    </xf>
    <xf numFmtId="0" fontId="43" fillId="25" borderId="10" xfId="0" applyFont="1" applyFill="1" applyBorder="1"/>
    <xf numFmtId="0" fontId="43" fillId="25" borderId="11" xfId="0" applyFont="1" applyFill="1" applyBorder="1"/>
    <xf numFmtId="0" fontId="0" fillId="0" borderId="12" xfId="0" applyBorder="1"/>
    <xf numFmtId="0" fontId="44" fillId="0" borderId="0" xfId="42" applyFont="1"/>
    <xf numFmtId="0" fontId="43" fillId="25" borderId="12" xfId="0" applyFont="1" applyFill="1" applyBorder="1"/>
    <xf numFmtId="0" fontId="29" fillId="0" borderId="11" xfId="42" applyBorder="1"/>
    <xf numFmtId="0" fontId="29" fillId="0" borderId="0" xfId="42"/>
    <xf numFmtId="0" fontId="45" fillId="27" borderId="13" xfId="0" applyFont="1" applyFill="1" applyBorder="1"/>
    <xf numFmtId="0" fontId="45" fillId="27" borderId="14" xfId="0" applyFont="1" applyFill="1" applyBorder="1"/>
    <xf numFmtId="0" fontId="43" fillId="28" borderId="0" xfId="0" applyFont="1" applyFill="1"/>
    <xf numFmtId="0" fontId="45" fillId="27" borderId="0" xfId="0" applyFont="1" applyFill="1"/>
    <xf numFmtId="0" fontId="45" fillId="27" borderId="15" xfId="0" applyFont="1" applyFill="1" applyBorder="1"/>
    <xf numFmtId="0" fontId="45" fillId="27" borderId="16" xfId="0" applyFont="1" applyFill="1" applyBorder="1"/>
    <xf numFmtId="0" fontId="0" fillId="0" borderId="13" xfId="0" applyBorder="1"/>
    <xf numFmtId="0" fontId="0" fillId="0" borderId="14" xfId="0" applyBorder="1"/>
    <xf numFmtId="0" fontId="0" fillId="0" borderId="17" xfId="0" applyBorder="1"/>
    <xf numFmtId="0" fontId="0" fillId="0" borderId="17" xfId="0" applyBorder="1" applyAlignment="1">
      <alignment horizontal="center"/>
    </xf>
    <xf numFmtId="0" fontId="0" fillId="0" borderId="18" xfId="0" applyBorder="1" applyAlignment="1">
      <alignment horizontal="left" vertical="center"/>
    </xf>
    <xf numFmtId="0" fontId="0" fillId="0" borderId="18" xfId="0" applyBorder="1" applyAlignment="1">
      <alignment horizontal="left"/>
    </xf>
    <xf numFmtId="0" fontId="0" fillId="0" borderId="0" xfId="0" applyAlignment="1">
      <alignment wrapText="1"/>
    </xf>
    <xf numFmtId="0" fontId="0" fillId="0" borderId="19" xfId="0" applyBorder="1"/>
    <xf numFmtId="0" fontId="0" fillId="0" borderId="20" xfId="0" applyBorder="1"/>
    <xf numFmtId="166" fontId="0" fillId="0" borderId="17" xfId="0" applyNumberFormat="1" applyBorder="1"/>
    <xf numFmtId="166" fontId="0" fillId="0" borderId="17" xfId="0" applyNumberFormat="1" applyBorder="1" applyAlignment="1">
      <alignment horizontal="center"/>
    </xf>
    <xf numFmtId="0" fontId="0" fillId="0" borderId="0" xfId="0" applyAlignment="1">
      <alignment horizontal="center"/>
    </xf>
    <xf numFmtId="166" fontId="0" fillId="0" borderId="0" xfId="0" applyNumberFormat="1"/>
    <xf numFmtId="0" fontId="46" fillId="0" borderId="0" xfId="0" applyFont="1"/>
    <xf numFmtId="0" fontId="46" fillId="0" borderId="0" xfId="0" applyFont="1" applyAlignment="1">
      <alignment horizontal="left"/>
    </xf>
    <xf numFmtId="0" fontId="46" fillId="0" borderId="0" xfId="0" applyFont="1" applyAlignment="1">
      <alignment horizontal="centerContinuous"/>
    </xf>
    <xf numFmtId="0" fontId="47" fillId="0" borderId="0" xfId="52" applyFont="1"/>
    <xf numFmtId="0" fontId="48" fillId="0" borderId="0" xfId="0" applyFont="1" applyAlignment="1">
      <alignment horizontal="center" vertical="center"/>
    </xf>
    <xf numFmtId="0" fontId="47" fillId="0" borderId="0" xfId="0" applyFont="1"/>
    <xf numFmtId="0" fontId="49" fillId="0" borderId="0" xfId="0" applyFont="1" applyAlignment="1">
      <alignment horizontal="centerContinuous" vertical="center"/>
    </xf>
    <xf numFmtId="0" fontId="49" fillId="0" borderId="0" xfId="0" applyFont="1" applyAlignment="1">
      <alignment horizontal="left" vertical="center"/>
    </xf>
    <xf numFmtId="0" fontId="50" fillId="0" borderId="22" xfId="0" applyFont="1" applyBorder="1" applyAlignment="1" applyProtection="1">
      <alignment horizontal="right" vertical="center"/>
      <protection locked="0"/>
    </xf>
    <xf numFmtId="0" fontId="49" fillId="0" borderId="0" xfId="0" applyFont="1" applyAlignment="1">
      <alignment horizontal="right" vertical="center"/>
    </xf>
    <xf numFmtId="0" fontId="47" fillId="0" borderId="22" xfId="0" applyFont="1" applyBorder="1" applyAlignment="1" applyProtection="1">
      <alignment horizontal="right" vertical="center" wrapText="1"/>
      <protection locked="0"/>
    </xf>
    <xf numFmtId="0" fontId="51" fillId="0" borderId="0" xfId="0" applyFont="1" applyAlignment="1">
      <alignment horizontal="center" vertical="center" wrapText="1"/>
    </xf>
    <xf numFmtId="0" fontId="47" fillId="0" borderId="22" xfId="0" applyFont="1" applyBorder="1" applyAlignment="1" applyProtection="1">
      <alignment horizontal="right" vertical="center"/>
      <protection locked="0"/>
    </xf>
    <xf numFmtId="0" fontId="52" fillId="0" borderId="0" xfId="0" applyFont="1" applyAlignment="1">
      <alignment horizontal="left" vertical="top" wrapText="1"/>
    </xf>
    <xf numFmtId="0" fontId="49" fillId="0" borderId="0" xfId="0" applyFont="1" applyAlignment="1">
      <alignment horizontal="left" vertical="center" wrapText="1"/>
    </xf>
    <xf numFmtId="0" fontId="49" fillId="0" borderId="24" xfId="0" applyFont="1" applyBorder="1" applyAlignment="1" applyProtection="1">
      <alignment horizontal="right" vertical="center" wrapText="1"/>
      <protection locked="0"/>
    </xf>
    <xf numFmtId="0" fontId="48" fillId="0" borderId="0" xfId="0" applyFont="1" applyAlignment="1">
      <alignment horizontal="left" vertical="center"/>
    </xf>
    <xf numFmtId="0" fontId="47" fillId="0" borderId="0" xfId="0" applyFont="1" applyAlignment="1">
      <alignment horizontal="left"/>
    </xf>
    <xf numFmtId="0" fontId="48" fillId="0" borderId="0" xfId="0" applyFont="1" applyAlignment="1">
      <alignment horizontal="left" vertical="center" indent="5"/>
    </xf>
    <xf numFmtId="0" fontId="48" fillId="0" borderId="0" xfId="0" applyFont="1" applyAlignment="1">
      <alignment horizontal="centerContinuous" vertical="center"/>
    </xf>
    <xf numFmtId="3" fontId="48" fillId="0" borderId="22" xfId="0" applyNumberFormat="1" applyFont="1" applyBorder="1" applyAlignment="1" applyProtection="1">
      <alignment horizontal="right" vertical="center" wrapText="1"/>
      <protection locked="0"/>
    </xf>
    <xf numFmtId="0" fontId="48" fillId="0" borderId="22" xfId="0" applyFont="1" applyBorder="1" applyAlignment="1" applyProtection="1">
      <alignment horizontal="right" vertical="center" wrapText="1"/>
      <protection locked="0"/>
    </xf>
    <xf numFmtId="0" fontId="49" fillId="0" borderId="22" xfId="0" applyFont="1" applyBorder="1" applyAlignment="1">
      <alignment horizontal="left" vertical="center"/>
    </xf>
    <xf numFmtId="0" fontId="53" fillId="0" borderId="0" xfId="0" applyFont="1" applyAlignment="1">
      <alignment horizontal="right" vertical="center" wrapText="1"/>
    </xf>
    <xf numFmtId="0" fontId="49" fillId="0" borderId="22" xfId="0" applyFont="1" applyBorder="1" applyAlignment="1" applyProtection="1">
      <alignment horizontal="right" vertical="center" wrapText="1"/>
      <protection locked="0"/>
    </xf>
    <xf numFmtId="3" fontId="49" fillId="0" borderId="22" xfId="0" applyNumberFormat="1" applyFont="1" applyBorder="1" applyAlignment="1" applyProtection="1">
      <alignment horizontal="right" vertical="center" wrapText="1"/>
      <protection locked="0"/>
    </xf>
    <xf numFmtId="0" fontId="49" fillId="0" borderId="0" xfId="0" applyFont="1" applyAlignment="1">
      <alignment vertical="center"/>
    </xf>
    <xf numFmtId="0" fontId="49" fillId="0" borderId="0" xfId="0" applyFont="1" applyAlignment="1">
      <alignment vertical="center" wrapText="1"/>
    </xf>
    <xf numFmtId="0" fontId="47" fillId="0" borderId="26" xfId="0" applyFont="1" applyBorder="1" applyAlignment="1" applyProtection="1">
      <alignment horizontal="right" vertical="center"/>
      <protection locked="0"/>
    </xf>
    <xf numFmtId="3" fontId="49" fillId="0" borderId="0" xfId="0" applyNumberFormat="1" applyFont="1" applyAlignment="1" applyProtection="1">
      <alignment horizontal="left" vertical="center" wrapText="1"/>
      <protection locked="0"/>
    </xf>
    <xf numFmtId="0" fontId="47" fillId="0" borderId="26" xfId="0" applyFont="1" applyBorder="1" applyAlignment="1" applyProtection="1">
      <alignment horizontal="right" vertical="center" wrapText="1"/>
      <protection locked="0"/>
    </xf>
    <xf numFmtId="0" fontId="49" fillId="0" borderId="0" xfId="0" applyFont="1" applyAlignment="1">
      <alignment horizontal="left"/>
    </xf>
    <xf numFmtId="0" fontId="54" fillId="0" borderId="0" xfId="0" applyFont="1" applyAlignment="1">
      <alignment horizontal="left" vertical="center"/>
    </xf>
    <xf numFmtId="0" fontId="55" fillId="0" borderId="0" xfId="0" applyFont="1" applyAlignment="1">
      <alignment horizontal="left" vertical="center"/>
    </xf>
    <xf numFmtId="0" fontId="55" fillId="0" borderId="0" xfId="0" applyFont="1" applyAlignment="1">
      <alignment horizontal="right" vertical="center"/>
    </xf>
    <xf numFmtId="0" fontId="49" fillId="0" borderId="25" xfId="0" applyFont="1" applyBorder="1" applyAlignment="1">
      <alignment vertical="center" wrapText="1"/>
    </xf>
    <xf numFmtId="167" fontId="56" fillId="0" borderId="22" xfId="0" applyNumberFormat="1" applyFont="1" applyBorder="1" applyAlignment="1" applyProtection="1">
      <alignment horizontal="right" vertical="center" wrapText="1"/>
      <protection locked="0"/>
    </xf>
    <xf numFmtId="0" fontId="46" fillId="0" borderId="0" xfId="0" applyFont="1" applyAlignment="1">
      <alignment horizontal="right" vertical="center"/>
    </xf>
    <xf numFmtId="0" fontId="51" fillId="0" borderId="0" xfId="0" applyFont="1" applyAlignment="1">
      <alignment vertical="center"/>
    </xf>
    <xf numFmtId="0" fontId="51" fillId="0" borderId="0" xfId="0" applyFont="1" applyAlignment="1">
      <alignment vertical="center" wrapText="1"/>
    </xf>
    <xf numFmtId="0" fontId="57"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horizontal="left" vertical="center"/>
    </xf>
    <xf numFmtId="0" fontId="49" fillId="0" borderId="0" xfId="0" applyFont="1" applyAlignment="1" applyProtection="1">
      <alignment horizontal="right" vertical="center" wrapText="1"/>
      <protection locked="0"/>
    </xf>
    <xf numFmtId="0" fontId="56" fillId="0" borderId="0" xfId="0" quotePrefix="1" applyFont="1" applyAlignment="1">
      <alignment horizontal="left" vertical="center" wrapText="1"/>
    </xf>
    <xf numFmtId="0" fontId="0" fillId="0" borderId="0" xfId="0" applyAlignment="1">
      <alignment horizontal="right"/>
    </xf>
    <xf numFmtId="0" fontId="47" fillId="0" borderId="0" xfId="0" applyFont="1" applyAlignment="1" applyProtection="1">
      <alignment horizontal="left"/>
      <protection locked="0"/>
    </xf>
    <xf numFmtId="0" fontId="47" fillId="0" borderId="22" xfId="0" applyFont="1" applyBorder="1" applyAlignment="1">
      <alignment horizontal="left"/>
    </xf>
    <xf numFmtId="0" fontId="0" fillId="0" borderId="0" xfId="0" applyProtection="1">
      <protection locked="0"/>
    </xf>
    <xf numFmtId="0" fontId="0" fillId="24" borderId="0" xfId="0" applyFill="1" applyProtection="1">
      <protection locked="0"/>
    </xf>
    <xf numFmtId="0" fontId="38" fillId="24" borderId="0" xfId="0" applyFont="1" applyFill="1" applyProtection="1">
      <protection locked="0"/>
    </xf>
    <xf numFmtId="0" fontId="39" fillId="24" borderId="0" xfId="0" applyFont="1" applyFill="1" applyAlignment="1" applyProtection="1">
      <alignment vertical="center"/>
      <protection locked="0"/>
    </xf>
    <xf numFmtId="0" fontId="58" fillId="24" borderId="0" xfId="0" applyFont="1" applyFill="1" applyAlignment="1" applyProtection="1">
      <alignment horizontal="left" vertical="center"/>
      <protection locked="0"/>
    </xf>
    <xf numFmtId="0" fontId="33" fillId="24" borderId="0" xfId="0" applyFont="1" applyFill="1" applyProtection="1">
      <protection locked="0"/>
    </xf>
    <xf numFmtId="0" fontId="33" fillId="24" borderId="0" xfId="0" applyFont="1" applyFill="1" applyAlignment="1" applyProtection="1">
      <alignment horizontal="center"/>
      <protection locked="0"/>
    </xf>
    <xf numFmtId="0" fontId="33" fillId="24" borderId="0" xfId="0" applyFont="1" applyFill="1" applyAlignment="1" applyProtection="1">
      <alignment horizontal="right" vertical="center"/>
      <protection locked="0"/>
    </xf>
    <xf numFmtId="0" fontId="33" fillId="24" borderId="0" xfId="0" applyFont="1" applyFill="1" applyAlignment="1" applyProtection="1">
      <alignment horizontal="right"/>
      <protection locked="0"/>
    </xf>
    <xf numFmtId="0" fontId="29" fillId="24" borderId="0" xfId="42" applyFill="1" applyAlignment="1" applyProtection="1">
      <alignment horizontal="right"/>
      <protection locked="0"/>
    </xf>
    <xf numFmtId="0" fontId="33" fillId="24" borderId="0" xfId="0" applyFont="1" applyFill="1" applyAlignment="1" applyProtection="1">
      <alignment horizontal="left" wrapText="1"/>
      <protection locked="0"/>
    </xf>
    <xf numFmtId="0" fontId="59" fillId="24" borderId="0" xfId="0" applyFont="1" applyFill="1" applyProtection="1">
      <protection locked="0"/>
    </xf>
    <xf numFmtId="0" fontId="60" fillId="0" borderId="0" xfId="0" applyFont="1" applyAlignment="1" applyProtection="1">
      <alignment horizontal="left"/>
      <protection locked="0"/>
    </xf>
    <xf numFmtId="0" fontId="33" fillId="0" borderId="0" xfId="0" applyFont="1" applyAlignment="1" applyProtection="1">
      <alignment wrapText="1"/>
      <protection locked="0"/>
    </xf>
    <xf numFmtId="0" fontId="33" fillId="0" borderId="0" xfId="0" applyFont="1" applyAlignment="1" applyProtection="1">
      <alignment horizontal="center" wrapText="1"/>
      <protection locked="0"/>
    </xf>
    <xf numFmtId="0" fontId="33" fillId="0" borderId="0" xfId="0" applyFont="1" applyAlignment="1" applyProtection="1">
      <alignment horizontal="right" vertical="center" wrapText="1"/>
      <protection locked="0"/>
    </xf>
    <xf numFmtId="0" fontId="33" fillId="0" borderId="0" xfId="0" applyFont="1" applyAlignment="1" applyProtection="1">
      <alignment horizontal="right" wrapText="1"/>
      <protection locked="0"/>
    </xf>
    <xf numFmtId="0" fontId="33" fillId="0" borderId="0" xfId="0" applyFont="1" applyAlignment="1" applyProtection="1">
      <alignment horizontal="center" vertical="center"/>
      <protection locked="0"/>
    </xf>
    <xf numFmtId="0" fontId="33" fillId="0" borderId="0" xfId="0" applyFont="1" applyAlignment="1" applyProtection="1">
      <alignment horizontal="left" wrapText="1"/>
      <protection locked="0"/>
    </xf>
    <xf numFmtId="0" fontId="59" fillId="0" borderId="0" xfId="0" applyFont="1" applyProtection="1">
      <protection locked="0"/>
    </xf>
    <xf numFmtId="0" fontId="61" fillId="0" borderId="25" xfId="0" applyFont="1" applyBorder="1" applyAlignment="1" applyProtection="1">
      <alignment horizontal="center" wrapText="1"/>
      <protection locked="0"/>
    </xf>
    <xf numFmtId="0" fontId="62" fillId="25" borderId="0" xfId="0" applyFont="1" applyFill="1" applyAlignment="1" applyProtection="1">
      <alignment horizontal="center" vertical="center" wrapText="1"/>
      <protection locked="0"/>
    </xf>
    <xf numFmtId="0" fontId="62" fillId="25" borderId="29" xfId="0" applyFont="1" applyFill="1" applyBorder="1" applyAlignment="1" applyProtection="1">
      <alignment horizontal="centerContinuous" vertical="center" wrapText="1"/>
      <protection locked="0"/>
    </xf>
    <xf numFmtId="0" fontId="62" fillId="25" borderId="30" xfId="0" applyFont="1" applyFill="1" applyBorder="1" applyAlignment="1" applyProtection="1">
      <alignment horizontal="centerContinuous" vertical="center" wrapText="1"/>
      <protection locked="0"/>
    </xf>
    <xf numFmtId="0" fontId="62" fillId="25" borderId="31" xfId="0" applyFont="1" applyFill="1" applyBorder="1" applyAlignment="1" applyProtection="1">
      <alignment horizontal="centerContinuous" vertical="center" wrapText="1"/>
      <protection locked="0"/>
    </xf>
    <xf numFmtId="0" fontId="62" fillId="25" borderId="23" xfId="0" applyFont="1" applyFill="1" applyBorder="1" applyAlignment="1" applyProtection="1">
      <alignment horizontal="center" vertical="center" wrapText="1"/>
      <protection locked="0"/>
    </xf>
    <xf numFmtId="0" fontId="62" fillId="25" borderId="32" xfId="0" applyFont="1" applyFill="1" applyBorder="1" applyAlignment="1" applyProtection="1">
      <alignment horizontal="center" vertical="center" wrapText="1"/>
      <protection locked="0"/>
    </xf>
    <xf numFmtId="0" fontId="0" fillId="0" borderId="0" xfId="0" applyAlignment="1" applyProtection="1">
      <alignment horizontal="left" wrapText="1"/>
      <protection locked="0"/>
    </xf>
    <xf numFmtId="0" fontId="63" fillId="0" borderId="0" xfId="0" applyFont="1" applyProtection="1">
      <protection locked="0"/>
    </xf>
    <xf numFmtId="0" fontId="33" fillId="0" borderId="33" xfId="0" applyFont="1" applyBorder="1" applyAlignment="1" applyProtection="1">
      <alignment vertical="center" wrapText="1"/>
      <protection locked="0"/>
    </xf>
    <xf numFmtId="0" fontId="64" fillId="29" borderId="34" xfId="0" applyFont="1" applyFill="1" applyBorder="1" applyAlignment="1" applyProtection="1">
      <alignment horizontal="center" vertical="center" wrapText="1"/>
      <protection locked="0"/>
    </xf>
    <xf numFmtId="0" fontId="64" fillId="29" borderId="35" xfId="0" applyFont="1" applyFill="1" applyBorder="1" applyAlignment="1" applyProtection="1">
      <alignment vertical="center" wrapText="1"/>
      <protection locked="0"/>
    </xf>
    <xf numFmtId="3" fontId="41" fillId="29" borderId="35" xfId="0" applyNumberFormat="1" applyFont="1" applyFill="1" applyBorder="1" applyAlignment="1" applyProtection="1">
      <alignment vertical="center" wrapText="1"/>
      <protection locked="0"/>
    </xf>
    <xf numFmtId="0" fontId="41" fillId="29" borderId="35" xfId="0" applyFont="1" applyFill="1" applyBorder="1" applyAlignment="1" applyProtection="1">
      <alignment horizontal="right" vertical="center" wrapText="1"/>
      <protection locked="0"/>
    </xf>
    <xf numFmtId="0" fontId="64" fillId="29" borderId="35" xfId="0" applyFont="1" applyFill="1" applyBorder="1" applyAlignment="1" applyProtection="1">
      <alignment horizontal="center" vertical="center" wrapText="1"/>
      <protection locked="0"/>
    </xf>
    <xf numFmtId="0" fontId="33" fillId="0" borderId="0" xfId="0" applyFont="1" applyProtection="1">
      <protection locked="0"/>
    </xf>
    <xf numFmtId="14" fontId="33" fillId="0" borderId="27" xfId="0" applyNumberFormat="1" applyFont="1" applyBorder="1" applyAlignment="1" applyProtection="1">
      <alignment horizontal="center" wrapText="1"/>
      <protection locked="0"/>
    </xf>
    <xf numFmtId="0" fontId="65" fillId="24" borderId="0" xfId="0" applyFont="1" applyFill="1" applyAlignment="1" applyProtection="1">
      <alignment horizontal="centerContinuous" vertical="center" wrapText="1"/>
      <protection locked="0"/>
    </xf>
    <xf numFmtId="0" fontId="66" fillId="24" borderId="0" xfId="0" applyFont="1" applyFill="1" applyAlignment="1" applyProtection="1">
      <alignment horizontal="centerContinuous"/>
      <protection locked="0"/>
    </xf>
    <xf numFmtId="3" fontId="67" fillId="24" borderId="22" xfId="0" applyNumberFormat="1" applyFont="1" applyFill="1" applyBorder="1" applyAlignment="1" applyProtection="1">
      <alignment horizontal="center" vertical="center" wrapText="1"/>
      <protection locked="0"/>
    </xf>
    <xf numFmtId="3" fontId="68" fillId="24" borderId="22" xfId="0" applyNumberFormat="1" applyFont="1" applyFill="1" applyBorder="1" applyAlignment="1" applyProtection="1">
      <alignment horizontal="center" vertical="center" wrapText="1"/>
      <protection locked="0"/>
    </xf>
    <xf numFmtId="168" fontId="68" fillId="24" borderId="22" xfId="0" applyNumberFormat="1" applyFont="1" applyFill="1" applyBorder="1" applyAlignment="1" applyProtection="1">
      <alignment horizontal="center" vertical="center" wrapText="1"/>
      <protection locked="0"/>
    </xf>
    <xf numFmtId="0" fontId="69" fillId="0" borderId="0" xfId="0" applyFont="1" applyAlignment="1" applyProtection="1">
      <alignment horizontal="left" wrapText="1"/>
      <protection locked="0"/>
    </xf>
    <xf numFmtId="0" fontId="67" fillId="0" borderId="0" xfId="0" applyFont="1" applyProtection="1">
      <protection locked="0"/>
    </xf>
    <xf numFmtId="0" fontId="62" fillId="25" borderId="31" xfId="0" applyFont="1" applyFill="1" applyBorder="1" applyAlignment="1" applyProtection="1">
      <alignment horizontal="center" vertical="center" wrapText="1"/>
      <protection locked="0"/>
    </xf>
    <xf numFmtId="0" fontId="62" fillId="25" borderId="27" xfId="0" applyFont="1" applyFill="1" applyBorder="1" applyAlignment="1" applyProtection="1">
      <alignment horizontal="centerContinuous" vertical="center" wrapText="1"/>
      <protection locked="0"/>
    </xf>
    <xf numFmtId="0" fontId="62" fillId="25" borderId="36" xfId="0" applyFont="1" applyFill="1" applyBorder="1" applyAlignment="1" applyProtection="1">
      <alignment horizontal="centerContinuous" vertical="center" wrapText="1"/>
      <protection locked="0"/>
    </xf>
    <xf numFmtId="0" fontId="59" fillId="0" borderId="0" xfId="0" applyFont="1" applyAlignment="1" applyProtection="1">
      <alignment horizontal="left" vertical="center"/>
      <protection locked="0"/>
    </xf>
    <xf numFmtId="0" fontId="64" fillId="29" borderId="34" xfId="0" applyFont="1" applyFill="1" applyBorder="1" applyAlignment="1" applyProtection="1">
      <alignment vertical="center" wrapText="1"/>
      <protection locked="0"/>
    </xf>
    <xf numFmtId="0" fontId="70" fillId="30" borderId="22" xfId="0" quotePrefix="1" applyFont="1" applyFill="1" applyBorder="1" applyAlignment="1" applyProtection="1">
      <alignment horizontal="center" vertical="center" wrapText="1"/>
      <protection locked="0"/>
    </xf>
    <xf numFmtId="0" fontId="64" fillId="29" borderId="22" xfId="0" applyFont="1" applyFill="1" applyBorder="1" applyAlignment="1" applyProtection="1">
      <alignment horizontal="center" vertical="center" wrapText="1"/>
      <protection locked="0"/>
    </xf>
    <xf numFmtId="3" fontId="33" fillId="31" borderId="27" xfId="0" applyNumberFormat="1" applyFont="1" applyFill="1" applyBorder="1" applyAlignment="1" applyProtection="1">
      <alignment horizontal="center" vertical="center" wrapText="1"/>
      <protection locked="0"/>
    </xf>
    <xf numFmtId="3" fontId="33" fillId="31" borderId="22" xfId="0" applyNumberFormat="1" applyFont="1" applyFill="1" applyBorder="1" applyAlignment="1" applyProtection="1">
      <alignment horizontal="center" vertical="center" wrapText="1"/>
      <protection locked="0"/>
    </xf>
    <xf numFmtId="167" fontId="67" fillId="24" borderId="22" xfId="0" applyNumberFormat="1" applyFont="1" applyFill="1" applyBorder="1" applyAlignment="1" applyProtection="1">
      <alignment horizontal="center" vertical="center" wrapText="1"/>
      <protection locked="0"/>
    </xf>
    <xf numFmtId="3" fontId="67" fillId="31" borderId="22" xfId="0" applyNumberFormat="1" applyFont="1" applyFill="1" applyBorder="1" applyAlignment="1" applyProtection="1">
      <alignment horizontal="center" vertical="center" wrapText="1"/>
      <protection locked="0"/>
    </xf>
    <xf numFmtId="0" fontId="71" fillId="25" borderId="23" xfId="0" applyFont="1" applyFill="1" applyBorder="1" applyAlignment="1" applyProtection="1">
      <alignment horizontal="center" vertical="center" wrapText="1"/>
      <protection locked="0"/>
    </xf>
    <xf numFmtId="0" fontId="71" fillId="25" borderId="29" xfId="0" applyFont="1" applyFill="1" applyBorder="1" applyAlignment="1" applyProtection="1">
      <alignment horizontal="center" vertical="center" wrapText="1"/>
      <protection locked="0"/>
    </xf>
    <xf numFmtId="0" fontId="71" fillId="25" borderId="29" xfId="0" applyFont="1" applyFill="1" applyBorder="1" applyAlignment="1" applyProtection="1">
      <alignment horizontal="centerContinuous" vertical="center" wrapText="1"/>
      <protection locked="0"/>
    </xf>
    <xf numFmtId="0" fontId="71" fillId="25" borderId="31" xfId="0" applyFont="1" applyFill="1" applyBorder="1" applyAlignment="1" applyProtection="1">
      <alignment horizontal="centerContinuous" vertical="center" wrapText="1"/>
      <protection locked="0"/>
    </xf>
    <xf numFmtId="0" fontId="71" fillId="25" borderId="31" xfId="0" applyFont="1" applyFill="1" applyBorder="1" applyAlignment="1" applyProtection="1">
      <alignment horizontal="center" vertical="center" wrapText="1"/>
      <protection locked="0"/>
    </xf>
    <xf numFmtId="0" fontId="72" fillId="32" borderId="37" xfId="0" applyFont="1" applyFill="1" applyBorder="1" applyAlignment="1" applyProtection="1">
      <alignment horizontal="center" vertical="center" wrapText="1"/>
      <protection locked="0"/>
    </xf>
    <xf numFmtId="0" fontId="73" fillId="25" borderId="35" xfId="0" applyFont="1" applyFill="1" applyBorder="1" applyAlignment="1" applyProtection="1">
      <alignment horizontal="center" vertical="center" wrapText="1"/>
      <protection locked="0"/>
    </xf>
    <xf numFmtId="0" fontId="73" fillId="25" borderId="33" xfId="0" applyFont="1" applyFill="1" applyBorder="1" applyAlignment="1" applyProtection="1">
      <alignment horizontal="center" vertical="center" wrapText="1"/>
      <protection locked="0"/>
    </xf>
    <xf numFmtId="0" fontId="73" fillId="25" borderId="38" xfId="0" applyFont="1" applyFill="1" applyBorder="1" applyAlignment="1" applyProtection="1">
      <alignment horizontal="centerContinuous" vertical="center" wrapText="1"/>
      <protection locked="0"/>
    </xf>
    <xf numFmtId="0" fontId="73" fillId="25" borderId="38" xfId="0" applyFont="1" applyFill="1" applyBorder="1" applyAlignment="1" applyProtection="1">
      <alignment horizontal="center" vertical="center" wrapText="1"/>
      <protection locked="0"/>
    </xf>
    <xf numFmtId="0" fontId="64" fillId="25" borderId="38" xfId="0" applyFont="1" applyFill="1" applyBorder="1" applyAlignment="1" applyProtection="1">
      <alignment horizontal="centerContinuous" vertical="center" wrapText="1"/>
      <protection locked="0"/>
    </xf>
    <xf numFmtId="0" fontId="74" fillId="32" borderId="39" xfId="0" applyFont="1" applyFill="1" applyBorder="1" applyAlignment="1" applyProtection="1">
      <alignment horizontal="left" vertical="center" wrapText="1"/>
      <protection locked="0"/>
    </xf>
    <xf numFmtId="0" fontId="74" fillId="32" borderId="39" xfId="0" applyFont="1" applyFill="1" applyBorder="1" applyAlignment="1" applyProtection="1">
      <alignment horizontal="center" vertical="center" wrapText="1"/>
      <protection locked="0"/>
    </xf>
    <xf numFmtId="0" fontId="75" fillId="0" borderId="22" xfId="0" applyFont="1" applyBorder="1" applyAlignment="1" applyProtection="1">
      <alignment horizontal="center" vertical="center"/>
      <protection locked="0"/>
    </xf>
    <xf numFmtId="0" fontId="76" fillId="24" borderId="27" xfId="0" applyFont="1" applyFill="1" applyBorder="1" applyAlignment="1" applyProtection="1">
      <alignment horizontal="left" vertical="center" wrapText="1"/>
      <protection locked="0"/>
    </xf>
    <xf numFmtId="0" fontId="76" fillId="24" borderId="27" xfId="0" applyFont="1" applyFill="1" applyBorder="1" applyAlignment="1" applyProtection="1">
      <alignment horizontal="left" vertical="center"/>
      <protection locked="0"/>
    </xf>
    <xf numFmtId="0" fontId="77" fillId="24" borderId="28" xfId="0" applyFont="1" applyFill="1" applyBorder="1" applyAlignment="1" applyProtection="1">
      <alignment vertical="center"/>
      <protection locked="0"/>
    </xf>
    <xf numFmtId="0" fontId="77" fillId="24" borderId="28" xfId="0" applyFont="1" applyFill="1" applyBorder="1" applyAlignment="1" applyProtection="1">
      <alignment horizontal="center" vertical="center"/>
      <protection locked="0"/>
    </xf>
    <xf numFmtId="0" fontId="77" fillId="24" borderId="28" xfId="0" applyFont="1" applyFill="1" applyBorder="1" applyAlignment="1" applyProtection="1">
      <alignment horizontal="right" vertical="center" wrapText="1"/>
      <protection locked="0"/>
    </xf>
    <xf numFmtId="0" fontId="77" fillId="24" borderId="28" xfId="0" applyFont="1" applyFill="1" applyBorder="1" applyAlignment="1" applyProtection="1">
      <alignment vertical="center" wrapText="1"/>
      <protection locked="0"/>
    </xf>
    <xf numFmtId="0" fontId="77" fillId="24" borderId="28" xfId="0" applyFont="1" applyFill="1" applyBorder="1" applyAlignment="1" applyProtection="1">
      <alignment horizontal="center" vertical="center" wrapText="1"/>
      <protection locked="0"/>
    </xf>
    <xf numFmtId="0" fontId="38" fillId="0" borderId="12" xfId="0" applyFont="1" applyBorder="1" applyAlignment="1" applyProtection="1">
      <alignment horizontal="left" vertical="center" wrapText="1"/>
      <protection locked="0"/>
    </xf>
    <xf numFmtId="0" fontId="78" fillId="0" borderId="12" xfId="0" applyFont="1" applyBorder="1" applyAlignment="1" applyProtection="1">
      <alignment horizontal="center" vertical="center" wrapText="1"/>
      <protection locked="0"/>
    </xf>
    <xf numFmtId="49" fontId="61" fillId="0" borderId="22" xfId="0" applyNumberFormat="1" applyFont="1" applyBorder="1" applyAlignment="1" applyProtection="1">
      <alignment horizontal="center" vertical="center"/>
      <protection locked="0"/>
    </xf>
    <xf numFmtId="49" fontId="67" fillId="24" borderId="27" xfId="0" applyNumberFormat="1" applyFont="1" applyFill="1" applyBorder="1" applyAlignment="1" applyProtection="1">
      <alignment horizontal="left" vertical="center" wrapText="1"/>
      <protection locked="0"/>
    </xf>
    <xf numFmtId="0" fontId="79" fillId="24" borderId="28" xfId="0" applyFont="1" applyFill="1" applyBorder="1" applyAlignment="1" applyProtection="1">
      <alignment horizontal="centerContinuous" vertical="center" wrapText="1"/>
      <protection locked="0"/>
    </xf>
    <xf numFmtId="0" fontId="79" fillId="24" borderId="28" xfId="0" applyFont="1" applyFill="1" applyBorder="1" applyAlignment="1" applyProtection="1">
      <alignment horizontal="center" vertical="center" wrapText="1"/>
      <protection locked="0"/>
    </xf>
    <xf numFmtId="0" fontId="80" fillId="24" borderId="28" xfId="0" applyFont="1" applyFill="1" applyBorder="1" applyAlignment="1" applyProtection="1">
      <alignment horizontal="right" vertical="center" wrapText="1"/>
      <protection locked="0"/>
    </xf>
    <xf numFmtId="0" fontId="80" fillId="24" borderId="28" xfId="0" applyFont="1" applyFill="1" applyBorder="1" applyAlignment="1" applyProtection="1">
      <alignment vertical="center" wrapText="1"/>
      <protection locked="0"/>
    </xf>
    <xf numFmtId="0" fontId="80" fillId="24" borderId="28" xfId="0" applyFont="1" applyFill="1" applyBorder="1" applyAlignment="1" applyProtection="1">
      <alignment horizontal="center" vertical="center" wrapText="1"/>
      <protection locked="0"/>
    </xf>
    <xf numFmtId="0" fontId="80" fillId="24" borderId="28" xfId="0" applyFont="1" applyFill="1" applyBorder="1" applyAlignment="1" applyProtection="1">
      <alignment horizontal="right" vertical="center"/>
      <protection locked="0"/>
    </xf>
    <xf numFmtId="0" fontId="80" fillId="0" borderId="28" xfId="0" applyFont="1" applyBorder="1" applyAlignment="1" applyProtection="1">
      <alignment vertical="center" wrapText="1"/>
      <protection locked="0"/>
    </xf>
    <xf numFmtId="0" fontId="67" fillId="24" borderId="22" xfId="0" applyFont="1" applyFill="1" applyBorder="1" applyAlignment="1" applyProtection="1">
      <alignment horizontal="center" vertical="center"/>
      <protection locked="0"/>
    </xf>
    <xf numFmtId="0" fontId="61" fillId="0" borderId="22" xfId="0" applyFont="1" applyBorder="1" applyAlignment="1" applyProtection="1">
      <alignment horizontal="center" vertical="center"/>
      <protection locked="0"/>
    </xf>
    <xf numFmtId="0" fontId="67" fillId="24" borderId="27" xfId="0" applyFont="1" applyFill="1" applyBorder="1" applyAlignment="1" applyProtection="1">
      <alignment horizontal="left" vertical="center" wrapText="1"/>
      <protection locked="0"/>
    </xf>
    <xf numFmtId="0" fontId="81" fillId="24" borderId="36" xfId="0" applyFont="1" applyFill="1" applyBorder="1" applyAlignment="1" applyProtection="1">
      <alignment vertical="center" wrapText="1"/>
      <protection locked="0"/>
    </xf>
    <xf numFmtId="0" fontId="82" fillId="24" borderId="36" xfId="0" applyFont="1" applyFill="1" applyBorder="1" applyAlignment="1">
      <alignment horizontal="center" vertical="center" wrapText="1"/>
    </xf>
    <xf numFmtId="4" fontId="67" fillId="24" borderId="22" xfId="0" applyNumberFormat="1" applyFont="1" applyFill="1" applyBorder="1" applyAlignment="1" applyProtection="1">
      <alignment horizontal="right" vertical="center"/>
      <protection locked="0"/>
    </xf>
    <xf numFmtId="0" fontId="67" fillId="24" borderId="36" xfId="0" applyFont="1" applyFill="1" applyBorder="1" applyAlignment="1" applyProtection="1">
      <alignment horizontal="right" vertical="center" wrapText="1"/>
      <protection locked="0"/>
    </xf>
    <xf numFmtId="2" fontId="67" fillId="24" borderId="22" xfId="0" applyNumberFormat="1" applyFont="1" applyFill="1" applyBorder="1" applyAlignment="1" applyProtection="1">
      <alignment horizontal="right" vertical="center" wrapText="1"/>
      <protection locked="0"/>
    </xf>
    <xf numFmtId="2" fontId="76" fillId="24" borderId="22" xfId="0" applyNumberFormat="1" applyFont="1" applyFill="1" applyBorder="1" applyAlignment="1" applyProtection="1">
      <alignment horizontal="right" vertical="center"/>
      <protection locked="0"/>
    </xf>
    <xf numFmtId="43" fontId="60" fillId="0" borderId="22" xfId="78" applyFont="1" applyBorder="1" applyAlignment="1" applyProtection="1">
      <alignment vertical="center"/>
      <protection locked="0"/>
    </xf>
    <xf numFmtId="43" fontId="67" fillId="24" borderId="22" xfId="78" applyFont="1" applyFill="1" applyBorder="1" applyAlignment="1" applyProtection="1">
      <alignment vertical="center"/>
    </xf>
    <xf numFmtId="169" fontId="76" fillId="24" borderId="27" xfId="0" applyNumberFormat="1" applyFont="1" applyFill="1" applyBorder="1" applyAlignment="1">
      <alignment vertical="center"/>
    </xf>
    <xf numFmtId="165" fontId="38" fillId="0" borderId="12" xfId="0" applyNumberFormat="1" applyFont="1" applyBorder="1" applyAlignment="1" applyProtection="1">
      <alignment horizontal="left" vertical="center" wrapText="1"/>
      <protection locked="0"/>
    </xf>
    <xf numFmtId="0" fontId="81" fillId="24" borderId="36" xfId="0" applyFont="1" applyFill="1" applyBorder="1" applyAlignment="1">
      <alignment horizontal="center" vertical="center" wrapText="1"/>
    </xf>
    <xf numFmtId="4" fontId="67" fillId="24" borderId="27" xfId="0" applyNumberFormat="1" applyFont="1" applyFill="1" applyBorder="1" applyAlignment="1" applyProtection="1">
      <alignment horizontal="right" vertical="center"/>
      <protection locked="0"/>
    </xf>
    <xf numFmtId="2" fontId="67" fillId="24" borderId="36" xfId="0" applyNumberFormat="1" applyFont="1" applyFill="1" applyBorder="1" applyAlignment="1" applyProtection="1">
      <alignment horizontal="right" vertical="center" wrapText="1"/>
      <protection locked="0"/>
    </xf>
    <xf numFmtId="166" fontId="76" fillId="24" borderId="22" xfId="0" applyNumberFormat="1" applyFont="1" applyFill="1" applyBorder="1" applyAlignment="1" applyProtection="1">
      <alignment horizontal="right" vertical="center"/>
      <protection locked="0"/>
    </xf>
    <xf numFmtId="0" fontId="67" fillId="24" borderId="27" xfId="0" applyFont="1" applyFill="1" applyBorder="1" applyAlignment="1" applyProtection="1">
      <alignment horizontal="center" vertical="center"/>
      <protection locked="0"/>
    </xf>
    <xf numFmtId="43" fontId="67" fillId="24" borderId="22" xfId="78" applyFont="1" applyFill="1" applyBorder="1" applyAlignment="1" applyProtection="1">
      <alignment vertical="center"/>
      <protection locked="0"/>
    </xf>
    <xf numFmtId="43" fontId="67" fillId="24" borderId="36" xfId="78" applyFont="1" applyFill="1" applyBorder="1" applyAlignment="1" applyProtection="1">
      <alignment vertical="center"/>
    </xf>
    <xf numFmtId="0" fontId="67" fillId="24" borderId="27" xfId="0" applyFont="1" applyFill="1" applyBorder="1" applyAlignment="1" applyProtection="1">
      <alignment horizontal="left" vertical="center" wrapText="1" indent="4"/>
      <protection locked="0"/>
    </xf>
    <xf numFmtId="0" fontId="80" fillId="24" borderId="36" xfId="0" applyFont="1" applyFill="1" applyBorder="1" applyAlignment="1" applyProtection="1">
      <alignment vertical="center" wrapText="1"/>
      <protection locked="0"/>
    </xf>
    <xf numFmtId="2" fontId="67" fillId="0" borderId="22" xfId="0" applyNumberFormat="1" applyFont="1" applyBorder="1" applyAlignment="1" applyProtection="1">
      <alignment horizontal="right" vertical="center" wrapText="1"/>
      <protection locked="0"/>
    </xf>
    <xf numFmtId="43" fontId="67" fillId="33" borderId="22" xfId="78" applyFont="1" applyFill="1" applyBorder="1" applyAlignment="1" applyProtection="1">
      <alignment vertical="center"/>
      <protection locked="0"/>
    </xf>
    <xf numFmtId="169" fontId="67" fillId="24" borderId="27" xfId="0" applyNumberFormat="1" applyFont="1" applyFill="1" applyBorder="1" applyAlignment="1">
      <alignment vertical="center"/>
    </xf>
    <xf numFmtId="43" fontId="67" fillId="0" borderId="22" xfId="78" applyFont="1" applyBorder="1" applyAlignment="1" applyProtection="1">
      <alignment horizontal="right" vertical="center" wrapText="1"/>
      <protection locked="0"/>
    </xf>
    <xf numFmtId="0" fontId="67" fillId="24" borderId="22" xfId="0" applyFont="1" applyFill="1" applyBorder="1" applyAlignment="1" applyProtection="1">
      <alignment horizontal="right" vertical="center"/>
      <protection locked="0"/>
    </xf>
    <xf numFmtId="0" fontId="67" fillId="24" borderId="34" xfId="0" applyFont="1" applyFill="1" applyBorder="1" applyAlignment="1" applyProtection="1">
      <alignment horizontal="right" vertical="center" wrapText="1"/>
      <protection locked="0"/>
    </xf>
    <xf numFmtId="2" fontId="67" fillId="24" borderId="22" xfId="0" applyNumberFormat="1" applyFont="1" applyFill="1" applyBorder="1" applyAlignment="1" applyProtection="1">
      <alignment horizontal="right" vertical="center"/>
      <protection locked="0"/>
    </xf>
    <xf numFmtId="43" fontId="67" fillId="24" borderId="35" xfId="78" applyFont="1" applyFill="1" applyBorder="1" applyAlignment="1" applyProtection="1">
      <alignment vertical="center"/>
      <protection locked="0"/>
    </xf>
    <xf numFmtId="0" fontId="67" fillId="24" borderId="27" xfId="0" applyFont="1" applyFill="1" applyBorder="1" applyAlignment="1" applyProtection="1">
      <alignment horizontal="left" vertical="center"/>
      <protection locked="0"/>
    </xf>
    <xf numFmtId="0" fontId="67" fillId="24" borderId="36" xfId="0" applyFont="1" applyFill="1" applyBorder="1" applyAlignment="1" applyProtection="1">
      <alignment horizontal="left" indent="2"/>
      <protection locked="0"/>
    </xf>
    <xf numFmtId="0" fontId="67" fillId="0" borderId="36" xfId="0" applyFont="1" applyBorder="1" applyAlignment="1" applyProtection="1">
      <alignment horizontal="right" vertical="center" wrapText="1"/>
      <protection locked="0"/>
    </xf>
    <xf numFmtId="0" fontId="67" fillId="24" borderId="28" xfId="0" applyFont="1" applyFill="1" applyBorder="1" applyAlignment="1" applyProtection="1">
      <alignment horizontal="left" indent="2"/>
      <protection locked="0"/>
    </xf>
    <xf numFmtId="0" fontId="81" fillId="24" borderId="22" xfId="0" applyFont="1" applyFill="1" applyBorder="1" applyAlignment="1">
      <alignment horizontal="center" vertical="center" wrapText="1"/>
    </xf>
    <xf numFmtId="2" fontId="68" fillId="24" borderId="36" xfId="0" applyNumberFormat="1" applyFont="1" applyFill="1" applyBorder="1" applyAlignment="1" applyProtection="1">
      <alignment horizontal="right" vertical="center"/>
      <protection locked="0"/>
    </xf>
    <xf numFmtId="0" fontId="60" fillId="0" borderId="12" xfId="0" applyFont="1" applyBorder="1" applyAlignment="1" applyProtection="1">
      <alignment horizontal="left" vertical="center" wrapText="1"/>
      <protection locked="0"/>
    </xf>
    <xf numFmtId="0" fontId="81" fillId="24" borderId="28" xfId="0" applyFont="1" applyFill="1" applyBorder="1" applyAlignment="1">
      <alignment horizontal="center" vertical="center" wrapText="1"/>
    </xf>
    <xf numFmtId="0" fontId="67" fillId="24" borderId="28" xfId="0" applyFont="1" applyFill="1" applyBorder="1" applyAlignment="1" applyProtection="1">
      <alignment horizontal="right" vertical="center"/>
      <protection locked="0"/>
    </xf>
    <xf numFmtId="0" fontId="67" fillId="24" borderId="28" xfId="0" applyFont="1" applyFill="1" applyBorder="1" applyAlignment="1" applyProtection="1">
      <alignment horizontal="center" vertical="center" wrapText="1"/>
      <protection locked="0"/>
    </xf>
    <xf numFmtId="2" fontId="67" fillId="24" borderId="28" xfId="0" applyNumberFormat="1" applyFont="1" applyFill="1" applyBorder="1" applyAlignment="1" applyProtection="1">
      <alignment horizontal="right" vertical="center" wrapText="1"/>
      <protection locked="0"/>
    </xf>
    <xf numFmtId="2" fontId="76" fillId="24" borderId="28" xfId="0" applyNumberFormat="1" applyFont="1" applyFill="1" applyBorder="1" applyAlignment="1" applyProtection="1">
      <alignment horizontal="right" vertical="center"/>
      <protection locked="0"/>
    </xf>
    <xf numFmtId="0" fontId="67" fillId="24" borderId="28" xfId="0" applyFont="1" applyFill="1" applyBorder="1" applyAlignment="1" applyProtection="1">
      <alignment horizontal="center" vertical="center"/>
      <protection locked="0"/>
    </xf>
    <xf numFmtId="43" fontId="67" fillId="24" borderId="28" xfId="78" applyFont="1" applyFill="1" applyBorder="1" applyAlignment="1" applyProtection="1">
      <alignment vertical="center"/>
      <protection locked="0"/>
    </xf>
    <xf numFmtId="43" fontId="67" fillId="24" borderId="28" xfId="78" applyFont="1" applyFill="1" applyBorder="1" applyAlignment="1" applyProtection="1">
      <alignment vertical="center"/>
    </xf>
    <xf numFmtId="169" fontId="76" fillId="24" borderId="40" xfId="0" applyNumberFormat="1" applyFont="1" applyFill="1" applyBorder="1" applyAlignment="1">
      <alignment vertical="center"/>
    </xf>
    <xf numFmtId="0" fontId="67" fillId="24" borderId="28" xfId="0" applyFont="1" applyFill="1" applyBorder="1" applyAlignment="1" applyProtection="1">
      <alignment vertical="center" wrapText="1"/>
      <protection locked="0"/>
    </xf>
    <xf numFmtId="2" fontId="67" fillId="24" borderId="36" xfId="0" applyNumberFormat="1" applyFont="1" applyFill="1" applyBorder="1" applyAlignment="1" applyProtection="1">
      <alignment horizontal="right" vertical="center"/>
      <protection locked="0"/>
    </xf>
    <xf numFmtId="43" fontId="67" fillId="0" borderId="22" xfId="78" applyFont="1" applyBorder="1" applyAlignment="1" applyProtection="1">
      <alignment vertical="center"/>
      <protection locked="0"/>
    </xf>
    <xf numFmtId="0" fontId="67" fillId="24" borderId="28" xfId="0" applyFont="1" applyFill="1" applyBorder="1" applyAlignment="1" applyProtection="1">
      <alignment horizontal="right" vertical="center" wrapText="1"/>
      <protection locked="0"/>
    </xf>
    <xf numFmtId="49" fontId="80" fillId="0" borderId="22" xfId="0" applyNumberFormat="1" applyFont="1" applyBorder="1" applyAlignment="1" applyProtection="1">
      <alignment horizontal="center" vertical="center" wrapText="1"/>
      <protection locked="0"/>
    </xf>
    <xf numFmtId="0" fontId="80" fillId="24" borderId="28" xfId="0" applyFont="1" applyFill="1" applyBorder="1" applyAlignment="1" applyProtection="1">
      <alignment horizontal="left" vertical="center"/>
      <protection locked="0"/>
    </xf>
    <xf numFmtId="0" fontId="76" fillId="24" borderId="28" xfId="0" applyFont="1" applyFill="1" applyBorder="1" applyAlignment="1" applyProtection="1">
      <alignment horizontal="right" vertical="center"/>
      <protection locked="0"/>
    </xf>
    <xf numFmtId="0" fontId="76" fillId="0" borderId="28" xfId="0" applyFont="1" applyBorder="1" applyAlignment="1" applyProtection="1">
      <alignment horizontal="center" vertical="center"/>
      <protection locked="0"/>
    </xf>
    <xf numFmtId="0" fontId="76" fillId="24" borderId="22" xfId="0" applyFont="1" applyFill="1" applyBorder="1" applyAlignment="1" applyProtection="1">
      <alignment horizontal="right" vertical="center"/>
      <protection locked="0"/>
    </xf>
    <xf numFmtId="0" fontId="76" fillId="0" borderId="36" xfId="0" applyFont="1" applyBorder="1" applyAlignment="1" applyProtection="1">
      <alignment horizontal="right" vertical="center" wrapText="1"/>
      <protection locked="0"/>
    </xf>
    <xf numFmtId="2" fontId="83" fillId="24" borderId="36" xfId="0" applyNumberFormat="1" applyFont="1" applyFill="1" applyBorder="1" applyAlignment="1" applyProtection="1">
      <alignment horizontal="right" vertical="center"/>
      <protection locked="0"/>
    </xf>
    <xf numFmtId="169" fontId="76" fillId="24" borderId="28" xfId="0" applyNumberFormat="1" applyFont="1" applyFill="1" applyBorder="1" applyAlignment="1">
      <alignment vertical="center"/>
    </xf>
    <xf numFmtId="171" fontId="67" fillId="24" borderId="22" xfId="0" applyNumberFormat="1" applyFont="1" applyFill="1" applyBorder="1" applyAlignment="1" applyProtection="1">
      <alignment horizontal="right" vertical="center"/>
      <protection locked="0"/>
    </xf>
    <xf numFmtId="169" fontId="68" fillId="24" borderId="27" xfId="0" applyNumberFormat="1" applyFont="1" applyFill="1" applyBorder="1" applyAlignment="1">
      <alignment vertical="center"/>
    </xf>
    <xf numFmtId="0" fontId="67" fillId="24" borderId="28" xfId="0" applyFont="1" applyFill="1" applyBorder="1" applyAlignment="1" applyProtection="1">
      <alignment horizontal="left" vertical="center" wrapText="1"/>
      <protection locked="0"/>
    </xf>
    <xf numFmtId="166" fontId="76" fillId="24" borderId="36" xfId="0" applyNumberFormat="1" applyFont="1" applyFill="1" applyBorder="1" applyAlignment="1" applyProtection="1">
      <alignment horizontal="right" vertical="center"/>
      <protection locked="0"/>
    </xf>
    <xf numFmtId="0" fontId="51" fillId="0" borderId="22" xfId="0" applyFont="1" applyBorder="1" applyAlignment="1" applyProtection="1">
      <alignment horizontal="center" vertical="center"/>
      <protection locked="0"/>
    </xf>
    <xf numFmtId="0" fontId="68" fillId="24" borderId="27" xfId="0" applyFont="1" applyFill="1" applyBorder="1" applyAlignment="1" applyProtection="1">
      <alignment horizontal="left" vertical="center" wrapText="1"/>
      <protection locked="0"/>
    </xf>
    <xf numFmtId="0" fontId="85" fillId="24" borderId="22" xfId="0" applyFont="1" applyFill="1" applyBorder="1" applyAlignment="1">
      <alignment horizontal="center" vertical="center" wrapText="1"/>
    </xf>
    <xf numFmtId="171" fontId="68" fillId="24" borderId="22" xfId="0" applyNumberFormat="1" applyFont="1" applyFill="1" applyBorder="1" applyAlignment="1" applyProtection="1">
      <alignment horizontal="right" vertical="center"/>
      <protection locked="0"/>
    </xf>
    <xf numFmtId="0" fontId="68" fillId="24" borderId="36" xfId="0" applyFont="1" applyFill="1" applyBorder="1" applyAlignment="1" applyProtection="1">
      <alignment horizontal="right" vertical="center" wrapText="1"/>
      <protection locked="0"/>
    </xf>
    <xf numFmtId="2" fontId="83" fillId="24" borderId="22" xfId="0" applyNumberFormat="1" applyFont="1" applyFill="1" applyBorder="1" applyAlignment="1" applyProtection="1">
      <alignment horizontal="right" vertical="center"/>
      <protection locked="0"/>
    </xf>
    <xf numFmtId="0" fontId="68" fillId="24" borderId="22" xfId="0" applyFont="1" applyFill="1" applyBorder="1" applyAlignment="1" applyProtection="1">
      <alignment horizontal="center" vertical="center"/>
      <protection locked="0"/>
    </xf>
    <xf numFmtId="43" fontId="68" fillId="24" borderId="22" xfId="78" applyFont="1" applyFill="1" applyBorder="1" applyAlignment="1" applyProtection="1">
      <alignment vertical="center"/>
    </xf>
    <xf numFmtId="0" fontId="81" fillId="24" borderId="22" xfId="0" applyFont="1" applyFill="1" applyBorder="1" applyAlignment="1" applyProtection="1">
      <alignment horizontal="center" vertical="center" wrapText="1"/>
      <protection locked="0"/>
    </xf>
    <xf numFmtId="166" fontId="67" fillId="24" borderId="36" xfId="0" applyNumberFormat="1" applyFont="1" applyFill="1" applyBorder="1" applyAlignment="1" applyProtection="1">
      <alignment horizontal="right" vertical="center"/>
      <protection locked="0"/>
    </xf>
    <xf numFmtId="0" fontId="80" fillId="0" borderId="28" xfId="0" applyFont="1" applyBorder="1" applyAlignment="1" applyProtection="1">
      <alignment horizontal="center" vertical="center" wrapText="1"/>
      <protection locked="0"/>
    </xf>
    <xf numFmtId="0" fontId="80" fillId="24" borderId="27" xfId="0" applyFont="1" applyFill="1" applyBorder="1" applyAlignment="1" applyProtection="1">
      <alignment wrapText="1"/>
      <protection locked="0"/>
    </xf>
    <xf numFmtId="0" fontId="80" fillId="24" borderId="28" xfId="0" applyFont="1" applyFill="1" applyBorder="1" applyAlignment="1">
      <alignment horizontal="center" wrapText="1"/>
    </xf>
    <xf numFmtId="0" fontId="76" fillId="24" borderId="28" xfId="0" applyFont="1" applyFill="1" applyBorder="1" applyAlignment="1" applyProtection="1">
      <alignment horizontal="right" wrapText="1"/>
      <protection locked="0"/>
    </xf>
    <xf numFmtId="2" fontId="60" fillId="24" borderId="28" xfId="0" applyNumberFormat="1" applyFont="1" applyFill="1" applyBorder="1" applyAlignment="1" applyProtection="1">
      <alignment horizontal="right" vertical="center"/>
      <protection locked="0"/>
    </xf>
    <xf numFmtId="0" fontId="67" fillId="24" borderId="28" xfId="0" applyFont="1" applyFill="1" applyBorder="1" applyAlignment="1" applyProtection="1">
      <alignment vertical="center"/>
      <protection locked="0"/>
    </xf>
    <xf numFmtId="0" fontId="67" fillId="24" borderId="28" xfId="0" applyFont="1" applyFill="1" applyBorder="1" applyAlignment="1">
      <alignment vertical="center"/>
    </xf>
    <xf numFmtId="0" fontId="67" fillId="24" borderId="28" xfId="0" applyFont="1" applyFill="1" applyBorder="1" applyAlignment="1" applyProtection="1">
      <alignment horizontal="left" vertical="center" wrapText="1" indent="2"/>
      <protection locked="0"/>
    </xf>
    <xf numFmtId="2" fontId="76" fillId="24" borderId="22" xfId="0" applyNumberFormat="1" applyFont="1" applyFill="1" applyBorder="1" applyAlignment="1" applyProtection="1">
      <alignment horizontal="right" vertical="center" wrapText="1"/>
      <protection locked="0"/>
    </xf>
    <xf numFmtId="0" fontId="67" fillId="24" borderId="28" xfId="0" applyFont="1" applyFill="1" applyBorder="1" applyAlignment="1" applyProtection="1">
      <alignment horizontal="left" wrapText="1" indent="2"/>
      <protection locked="0"/>
    </xf>
    <xf numFmtId="166" fontId="76" fillId="24" borderId="22" xfId="0" applyNumberFormat="1" applyFont="1" applyFill="1" applyBorder="1" applyAlignment="1" applyProtection="1">
      <alignment horizontal="right" vertical="center" wrapText="1"/>
      <protection locked="0"/>
    </xf>
    <xf numFmtId="2" fontId="67" fillId="24" borderId="28" xfId="0" applyNumberFormat="1" applyFont="1" applyFill="1" applyBorder="1" applyAlignment="1" applyProtection="1">
      <alignment horizontal="right" vertical="center"/>
      <protection locked="0"/>
    </xf>
    <xf numFmtId="0" fontId="67" fillId="0" borderId="22" xfId="0" applyFont="1" applyBorder="1" applyAlignment="1" applyProtection="1">
      <alignment horizontal="right" vertical="center" wrapText="1"/>
      <protection locked="0"/>
    </xf>
    <xf numFmtId="0" fontId="67" fillId="0" borderId="28" xfId="0" applyFont="1" applyBorder="1" applyAlignment="1" applyProtection="1">
      <alignment horizontal="right" vertical="center" wrapText="1"/>
      <protection locked="0"/>
    </xf>
    <xf numFmtId="49" fontId="80" fillId="0" borderId="29" xfId="0" applyNumberFormat="1" applyFont="1" applyBorder="1" applyAlignment="1" applyProtection="1">
      <alignment horizontal="center" vertical="center" wrapText="1"/>
      <protection locked="0"/>
    </xf>
    <xf numFmtId="0" fontId="84" fillId="24" borderId="27" xfId="0" applyFont="1" applyFill="1" applyBorder="1" applyAlignment="1" applyProtection="1">
      <alignment horizontal="left" vertical="center"/>
      <protection locked="0"/>
    </xf>
    <xf numFmtId="0" fontId="84" fillId="24" borderId="28" xfId="0" applyFont="1" applyFill="1" applyBorder="1" applyAlignment="1" applyProtection="1">
      <alignment horizontal="left" vertical="center"/>
      <protection locked="0"/>
    </xf>
    <xf numFmtId="0" fontId="84" fillId="24" borderId="28" xfId="0" applyFont="1" applyFill="1" applyBorder="1" applyAlignment="1">
      <alignment horizontal="center" vertical="center"/>
    </xf>
    <xf numFmtId="0" fontId="83" fillId="24" borderId="28" xfId="0" applyFont="1" applyFill="1" applyBorder="1" applyAlignment="1" applyProtection="1">
      <alignment horizontal="right" vertical="center"/>
      <protection locked="0"/>
    </xf>
    <xf numFmtId="2" fontId="76" fillId="24" borderId="36" xfId="0" applyNumberFormat="1" applyFont="1" applyFill="1" applyBorder="1" applyAlignment="1" applyProtection="1">
      <alignment horizontal="right" vertical="center" wrapText="1"/>
      <protection locked="0"/>
    </xf>
    <xf numFmtId="0" fontId="67" fillId="24" borderId="27" xfId="0" applyFont="1" applyFill="1" applyBorder="1" applyAlignment="1" applyProtection="1">
      <alignment vertical="center"/>
      <protection locked="0"/>
    </xf>
    <xf numFmtId="0" fontId="68" fillId="24" borderId="28" xfId="0" applyFont="1" applyFill="1" applyBorder="1" applyAlignment="1" applyProtection="1">
      <alignment horizontal="left" vertical="center"/>
      <protection locked="0"/>
    </xf>
    <xf numFmtId="2" fontId="68" fillId="24" borderId="22" xfId="0" applyNumberFormat="1" applyFont="1" applyFill="1" applyBorder="1" applyAlignment="1" applyProtection="1">
      <alignment horizontal="right" vertical="center"/>
      <protection locked="0"/>
    </xf>
    <xf numFmtId="0" fontId="86" fillId="0" borderId="12" xfId="0" applyFont="1" applyBorder="1" applyAlignment="1" applyProtection="1">
      <alignment horizontal="center" vertical="center" wrapText="1"/>
      <protection locked="0"/>
    </xf>
    <xf numFmtId="0" fontId="38" fillId="0" borderId="12" xfId="0" applyFont="1" applyBorder="1" applyAlignment="1" applyProtection="1">
      <alignment vertical="center"/>
      <protection locked="0"/>
    </xf>
    <xf numFmtId="172" fontId="68" fillId="24" borderId="36" xfId="0" applyNumberFormat="1" applyFont="1" applyFill="1" applyBorder="1" applyAlignment="1" applyProtection="1">
      <alignment horizontal="right" vertical="center"/>
      <protection locked="0"/>
    </xf>
    <xf numFmtId="0" fontId="68" fillId="24" borderId="28" xfId="0" applyFont="1" applyFill="1" applyBorder="1" applyAlignment="1" applyProtection="1">
      <alignment horizontal="left" vertical="center" wrapText="1"/>
      <protection locked="0"/>
    </xf>
    <xf numFmtId="166" fontId="83" fillId="24" borderId="22" xfId="0" applyNumberFormat="1" applyFont="1" applyFill="1" applyBorder="1" applyAlignment="1" applyProtection="1">
      <alignment horizontal="right" vertical="center"/>
      <protection locked="0"/>
    </xf>
    <xf numFmtId="0" fontId="80" fillId="24" borderId="27" xfId="0" applyFont="1" applyFill="1" applyBorder="1" applyAlignment="1" applyProtection="1">
      <alignment horizontal="left" vertical="center" wrapText="1"/>
      <protection locked="0"/>
    </xf>
    <xf numFmtId="0" fontId="80" fillId="24" borderId="28" xfId="0" applyFont="1" applyFill="1" applyBorder="1" applyAlignment="1" applyProtection="1">
      <alignment horizontal="left" vertical="center" wrapText="1"/>
      <protection locked="0"/>
    </xf>
    <xf numFmtId="0" fontId="80" fillId="24" borderId="28" xfId="0" applyFont="1" applyFill="1" applyBorder="1" applyAlignment="1">
      <alignment horizontal="center" vertical="center" wrapText="1"/>
    </xf>
    <xf numFmtId="0" fontId="76" fillId="24" borderId="28" xfId="0" applyFont="1" applyFill="1" applyBorder="1" applyAlignment="1" applyProtection="1">
      <alignment horizontal="right" vertical="center" wrapText="1"/>
      <protection locked="0"/>
    </xf>
    <xf numFmtId="166" fontId="67" fillId="0" borderId="36" xfId="0" applyNumberFormat="1" applyFont="1" applyBorder="1" applyAlignment="1" applyProtection="1">
      <alignment horizontal="right" vertical="center" wrapText="1"/>
      <protection locked="0"/>
    </xf>
    <xf numFmtId="0" fontId="67" fillId="24" borderId="0" xfId="0" applyFont="1" applyFill="1" applyAlignment="1" applyProtection="1">
      <alignment horizontal="left" wrapText="1" indent="2"/>
      <protection locked="0"/>
    </xf>
    <xf numFmtId="0" fontId="67" fillId="0" borderId="25" xfId="0" applyFont="1" applyBorder="1" applyAlignment="1" applyProtection="1">
      <alignment horizontal="right" vertical="center" wrapText="1"/>
      <protection locked="0"/>
    </xf>
    <xf numFmtId="2" fontId="67" fillId="24" borderId="25" xfId="0" applyNumberFormat="1" applyFont="1" applyFill="1" applyBorder="1" applyAlignment="1" applyProtection="1">
      <alignment horizontal="right" vertical="center"/>
      <protection locked="0"/>
    </xf>
    <xf numFmtId="2" fontId="68" fillId="24" borderId="25" xfId="0" applyNumberFormat="1" applyFont="1" applyFill="1" applyBorder="1" applyAlignment="1" applyProtection="1">
      <alignment horizontal="right" vertical="center"/>
      <protection locked="0"/>
    </xf>
    <xf numFmtId="0" fontId="67" fillId="24" borderId="28" xfId="0" applyFont="1" applyFill="1" applyBorder="1" applyAlignment="1" applyProtection="1">
      <alignment wrapText="1"/>
      <protection locked="0"/>
    </xf>
    <xf numFmtId="2" fontId="68" fillId="24" borderId="28" xfId="0" applyNumberFormat="1" applyFont="1" applyFill="1" applyBorder="1" applyAlignment="1" applyProtection="1">
      <alignment horizontal="right" vertical="center"/>
      <protection locked="0"/>
    </xf>
    <xf numFmtId="169" fontId="67" fillId="24" borderId="28" xfId="0" applyNumberFormat="1" applyFont="1" applyFill="1" applyBorder="1" applyAlignment="1">
      <alignment vertical="center"/>
    </xf>
    <xf numFmtId="49" fontId="67" fillId="24" borderId="27" xfId="0" applyNumberFormat="1" applyFont="1" applyFill="1" applyBorder="1" applyAlignment="1" applyProtection="1">
      <alignment horizontal="left" vertical="center"/>
      <protection locked="0"/>
    </xf>
    <xf numFmtId="0" fontId="80" fillId="24" borderId="27" xfId="0" applyFont="1" applyFill="1" applyBorder="1" applyAlignment="1" applyProtection="1">
      <alignment horizontal="centerContinuous" vertical="center"/>
      <protection locked="0"/>
    </xf>
    <xf numFmtId="0" fontId="80" fillId="24" borderId="28" xfId="0" applyFont="1" applyFill="1" applyBorder="1" applyAlignment="1" applyProtection="1">
      <alignment horizontal="centerContinuous" vertical="center"/>
      <protection locked="0"/>
    </xf>
    <xf numFmtId="0" fontId="80" fillId="24" borderId="28" xfId="0" applyFont="1" applyFill="1" applyBorder="1" applyAlignment="1">
      <alignment horizontal="center" vertical="center"/>
    </xf>
    <xf numFmtId="2" fontId="80" fillId="24" borderId="28" xfId="0" applyNumberFormat="1" applyFont="1" applyFill="1" applyBorder="1" applyAlignment="1" applyProtection="1">
      <alignment horizontal="right" vertical="center" wrapText="1"/>
      <protection locked="0"/>
    </xf>
    <xf numFmtId="2" fontId="76" fillId="24" borderId="28" xfId="0" applyNumberFormat="1" applyFont="1" applyFill="1" applyBorder="1" applyAlignment="1" applyProtection="1">
      <alignment horizontal="right" vertical="center" wrapText="1"/>
      <protection locked="0"/>
    </xf>
    <xf numFmtId="2" fontId="68" fillId="24" borderId="36" xfId="0" applyNumberFormat="1" applyFont="1" applyFill="1" applyBorder="1" applyAlignment="1" applyProtection="1">
      <alignment horizontal="right" vertical="center" wrapText="1"/>
      <protection locked="0"/>
    </xf>
    <xf numFmtId="0" fontId="87" fillId="0" borderId="12" xfId="0" applyFont="1" applyBorder="1" applyAlignment="1" applyProtection="1">
      <alignment horizontal="left" vertical="center" wrapText="1"/>
      <protection locked="0"/>
    </xf>
    <xf numFmtId="0" fontId="60" fillId="0" borderId="12" xfId="0" applyFont="1" applyBorder="1" applyAlignment="1" applyProtection="1">
      <alignment horizontal="center" vertical="center" wrapText="1"/>
      <protection locked="0"/>
    </xf>
    <xf numFmtId="0" fontId="60" fillId="0" borderId="0" xfId="0" applyFont="1" applyAlignment="1" applyProtection="1">
      <alignment horizontal="center" vertical="center" wrapText="1"/>
      <protection locked="0"/>
    </xf>
    <xf numFmtId="173" fontId="68" fillId="24" borderId="28" xfId="0" applyNumberFormat="1" applyFont="1" applyFill="1" applyBorder="1" applyAlignment="1" applyProtection="1">
      <alignment horizontal="left" vertical="center" wrapText="1"/>
      <protection locked="0"/>
    </xf>
    <xf numFmtId="0" fontId="68" fillId="24" borderId="22" xfId="0" applyFont="1" applyFill="1" applyBorder="1" applyAlignment="1" applyProtection="1">
      <alignment horizontal="right" vertical="center"/>
      <protection locked="0"/>
    </xf>
    <xf numFmtId="166" fontId="83" fillId="24" borderId="22" xfId="0" applyNumberFormat="1" applyFont="1" applyFill="1" applyBorder="1" applyAlignment="1" applyProtection="1">
      <alignment horizontal="right" vertical="center" wrapText="1"/>
      <protection locked="0"/>
    </xf>
    <xf numFmtId="43" fontId="68" fillId="0" borderId="22" xfId="78" applyFont="1" applyBorder="1" applyAlignment="1" applyProtection="1">
      <alignment vertical="center"/>
      <protection locked="0"/>
    </xf>
    <xf numFmtId="0" fontId="69" fillId="0" borderId="0" xfId="0" applyFont="1" applyAlignment="1" applyProtection="1">
      <alignment wrapText="1"/>
      <protection locked="0"/>
    </xf>
    <xf numFmtId="0" fontId="61" fillId="0" borderId="0" xfId="0" applyFont="1" applyAlignment="1" applyProtection="1">
      <alignment horizontal="center" vertical="center"/>
      <protection locked="0"/>
    </xf>
    <xf numFmtId="0" fontId="67" fillId="0" borderId="30" xfId="0" applyFont="1" applyBorder="1" applyAlignment="1" applyProtection="1">
      <alignment horizontal="left" vertical="center"/>
      <protection locked="0"/>
    </xf>
    <xf numFmtId="0" fontId="88" fillId="0" borderId="30" xfId="0" applyFont="1" applyBorder="1" applyAlignment="1" applyProtection="1">
      <alignment horizontal="left" vertical="center" wrapText="1"/>
      <protection locked="0"/>
    </xf>
    <xf numFmtId="0" fontId="68" fillId="0" borderId="30" xfId="0" applyFont="1" applyBorder="1" applyAlignment="1" applyProtection="1">
      <alignment horizontal="left" vertical="center"/>
      <protection locked="0"/>
    </xf>
    <xf numFmtId="0" fontId="81" fillId="0" borderId="30" xfId="0" applyFont="1" applyBorder="1" applyAlignment="1">
      <alignment horizontal="center" vertical="center" wrapText="1"/>
    </xf>
    <xf numFmtId="171" fontId="67" fillId="0" borderId="30" xfId="0" applyNumberFormat="1" applyFont="1" applyBorder="1" applyAlignment="1" applyProtection="1">
      <alignment horizontal="right" vertical="center"/>
      <protection locked="0"/>
    </xf>
    <xf numFmtId="0" fontId="67" fillId="0" borderId="30" xfId="0" applyFont="1" applyBorder="1" applyAlignment="1" applyProtection="1">
      <alignment horizontal="right" vertical="center" wrapText="1"/>
      <protection locked="0"/>
    </xf>
    <xf numFmtId="2" fontId="67" fillId="0" borderId="30" xfId="0" applyNumberFormat="1" applyFont="1" applyBorder="1" applyAlignment="1" applyProtection="1">
      <alignment horizontal="right" vertical="center" wrapText="1"/>
      <protection locked="0"/>
    </xf>
    <xf numFmtId="2" fontId="76" fillId="0" borderId="30" xfId="0" applyNumberFormat="1" applyFont="1" applyBorder="1" applyAlignment="1" applyProtection="1">
      <alignment horizontal="right" vertical="center" wrapText="1"/>
      <protection locked="0"/>
    </xf>
    <xf numFmtId="0" fontId="67" fillId="0" borderId="30" xfId="0" applyFont="1" applyBorder="1" applyAlignment="1" applyProtection="1">
      <alignment horizontal="center" vertical="center"/>
      <protection locked="0"/>
    </xf>
    <xf numFmtId="43" fontId="67" fillId="0" borderId="30" xfId="78" applyFont="1" applyBorder="1" applyAlignment="1" applyProtection="1">
      <alignment vertical="center"/>
      <protection locked="0"/>
    </xf>
    <xf numFmtId="43" fontId="67" fillId="0" borderId="30" xfId="78" applyFont="1" applyBorder="1" applyAlignment="1" applyProtection="1">
      <alignment vertical="center"/>
    </xf>
    <xf numFmtId="169" fontId="67" fillId="0" borderId="41" xfId="0" applyNumberFormat="1" applyFont="1" applyBorder="1" applyAlignment="1">
      <alignment vertical="center"/>
    </xf>
    <xf numFmtId="0" fontId="61" fillId="0" borderId="0" xfId="0" applyFont="1" applyAlignment="1" applyProtection="1">
      <alignment vertical="center"/>
      <protection locked="0"/>
    </xf>
    <xf numFmtId="0" fontId="47" fillId="34" borderId="0" xfId="0" applyFont="1" applyFill="1" applyAlignment="1" applyProtection="1">
      <alignment vertical="center"/>
      <protection locked="0"/>
    </xf>
    <xf numFmtId="0" fontId="89" fillId="34" borderId="38" xfId="0" applyFont="1" applyFill="1" applyBorder="1" applyAlignment="1" applyProtection="1">
      <alignment vertical="center"/>
      <protection locked="0"/>
    </xf>
    <xf numFmtId="2" fontId="90" fillId="34" borderId="38" xfId="0" applyNumberFormat="1" applyFont="1" applyFill="1" applyBorder="1" applyAlignment="1" applyProtection="1">
      <alignment horizontal="right" vertical="center"/>
      <protection locked="0"/>
    </xf>
    <xf numFmtId="0" fontId="89" fillId="34" borderId="38" xfId="0" applyFont="1" applyFill="1" applyBorder="1" applyAlignment="1">
      <alignment vertical="center"/>
    </xf>
    <xf numFmtId="43" fontId="91" fillId="34" borderId="38" xfId="78" applyFont="1" applyFill="1" applyBorder="1" applyAlignment="1" applyProtection="1">
      <alignment horizontal="right" vertical="center"/>
      <protection locked="0"/>
    </xf>
    <xf numFmtId="2" fontId="89" fillId="34" borderId="38" xfId="0" applyNumberFormat="1" applyFont="1" applyFill="1" applyBorder="1" applyAlignment="1" applyProtection="1">
      <alignment horizontal="left" vertical="center"/>
      <protection locked="0"/>
    </xf>
    <xf numFmtId="43" fontId="77" fillId="34" borderId="38" xfId="78" applyFont="1" applyFill="1" applyBorder="1" applyAlignment="1" applyProtection="1">
      <alignment horizontal="right" vertical="center"/>
      <protection locked="0"/>
    </xf>
    <xf numFmtId="7" fontId="91" fillId="34" borderId="38" xfId="0" applyNumberFormat="1" applyFont="1" applyFill="1" applyBorder="1" applyAlignment="1" applyProtection="1">
      <alignment vertical="center"/>
      <protection locked="0"/>
    </xf>
    <xf numFmtId="43" fontId="77" fillId="34" borderId="38" xfId="78" applyFont="1" applyFill="1" applyBorder="1" applyAlignment="1" applyProtection="1">
      <alignment horizontal="right" vertical="center"/>
    </xf>
    <xf numFmtId="7" fontId="91" fillId="34" borderId="38" xfId="0" applyNumberFormat="1" applyFont="1" applyFill="1" applyBorder="1" applyAlignment="1">
      <alignment vertical="center"/>
    </xf>
    <xf numFmtId="4" fontId="92" fillId="0" borderId="12" xfId="0" applyNumberFormat="1" applyFont="1" applyBorder="1" applyAlignment="1" applyProtection="1">
      <alignment horizontal="left" vertical="center" wrapText="1"/>
      <protection locked="0"/>
    </xf>
    <xf numFmtId="4" fontId="93" fillId="0" borderId="12" xfId="0" applyNumberFormat="1" applyFont="1" applyBorder="1" applyAlignment="1" applyProtection="1">
      <alignment horizontal="center" vertical="center" wrapText="1"/>
      <protection locked="0"/>
    </xf>
    <xf numFmtId="0" fontId="93" fillId="0" borderId="12" xfId="0" applyFont="1" applyBorder="1" applyAlignment="1" applyProtection="1">
      <alignment horizontal="center" vertical="center" wrapText="1"/>
      <protection locked="0"/>
    </xf>
    <xf numFmtId="0" fontId="89" fillId="34" borderId="28" xfId="0" applyFont="1" applyFill="1" applyBorder="1" applyAlignment="1" applyProtection="1">
      <alignment vertical="center"/>
      <protection locked="0"/>
    </xf>
    <xf numFmtId="2" fontId="85" fillId="34" borderId="28" xfId="0" applyNumberFormat="1" applyFont="1" applyFill="1" applyBorder="1" applyAlignment="1" applyProtection="1">
      <alignment horizontal="right" vertical="center"/>
      <protection locked="0"/>
    </xf>
    <xf numFmtId="0" fontId="85" fillId="34" borderId="28" xfId="0" applyFont="1" applyFill="1" applyBorder="1" applyAlignment="1">
      <alignment vertical="center"/>
    </xf>
    <xf numFmtId="171" fontId="81" fillId="34" borderId="28" xfId="0" applyNumberFormat="1" applyFont="1" applyFill="1" applyBorder="1" applyAlignment="1" applyProtection="1">
      <alignment horizontal="right" vertical="center"/>
      <protection locked="0"/>
    </xf>
    <xf numFmtId="0" fontId="85" fillId="34" borderId="28" xfId="0" applyFont="1" applyFill="1" applyBorder="1" applyAlignment="1" applyProtection="1">
      <alignment vertical="center"/>
      <protection locked="0"/>
    </xf>
    <xf numFmtId="2" fontId="85" fillId="34" borderId="28" xfId="0" applyNumberFormat="1" applyFont="1" applyFill="1" applyBorder="1" applyAlignment="1" applyProtection="1">
      <alignment horizontal="left" vertical="center"/>
      <protection locked="0"/>
    </xf>
    <xf numFmtId="2" fontId="85" fillId="34" borderId="28" xfId="0" applyNumberFormat="1" applyFont="1" applyFill="1" applyBorder="1" applyAlignment="1" applyProtection="1">
      <alignment horizontal="center" vertical="center"/>
      <protection locked="0"/>
    </xf>
    <xf numFmtId="7" fontId="81" fillId="34" borderId="28" xfId="0" applyNumberFormat="1" applyFont="1" applyFill="1" applyBorder="1" applyAlignment="1" applyProtection="1">
      <alignment vertical="center"/>
      <protection locked="0"/>
    </xf>
    <xf numFmtId="43" fontId="81" fillId="34" borderId="28" xfId="78" applyFont="1" applyFill="1" applyBorder="1" applyAlignment="1" applyProtection="1">
      <alignment vertical="center"/>
    </xf>
    <xf numFmtId="7" fontId="81" fillId="34" borderId="28" xfId="0" applyNumberFormat="1" applyFont="1" applyFill="1" applyBorder="1" applyAlignment="1">
      <alignment vertical="center"/>
    </xf>
    <xf numFmtId="0" fontId="89" fillId="34" borderId="30" xfId="0" applyFont="1" applyFill="1" applyBorder="1" applyAlignment="1" applyProtection="1">
      <alignment vertical="center"/>
      <protection locked="0"/>
    </xf>
    <xf numFmtId="2" fontId="85" fillId="34" borderId="30" xfId="0" applyNumberFormat="1" applyFont="1" applyFill="1" applyBorder="1" applyAlignment="1" applyProtection="1">
      <alignment horizontal="right" vertical="center"/>
      <protection locked="0"/>
    </xf>
    <xf numFmtId="0" fontId="85" fillId="34" borderId="30" xfId="0" applyFont="1" applyFill="1" applyBorder="1" applyAlignment="1">
      <alignment vertical="center"/>
    </xf>
    <xf numFmtId="171" fontId="81" fillId="34" borderId="30" xfId="0" applyNumberFormat="1" applyFont="1" applyFill="1" applyBorder="1" applyAlignment="1" applyProtection="1">
      <alignment horizontal="right" vertical="center"/>
      <protection locked="0"/>
    </xf>
    <xf numFmtId="0" fontId="85" fillId="34" borderId="30" xfId="0" applyFont="1" applyFill="1" applyBorder="1" applyAlignment="1" applyProtection="1">
      <alignment vertical="center"/>
      <protection locked="0"/>
    </xf>
    <xf numFmtId="0" fontId="94" fillId="34" borderId="30" xfId="0" applyFont="1" applyFill="1" applyBorder="1" applyAlignment="1" applyProtection="1">
      <alignment horizontal="right" vertical="center"/>
      <protection locked="0"/>
    </xf>
    <xf numFmtId="2" fontId="94" fillId="34" borderId="30" xfId="0" applyNumberFormat="1" applyFont="1" applyFill="1" applyBorder="1" applyAlignment="1" applyProtection="1">
      <alignment horizontal="right" vertical="center"/>
      <protection locked="0"/>
    </xf>
    <xf numFmtId="2" fontId="85" fillId="34" borderId="30" xfId="0" applyNumberFormat="1" applyFont="1" applyFill="1" applyBorder="1" applyAlignment="1" applyProtection="1">
      <alignment horizontal="center" vertical="center"/>
      <protection locked="0"/>
    </xf>
    <xf numFmtId="7" fontId="81" fillId="34" borderId="30" xfId="0" applyNumberFormat="1" applyFont="1" applyFill="1" applyBorder="1" applyAlignment="1" applyProtection="1">
      <alignment vertical="center"/>
      <protection locked="0"/>
    </xf>
    <xf numFmtId="43" fontId="81" fillId="34" borderId="30" xfId="78" applyFont="1" applyFill="1" applyBorder="1" applyAlignment="1" applyProtection="1">
      <alignment vertical="center"/>
    </xf>
    <xf numFmtId="4" fontId="81" fillId="34" borderId="30" xfId="0" applyNumberFormat="1" applyFont="1" applyFill="1" applyBorder="1" applyAlignment="1">
      <alignment vertical="center"/>
    </xf>
    <xf numFmtId="0" fontId="38" fillId="0" borderId="12" xfId="0" applyFont="1" applyBorder="1" applyAlignment="1" applyProtection="1">
      <alignment horizontal="center" vertical="center" wrapText="1"/>
      <protection locked="0"/>
    </xf>
    <xf numFmtId="166" fontId="85" fillId="34" borderId="28" xfId="0" applyNumberFormat="1" applyFont="1" applyFill="1" applyBorder="1" applyAlignment="1" applyProtection="1">
      <alignment horizontal="right" vertical="center"/>
      <protection locked="0"/>
    </xf>
    <xf numFmtId="169" fontId="92" fillId="0" borderId="12" xfId="0" applyNumberFormat="1" applyFont="1" applyBorder="1" applyAlignment="1" applyProtection="1">
      <alignment horizontal="left" vertical="center" wrapText="1"/>
      <protection locked="0"/>
    </xf>
    <xf numFmtId="0" fontId="76" fillId="24" borderId="28" xfId="0" applyFont="1" applyFill="1" applyBorder="1" applyAlignment="1">
      <alignment vertical="center"/>
    </xf>
    <xf numFmtId="0" fontId="81" fillId="24" borderId="27" xfId="0" applyFont="1" applyFill="1" applyBorder="1" applyAlignment="1" applyProtection="1">
      <alignment horizontal="left" vertical="center" wrapText="1"/>
      <protection locked="0"/>
    </xf>
    <xf numFmtId="2" fontId="76" fillId="0" borderId="22" xfId="0" applyNumberFormat="1" applyFont="1" applyBorder="1" applyAlignment="1" applyProtection="1">
      <alignment horizontal="right" vertical="center" wrapText="1"/>
      <protection locked="0"/>
    </xf>
    <xf numFmtId="0" fontId="67" fillId="24" borderId="28" xfId="0" applyFont="1" applyFill="1" applyBorder="1" applyAlignment="1" applyProtection="1">
      <alignment horizontal="left"/>
      <protection locked="0"/>
    </xf>
    <xf numFmtId="0" fontId="61" fillId="0" borderId="27" xfId="0" applyFont="1" applyBorder="1" applyAlignment="1" applyProtection="1">
      <alignment horizontal="center" vertical="center"/>
      <protection locked="0"/>
    </xf>
    <xf numFmtId="49" fontId="61" fillId="0" borderId="0" xfId="0" applyNumberFormat="1" applyFont="1" applyAlignment="1" applyProtection="1">
      <alignment horizontal="center" vertical="center"/>
      <protection locked="0"/>
    </xf>
    <xf numFmtId="0" fontId="67" fillId="0" borderId="30" xfId="0" applyFont="1" applyBorder="1" applyAlignment="1" applyProtection="1">
      <alignment wrapText="1"/>
      <protection locked="0"/>
    </xf>
    <xf numFmtId="1" fontId="68" fillId="0" borderId="30" xfId="0" applyNumberFormat="1" applyFont="1" applyBorder="1" applyAlignment="1" applyProtection="1">
      <alignment horizontal="right" vertical="center" wrapText="1"/>
      <protection locked="0"/>
    </xf>
    <xf numFmtId="2" fontId="76" fillId="0" borderId="30" xfId="0" applyNumberFormat="1" applyFont="1" applyBorder="1" applyAlignment="1" applyProtection="1">
      <alignment horizontal="right" vertical="center"/>
      <protection locked="0"/>
    </xf>
    <xf numFmtId="2" fontId="38" fillId="0" borderId="12" xfId="0" applyNumberFormat="1" applyFont="1" applyBorder="1" applyAlignment="1" applyProtection="1">
      <alignment horizontal="left" vertical="center" wrapText="1"/>
      <protection locked="0"/>
    </xf>
    <xf numFmtId="0" fontId="90" fillId="34" borderId="38" xfId="0" applyFont="1" applyFill="1" applyBorder="1" applyAlignment="1" applyProtection="1">
      <alignment horizontal="right" vertical="center"/>
      <protection locked="0"/>
    </xf>
    <xf numFmtId="171" fontId="91" fillId="34" borderId="38" xfId="0" applyNumberFormat="1" applyFont="1" applyFill="1" applyBorder="1" applyAlignment="1" applyProtection="1">
      <alignment horizontal="right" vertical="center"/>
      <protection locked="0"/>
    </xf>
    <xf numFmtId="2" fontId="89" fillId="34" borderId="38" xfId="0" applyNumberFormat="1" applyFont="1" applyFill="1" applyBorder="1" applyAlignment="1" applyProtection="1">
      <alignment vertical="center"/>
      <protection locked="0"/>
    </xf>
    <xf numFmtId="43" fontId="95" fillId="34" borderId="38" xfId="78" applyFont="1" applyFill="1" applyBorder="1" applyAlignment="1" applyProtection="1">
      <alignment vertical="center"/>
      <protection locked="0"/>
    </xf>
    <xf numFmtId="43" fontId="95" fillId="34" borderId="38" xfId="78" applyFont="1" applyFill="1" applyBorder="1" applyAlignment="1" applyProtection="1">
      <alignment vertical="center"/>
    </xf>
    <xf numFmtId="0" fontId="51" fillId="0" borderId="12" xfId="0" applyFont="1" applyBorder="1" applyAlignment="1" applyProtection="1">
      <alignment horizontal="left" vertical="center" wrapText="1"/>
      <protection locked="0"/>
    </xf>
    <xf numFmtId="0" fontId="85" fillId="34" borderId="38" xfId="0" applyFont="1" applyFill="1" applyBorder="1" applyAlignment="1">
      <alignment vertical="center"/>
    </xf>
    <xf numFmtId="171" fontId="81" fillId="34" borderId="38" xfId="0" applyNumberFormat="1" applyFont="1" applyFill="1" applyBorder="1" applyAlignment="1" applyProtection="1">
      <alignment horizontal="right" vertical="center"/>
      <protection locked="0"/>
    </xf>
    <xf numFmtId="0" fontId="85" fillId="34" borderId="38" xfId="0" applyFont="1" applyFill="1" applyBorder="1" applyAlignment="1" applyProtection="1">
      <alignment vertical="center"/>
      <protection locked="0"/>
    </xf>
    <xf numFmtId="2" fontId="85" fillId="34" borderId="38" xfId="0" applyNumberFormat="1" applyFont="1" applyFill="1" applyBorder="1" applyAlignment="1" applyProtection="1">
      <alignment vertical="center"/>
      <protection locked="0"/>
    </xf>
    <xf numFmtId="0" fontId="85" fillId="34" borderId="38" xfId="0" applyFont="1" applyFill="1" applyBorder="1" applyAlignment="1" applyProtection="1">
      <alignment horizontal="center" vertical="center"/>
      <protection locked="0"/>
    </xf>
    <xf numFmtId="43" fontId="81" fillId="34" borderId="38" xfId="78" applyFont="1" applyFill="1" applyBorder="1" applyAlignment="1" applyProtection="1">
      <alignment vertical="center"/>
      <protection locked="0"/>
    </xf>
    <xf numFmtId="43" fontId="81" fillId="34" borderId="38" xfId="78" applyFont="1" applyFill="1" applyBorder="1" applyAlignment="1" applyProtection="1">
      <alignment vertical="center"/>
    </xf>
    <xf numFmtId="0" fontId="92" fillId="0" borderId="12" xfId="0" applyFont="1" applyBorder="1" applyAlignment="1" applyProtection="1">
      <alignment horizontal="left" vertical="center" wrapText="1"/>
      <protection locked="0"/>
    </xf>
    <xf numFmtId="0" fontId="55" fillId="34" borderId="28" xfId="0" applyFont="1" applyFill="1" applyBorder="1" applyAlignment="1" applyProtection="1">
      <alignment vertical="center"/>
      <protection locked="0"/>
    </xf>
    <xf numFmtId="171" fontId="85" fillId="34" borderId="38" xfId="0" applyNumberFormat="1" applyFont="1" applyFill="1" applyBorder="1" applyAlignment="1" applyProtection="1">
      <alignment horizontal="right" vertical="center"/>
      <protection locked="0"/>
    </xf>
    <xf numFmtId="166" fontId="85" fillId="34" borderId="38" xfId="0" applyNumberFormat="1" applyFont="1" applyFill="1" applyBorder="1" applyAlignment="1" applyProtection="1">
      <alignment vertical="center"/>
      <protection locked="0"/>
    </xf>
    <xf numFmtId="43" fontId="85" fillId="34" borderId="38" xfId="78" applyFont="1" applyFill="1" applyBorder="1" applyAlignment="1" applyProtection="1">
      <alignment vertical="center"/>
      <protection locked="0"/>
    </xf>
    <xf numFmtId="43" fontId="85" fillId="34" borderId="38" xfId="78" applyFont="1" applyFill="1" applyBorder="1" applyAlignment="1" applyProtection="1">
      <alignment vertical="center"/>
    </xf>
    <xf numFmtId="7" fontId="85" fillId="34" borderId="38" xfId="0" applyNumberFormat="1" applyFont="1" applyFill="1" applyBorder="1" applyAlignment="1">
      <alignment vertical="center"/>
    </xf>
    <xf numFmtId="0" fontId="75" fillId="24" borderId="35" xfId="0" applyFont="1" applyFill="1" applyBorder="1" applyAlignment="1" applyProtection="1">
      <alignment horizontal="center" vertical="center"/>
      <protection locked="0"/>
    </xf>
    <xf numFmtId="49" fontId="80" fillId="0" borderId="29" xfId="0" applyNumberFormat="1" applyFont="1" applyBorder="1" applyAlignment="1" applyProtection="1">
      <alignment horizontal="center" vertical="center"/>
      <protection locked="0"/>
    </xf>
    <xf numFmtId="0" fontId="83" fillId="24" borderId="33" xfId="0" applyFont="1" applyFill="1" applyBorder="1" applyAlignment="1" applyProtection="1">
      <alignment vertical="center" wrapText="1"/>
      <protection locked="0"/>
    </xf>
    <xf numFmtId="0" fontId="76" fillId="24" borderId="38" xfId="0" applyFont="1" applyFill="1" applyBorder="1" applyAlignment="1" applyProtection="1">
      <alignment vertical="center"/>
      <protection locked="0"/>
    </xf>
    <xf numFmtId="0" fontId="76" fillId="24" borderId="38" xfId="0" applyFont="1" applyFill="1" applyBorder="1" applyAlignment="1">
      <alignment vertical="center"/>
    </xf>
    <xf numFmtId="0" fontId="67" fillId="24" borderId="38" xfId="0" applyFont="1" applyFill="1" applyBorder="1" applyAlignment="1" applyProtection="1">
      <alignment horizontal="right" vertical="center"/>
      <protection locked="0"/>
    </xf>
    <xf numFmtId="2" fontId="76" fillId="24" borderId="38" xfId="0" applyNumberFormat="1" applyFont="1" applyFill="1" applyBorder="1" applyAlignment="1" applyProtection="1">
      <alignment vertical="center"/>
      <protection locked="0"/>
    </xf>
    <xf numFmtId="0" fontId="76" fillId="24" borderId="38" xfId="0" applyFont="1" applyFill="1" applyBorder="1" applyAlignment="1" applyProtection="1">
      <alignment horizontal="center" vertical="center"/>
      <protection locked="0"/>
    </xf>
    <xf numFmtId="0" fontId="67" fillId="24" borderId="38" xfId="0" applyFont="1" applyFill="1" applyBorder="1" applyAlignment="1" applyProtection="1">
      <alignment vertical="center"/>
      <protection locked="0"/>
    </xf>
    <xf numFmtId="0" fontId="67" fillId="24" borderId="38" xfId="0" applyFont="1" applyFill="1" applyBorder="1" applyAlignment="1">
      <alignment vertical="center"/>
    </xf>
    <xf numFmtId="0" fontId="67" fillId="24" borderId="28" xfId="0" applyFont="1" applyFill="1" applyBorder="1" applyProtection="1">
      <protection locked="0"/>
    </xf>
    <xf numFmtId="43" fontId="67" fillId="24" borderId="29" xfId="78" applyFont="1" applyFill="1" applyBorder="1" applyAlignment="1" applyProtection="1">
      <alignment vertical="center"/>
      <protection locked="0"/>
    </xf>
    <xf numFmtId="43" fontId="67" fillId="24" borderId="30" xfId="78" applyFont="1" applyFill="1" applyBorder="1" applyAlignment="1" applyProtection="1">
      <alignment vertical="center"/>
    </xf>
    <xf numFmtId="169" fontId="76" fillId="24" borderId="41" xfId="0" applyNumberFormat="1" applyFont="1" applyFill="1" applyBorder="1" applyAlignment="1">
      <alignment vertical="center"/>
    </xf>
    <xf numFmtId="43" fontId="67" fillId="24" borderId="33" xfId="78" applyFont="1" applyFill="1" applyBorder="1" applyAlignment="1" applyProtection="1">
      <alignment vertical="center"/>
      <protection locked="0"/>
    </xf>
    <xf numFmtId="43" fontId="67" fillId="24" borderId="38" xfId="78" applyFont="1" applyFill="1" applyBorder="1" applyAlignment="1" applyProtection="1">
      <alignment vertical="center"/>
    </xf>
    <xf numFmtId="169" fontId="76" fillId="24" borderId="42" xfId="0" applyNumberFormat="1" applyFont="1" applyFill="1" applyBorder="1" applyAlignment="1">
      <alignment vertical="center"/>
    </xf>
    <xf numFmtId="0" fontId="80" fillId="24" borderId="28" xfId="0" applyFont="1" applyFill="1" applyBorder="1" applyAlignment="1" applyProtection="1">
      <alignment horizontal="center" vertical="center"/>
      <protection locked="0"/>
    </xf>
    <xf numFmtId="1" fontId="68" fillId="24" borderId="36" xfId="0" applyNumberFormat="1" applyFont="1" applyFill="1" applyBorder="1" applyAlignment="1" applyProtection="1">
      <alignment horizontal="right" vertical="center" wrapText="1"/>
      <protection locked="0"/>
    </xf>
    <xf numFmtId="0" fontId="90" fillId="34" borderId="28" xfId="0" applyFont="1" applyFill="1" applyBorder="1" applyAlignment="1" applyProtection="1">
      <alignment horizontal="right" vertical="center"/>
      <protection locked="0"/>
    </xf>
    <xf numFmtId="0" fontId="89" fillId="34" borderId="28" xfId="0" applyFont="1" applyFill="1" applyBorder="1" applyAlignment="1">
      <alignment vertical="center"/>
    </xf>
    <xf numFmtId="171" fontId="91" fillId="34" borderId="28" xfId="0" applyNumberFormat="1" applyFont="1" applyFill="1" applyBorder="1" applyAlignment="1" applyProtection="1">
      <alignment horizontal="right" vertical="center"/>
      <protection locked="0"/>
    </xf>
    <xf numFmtId="2" fontId="89" fillId="34" borderId="28" xfId="0" applyNumberFormat="1" applyFont="1" applyFill="1" applyBorder="1" applyAlignment="1" applyProtection="1">
      <alignment vertical="center"/>
      <protection locked="0"/>
    </xf>
    <xf numFmtId="43" fontId="95" fillId="34" borderId="28" xfId="78" applyFont="1" applyFill="1" applyBorder="1" applyAlignment="1" applyProtection="1">
      <alignment vertical="center"/>
      <protection locked="0"/>
    </xf>
    <xf numFmtId="43" fontId="95" fillId="34" borderId="28" xfId="78" applyFont="1" applyFill="1" applyBorder="1" applyAlignment="1" applyProtection="1">
      <alignment vertical="center"/>
    </xf>
    <xf numFmtId="7" fontId="91" fillId="34" borderId="28" xfId="0" applyNumberFormat="1" applyFont="1" applyFill="1" applyBorder="1" applyAlignment="1">
      <alignment vertical="center"/>
    </xf>
    <xf numFmtId="2" fontId="85" fillId="34" borderId="38" xfId="0" applyNumberFormat="1" applyFont="1" applyFill="1" applyBorder="1" applyAlignment="1" applyProtection="1">
      <alignment horizontal="right" vertical="center"/>
      <protection locked="0"/>
    </xf>
    <xf numFmtId="7" fontId="81" fillId="34" borderId="38" xfId="0" applyNumberFormat="1" applyFont="1" applyFill="1" applyBorder="1" applyAlignment="1">
      <alignment vertical="center"/>
    </xf>
    <xf numFmtId="43" fontId="81" fillId="34" borderId="38" xfId="78" applyFont="1" applyFill="1" applyBorder="1" applyAlignment="1" applyProtection="1">
      <alignment horizontal="center" vertical="center"/>
      <protection locked="0"/>
    </xf>
    <xf numFmtId="0" fontId="76" fillId="24" borderId="35" xfId="0" applyFont="1" applyFill="1" applyBorder="1" applyAlignment="1" applyProtection="1">
      <alignment horizontal="left" vertical="center" wrapText="1"/>
      <protection locked="0"/>
    </xf>
    <xf numFmtId="49" fontId="61" fillId="0" borderId="23" xfId="0" applyNumberFormat="1" applyFont="1" applyBorder="1" applyAlignment="1" applyProtection="1">
      <alignment horizontal="center" vertical="center"/>
      <protection locked="0"/>
    </xf>
    <xf numFmtId="49" fontId="67" fillId="24" borderId="29" xfId="0" applyNumberFormat="1" applyFont="1" applyFill="1" applyBorder="1" applyAlignment="1" applyProtection="1">
      <alignment horizontal="left" vertical="center" wrapText="1"/>
      <protection locked="0"/>
    </xf>
    <xf numFmtId="0" fontId="81" fillId="24" borderId="29" xfId="0" applyFont="1" applyFill="1" applyBorder="1" applyAlignment="1" applyProtection="1">
      <alignment horizontal="right" vertical="center"/>
      <protection locked="0"/>
    </xf>
    <xf numFmtId="0" fontId="81" fillId="0" borderId="30" xfId="0" applyFont="1" applyBorder="1" applyAlignment="1" applyProtection="1">
      <alignment horizontal="centerContinuous" vertical="center" wrapText="1"/>
      <protection locked="0"/>
    </xf>
    <xf numFmtId="0" fontId="80" fillId="24" borderId="30" xfId="0" applyFont="1" applyFill="1" applyBorder="1" applyAlignment="1" applyProtection="1">
      <alignment horizontal="center" vertical="center"/>
      <protection locked="0"/>
    </xf>
    <xf numFmtId="0" fontId="76" fillId="24" borderId="30" xfId="0" applyFont="1" applyFill="1" applyBorder="1" applyAlignment="1" applyProtection="1">
      <alignment horizontal="right" vertical="center"/>
      <protection locked="0"/>
    </xf>
    <xf numFmtId="0" fontId="76" fillId="0" borderId="23" xfId="0" applyFont="1" applyBorder="1" applyAlignment="1" applyProtection="1">
      <alignment horizontal="right" vertical="center"/>
      <protection locked="0"/>
    </xf>
    <xf numFmtId="0" fontId="67" fillId="24" borderId="30" xfId="0" applyFont="1" applyFill="1" applyBorder="1" applyAlignment="1" applyProtection="1">
      <alignment vertical="center"/>
      <protection locked="0"/>
    </xf>
    <xf numFmtId="0" fontId="67" fillId="24" borderId="30" xfId="0" applyFont="1" applyFill="1" applyBorder="1" applyAlignment="1">
      <alignment vertical="center"/>
    </xf>
    <xf numFmtId="0" fontId="76" fillId="24" borderId="30" xfId="0" applyFont="1" applyFill="1" applyBorder="1" applyAlignment="1">
      <alignment vertical="center"/>
    </xf>
    <xf numFmtId="0" fontId="80" fillId="24" borderId="29" xfId="0" applyFont="1" applyFill="1" applyBorder="1" applyAlignment="1" applyProtection="1">
      <alignment horizontal="left" vertical="center"/>
      <protection locked="0"/>
    </xf>
    <xf numFmtId="0" fontId="76" fillId="24" borderId="40" xfId="0" applyFont="1" applyFill="1" applyBorder="1" applyAlignment="1">
      <alignment vertical="center"/>
    </xf>
    <xf numFmtId="0" fontId="78" fillId="0" borderId="11" xfId="0" applyFont="1" applyBorder="1" applyAlignment="1" applyProtection="1">
      <alignment horizontal="center" vertical="center" wrapText="1"/>
      <protection locked="0"/>
    </xf>
    <xf numFmtId="0" fontId="81" fillId="26" borderId="28" xfId="0" applyFont="1" applyFill="1" applyBorder="1" applyAlignment="1" applyProtection="1">
      <alignment vertical="center" wrapText="1"/>
      <protection locked="0"/>
    </xf>
    <xf numFmtId="0" fontId="68" fillId="0" borderId="36" xfId="0" applyFont="1" applyBorder="1" applyAlignment="1" applyProtection="1">
      <alignment horizontal="right" vertical="center" wrapText="1"/>
      <protection locked="0"/>
    </xf>
    <xf numFmtId="166" fontId="68" fillId="24" borderId="36" xfId="0" applyNumberFormat="1" applyFont="1" applyFill="1" applyBorder="1" applyAlignment="1" applyProtection="1">
      <alignment horizontal="right" vertical="center"/>
      <protection locked="0"/>
    </xf>
    <xf numFmtId="166" fontId="83" fillId="24" borderId="36" xfId="0" applyNumberFormat="1" applyFont="1" applyFill="1" applyBorder="1" applyAlignment="1" applyProtection="1">
      <alignment horizontal="right" vertical="center"/>
      <protection locked="0"/>
    </xf>
    <xf numFmtId="1" fontId="67" fillId="24" borderId="36" xfId="0" applyNumberFormat="1" applyFont="1" applyFill="1" applyBorder="1" applyAlignment="1" applyProtection="1">
      <alignment horizontal="right" vertical="center" wrapText="1"/>
      <protection locked="0"/>
    </xf>
    <xf numFmtId="0" fontId="80" fillId="0" borderId="22" xfId="0" applyFont="1" applyBorder="1" applyAlignment="1" applyProtection="1">
      <alignment horizontal="center" vertical="center"/>
      <protection locked="0"/>
    </xf>
    <xf numFmtId="2" fontId="67" fillId="0" borderId="36" xfId="0" applyNumberFormat="1" applyFont="1" applyBorder="1" applyAlignment="1" applyProtection="1">
      <alignment horizontal="right" vertical="center" wrapText="1"/>
      <protection locked="0"/>
    </xf>
    <xf numFmtId="169" fontId="76" fillId="0" borderId="27" xfId="0" applyNumberFormat="1" applyFont="1" applyBorder="1" applyAlignment="1">
      <alignment horizontal="left" vertical="center"/>
    </xf>
    <xf numFmtId="169" fontId="76" fillId="24" borderId="27" xfId="0" applyNumberFormat="1" applyFont="1" applyFill="1" applyBorder="1" applyAlignment="1" applyProtection="1">
      <alignment vertical="center"/>
      <protection locked="0"/>
    </xf>
    <xf numFmtId="49" fontId="80" fillId="24" borderId="27" xfId="0" applyNumberFormat="1" applyFont="1" applyFill="1" applyBorder="1" applyAlignment="1" applyProtection="1">
      <alignment horizontal="center" vertical="center" wrapText="1"/>
      <protection locked="0"/>
    </xf>
    <xf numFmtId="0" fontId="80" fillId="24" borderId="27" xfId="0" applyFont="1" applyFill="1" applyBorder="1" applyAlignment="1" applyProtection="1">
      <alignment horizontal="left" vertical="center"/>
      <protection locked="0"/>
    </xf>
    <xf numFmtId="0" fontId="76" fillId="24" borderId="28" xfId="0" applyFont="1" applyFill="1" applyBorder="1" applyAlignment="1" applyProtection="1">
      <alignment horizontal="center" vertical="center"/>
      <protection locked="0"/>
    </xf>
    <xf numFmtId="0" fontId="76" fillId="0" borderId="22" xfId="0" applyFont="1" applyBorder="1" applyAlignment="1" applyProtection="1">
      <alignment horizontal="right" vertical="center"/>
      <protection locked="0"/>
    </xf>
    <xf numFmtId="0" fontId="76" fillId="24" borderId="27" xfId="0" applyFont="1" applyFill="1" applyBorder="1" applyAlignment="1" applyProtection="1">
      <alignment horizontal="right" vertical="center"/>
      <protection locked="0"/>
    </xf>
    <xf numFmtId="43" fontId="76" fillId="24" borderId="28" xfId="78" applyFont="1" applyFill="1" applyBorder="1" applyAlignment="1" applyProtection="1">
      <alignment horizontal="center" vertical="center"/>
    </xf>
    <xf numFmtId="169" fontId="76" fillId="24" borderId="40" xfId="0" applyNumberFormat="1" applyFont="1" applyFill="1" applyBorder="1" applyAlignment="1" applyProtection="1">
      <alignment vertical="center"/>
      <protection locked="0"/>
    </xf>
    <xf numFmtId="0" fontId="67" fillId="24" borderId="27" xfId="0" applyFont="1" applyFill="1" applyBorder="1" applyAlignment="1" applyProtection="1">
      <alignment vertical="center" wrapText="1"/>
      <protection locked="0"/>
    </xf>
    <xf numFmtId="1" fontId="68" fillId="0" borderId="36" xfId="0" applyNumberFormat="1" applyFont="1" applyBorder="1" applyAlignment="1" applyProtection="1">
      <alignment horizontal="right" vertical="center" wrapText="1"/>
      <protection locked="0"/>
    </xf>
    <xf numFmtId="0" fontId="76" fillId="24" borderId="23" xfId="0" applyFont="1" applyFill="1" applyBorder="1" applyAlignment="1" applyProtection="1">
      <alignment horizontal="left" vertical="center" wrapText="1"/>
      <protection locked="0"/>
    </xf>
    <xf numFmtId="0" fontId="67" fillId="24" borderId="31" xfId="0" applyFont="1" applyFill="1" applyBorder="1" applyAlignment="1" applyProtection="1">
      <alignment horizontal="right" vertical="center" wrapText="1"/>
      <protection locked="0"/>
    </xf>
    <xf numFmtId="0" fontId="67" fillId="24" borderId="33" xfId="0" applyFont="1" applyFill="1" applyBorder="1" applyAlignment="1" applyProtection="1">
      <alignment horizontal="left" vertical="center" wrapText="1"/>
      <protection locked="0"/>
    </xf>
    <xf numFmtId="0" fontId="68" fillId="24" borderId="27" xfId="0" applyFont="1" applyFill="1" applyBorder="1" applyAlignment="1" applyProtection="1">
      <alignment vertical="center" wrapText="1"/>
      <protection locked="0"/>
    </xf>
    <xf numFmtId="2" fontId="67" fillId="24" borderId="31" xfId="0" applyNumberFormat="1" applyFont="1" applyFill="1" applyBorder="1" applyAlignment="1" applyProtection="1">
      <alignment horizontal="right" vertical="center"/>
      <protection locked="0"/>
    </xf>
    <xf numFmtId="0" fontId="67" fillId="24" borderId="35" xfId="0" applyFont="1" applyFill="1" applyBorder="1" applyAlignment="1" applyProtection="1">
      <alignment horizontal="left" vertical="center" wrapText="1"/>
      <protection locked="0"/>
    </xf>
    <xf numFmtId="0" fontId="81" fillId="24" borderId="27" xfId="0" applyFont="1" applyFill="1" applyBorder="1" applyAlignment="1" applyProtection="1">
      <alignment horizontal="left" vertical="center" wrapText="1" indent="2"/>
      <protection locked="0"/>
    </xf>
    <xf numFmtId="0" fontId="76" fillId="24" borderId="22" xfId="0" applyFont="1" applyFill="1" applyBorder="1" applyAlignment="1" applyProtection="1">
      <alignment horizontal="left" vertical="center" wrapText="1"/>
      <protection locked="0"/>
    </xf>
    <xf numFmtId="0" fontId="67" fillId="24" borderId="22" xfId="0" applyFont="1" applyFill="1" applyBorder="1" applyAlignment="1" applyProtection="1">
      <alignment horizontal="right" vertical="center" wrapText="1"/>
      <protection locked="0"/>
    </xf>
    <xf numFmtId="2" fontId="68" fillId="24" borderId="31" xfId="0" applyNumberFormat="1" applyFont="1" applyFill="1" applyBorder="1" applyAlignment="1" applyProtection="1">
      <alignment horizontal="right" vertical="center"/>
      <protection locked="0"/>
    </xf>
    <xf numFmtId="0" fontId="81" fillId="24" borderId="27" xfId="0" applyFont="1" applyFill="1" applyBorder="1" applyAlignment="1" applyProtection="1">
      <alignment vertical="center" wrapText="1"/>
      <protection locked="0"/>
    </xf>
    <xf numFmtId="0" fontId="81" fillId="24" borderId="28" xfId="0" applyFont="1" applyFill="1" applyBorder="1" applyAlignment="1" applyProtection="1">
      <alignment vertical="center" wrapText="1"/>
      <protection locked="0"/>
    </xf>
    <xf numFmtId="0" fontId="81" fillId="24" borderId="28" xfId="0" applyFont="1" applyFill="1" applyBorder="1" applyAlignment="1">
      <alignment vertical="center" wrapText="1"/>
    </xf>
    <xf numFmtId="0" fontId="81" fillId="24" borderId="40" xfId="0" applyFont="1" applyFill="1" applyBorder="1" applyAlignment="1">
      <alignment vertical="center" wrapText="1"/>
    </xf>
    <xf numFmtId="0" fontId="67" fillId="24" borderId="23" xfId="0" applyFont="1" applyFill="1" applyBorder="1" applyAlignment="1" applyProtection="1">
      <alignment horizontal="left" vertical="center" wrapText="1"/>
      <protection locked="0"/>
    </xf>
    <xf numFmtId="0" fontId="67" fillId="24" borderId="23" xfId="0" applyFont="1" applyFill="1" applyBorder="1" applyAlignment="1" applyProtection="1">
      <alignment horizontal="right" vertical="center"/>
      <protection locked="0"/>
    </xf>
    <xf numFmtId="1" fontId="67" fillId="0" borderId="36" xfId="0" applyNumberFormat="1" applyFont="1" applyBorder="1" applyAlignment="1" applyProtection="1">
      <alignment horizontal="right" vertical="center" wrapText="1"/>
      <protection locked="0"/>
    </xf>
    <xf numFmtId="0" fontId="67" fillId="24" borderId="22" xfId="0" applyFont="1" applyFill="1" applyBorder="1" applyAlignment="1" applyProtection="1">
      <alignment horizontal="left" vertical="center" wrapText="1"/>
      <protection locked="0"/>
    </xf>
    <xf numFmtId="1" fontId="76" fillId="0" borderId="22" xfId="0" applyNumberFormat="1" applyFont="1" applyBorder="1" applyAlignment="1" applyProtection="1">
      <alignment horizontal="right" vertical="center" wrapText="1"/>
      <protection locked="0"/>
    </xf>
    <xf numFmtId="0" fontId="76" fillId="24" borderId="22" xfId="0" applyFont="1" applyFill="1" applyBorder="1" applyAlignment="1" applyProtection="1">
      <alignment horizontal="right" vertical="center" wrapText="1"/>
      <protection locked="0"/>
    </xf>
    <xf numFmtId="0" fontId="96" fillId="0" borderId="0" xfId="0" applyFont="1" applyAlignment="1" applyProtection="1">
      <alignment wrapText="1"/>
      <protection locked="0"/>
    </xf>
    <xf numFmtId="169" fontId="67" fillId="24" borderId="43" xfId="0" applyNumberFormat="1" applyFont="1" applyFill="1" applyBorder="1" applyAlignment="1">
      <alignment vertical="center"/>
    </xf>
    <xf numFmtId="0" fontId="81" fillId="24" borderId="28" xfId="0" applyFont="1" applyFill="1" applyBorder="1" applyAlignment="1" applyProtection="1">
      <alignment horizontal="center" vertical="center" wrapText="1"/>
      <protection locked="0"/>
    </xf>
    <xf numFmtId="2" fontId="83" fillId="24" borderId="28" xfId="0" applyNumberFormat="1" applyFont="1" applyFill="1" applyBorder="1" applyAlignment="1" applyProtection="1">
      <alignment horizontal="right" vertical="center"/>
      <protection locked="0"/>
    </xf>
    <xf numFmtId="0" fontId="76" fillId="24" borderId="28" xfId="0" applyFont="1" applyFill="1" applyBorder="1" applyAlignment="1" applyProtection="1">
      <alignment horizontal="left" vertical="center"/>
      <protection locked="0"/>
    </xf>
    <xf numFmtId="0" fontId="67" fillId="24" borderId="36" xfId="0" applyFont="1" applyFill="1" applyBorder="1" applyAlignment="1" applyProtection="1">
      <alignment vertical="center" wrapText="1"/>
      <protection locked="0"/>
    </xf>
    <xf numFmtId="0" fontId="67" fillId="24" borderId="36" xfId="0" applyFont="1" applyFill="1" applyBorder="1" applyAlignment="1" applyProtection="1">
      <alignment vertical="center"/>
      <protection locked="0"/>
    </xf>
    <xf numFmtId="169" fontId="76" fillId="24" borderId="43" xfId="0" applyNumberFormat="1" applyFont="1" applyFill="1" applyBorder="1" applyAlignment="1">
      <alignment vertical="center"/>
    </xf>
    <xf numFmtId="49" fontId="84" fillId="0" borderId="29" xfId="0" applyNumberFormat="1" applyFont="1" applyBorder="1" applyAlignment="1" applyProtection="1">
      <alignment horizontal="center" vertical="center" wrapText="1"/>
      <protection locked="0"/>
    </xf>
    <xf numFmtId="0" fontId="76" fillId="24" borderId="28" xfId="0" applyFont="1" applyFill="1" applyBorder="1" applyAlignment="1" applyProtection="1">
      <alignment horizontal="left" vertical="center" wrapText="1"/>
      <protection locked="0"/>
    </xf>
    <xf numFmtId="0" fontId="67" fillId="24" borderId="28" xfId="0" applyFont="1" applyFill="1" applyBorder="1" applyAlignment="1" applyProtection="1">
      <alignment horizontal="right" wrapText="1"/>
      <protection locked="0"/>
    </xf>
    <xf numFmtId="0" fontId="67" fillId="24" borderId="28" xfId="0" applyFont="1" applyFill="1" applyBorder="1" applyAlignment="1" applyProtection="1">
      <alignment horizontal="center" wrapText="1"/>
      <protection locked="0"/>
    </xf>
    <xf numFmtId="0" fontId="67" fillId="24" borderId="28" xfId="0" applyFont="1" applyFill="1" applyBorder="1" applyAlignment="1">
      <alignment wrapText="1"/>
    </xf>
    <xf numFmtId="0" fontId="76" fillId="24" borderId="28" xfId="0" applyFont="1" applyFill="1" applyBorder="1" applyAlignment="1">
      <alignment wrapText="1"/>
    </xf>
    <xf numFmtId="49" fontId="80" fillId="24" borderId="29" xfId="0" applyNumberFormat="1" applyFont="1" applyFill="1" applyBorder="1" applyAlignment="1" applyProtection="1">
      <alignment horizontal="center" vertical="center" wrapText="1"/>
      <protection locked="0"/>
    </xf>
    <xf numFmtId="174" fontId="67" fillId="24" borderId="28" xfId="0" applyNumberFormat="1" applyFont="1" applyFill="1" applyBorder="1" applyAlignment="1" applyProtection="1">
      <alignment horizontal="center" vertical="center"/>
      <protection locked="0"/>
    </xf>
    <xf numFmtId="2" fontId="87" fillId="0" borderId="12" xfId="0" applyNumberFormat="1" applyFont="1" applyBorder="1" applyAlignment="1" applyProtection="1">
      <alignment horizontal="left" vertical="center" wrapText="1"/>
      <protection locked="0"/>
    </xf>
    <xf numFmtId="2" fontId="60" fillId="0" borderId="12" xfId="0" applyNumberFormat="1" applyFont="1" applyBorder="1" applyAlignment="1" applyProtection="1">
      <alignment horizontal="left" vertical="center" wrapText="1"/>
      <protection locked="0"/>
    </xf>
    <xf numFmtId="0" fontId="81" fillId="24" borderId="27" xfId="0" applyFont="1" applyFill="1" applyBorder="1" applyAlignment="1">
      <alignment horizontal="center" vertical="center" wrapText="1"/>
    </xf>
    <xf numFmtId="0" fontId="67" fillId="24" borderId="30" xfId="0" applyFont="1" applyFill="1" applyBorder="1" applyAlignment="1" applyProtection="1">
      <alignment horizontal="right" vertical="center" wrapText="1"/>
      <protection locked="0"/>
    </xf>
    <xf numFmtId="0" fontId="67" fillId="24" borderId="27" xfId="0" applyFont="1" applyFill="1" applyBorder="1" applyAlignment="1" applyProtection="1">
      <alignment horizontal="right" vertical="center"/>
      <protection locked="0"/>
    </xf>
    <xf numFmtId="0" fontId="67" fillId="0" borderId="34" xfId="0" applyFont="1" applyBorder="1" applyAlignment="1" applyProtection="1">
      <alignment horizontal="right" vertical="center" wrapText="1"/>
      <protection locked="0"/>
    </xf>
    <xf numFmtId="0" fontId="68" fillId="24" borderId="28" xfId="0" applyFont="1" applyFill="1" applyBorder="1" applyAlignment="1" applyProtection="1">
      <alignment vertical="center"/>
      <protection locked="0"/>
    </xf>
    <xf numFmtId="169" fontId="83" fillId="24" borderId="27" xfId="0" applyNumberFormat="1" applyFont="1" applyFill="1" applyBorder="1" applyAlignment="1">
      <alignment vertical="center"/>
    </xf>
    <xf numFmtId="2" fontId="97" fillId="0" borderId="12" xfId="0" applyNumberFormat="1" applyFont="1" applyBorder="1" applyAlignment="1" applyProtection="1">
      <alignment horizontal="left" vertical="center" wrapText="1"/>
      <protection locked="0"/>
    </xf>
    <xf numFmtId="0" fontId="97" fillId="0" borderId="12" xfId="0" applyFont="1" applyBorder="1" applyAlignment="1" applyProtection="1">
      <alignment horizontal="center" vertical="center" wrapText="1"/>
      <protection locked="0"/>
    </xf>
    <xf numFmtId="2" fontId="98" fillId="0" borderId="12" xfId="0" applyNumberFormat="1" applyFont="1" applyBorder="1" applyAlignment="1" applyProtection="1">
      <alignment horizontal="left" vertical="center" wrapText="1"/>
      <protection locked="0"/>
    </xf>
    <xf numFmtId="0" fontId="94" fillId="34" borderId="28" xfId="0" applyFont="1" applyFill="1" applyBorder="1" applyAlignment="1" applyProtection="1">
      <alignment horizontal="right" vertical="center"/>
      <protection locked="0"/>
    </xf>
    <xf numFmtId="2" fontId="94" fillId="34" borderId="28" xfId="0" applyNumberFormat="1" applyFont="1" applyFill="1" applyBorder="1" applyAlignment="1" applyProtection="1">
      <alignment horizontal="right" vertical="center"/>
      <protection locked="0"/>
    </xf>
    <xf numFmtId="7" fontId="81" fillId="34" borderId="40" xfId="0" applyNumberFormat="1" applyFont="1" applyFill="1" applyBorder="1" applyAlignment="1">
      <alignment vertical="center"/>
    </xf>
    <xf numFmtId="0" fontId="81" fillId="24" borderId="27" xfId="0" applyFont="1" applyFill="1" applyBorder="1" applyAlignment="1" applyProtection="1">
      <alignment horizontal="left" vertical="center"/>
      <protection locked="0"/>
    </xf>
    <xf numFmtId="169" fontId="67" fillId="24" borderId="22" xfId="0" applyNumberFormat="1" applyFont="1" applyFill="1" applyBorder="1" applyAlignment="1">
      <alignment vertical="center"/>
    </xf>
    <xf numFmtId="2" fontId="38" fillId="0" borderId="11" xfId="0" applyNumberFormat="1" applyFont="1" applyBorder="1" applyAlignment="1" applyProtection="1">
      <alignment horizontal="left" vertical="center" wrapText="1"/>
      <protection locked="0"/>
    </xf>
    <xf numFmtId="0" fontId="98" fillId="0" borderId="12" xfId="0" applyFont="1" applyBorder="1" applyAlignment="1" applyProtection="1">
      <alignment horizontal="left" vertical="center" wrapText="1"/>
      <protection locked="0"/>
    </xf>
    <xf numFmtId="43" fontId="0" fillId="34" borderId="28" xfId="78" applyFont="1" applyFill="1" applyBorder="1" applyAlignment="1" applyProtection="1">
      <alignment vertical="center"/>
    </xf>
    <xf numFmtId="0" fontId="76" fillId="24" borderId="35" xfId="0" applyFont="1" applyFill="1" applyBorder="1" applyAlignment="1" applyProtection="1">
      <alignment horizontal="left" vertical="center"/>
      <protection locked="0"/>
    </xf>
    <xf numFmtId="2" fontId="89" fillId="34" borderId="28" xfId="0" applyNumberFormat="1" applyFont="1" applyFill="1" applyBorder="1" applyAlignment="1" applyProtection="1">
      <alignment horizontal="center" vertical="center"/>
      <protection locked="0"/>
    </xf>
    <xf numFmtId="175" fontId="68" fillId="24" borderId="28" xfId="0" applyNumberFormat="1" applyFont="1" applyFill="1" applyBorder="1" applyAlignment="1" applyProtection="1">
      <alignment vertical="center"/>
      <protection locked="0"/>
    </xf>
    <xf numFmtId="43" fontId="60" fillId="24" borderId="22" xfId="78" applyFont="1" applyFill="1" applyBorder="1" applyAlignment="1" applyProtection="1">
      <alignment vertical="center"/>
      <protection locked="0"/>
    </xf>
    <xf numFmtId="0" fontId="47" fillId="34" borderId="28" xfId="0" applyFont="1" applyFill="1" applyBorder="1" applyAlignment="1" applyProtection="1">
      <alignment vertical="center"/>
      <protection locked="0"/>
    </xf>
    <xf numFmtId="171" fontId="91" fillId="34" borderId="28" xfId="0" applyNumberFormat="1" applyFont="1" applyFill="1" applyBorder="1" applyAlignment="1">
      <alignment horizontal="right" vertical="center"/>
    </xf>
    <xf numFmtId="43" fontId="0" fillId="34" borderId="28" xfId="78" applyFont="1" applyFill="1" applyBorder="1" applyAlignment="1" applyProtection="1">
      <alignment vertical="center"/>
      <protection locked="0"/>
    </xf>
    <xf numFmtId="43" fontId="91" fillId="34" borderId="28" xfId="0" applyNumberFormat="1" applyFont="1" applyFill="1" applyBorder="1" applyAlignment="1">
      <alignment vertical="center"/>
    </xf>
    <xf numFmtId="4" fontId="99" fillId="0" borderId="12" xfId="0" applyNumberFormat="1" applyFont="1" applyBorder="1" applyAlignment="1" applyProtection="1">
      <alignment horizontal="left" vertical="center" wrapText="1"/>
      <protection locked="0"/>
    </xf>
    <xf numFmtId="2" fontId="85" fillId="34" borderId="28" xfId="0" applyNumberFormat="1" applyFont="1" applyFill="1" applyBorder="1" applyAlignment="1" applyProtection="1">
      <alignment vertical="center"/>
      <protection locked="0"/>
    </xf>
    <xf numFmtId="0" fontId="85" fillId="34" borderId="28" xfId="0" applyFont="1" applyFill="1" applyBorder="1" applyAlignment="1" applyProtection="1">
      <alignment horizontal="center" vertical="center"/>
      <protection locked="0"/>
    </xf>
    <xf numFmtId="0" fontId="47" fillId="34" borderId="30" xfId="0" applyFont="1" applyFill="1" applyBorder="1" applyAlignment="1" applyProtection="1">
      <alignment vertical="center"/>
      <protection locked="0"/>
    </xf>
    <xf numFmtId="166" fontId="85" fillId="34" borderId="30" xfId="0" applyNumberFormat="1" applyFont="1" applyFill="1" applyBorder="1" applyAlignment="1" applyProtection="1">
      <alignment vertical="center"/>
      <protection locked="0"/>
    </xf>
    <xf numFmtId="0" fontId="85" fillId="34" borderId="30" xfId="0" applyFont="1" applyFill="1" applyBorder="1" applyAlignment="1" applyProtection="1">
      <alignment horizontal="center" vertical="center"/>
      <protection locked="0"/>
    </xf>
    <xf numFmtId="7" fontId="81" fillId="34" borderId="30" xfId="0" applyNumberFormat="1" applyFont="1" applyFill="1" applyBorder="1" applyAlignment="1">
      <alignment vertical="center"/>
    </xf>
    <xf numFmtId="166" fontId="85" fillId="34" borderId="30" xfId="0" applyNumberFormat="1" applyFont="1" applyFill="1" applyBorder="1" applyAlignment="1">
      <alignment vertical="center"/>
    </xf>
    <xf numFmtId="0" fontId="85" fillId="34" borderId="30" xfId="0" applyFont="1" applyFill="1" applyBorder="1" applyAlignment="1">
      <alignment horizontal="center" vertical="center"/>
    </xf>
    <xf numFmtId="0" fontId="47" fillId="0" borderId="44" xfId="0" applyFont="1" applyBorder="1" applyAlignment="1" applyProtection="1">
      <alignment vertical="center"/>
      <protection locked="0"/>
    </xf>
    <xf numFmtId="0" fontId="89" fillId="0" borderId="44" xfId="0" applyFont="1" applyBorder="1" applyAlignment="1" applyProtection="1">
      <alignment vertical="center"/>
      <protection locked="0"/>
    </xf>
    <xf numFmtId="2" fontId="85" fillId="0" borderId="44" xfId="0" applyNumberFormat="1" applyFont="1" applyBorder="1" applyAlignment="1" applyProtection="1">
      <alignment horizontal="right" vertical="center"/>
      <protection locked="0"/>
    </xf>
    <xf numFmtId="0" fontId="85" fillId="0" borderId="44" xfId="0" applyFont="1" applyBorder="1" applyAlignment="1" applyProtection="1">
      <alignment vertical="center"/>
      <protection locked="0"/>
    </xf>
    <xf numFmtId="171" fontId="81" fillId="0" borderId="44" xfId="0" applyNumberFormat="1" applyFont="1" applyBorder="1" applyAlignment="1" applyProtection="1">
      <alignment horizontal="right" vertical="center"/>
      <protection locked="0"/>
    </xf>
    <xf numFmtId="2" fontId="85" fillId="0" borderId="44" xfId="0" applyNumberFormat="1" applyFont="1" applyBorder="1" applyAlignment="1" applyProtection="1">
      <alignment vertical="center"/>
      <protection locked="0"/>
    </xf>
    <xf numFmtId="0" fontId="85" fillId="0" borderId="44" xfId="0" applyFont="1" applyBorder="1" applyAlignment="1" applyProtection="1">
      <alignment horizontal="center" vertical="center"/>
      <protection locked="0"/>
    </xf>
    <xf numFmtId="0" fontId="47" fillId="0" borderId="12" xfId="0" applyFont="1" applyBorder="1" applyAlignment="1" applyProtection="1">
      <alignment horizontal="left" vertical="center" wrapText="1"/>
      <protection locked="0"/>
    </xf>
    <xf numFmtId="0" fontId="47" fillId="32" borderId="45" xfId="0" applyFont="1" applyFill="1" applyBorder="1" applyAlignment="1" applyProtection="1">
      <alignment vertical="center"/>
      <protection locked="0"/>
    </xf>
    <xf numFmtId="0" fontId="89" fillId="32" borderId="46" xfId="0" applyFont="1" applyFill="1" applyBorder="1" applyAlignment="1" applyProtection="1">
      <alignment vertical="center"/>
      <protection locked="0"/>
    </xf>
    <xf numFmtId="2" fontId="85" fillId="32" borderId="46" xfId="0" applyNumberFormat="1" applyFont="1" applyFill="1" applyBorder="1" applyAlignment="1" applyProtection="1">
      <alignment horizontal="right" vertical="center"/>
      <protection locked="0"/>
    </xf>
    <xf numFmtId="0" fontId="85" fillId="32" borderId="46" xfId="0" applyFont="1" applyFill="1" applyBorder="1" applyAlignment="1" applyProtection="1">
      <alignment vertical="center"/>
      <protection locked="0"/>
    </xf>
    <xf numFmtId="171" fontId="81" fillId="32" borderId="46" xfId="0" applyNumberFormat="1" applyFont="1" applyFill="1" applyBorder="1" applyAlignment="1" applyProtection="1">
      <alignment horizontal="right" vertical="center"/>
      <protection locked="0"/>
    </xf>
    <xf numFmtId="2" fontId="85" fillId="32" borderId="46" xfId="0" applyNumberFormat="1" applyFont="1" applyFill="1" applyBorder="1" applyAlignment="1" applyProtection="1">
      <alignment vertical="center"/>
      <protection locked="0"/>
    </xf>
    <xf numFmtId="0" fontId="85" fillId="32" borderId="46" xfId="0" applyFont="1" applyFill="1" applyBorder="1" applyAlignment="1" applyProtection="1">
      <alignment horizontal="center" vertical="center"/>
      <protection locked="0"/>
    </xf>
    <xf numFmtId="7" fontId="81" fillId="32" borderId="47" xfId="0" applyNumberFormat="1" applyFont="1" applyFill="1" applyBorder="1" applyAlignment="1">
      <alignment vertical="center"/>
    </xf>
    <xf numFmtId="0" fontId="47" fillId="0" borderId="0" xfId="0" applyFont="1" applyAlignment="1" applyProtection="1">
      <alignment horizontal="left" vertical="center" wrapText="1"/>
      <protection locked="0"/>
    </xf>
    <xf numFmtId="0" fontId="93" fillId="0" borderId="0" xfId="0" applyFont="1" applyAlignment="1" applyProtection="1">
      <alignment horizontal="center" vertical="center" wrapText="1"/>
      <protection locked="0"/>
    </xf>
    <xf numFmtId="0" fontId="56" fillId="32" borderId="48" xfId="0" applyFont="1" applyFill="1" applyBorder="1" applyAlignment="1" applyProtection="1">
      <alignment vertical="center"/>
      <protection locked="0"/>
    </xf>
    <xf numFmtId="0" fontId="89" fillId="32" borderId="0" xfId="0" applyFont="1" applyFill="1" applyAlignment="1" applyProtection="1">
      <alignment vertical="center"/>
      <protection locked="0"/>
    </xf>
    <xf numFmtId="0" fontId="100" fillId="32" borderId="0" xfId="0" applyFont="1" applyFill="1" applyAlignment="1" applyProtection="1">
      <alignment horizontal="left" vertical="center" indent="8"/>
      <protection locked="0"/>
    </xf>
    <xf numFmtId="171" fontId="101" fillId="32" borderId="0" xfId="0" applyNumberFormat="1" applyFont="1" applyFill="1" applyAlignment="1" applyProtection="1">
      <alignment horizontal="right" vertical="center"/>
      <protection locked="0"/>
    </xf>
    <xf numFmtId="166" fontId="100" fillId="32" borderId="0" xfId="0" applyNumberFormat="1" applyFont="1" applyFill="1" applyAlignment="1">
      <alignment vertical="center"/>
    </xf>
    <xf numFmtId="2" fontId="100" fillId="32" borderId="0" xfId="0" applyNumberFormat="1" applyFont="1" applyFill="1" applyAlignment="1" applyProtection="1">
      <alignment horizontal="center" vertical="center"/>
      <protection locked="0"/>
    </xf>
    <xf numFmtId="43" fontId="102" fillId="32" borderId="0" xfId="78" applyFont="1" applyFill="1" applyAlignment="1" applyProtection="1">
      <alignment vertical="center"/>
      <protection locked="0"/>
    </xf>
    <xf numFmtId="7" fontId="100" fillId="32" borderId="25" xfId="0" applyNumberFormat="1" applyFont="1" applyFill="1" applyBorder="1" applyAlignment="1">
      <alignment vertical="center"/>
    </xf>
    <xf numFmtId="7" fontId="103" fillId="0" borderId="0" xfId="0" applyNumberFormat="1" applyFont="1" applyAlignment="1" applyProtection="1">
      <alignment horizontal="left" vertical="center" wrapText="1"/>
      <protection locked="0"/>
    </xf>
    <xf numFmtId="0" fontId="93" fillId="0" borderId="32" xfId="0" applyFont="1" applyBorder="1" applyAlignment="1" applyProtection="1">
      <alignment horizontal="center" vertical="center" wrapText="1"/>
      <protection locked="0"/>
    </xf>
    <xf numFmtId="0" fontId="104" fillId="32" borderId="0" xfId="0" applyFont="1" applyFill="1" applyAlignment="1" applyProtection="1">
      <alignment horizontal="right" vertical="center" indent="4"/>
      <protection locked="0"/>
    </xf>
    <xf numFmtId="2" fontId="100" fillId="32" borderId="0" xfId="0" applyNumberFormat="1" applyFont="1" applyFill="1" applyAlignment="1">
      <alignment vertical="center"/>
    </xf>
    <xf numFmtId="2" fontId="100" fillId="32" borderId="0" xfId="0" applyNumberFormat="1" applyFont="1" applyFill="1" applyAlignment="1" applyProtection="1">
      <alignment vertical="center"/>
      <protection locked="0"/>
    </xf>
    <xf numFmtId="0" fontId="102" fillId="32" borderId="0" xfId="0" applyFont="1" applyFill="1" applyAlignment="1" applyProtection="1">
      <alignment horizontal="left" vertical="center" indent="8"/>
      <protection locked="0"/>
    </xf>
    <xf numFmtId="2" fontId="35" fillId="32" borderId="0" xfId="0" applyNumberFormat="1" applyFont="1" applyFill="1" applyAlignment="1">
      <alignment vertical="center"/>
    </xf>
    <xf numFmtId="2" fontId="35" fillId="32" borderId="0" xfId="0" applyNumberFormat="1" applyFont="1" applyFill="1" applyAlignment="1" applyProtection="1">
      <alignment horizontal="center" vertical="center"/>
      <protection locked="0"/>
    </xf>
    <xf numFmtId="43" fontId="66" fillId="32" borderId="0" xfId="78" applyFont="1" applyFill="1" applyAlignment="1" applyProtection="1">
      <alignment vertical="center"/>
      <protection locked="0"/>
    </xf>
    <xf numFmtId="1" fontId="35" fillId="32" borderId="0" xfId="0" applyNumberFormat="1" applyFont="1" applyFill="1" applyAlignment="1">
      <alignment vertical="center"/>
    </xf>
    <xf numFmtId="7" fontId="47" fillId="0" borderId="33" xfId="0" applyNumberFormat="1" applyFont="1" applyBorder="1" applyAlignment="1" applyProtection="1">
      <alignment horizontal="left" vertical="center" wrapText="1"/>
      <protection locked="0"/>
    </xf>
    <xf numFmtId="0" fontId="93" fillId="0" borderId="35" xfId="0" applyFont="1" applyBorder="1" applyAlignment="1" applyProtection="1">
      <alignment horizontal="center" vertical="center" wrapText="1"/>
      <protection locked="0"/>
    </xf>
    <xf numFmtId="166" fontId="35" fillId="32" borderId="0" xfId="0" applyNumberFormat="1" applyFont="1" applyFill="1" applyAlignment="1">
      <alignment vertical="center"/>
    </xf>
    <xf numFmtId="7" fontId="47" fillId="0" borderId="0" xfId="0" applyNumberFormat="1" applyFont="1" applyAlignment="1" applyProtection="1">
      <alignment horizontal="left" vertical="center" wrapText="1"/>
      <protection locked="0"/>
    </xf>
    <xf numFmtId="0" fontId="94" fillId="32" borderId="38" xfId="0" applyFont="1" applyFill="1" applyBorder="1" applyAlignment="1" applyProtection="1">
      <alignment horizontal="right" vertical="center"/>
      <protection locked="0"/>
    </xf>
    <xf numFmtId="2" fontId="94" fillId="32" borderId="38" xfId="0" applyNumberFormat="1" applyFont="1" applyFill="1" applyBorder="1" applyAlignment="1" applyProtection="1">
      <alignment horizontal="right" vertical="center"/>
      <protection locked="0"/>
    </xf>
    <xf numFmtId="2" fontId="94" fillId="32" borderId="38" xfId="0" applyNumberFormat="1" applyFont="1" applyFill="1" applyBorder="1" applyAlignment="1">
      <alignment horizontal="right" vertical="center"/>
    </xf>
    <xf numFmtId="0" fontId="90" fillId="32" borderId="0" xfId="0" applyFont="1" applyFill="1" applyAlignment="1" applyProtection="1">
      <alignment horizontal="right" vertical="center"/>
      <protection locked="0"/>
    </xf>
    <xf numFmtId="171" fontId="105" fillId="32" borderId="0" xfId="0" applyNumberFormat="1" applyFont="1" applyFill="1" applyAlignment="1">
      <alignment horizontal="right" vertical="center"/>
    </xf>
    <xf numFmtId="171" fontId="89" fillId="32" borderId="0" xfId="0" applyNumberFormat="1" applyFont="1" applyFill="1" applyAlignment="1">
      <alignment horizontal="right" vertical="center"/>
    </xf>
    <xf numFmtId="0" fontId="89" fillId="32" borderId="0" xfId="0" applyFont="1" applyFill="1" applyAlignment="1">
      <alignment vertical="center"/>
    </xf>
    <xf numFmtId="2" fontId="89" fillId="32" borderId="0" xfId="0" applyNumberFormat="1" applyFont="1" applyFill="1" applyAlignment="1">
      <alignment vertical="center"/>
    </xf>
    <xf numFmtId="2" fontId="89" fillId="32" borderId="0" xfId="0" applyNumberFormat="1" applyFont="1" applyFill="1" applyAlignment="1">
      <alignment horizontal="center" vertical="center"/>
    </xf>
    <xf numFmtId="43" fontId="56" fillId="32" borderId="0" xfId="78" applyFont="1" applyFill="1" applyAlignment="1" applyProtection="1">
      <alignment vertical="center"/>
    </xf>
    <xf numFmtId="7" fontId="105" fillId="32" borderId="0" xfId="78" applyNumberFormat="1" applyFont="1" applyFill="1" applyAlignment="1" applyProtection="1">
      <alignment vertical="center"/>
    </xf>
    <xf numFmtId="7" fontId="89" fillId="32" borderId="25" xfId="0" applyNumberFormat="1" applyFont="1" applyFill="1" applyBorder="1" applyAlignment="1">
      <alignment vertical="center"/>
    </xf>
    <xf numFmtId="0" fontId="90" fillId="32" borderId="0" xfId="0" applyFont="1" applyFill="1" applyAlignment="1" applyProtection="1">
      <alignment horizontal="right" vertical="center" indent="4"/>
      <protection locked="0"/>
    </xf>
    <xf numFmtId="0" fontId="101" fillId="32" borderId="0" xfId="0" applyFont="1" applyFill="1" applyAlignment="1" applyProtection="1">
      <alignment vertical="center"/>
      <protection locked="0"/>
    </xf>
    <xf numFmtId="171" fontId="101" fillId="32" borderId="0" xfId="0" applyNumberFormat="1" applyFont="1" applyFill="1" applyAlignment="1">
      <alignment horizontal="right" vertical="center"/>
    </xf>
    <xf numFmtId="0" fontId="101" fillId="32" borderId="0" xfId="0" applyFont="1" applyFill="1" applyAlignment="1">
      <alignment vertical="center"/>
    </xf>
    <xf numFmtId="2" fontId="101" fillId="32" borderId="0" xfId="0" applyNumberFormat="1" applyFont="1" applyFill="1" applyAlignment="1">
      <alignment vertical="center"/>
    </xf>
    <xf numFmtId="2" fontId="101" fillId="32" borderId="0" xfId="0" applyNumberFormat="1" applyFont="1" applyFill="1" applyAlignment="1">
      <alignment horizontal="center" vertical="center"/>
    </xf>
    <xf numFmtId="43" fontId="66" fillId="32" borderId="0" xfId="78" applyFont="1" applyFill="1" applyAlignment="1" applyProtection="1">
      <alignment vertical="center"/>
    </xf>
    <xf numFmtId="7" fontId="101" fillId="32" borderId="25" xfId="0" applyNumberFormat="1" applyFont="1" applyFill="1" applyBorder="1" applyAlignment="1">
      <alignment vertical="center"/>
    </xf>
    <xf numFmtId="0" fontId="106" fillId="32" borderId="0" xfId="0" applyFont="1" applyFill="1" applyAlignment="1" applyProtection="1">
      <alignment horizontal="right" vertical="center" indent="4"/>
      <protection locked="0"/>
    </xf>
    <xf numFmtId="2" fontId="106" fillId="32" borderId="0" xfId="0" applyNumberFormat="1" applyFont="1" applyFill="1" applyAlignment="1">
      <alignment vertical="center"/>
    </xf>
    <xf numFmtId="2" fontId="106" fillId="32" borderId="0" xfId="0" applyNumberFormat="1" applyFont="1" applyFill="1" applyAlignment="1">
      <alignment horizontal="center" vertical="center"/>
    </xf>
    <xf numFmtId="43" fontId="102" fillId="32" borderId="0" xfId="78" applyFont="1" applyFill="1" applyAlignment="1" applyProtection="1">
      <alignment vertical="center"/>
    </xf>
    <xf numFmtId="7" fontId="102" fillId="32" borderId="0" xfId="0" applyNumberFormat="1" applyFont="1" applyFill="1" applyAlignment="1">
      <alignment vertical="center"/>
    </xf>
    <xf numFmtId="7" fontId="106" fillId="32" borderId="25" xfId="0" applyNumberFormat="1" applyFont="1" applyFill="1" applyBorder="1" applyAlignment="1">
      <alignment vertical="center"/>
    </xf>
    <xf numFmtId="171" fontId="102" fillId="32" borderId="0" xfId="0" applyNumberFormat="1" applyFont="1" applyFill="1" applyAlignment="1">
      <alignment vertical="center"/>
    </xf>
    <xf numFmtId="171" fontId="106" fillId="32" borderId="0" xfId="0" applyNumberFormat="1" applyFont="1" applyFill="1" applyAlignment="1">
      <alignment vertical="center"/>
    </xf>
    <xf numFmtId="0" fontId="107" fillId="32" borderId="0" xfId="0" applyFont="1" applyFill="1" applyAlignment="1" applyProtection="1">
      <alignment horizontal="right" vertical="center" indent="4"/>
      <protection locked="0"/>
    </xf>
    <xf numFmtId="176" fontId="102" fillId="32" borderId="0" xfId="0" applyNumberFormat="1" applyFont="1" applyFill="1" applyAlignment="1">
      <alignment vertical="center"/>
    </xf>
    <xf numFmtId="176" fontId="106" fillId="32" borderId="0" xfId="0" applyNumberFormat="1" applyFont="1" applyFill="1" applyAlignment="1">
      <alignment vertical="center"/>
    </xf>
    <xf numFmtId="7" fontId="102" fillId="32" borderId="44" xfId="0" applyNumberFormat="1" applyFont="1" applyFill="1" applyBorder="1" applyAlignment="1">
      <alignment vertical="center"/>
    </xf>
    <xf numFmtId="43" fontId="101" fillId="32" borderId="46" xfId="78" applyFont="1" applyFill="1" applyBorder="1" applyAlignment="1" applyProtection="1">
      <alignment horizontal="right" vertical="center"/>
      <protection locked="0"/>
    </xf>
    <xf numFmtId="171" fontId="101" fillId="32" borderId="46" xfId="0" applyNumberFormat="1" applyFont="1" applyFill="1" applyBorder="1" applyAlignment="1" applyProtection="1">
      <alignment horizontal="right" vertical="center"/>
      <protection locked="0"/>
    </xf>
    <xf numFmtId="0" fontId="47" fillId="32" borderId="46" xfId="0" applyFont="1" applyFill="1" applyBorder="1" applyAlignment="1" applyProtection="1">
      <alignment vertical="center"/>
      <protection locked="0"/>
    </xf>
    <xf numFmtId="9" fontId="65" fillId="0" borderId="49" xfId="77" applyFont="1" applyBorder="1" applyAlignment="1" applyProtection="1">
      <alignment vertical="center"/>
      <protection locked="0"/>
    </xf>
    <xf numFmtId="43" fontId="90" fillId="32" borderId="0" xfId="78" applyFont="1" applyFill="1" applyAlignment="1" applyProtection="1">
      <alignment horizontal="right" vertical="center"/>
      <protection locked="0"/>
    </xf>
    <xf numFmtId="2" fontId="89" fillId="32" borderId="0" xfId="0" applyNumberFormat="1" applyFont="1" applyFill="1" applyAlignment="1" applyProtection="1">
      <alignment vertical="center"/>
      <protection locked="0"/>
    </xf>
    <xf numFmtId="7" fontId="105" fillId="32" borderId="0" xfId="0" applyNumberFormat="1" applyFont="1" applyFill="1" applyAlignment="1">
      <alignment vertical="center"/>
    </xf>
    <xf numFmtId="0" fontId="89" fillId="32" borderId="38" xfId="0" applyFont="1" applyFill="1" applyBorder="1" applyAlignment="1" applyProtection="1">
      <alignment vertical="center"/>
      <protection locked="0"/>
    </xf>
    <xf numFmtId="43" fontId="90" fillId="32" borderId="38" xfId="78" applyFont="1" applyFill="1" applyBorder="1" applyAlignment="1" applyProtection="1">
      <alignment horizontal="right" vertical="center"/>
      <protection locked="0"/>
    </xf>
    <xf numFmtId="2" fontId="89" fillId="32" borderId="38" xfId="0" applyNumberFormat="1" applyFont="1" applyFill="1" applyBorder="1" applyAlignment="1" applyProtection="1">
      <alignment vertical="center"/>
      <protection locked="0"/>
    </xf>
    <xf numFmtId="2" fontId="89" fillId="32" borderId="38" xfId="0" applyNumberFormat="1" applyFont="1" applyFill="1" applyBorder="1" applyAlignment="1">
      <alignment vertical="center"/>
    </xf>
    <xf numFmtId="9" fontId="89" fillId="32" borderId="34" xfId="0" applyNumberFormat="1" applyFont="1" applyFill="1" applyBorder="1" applyAlignment="1">
      <alignment vertical="center"/>
    </xf>
    <xf numFmtId="0" fontId="0" fillId="0" borderId="0" xfId="0" applyAlignment="1">
      <alignment horizontal="left"/>
    </xf>
    <xf numFmtId="0" fontId="0" fillId="0" borderId="0" xfId="0" applyAlignment="1">
      <alignment horizontal="centerContinuous"/>
    </xf>
    <xf numFmtId="0" fontId="108" fillId="0" borderId="0" xfId="0" applyFont="1" applyAlignment="1">
      <alignment horizontal="left" vertical="top" wrapText="1"/>
    </xf>
    <xf numFmtId="14" fontId="47" fillId="0" borderId="22" xfId="0" applyNumberFormat="1" applyFont="1" applyBorder="1" applyAlignment="1" applyProtection="1">
      <alignment horizontal="right" vertical="center"/>
      <protection locked="0"/>
    </xf>
    <xf numFmtId="0" fontId="47" fillId="0" borderId="0" xfId="0" applyFont="1" applyAlignment="1">
      <alignment horizontal="right"/>
    </xf>
    <xf numFmtId="0" fontId="48" fillId="0" borderId="0" xfId="0" applyFont="1" applyAlignment="1">
      <alignment horizontal="right" vertical="center"/>
    </xf>
    <xf numFmtId="3" fontId="89" fillId="0" borderId="22" xfId="0" applyNumberFormat="1" applyFont="1" applyBorder="1" applyAlignment="1" applyProtection="1">
      <alignment horizontal="right" vertical="center" wrapText="1"/>
      <protection locked="0"/>
    </xf>
    <xf numFmtId="0" fontId="109" fillId="0" borderId="0" xfId="0" applyFont="1"/>
    <xf numFmtId="0" fontId="109" fillId="0" borderId="0" xfId="0" applyFont="1" applyAlignment="1">
      <alignment vertical="center"/>
    </xf>
    <xf numFmtId="0" fontId="109" fillId="0" borderId="0" xfId="0" applyFont="1" applyAlignment="1">
      <alignment vertical="center" wrapText="1"/>
    </xf>
    <xf numFmtId="0" fontId="110" fillId="0" borderId="0" xfId="0" applyFont="1"/>
    <xf numFmtId="3" fontId="47" fillId="0" borderId="22" xfId="0" applyNumberFormat="1" applyFont="1" applyBorder="1"/>
    <xf numFmtId="0" fontId="56" fillId="0" borderId="0" xfId="0" applyFont="1" applyAlignment="1" applyProtection="1">
      <alignment horizontal="right" vertical="center" wrapText="1"/>
      <protection locked="0"/>
    </xf>
    <xf numFmtId="0" fontId="49" fillId="0" borderId="0" xfId="0" quotePrefix="1" applyFont="1" applyAlignment="1">
      <alignment horizontal="left" vertical="center" wrapText="1"/>
    </xf>
    <xf numFmtId="0" fontId="49" fillId="0" borderId="28" xfId="0" applyFont="1" applyBorder="1" applyAlignment="1" applyProtection="1">
      <alignment horizontal="right" vertical="center" wrapText="1"/>
      <protection locked="0"/>
    </xf>
    <xf numFmtId="0" fontId="51" fillId="0" borderId="0" xfId="0" applyFont="1"/>
    <xf numFmtId="3" fontId="49" fillId="0" borderId="0" xfId="0" applyNumberFormat="1" applyFont="1" applyAlignment="1" applyProtection="1">
      <alignment horizontal="right" vertical="center" wrapText="1"/>
      <protection locked="0"/>
    </xf>
    <xf numFmtId="0" fontId="48" fillId="0" borderId="0" xfId="0" applyFont="1" applyAlignment="1">
      <alignment horizontal="left" vertical="center" wrapText="1"/>
    </xf>
    <xf numFmtId="0" fontId="55" fillId="0" borderId="0" xfId="0" applyFont="1" applyAlignment="1">
      <alignment horizontal="left" vertical="center" wrapText="1"/>
    </xf>
    <xf numFmtId="0" fontId="56" fillId="0" borderId="22" xfId="0" applyFont="1" applyBorder="1" applyAlignment="1" applyProtection="1">
      <alignment horizontal="right" vertical="center" wrapText="1"/>
      <protection locked="0"/>
    </xf>
    <xf numFmtId="0" fontId="49" fillId="0" borderId="22" xfId="0" applyFont="1" applyBorder="1" applyAlignment="1" applyProtection="1">
      <alignment horizontal="right" vertical="center"/>
      <protection locked="0"/>
    </xf>
    <xf numFmtId="0" fontId="49" fillId="0" borderId="22" xfId="0" applyFont="1" applyBorder="1" applyAlignment="1" applyProtection="1">
      <alignment vertical="center" wrapText="1"/>
      <protection locked="0"/>
    </xf>
    <xf numFmtId="167" fontId="49" fillId="0" borderId="22" xfId="0" applyNumberFormat="1" applyFont="1" applyBorder="1" applyAlignment="1" applyProtection="1">
      <alignment horizontal="right" vertical="center" wrapText="1"/>
      <protection locked="0"/>
    </xf>
    <xf numFmtId="167" fontId="49" fillId="0" borderId="22" xfId="0" applyNumberFormat="1" applyFont="1" applyBorder="1" applyAlignment="1" applyProtection="1">
      <alignment vertical="center" wrapText="1"/>
      <protection locked="0"/>
    </xf>
    <xf numFmtId="0" fontId="112" fillId="0" borderId="0" xfId="0" applyFont="1" applyAlignment="1">
      <alignment horizontal="left" vertical="center"/>
    </xf>
    <xf numFmtId="0" fontId="48" fillId="0" borderId="0" xfId="0" applyFont="1" applyAlignment="1">
      <alignment horizontal="right" vertical="center" wrapText="1"/>
    </xf>
    <xf numFmtId="0" fontId="48" fillId="0" borderId="0" xfId="0" applyFont="1" applyAlignment="1" applyProtection="1">
      <alignment horizontal="right" vertical="center" wrapText="1"/>
      <protection locked="0"/>
    </xf>
    <xf numFmtId="0" fontId="113" fillId="0" borderId="0" xfId="0" applyFont="1" applyAlignment="1">
      <alignment horizontal="center"/>
    </xf>
    <xf numFmtId="0" fontId="48" fillId="0" borderId="22" xfId="0" applyFont="1" applyBorder="1" applyAlignment="1" applyProtection="1">
      <alignment horizontal="center" vertical="center" wrapText="1"/>
      <protection locked="0"/>
    </xf>
    <xf numFmtId="0" fontId="47" fillId="0" borderId="0" xfId="0" applyFont="1" applyAlignment="1">
      <alignment horizontal="right" vertical="center"/>
    </xf>
    <xf numFmtId="0" fontId="114" fillId="0" borderId="0" xfId="0" quotePrefix="1" applyFont="1" applyAlignment="1">
      <alignment horizontal="left" vertical="center" wrapText="1"/>
    </xf>
    <xf numFmtId="3" fontId="115" fillId="29" borderId="35" xfId="0" applyNumberFormat="1" applyFont="1" applyFill="1" applyBorder="1" applyAlignment="1" applyProtection="1">
      <alignment vertical="center" wrapText="1"/>
      <protection locked="0"/>
    </xf>
    <xf numFmtId="0" fontId="115" fillId="29" borderId="35" xfId="0" applyFont="1" applyFill="1" applyBorder="1" applyAlignment="1" applyProtection="1">
      <alignment horizontal="right" vertical="center" wrapText="1"/>
      <protection locked="0"/>
    </xf>
    <xf numFmtId="0" fontId="116" fillId="29" borderId="35" xfId="0" applyFont="1" applyFill="1" applyBorder="1" applyAlignment="1" applyProtection="1">
      <alignment horizontal="center" vertical="center" wrapText="1"/>
      <protection locked="0"/>
    </xf>
    <xf numFmtId="177" fontId="68" fillId="24" borderId="22" xfId="0" applyNumberFormat="1" applyFont="1" applyFill="1" applyBorder="1" applyAlignment="1" applyProtection="1">
      <alignment horizontal="center" vertical="center" wrapText="1"/>
      <protection locked="0"/>
    </xf>
    <xf numFmtId="167" fontId="68" fillId="24" borderId="22" xfId="0" applyNumberFormat="1" applyFont="1" applyFill="1" applyBorder="1" applyAlignment="1" applyProtection="1">
      <alignment horizontal="center" vertical="center" wrapText="1"/>
      <protection locked="0"/>
    </xf>
    <xf numFmtId="3" fontId="67" fillId="0" borderId="22" xfId="0" applyNumberFormat="1" applyFont="1" applyBorder="1" applyAlignment="1" applyProtection="1">
      <alignment horizontal="center" vertical="center" wrapText="1"/>
      <protection locked="0"/>
    </xf>
    <xf numFmtId="0" fontId="117" fillId="30" borderId="22" xfId="0" quotePrefix="1" applyFont="1" applyFill="1" applyBorder="1" applyAlignment="1" applyProtection="1">
      <alignment horizontal="center" vertical="center" wrapText="1"/>
      <protection locked="0"/>
    </xf>
    <xf numFmtId="0" fontId="116" fillId="29" borderId="22" xfId="0" applyFont="1" applyFill="1" applyBorder="1" applyAlignment="1" applyProtection="1">
      <alignment horizontal="center" vertical="center" wrapText="1"/>
      <protection locked="0"/>
    </xf>
    <xf numFmtId="0" fontId="118" fillId="24" borderId="0" xfId="0" applyFont="1" applyFill="1" applyAlignment="1" applyProtection="1">
      <alignment horizontal="left" wrapText="1"/>
      <protection locked="0"/>
    </xf>
    <xf numFmtId="177" fontId="67" fillId="24" borderId="22" xfId="0" applyNumberFormat="1" applyFont="1" applyFill="1" applyBorder="1" applyAlignment="1" applyProtection="1">
      <alignment horizontal="center" vertical="center" wrapText="1"/>
      <protection locked="0"/>
    </xf>
    <xf numFmtId="0" fontId="0" fillId="0" borderId="35" xfId="0" applyBorder="1" applyAlignment="1" applyProtection="1">
      <alignment horizontal="center" vertical="center" wrapText="1"/>
      <protection locked="0"/>
    </xf>
    <xf numFmtId="0" fontId="69" fillId="0" borderId="0" xfId="0" applyFont="1" applyAlignment="1" applyProtection="1">
      <alignment horizontal="left" vertical="center" wrapText="1"/>
      <protection locked="0"/>
    </xf>
    <xf numFmtId="0" fontId="60" fillId="0" borderId="12" xfId="0" applyFont="1" applyBorder="1" applyAlignment="1" applyProtection="1">
      <alignment horizontal="left" vertical="center"/>
      <protection locked="0"/>
    </xf>
    <xf numFmtId="0" fontId="82" fillId="24" borderId="36" xfId="0" applyFont="1" applyFill="1" applyBorder="1" applyAlignment="1" applyProtection="1">
      <alignment horizontal="center" vertical="center" wrapText="1"/>
      <protection locked="0"/>
    </xf>
    <xf numFmtId="178" fontId="68" fillId="24" borderId="22" xfId="0" applyNumberFormat="1" applyFont="1" applyFill="1" applyBorder="1" applyAlignment="1" applyProtection="1">
      <alignment horizontal="right" vertical="center"/>
      <protection locked="0"/>
    </xf>
    <xf numFmtId="0" fontId="81" fillId="24" borderId="36" xfId="0" applyFont="1" applyFill="1" applyBorder="1" applyAlignment="1" applyProtection="1">
      <alignment horizontal="center" vertical="center" wrapText="1"/>
      <protection locked="0"/>
    </xf>
    <xf numFmtId="43" fontId="67" fillId="0" borderId="36" xfId="78" applyFont="1" applyBorder="1" applyAlignment="1" applyProtection="1">
      <alignment horizontal="right" vertical="center" wrapText="1"/>
      <protection locked="0"/>
    </xf>
    <xf numFmtId="0" fontId="68" fillId="24" borderId="27" xfId="0" applyFont="1" applyFill="1" applyBorder="1" applyAlignment="1" applyProtection="1">
      <alignment horizontal="right" vertical="center" wrapText="1"/>
      <protection locked="0"/>
    </xf>
    <xf numFmtId="0" fontId="84" fillId="24" borderId="36" xfId="0" applyFont="1" applyFill="1" applyBorder="1" applyAlignment="1" applyProtection="1">
      <alignment vertical="center" wrapText="1"/>
      <protection locked="0"/>
    </xf>
    <xf numFmtId="0" fontId="84" fillId="24" borderId="36" xfId="0" applyFont="1" applyFill="1" applyBorder="1" applyAlignment="1" applyProtection="1">
      <alignment horizontal="center" vertical="center" wrapText="1"/>
      <protection locked="0"/>
    </xf>
    <xf numFmtId="4" fontId="83" fillId="24" borderId="22" xfId="0" applyNumberFormat="1" applyFont="1" applyFill="1" applyBorder="1" applyAlignment="1" applyProtection="1">
      <alignment horizontal="right" vertical="center"/>
      <protection locked="0"/>
    </xf>
    <xf numFmtId="0" fontId="84" fillId="24" borderId="28" xfId="0" applyFont="1" applyFill="1" applyBorder="1" applyAlignment="1" applyProtection="1">
      <alignment vertical="center" wrapText="1"/>
      <protection locked="0"/>
    </xf>
    <xf numFmtId="2" fontId="68" fillId="24" borderId="22" xfId="0" applyNumberFormat="1" applyFont="1" applyFill="1" applyBorder="1" applyAlignment="1" applyProtection="1">
      <alignment horizontal="right" vertical="center" wrapText="1"/>
      <protection locked="0"/>
    </xf>
    <xf numFmtId="43" fontId="119" fillId="24" borderId="22" xfId="78" applyFont="1" applyFill="1" applyBorder="1" applyAlignment="1" applyProtection="1">
      <alignment vertical="center"/>
      <protection locked="0"/>
    </xf>
    <xf numFmtId="43" fontId="85" fillId="24" borderId="22" xfId="78" applyFont="1" applyFill="1" applyBorder="1" applyAlignment="1" applyProtection="1">
      <alignment vertical="center"/>
    </xf>
    <xf numFmtId="169" fontId="120" fillId="24" borderId="27" xfId="0" applyNumberFormat="1" applyFont="1" applyFill="1" applyBorder="1" applyAlignment="1">
      <alignment vertical="center"/>
    </xf>
    <xf numFmtId="0" fontId="121" fillId="24" borderId="36" xfId="0" applyFont="1" applyFill="1" applyBorder="1" applyAlignment="1" applyProtection="1">
      <alignment vertical="center" wrapText="1"/>
      <protection locked="0"/>
    </xf>
    <xf numFmtId="0" fontId="85" fillId="24" borderId="36" xfId="0" applyFont="1" applyFill="1" applyBorder="1" applyAlignment="1">
      <alignment horizontal="center" vertical="center" wrapText="1"/>
    </xf>
    <xf numFmtId="171" fontId="60" fillId="24" borderId="22" xfId="0" applyNumberFormat="1" applyFont="1" applyFill="1" applyBorder="1" applyAlignment="1" applyProtection="1">
      <alignment horizontal="right" vertical="center"/>
      <protection locked="0"/>
    </xf>
    <xf numFmtId="1" fontId="60" fillId="24" borderId="36" xfId="0" applyNumberFormat="1" applyFont="1" applyFill="1" applyBorder="1" applyAlignment="1" applyProtection="1">
      <alignment horizontal="right" vertical="center" wrapText="1"/>
      <protection locked="0"/>
    </xf>
    <xf numFmtId="1" fontId="83" fillId="24" borderId="22" xfId="0" applyNumberFormat="1" applyFont="1" applyFill="1" applyBorder="1" applyAlignment="1" applyProtection="1">
      <alignment horizontal="right" vertical="center"/>
      <protection locked="0"/>
    </xf>
    <xf numFmtId="0" fontId="80" fillId="0" borderId="27" xfId="0" applyFont="1" applyBorder="1" applyAlignment="1" applyProtection="1">
      <alignment horizontal="center" vertical="center"/>
      <protection locked="0"/>
    </xf>
    <xf numFmtId="0" fontId="68" fillId="24" borderId="27" xfId="0" applyFont="1" applyFill="1" applyBorder="1" applyAlignment="1" applyProtection="1">
      <alignment horizontal="left" vertical="center"/>
      <protection locked="0"/>
    </xf>
    <xf numFmtId="0" fontId="60" fillId="24" borderId="36" xfId="0" applyFont="1" applyFill="1" applyBorder="1" applyAlignment="1" applyProtection="1">
      <alignment horizontal="left" indent="2"/>
      <protection locked="0"/>
    </xf>
    <xf numFmtId="0" fontId="60" fillId="24" borderId="36" xfId="0" applyFont="1" applyFill="1" applyBorder="1" applyAlignment="1" applyProtection="1">
      <alignment horizontal="right" vertical="center" wrapText="1"/>
      <protection locked="0"/>
    </xf>
    <xf numFmtId="2" fontId="76" fillId="24" borderId="36" xfId="0" applyNumberFormat="1" applyFont="1" applyFill="1" applyBorder="1" applyAlignment="1" applyProtection="1">
      <alignment horizontal="right" vertical="center"/>
      <protection locked="0"/>
    </xf>
    <xf numFmtId="0" fontId="78" fillId="0" borderId="12" xfId="0" applyFont="1" applyBorder="1" applyAlignment="1" applyProtection="1">
      <alignment horizontal="left" vertical="center" wrapText="1"/>
      <protection locked="0"/>
    </xf>
    <xf numFmtId="171" fontId="67" fillId="24" borderId="28" xfId="0" applyNumberFormat="1" applyFont="1" applyFill="1" applyBorder="1" applyAlignment="1" applyProtection="1">
      <alignment horizontal="right" vertical="center"/>
      <protection locked="0"/>
    </xf>
    <xf numFmtId="166" fontId="76" fillId="24" borderId="28" xfId="0" applyNumberFormat="1" applyFont="1" applyFill="1" applyBorder="1" applyAlignment="1" applyProtection="1">
      <alignment horizontal="right" vertical="center"/>
      <protection locked="0"/>
    </xf>
    <xf numFmtId="43" fontId="67" fillId="0" borderId="28" xfId="78" applyFont="1" applyBorder="1" applyAlignment="1" applyProtection="1">
      <alignment vertical="center"/>
      <protection locked="0"/>
    </xf>
    <xf numFmtId="0" fontId="80" fillId="24" borderId="27" xfId="0" applyFont="1" applyFill="1" applyBorder="1" applyAlignment="1" applyProtection="1">
      <alignment vertical="center" wrapText="1"/>
      <protection locked="0"/>
    </xf>
    <xf numFmtId="0" fontId="68" fillId="24" borderId="28" xfId="0" applyFont="1" applyFill="1" applyBorder="1" applyAlignment="1" applyProtection="1">
      <alignment horizontal="left" wrapText="1" indent="2"/>
      <protection locked="0"/>
    </xf>
    <xf numFmtId="0" fontId="76" fillId="24" borderId="28" xfId="0" applyFont="1" applyFill="1" applyBorder="1" applyAlignment="1" applyProtection="1">
      <alignment vertical="center" wrapText="1"/>
      <protection locked="0"/>
    </xf>
    <xf numFmtId="0" fontId="76" fillId="24" borderId="36" xfId="0" applyFont="1" applyFill="1" applyBorder="1" applyAlignment="1" applyProtection="1">
      <alignment horizontal="center" vertical="center"/>
      <protection locked="0"/>
    </xf>
    <xf numFmtId="0" fontId="83" fillId="24" borderId="22" xfId="0" applyFont="1" applyFill="1" applyBorder="1" applyAlignment="1" applyProtection="1">
      <alignment horizontal="right" vertical="center"/>
      <protection locked="0"/>
    </xf>
    <xf numFmtId="0" fontId="83" fillId="0" borderId="36" xfId="0" applyFont="1" applyBorder="1" applyAlignment="1" applyProtection="1">
      <alignment horizontal="right" vertical="center" wrapText="1"/>
      <protection locked="0"/>
    </xf>
    <xf numFmtId="0" fontId="67" fillId="24" borderId="36" xfId="0" applyFont="1" applyFill="1" applyBorder="1" applyAlignment="1" applyProtection="1">
      <alignment horizontal="left" vertical="center" wrapText="1"/>
      <protection locked="0"/>
    </xf>
    <xf numFmtId="0" fontId="80" fillId="31" borderId="36" xfId="0" applyFont="1" applyFill="1" applyBorder="1" applyAlignment="1" applyProtection="1">
      <alignment horizontal="center" vertical="center" wrapText="1"/>
      <protection locked="0"/>
    </xf>
    <xf numFmtId="0" fontId="80" fillId="0" borderId="36" xfId="0" applyFont="1" applyBorder="1" applyAlignment="1" applyProtection="1">
      <alignment horizontal="center" vertical="center" wrapText="1"/>
      <protection locked="0"/>
    </xf>
    <xf numFmtId="49" fontId="84" fillId="0" borderId="29" xfId="0" applyNumberFormat="1" applyFont="1" applyBorder="1" applyAlignment="1" applyProtection="1">
      <alignment horizontal="center" vertical="center"/>
      <protection locked="0"/>
    </xf>
    <xf numFmtId="43" fontId="123" fillId="24" borderId="36" xfId="78" applyFont="1" applyFill="1" applyBorder="1" applyAlignment="1" applyProtection="1">
      <alignment horizontal="right" vertical="center" wrapText="1"/>
      <protection locked="0"/>
    </xf>
    <xf numFmtId="0" fontId="68" fillId="24" borderId="29" xfId="0" applyFont="1" applyFill="1" applyBorder="1" applyAlignment="1" applyProtection="1">
      <alignment horizontal="left" vertical="center" wrapText="1"/>
      <protection locked="0"/>
    </xf>
    <xf numFmtId="171" fontId="68" fillId="24" borderId="28" xfId="0" applyNumberFormat="1" applyFont="1" applyFill="1" applyBorder="1" applyAlignment="1" applyProtection="1">
      <alignment horizontal="right" vertical="center"/>
      <protection locked="0"/>
    </xf>
    <xf numFmtId="43" fontId="123" fillId="24" borderId="28" xfId="78" applyFont="1" applyFill="1" applyBorder="1" applyAlignment="1" applyProtection="1">
      <alignment horizontal="right" vertical="center" wrapText="1"/>
      <protection locked="0"/>
    </xf>
    <xf numFmtId="0" fontId="97" fillId="0" borderId="12" xfId="0" applyFont="1" applyBorder="1" applyAlignment="1" applyProtection="1">
      <alignment horizontal="left" vertical="center" wrapText="1"/>
      <protection locked="0"/>
    </xf>
    <xf numFmtId="0" fontId="68" fillId="24" borderId="36" xfId="0" applyFont="1" applyFill="1" applyBorder="1" applyAlignment="1" applyProtection="1">
      <alignment horizontal="left" vertical="center"/>
      <protection locked="0"/>
    </xf>
    <xf numFmtId="0" fontId="38" fillId="0" borderId="11" xfId="0" applyFont="1" applyBorder="1" applyAlignment="1" applyProtection="1">
      <alignment horizontal="left" vertical="center" wrapText="1"/>
      <protection locked="0"/>
    </xf>
    <xf numFmtId="0" fontId="117" fillId="0" borderId="12" xfId="0" applyFont="1" applyBorder="1" applyAlignment="1" applyProtection="1">
      <alignment horizontal="left" vertical="center" wrapText="1"/>
      <protection locked="0"/>
    </xf>
    <xf numFmtId="43" fontId="81" fillId="34" borderId="28" xfId="78" applyFont="1" applyFill="1" applyBorder="1" applyAlignment="1" applyProtection="1">
      <alignment vertical="center"/>
      <protection locked="0"/>
    </xf>
    <xf numFmtId="0" fontId="81" fillId="34" borderId="28" xfId="0" applyFont="1" applyFill="1" applyBorder="1" applyAlignment="1">
      <alignment vertical="center"/>
    </xf>
    <xf numFmtId="1" fontId="76" fillId="24" borderId="22" xfId="0" applyNumberFormat="1" applyFont="1" applyFill="1" applyBorder="1" applyAlignment="1" applyProtection="1">
      <alignment horizontal="right" vertical="center"/>
      <protection locked="0"/>
    </xf>
    <xf numFmtId="0" fontId="76" fillId="24" borderId="23" xfId="0" applyFont="1" applyFill="1" applyBorder="1" applyAlignment="1" applyProtection="1">
      <alignment horizontal="right" vertical="center"/>
      <protection locked="0"/>
    </xf>
    <xf numFmtId="2" fontId="83" fillId="24" borderId="22" xfId="0" applyNumberFormat="1" applyFont="1" applyFill="1" applyBorder="1" applyAlignment="1" applyProtection="1">
      <alignment horizontal="right" vertical="center" wrapText="1"/>
      <protection locked="0"/>
    </xf>
    <xf numFmtId="0" fontId="0" fillId="0" borderId="36" xfId="0" applyBorder="1" applyProtection="1">
      <protection locked="0"/>
    </xf>
    <xf numFmtId="0" fontId="0" fillId="24" borderId="36" xfId="0" applyFill="1" applyBorder="1" applyProtection="1">
      <protection locked="0"/>
    </xf>
    <xf numFmtId="43" fontId="76" fillId="24" borderId="22" xfId="78" applyFont="1" applyFill="1" applyBorder="1" applyAlignment="1" applyProtection="1">
      <alignment horizontal="center" vertical="center"/>
    </xf>
    <xf numFmtId="43" fontId="67" fillId="24" borderId="27" xfId="78" applyFont="1" applyFill="1" applyBorder="1" applyAlignment="1" applyProtection="1">
      <alignment vertical="center"/>
      <protection locked="0"/>
    </xf>
    <xf numFmtId="0" fontId="97" fillId="0" borderId="11" xfId="0" applyFont="1" applyBorder="1" applyAlignment="1" applyProtection="1">
      <alignment horizontal="center" vertical="center" wrapText="1"/>
      <protection locked="0"/>
    </xf>
    <xf numFmtId="0" fontId="67" fillId="0" borderId="28" xfId="0" applyFont="1" applyBorder="1" applyAlignment="1" applyProtection="1">
      <alignment vertical="center"/>
      <protection locked="0"/>
    </xf>
    <xf numFmtId="1" fontId="67" fillId="0" borderId="22" xfId="0" applyNumberFormat="1" applyFont="1" applyBorder="1" applyAlignment="1" applyProtection="1">
      <alignment horizontal="right" vertical="center" wrapText="1"/>
      <protection locked="0"/>
    </xf>
    <xf numFmtId="0" fontId="67" fillId="24" borderId="29" xfId="0" applyFont="1" applyFill="1" applyBorder="1" applyAlignment="1" applyProtection="1">
      <alignment horizontal="left" vertical="center" wrapText="1"/>
      <protection locked="0"/>
    </xf>
    <xf numFmtId="0" fontId="38" fillId="31" borderId="12" xfId="0" applyFont="1" applyFill="1" applyBorder="1" applyAlignment="1" applyProtection="1">
      <alignment horizontal="left" vertical="center" wrapText="1"/>
      <protection locked="0"/>
    </xf>
    <xf numFmtId="169" fontId="67" fillId="24" borderId="40" xfId="0" applyNumberFormat="1" applyFont="1" applyFill="1" applyBorder="1" applyAlignment="1">
      <alignment vertical="center"/>
    </xf>
    <xf numFmtId="0" fontId="76" fillId="24" borderId="38" xfId="0" applyFont="1" applyFill="1" applyBorder="1" applyAlignment="1">
      <alignment horizontal="center" vertical="center"/>
    </xf>
    <xf numFmtId="0" fontId="67" fillId="0" borderId="22" xfId="0" applyFont="1" applyBorder="1" applyAlignment="1" applyProtection="1">
      <alignment horizontal="center" vertical="center"/>
      <protection locked="0"/>
    </xf>
    <xf numFmtId="2" fontId="85" fillId="34" borderId="38" xfId="0" applyNumberFormat="1" applyFont="1" applyFill="1" applyBorder="1" applyAlignment="1">
      <alignment horizontal="right" vertical="center"/>
    </xf>
    <xf numFmtId="171" fontId="76" fillId="24" borderId="28" xfId="0" applyNumberFormat="1" applyFont="1" applyFill="1" applyBorder="1" applyAlignment="1" applyProtection="1">
      <alignment horizontal="right" vertical="center"/>
      <protection locked="0"/>
    </xf>
    <xf numFmtId="4" fontId="93" fillId="0" borderId="12" xfId="0" applyNumberFormat="1" applyFont="1" applyBorder="1" applyAlignment="1" applyProtection="1">
      <alignment horizontal="left" vertical="center" wrapText="1"/>
      <protection locked="0"/>
    </xf>
    <xf numFmtId="0" fontId="55" fillId="0" borderId="12" xfId="0" applyFont="1" applyBorder="1" applyAlignment="1" applyProtection="1">
      <alignment horizontal="center" vertical="center" wrapText="1"/>
      <protection locked="0"/>
    </xf>
    <xf numFmtId="171" fontId="85" fillId="34" borderId="28" xfId="0" applyNumberFormat="1" applyFont="1" applyFill="1" applyBorder="1" applyAlignment="1" applyProtection="1">
      <alignment horizontal="right" vertical="center"/>
      <protection locked="0"/>
    </xf>
    <xf numFmtId="171" fontId="85" fillId="34" borderId="28" xfId="0" applyNumberFormat="1" applyFont="1" applyFill="1" applyBorder="1" applyAlignment="1">
      <alignment horizontal="right" vertical="center"/>
    </xf>
    <xf numFmtId="7" fontId="85" fillId="34" borderId="28" xfId="0" applyNumberFormat="1" applyFont="1" applyFill="1" applyBorder="1" applyAlignment="1">
      <alignment vertical="center"/>
    </xf>
    <xf numFmtId="171" fontId="85" fillId="34" borderId="30" xfId="0" applyNumberFormat="1" applyFont="1" applyFill="1" applyBorder="1" applyAlignment="1" applyProtection="1">
      <alignment horizontal="right" vertical="center"/>
      <protection locked="0"/>
    </xf>
    <xf numFmtId="171" fontId="85" fillId="34" borderId="30" xfId="0" applyNumberFormat="1" applyFont="1" applyFill="1" applyBorder="1" applyAlignment="1">
      <alignment horizontal="right" vertical="center"/>
    </xf>
    <xf numFmtId="7" fontId="85" fillId="34" borderId="30" xfId="0" applyNumberFormat="1" applyFont="1" applyFill="1" applyBorder="1" applyAlignment="1">
      <alignment vertical="center"/>
    </xf>
    <xf numFmtId="171" fontId="81" fillId="34" borderId="30" xfId="0" applyNumberFormat="1" applyFont="1" applyFill="1" applyBorder="1" applyAlignment="1">
      <alignment horizontal="right" vertical="center"/>
    </xf>
    <xf numFmtId="7" fontId="81" fillId="0" borderId="44" xfId="0" applyNumberFormat="1" applyFont="1" applyBorder="1" applyAlignment="1" applyProtection="1">
      <alignment vertical="center"/>
      <protection locked="0"/>
    </xf>
    <xf numFmtId="171" fontId="81" fillId="32" borderId="46" xfId="0" applyNumberFormat="1" applyFont="1" applyFill="1" applyBorder="1" applyAlignment="1">
      <alignment horizontal="right" vertical="center"/>
    </xf>
    <xf numFmtId="7" fontId="124" fillId="0" borderId="0" xfId="0" applyNumberFormat="1" applyFont="1" applyAlignment="1" applyProtection="1">
      <alignment horizontal="left" vertical="center" wrapText="1"/>
      <protection locked="0"/>
    </xf>
    <xf numFmtId="0" fontId="100" fillId="32" borderId="25" xfId="0" applyFont="1" applyFill="1" applyBorder="1" applyAlignment="1">
      <alignment vertical="center"/>
    </xf>
    <xf numFmtId="0" fontId="90" fillId="0" borderId="0" xfId="0" applyFont="1" applyAlignment="1" applyProtection="1">
      <alignment horizontal="left" vertical="center" wrapText="1"/>
      <protection locked="0"/>
    </xf>
    <xf numFmtId="0" fontId="94" fillId="32" borderId="38" xfId="0" applyFont="1" applyFill="1" applyBorder="1" applyAlignment="1">
      <alignment horizontal="right" vertical="center"/>
    </xf>
    <xf numFmtId="2" fontId="35" fillId="32" borderId="0" xfId="0" applyNumberFormat="1" applyFont="1" applyFill="1" applyAlignment="1">
      <alignment horizontal="center" vertical="center"/>
    </xf>
    <xf numFmtId="178" fontId="56" fillId="32" borderId="0" xfId="0" applyNumberFormat="1" applyFont="1" applyFill="1" applyAlignment="1">
      <alignment horizontal="right" vertical="center"/>
    </xf>
    <xf numFmtId="178" fontId="89" fillId="32" borderId="0" xfId="0" applyNumberFormat="1" applyFont="1" applyFill="1" applyAlignment="1">
      <alignment horizontal="right" vertical="center"/>
    </xf>
    <xf numFmtId="179" fontId="102" fillId="32" borderId="0" xfId="0" applyNumberFormat="1" applyFont="1" applyFill="1" applyAlignment="1">
      <alignment vertical="center"/>
    </xf>
    <xf numFmtId="179" fontId="106" fillId="32" borderId="0" xfId="0" applyNumberFormat="1" applyFont="1" applyFill="1"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24" borderId="0" xfId="0" applyFill="1" applyAlignment="1">
      <alignment horizontal="center" vertical="center" wrapText="1"/>
    </xf>
    <xf numFmtId="3" fontId="0" fillId="0" borderId="0" xfId="0" applyNumberFormat="1"/>
    <xf numFmtId="0" fontId="125" fillId="0" borderId="0" xfId="0" applyFont="1"/>
    <xf numFmtId="2" fontId="0" fillId="0" borderId="0" xfId="0" applyNumberFormat="1"/>
    <xf numFmtId="3" fontId="0" fillId="24" borderId="0" xfId="0" applyNumberFormat="1" applyFill="1"/>
    <xf numFmtId="0" fontId="0" fillId="0" borderId="0" xfId="0" applyAlignment="1">
      <alignment vertical="center"/>
    </xf>
    <xf numFmtId="3" fontId="0" fillId="0" borderId="0" xfId="0" quotePrefix="1" applyNumberFormat="1" applyAlignment="1">
      <alignment vertical="center"/>
    </xf>
    <xf numFmtId="3" fontId="0" fillId="0" borderId="0" xfId="0" applyNumberFormat="1" applyAlignment="1">
      <alignment vertical="center"/>
    </xf>
    <xf numFmtId="0" fontId="125" fillId="0" borderId="0" xfId="0" applyFont="1" applyAlignment="1">
      <alignment vertical="center"/>
    </xf>
    <xf numFmtId="3" fontId="0" fillId="24" borderId="0" xfId="0" applyNumberFormat="1" applyFill="1" applyAlignment="1">
      <alignment vertical="center"/>
    </xf>
    <xf numFmtId="170" fontId="0" fillId="0" borderId="0" xfId="78" applyNumberFormat="1" applyFont="1"/>
    <xf numFmtId="170" fontId="0" fillId="24" borderId="0" xfId="0" applyNumberFormat="1" applyFill="1"/>
    <xf numFmtId="170" fontId="125" fillId="0" borderId="0" xfId="78" applyNumberFormat="1" applyFont="1"/>
    <xf numFmtId="0" fontId="49" fillId="0" borderId="0" xfId="0" applyFont="1" applyAlignment="1" applyProtection="1">
      <alignment horizontal="left" vertical="center" wrapText="1"/>
      <protection locked="0"/>
    </xf>
    <xf numFmtId="0" fontId="47" fillId="0" borderId="26" xfId="0" applyFont="1" applyBorder="1" applyAlignment="1" applyProtection="1">
      <alignment horizontal="right"/>
      <protection locked="0"/>
    </xf>
    <xf numFmtId="0" fontId="47" fillId="0" borderId="26" xfId="0" applyFont="1" applyBorder="1" applyAlignment="1" applyProtection="1">
      <alignment horizontal="right" wrapText="1"/>
      <protection locked="0"/>
    </xf>
    <xf numFmtId="0" fontId="0" fillId="0" borderId="52" xfId="0" applyBorder="1" applyAlignment="1">
      <alignment horizontal="center" vertical="center"/>
    </xf>
    <xf numFmtId="0" fontId="47" fillId="0" borderId="0" xfId="0" applyFont="1" applyAlignment="1">
      <alignment vertical="center"/>
    </xf>
    <xf numFmtId="0" fontId="47" fillId="0" borderId="22" xfId="0" applyFont="1" applyBorder="1" applyAlignment="1" applyProtection="1">
      <alignment horizontal="right"/>
      <protection locked="0"/>
    </xf>
    <xf numFmtId="0" fontId="46" fillId="0" borderId="0" xfId="0" applyFont="1" applyAlignment="1">
      <alignment horizontal="right"/>
    </xf>
    <xf numFmtId="0" fontId="47" fillId="0" borderId="0" xfId="0" applyFont="1" applyAlignment="1">
      <alignment horizontal="center" wrapText="1"/>
    </xf>
    <xf numFmtId="0" fontId="89" fillId="0" borderId="0" xfId="0" applyFont="1" applyAlignment="1">
      <alignment horizontal="left" vertical="center"/>
    </xf>
    <xf numFmtId="0" fontId="62" fillId="25" borderId="23" xfId="0" applyFont="1" applyFill="1" applyBorder="1" applyAlignment="1" applyProtection="1">
      <alignment vertical="center" wrapText="1"/>
      <protection locked="0"/>
    </xf>
    <xf numFmtId="0" fontId="126" fillId="35" borderId="35" xfId="0" applyFont="1" applyFill="1" applyBorder="1" applyAlignment="1" applyProtection="1">
      <alignment horizontal="right" vertical="center" wrapText="1"/>
      <protection locked="0"/>
    </xf>
    <xf numFmtId="166" fontId="67" fillId="24" borderId="22" xfId="0" applyNumberFormat="1" applyFont="1" applyFill="1" applyBorder="1" applyAlignment="1" applyProtection="1">
      <alignment horizontal="right" vertical="center" wrapText="1"/>
      <protection locked="0"/>
    </xf>
    <xf numFmtId="165" fontId="60" fillId="0" borderId="12" xfId="0" applyNumberFormat="1" applyFont="1" applyBorder="1" applyAlignment="1" applyProtection="1">
      <alignment horizontal="left" vertical="center" wrapText="1"/>
      <protection locked="0"/>
    </xf>
    <xf numFmtId="0" fontId="68" fillId="24" borderId="28" xfId="0" applyFont="1" applyFill="1" applyBorder="1" applyAlignment="1" applyProtection="1">
      <alignment vertical="center" wrapText="1"/>
      <protection locked="0"/>
    </xf>
    <xf numFmtId="180" fontId="67" fillId="0" borderId="36" xfId="0" applyNumberFormat="1" applyFont="1" applyBorder="1" applyAlignment="1" applyProtection="1">
      <alignment horizontal="left" vertical="center" wrapText="1"/>
      <protection locked="0"/>
    </xf>
    <xf numFmtId="0" fontId="84" fillId="0" borderId="28" xfId="0" applyFont="1" applyBorder="1" applyAlignment="1" applyProtection="1">
      <alignment horizontal="center" vertical="center" wrapText="1"/>
      <protection locked="0"/>
    </xf>
    <xf numFmtId="0" fontId="80" fillId="24" borderId="28" xfId="0" applyFont="1" applyFill="1" applyBorder="1" applyAlignment="1">
      <alignment wrapText="1"/>
    </xf>
    <xf numFmtId="0" fontId="80" fillId="24" borderId="28" xfId="0" applyFont="1" applyFill="1" applyBorder="1" applyAlignment="1" applyProtection="1">
      <alignment wrapText="1"/>
      <protection locked="0"/>
    </xf>
    <xf numFmtId="0" fontId="80" fillId="24" borderId="40" xfId="0" applyFont="1" applyFill="1" applyBorder="1" applyAlignment="1">
      <alignment wrapText="1"/>
    </xf>
    <xf numFmtId="0" fontId="60" fillId="24" borderId="27" xfId="0" applyFont="1" applyFill="1" applyBorder="1" applyAlignment="1" applyProtection="1">
      <alignment horizontal="left" vertical="center" wrapText="1"/>
      <protection locked="0"/>
    </xf>
    <xf numFmtId="0" fontId="76" fillId="24" borderId="36" xfId="0" applyFont="1" applyFill="1" applyBorder="1" applyAlignment="1" applyProtection="1">
      <alignment horizontal="right" vertical="center" wrapText="1"/>
      <protection locked="0"/>
    </xf>
    <xf numFmtId="166" fontId="68" fillId="24" borderId="36" xfId="0" applyNumberFormat="1" applyFont="1" applyFill="1" applyBorder="1" applyAlignment="1" applyProtection="1">
      <alignment horizontal="right" vertical="center" wrapText="1"/>
      <protection locked="0"/>
    </xf>
    <xf numFmtId="7" fontId="85" fillId="34" borderId="28" xfId="0" applyNumberFormat="1" applyFont="1" applyFill="1" applyBorder="1" applyAlignment="1" applyProtection="1">
      <alignment vertical="center"/>
      <protection locked="0"/>
    </xf>
    <xf numFmtId="43" fontId="85" fillId="34" borderId="28" xfId="78" applyFont="1" applyFill="1" applyBorder="1" applyAlignment="1" applyProtection="1">
      <alignment vertical="center"/>
    </xf>
    <xf numFmtId="0" fontId="67" fillId="31" borderId="36" xfId="0" applyFont="1" applyFill="1" applyBorder="1" applyAlignment="1" applyProtection="1">
      <alignment horizontal="right" vertical="center" wrapText="1"/>
      <protection locked="0"/>
    </xf>
    <xf numFmtId="4" fontId="109" fillId="0" borderId="12" xfId="0" applyNumberFormat="1" applyFont="1" applyBorder="1" applyAlignment="1" applyProtection="1">
      <alignment horizontal="left" vertical="center" wrapText="1"/>
      <protection locked="0"/>
    </xf>
    <xf numFmtId="49" fontId="67" fillId="24" borderId="29" xfId="0" applyNumberFormat="1" applyFont="1" applyFill="1" applyBorder="1" applyAlignment="1" applyProtection="1">
      <alignment horizontal="left" vertical="center"/>
      <protection locked="0"/>
    </xf>
    <xf numFmtId="0" fontId="80" fillId="24" borderId="30" xfId="0" applyFont="1" applyFill="1" applyBorder="1" applyAlignment="1">
      <alignment horizontal="center" vertical="center"/>
    </xf>
    <xf numFmtId="0" fontId="81" fillId="24" borderId="27" xfId="0" applyFont="1" applyFill="1" applyBorder="1" applyAlignment="1">
      <alignment vertical="center" wrapText="1"/>
    </xf>
    <xf numFmtId="0" fontId="84" fillId="24" borderId="29" xfId="0" applyFont="1" applyFill="1" applyBorder="1" applyAlignment="1" applyProtection="1">
      <alignment horizontal="left" vertical="center"/>
      <protection locked="0"/>
    </xf>
    <xf numFmtId="0" fontId="85" fillId="24" borderId="27" xfId="0" applyFont="1" applyFill="1" applyBorder="1" applyAlignment="1">
      <alignment vertical="center" wrapText="1"/>
    </xf>
    <xf numFmtId="0" fontId="85" fillId="24" borderId="28" xfId="0" applyFont="1" applyFill="1" applyBorder="1" applyAlignment="1" applyProtection="1">
      <alignment vertical="center" wrapText="1"/>
      <protection locked="0"/>
    </xf>
    <xf numFmtId="0" fontId="85" fillId="24" borderId="28" xfId="0" applyFont="1" applyFill="1" applyBorder="1" applyAlignment="1">
      <alignment vertical="center" wrapText="1"/>
    </xf>
    <xf numFmtId="0" fontId="85" fillId="24" borderId="40" xfId="0" applyFont="1" applyFill="1" applyBorder="1" applyAlignment="1">
      <alignment vertical="center" wrapText="1"/>
    </xf>
    <xf numFmtId="0" fontId="85" fillId="24" borderId="27" xfId="0" applyFont="1" applyFill="1" applyBorder="1" applyAlignment="1" applyProtection="1">
      <alignment horizontal="left" vertical="center" wrapText="1"/>
      <protection locked="0"/>
    </xf>
    <xf numFmtId="0" fontId="83" fillId="24" borderId="22" xfId="0" applyFont="1" applyFill="1" applyBorder="1" applyAlignment="1" applyProtection="1">
      <alignment horizontal="left" vertical="center" wrapText="1"/>
      <protection locked="0"/>
    </xf>
    <xf numFmtId="43" fontId="68" fillId="24" borderId="29" xfId="78" applyFont="1" applyFill="1" applyBorder="1" applyAlignment="1" applyProtection="1">
      <alignment vertical="center"/>
      <protection locked="0"/>
    </xf>
    <xf numFmtId="43" fontId="68" fillId="24" borderId="30" xfId="78" applyFont="1" applyFill="1" applyBorder="1" applyAlignment="1" applyProtection="1">
      <alignment vertical="center"/>
    </xf>
    <xf numFmtId="169" fontId="83" fillId="24" borderId="41" xfId="0" applyNumberFormat="1" applyFont="1" applyFill="1" applyBorder="1" applyAlignment="1">
      <alignment vertical="center"/>
    </xf>
    <xf numFmtId="43" fontId="68" fillId="24" borderId="33" xfId="78" applyFont="1" applyFill="1" applyBorder="1" applyAlignment="1" applyProtection="1">
      <alignment vertical="center"/>
      <protection locked="0"/>
    </xf>
    <xf numFmtId="43" fontId="68" fillId="24" borderId="38" xfId="78" applyFont="1" applyFill="1" applyBorder="1" applyAlignment="1" applyProtection="1">
      <alignment vertical="center"/>
    </xf>
    <xf numFmtId="169" fontId="83" fillId="24" borderId="42" xfId="0" applyNumberFormat="1" applyFont="1" applyFill="1" applyBorder="1" applyAlignment="1">
      <alignment vertical="center"/>
    </xf>
    <xf numFmtId="0" fontId="85" fillId="24" borderId="28" xfId="0" applyFont="1" applyFill="1" applyBorder="1" applyAlignment="1">
      <alignment horizontal="center" vertical="center" wrapText="1"/>
    </xf>
    <xf numFmtId="0" fontId="68" fillId="24" borderId="28" xfId="0" applyFont="1" applyFill="1" applyBorder="1" applyAlignment="1" applyProtection="1">
      <alignment horizontal="right" vertical="center"/>
      <protection locked="0"/>
    </xf>
    <xf numFmtId="0" fontId="68" fillId="24" borderId="28" xfId="0" applyFont="1" applyFill="1" applyBorder="1" applyAlignment="1" applyProtection="1">
      <alignment horizontal="right" vertical="center" wrapText="1"/>
      <protection locked="0"/>
    </xf>
    <xf numFmtId="0" fontId="68" fillId="24" borderId="28" xfId="0" applyFont="1" applyFill="1" applyBorder="1" applyAlignment="1" applyProtection="1">
      <alignment horizontal="center" vertical="center"/>
      <protection locked="0"/>
    </xf>
    <xf numFmtId="0" fontId="81" fillId="26" borderId="25" xfId="0" applyFont="1" applyFill="1" applyBorder="1" applyAlignment="1" applyProtection="1">
      <alignment vertical="center" wrapText="1"/>
      <protection locked="0"/>
    </xf>
    <xf numFmtId="43" fontId="85" fillId="34" borderId="38" xfId="78" applyFont="1" applyFill="1" applyBorder="1" applyAlignment="1" applyProtection="1">
      <alignment horizontal="center" vertical="center"/>
      <protection locked="0"/>
    </xf>
    <xf numFmtId="0" fontId="83" fillId="24" borderId="33" xfId="0" applyFont="1" applyFill="1" applyBorder="1" applyAlignment="1" applyProtection="1">
      <alignment horizontal="center" vertical="center" wrapText="1"/>
      <protection locked="0"/>
    </xf>
    <xf numFmtId="2" fontId="127" fillId="0" borderId="12" xfId="0" applyNumberFormat="1" applyFont="1" applyBorder="1" applyAlignment="1" applyProtection="1">
      <alignment horizontal="left" vertical="center" wrapText="1"/>
      <protection locked="0"/>
    </xf>
    <xf numFmtId="0" fontId="81" fillId="26" borderId="25" xfId="0" applyFont="1" applyFill="1" applyBorder="1" applyAlignment="1" applyProtection="1">
      <alignment horizontal="center" vertical="center" wrapText="1"/>
      <protection locked="0"/>
    </xf>
    <xf numFmtId="0" fontId="81" fillId="26" borderId="31" xfId="0" applyFont="1" applyFill="1" applyBorder="1" applyAlignment="1" applyProtection="1">
      <alignment vertical="center" wrapText="1"/>
      <protection locked="0"/>
    </xf>
    <xf numFmtId="0" fontId="51" fillId="24" borderId="38" xfId="0" applyFont="1" applyFill="1" applyBorder="1" applyAlignment="1" applyProtection="1">
      <alignment vertical="center" wrapText="1"/>
      <protection locked="0"/>
    </xf>
    <xf numFmtId="169" fontId="67" fillId="24" borderId="22" xfId="78" applyNumberFormat="1" applyFont="1" applyFill="1" applyBorder="1" applyAlignment="1" applyProtection="1">
      <alignment vertical="center"/>
    </xf>
    <xf numFmtId="0" fontId="36" fillId="0" borderId="22" xfId="0" applyFont="1" applyBorder="1" applyAlignment="1" applyProtection="1">
      <alignment horizontal="center" vertical="center"/>
      <protection locked="0"/>
    </xf>
    <xf numFmtId="43" fontId="68" fillId="24" borderId="22" xfId="78" applyFont="1" applyFill="1" applyBorder="1" applyAlignment="1" applyProtection="1">
      <alignment vertical="center"/>
      <protection locked="0"/>
    </xf>
    <xf numFmtId="2" fontId="78" fillId="0" borderId="12" xfId="0" applyNumberFormat="1" applyFont="1" applyBorder="1" applyAlignment="1" applyProtection="1">
      <alignment horizontal="left" vertical="center" wrapText="1"/>
      <protection locked="0"/>
    </xf>
    <xf numFmtId="175" fontId="67" fillId="24" borderId="28" xfId="0" applyNumberFormat="1" applyFont="1" applyFill="1" applyBorder="1" applyAlignment="1" applyProtection="1">
      <alignment vertical="center"/>
      <protection locked="0"/>
    </xf>
    <xf numFmtId="171" fontId="81" fillId="34" borderId="28" xfId="0" applyNumberFormat="1" applyFont="1" applyFill="1" applyBorder="1" applyAlignment="1">
      <alignment horizontal="right" vertical="center"/>
    </xf>
    <xf numFmtId="0" fontId="55" fillId="34" borderId="30" xfId="0" applyFont="1" applyFill="1" applyBorder="1" applyAlignment="1" applyProtection="1">
      <alignment vertical="center"/>
      <protection locked="0"/>
    </xf>
    <xf numFmtId="43" fontId="128" fillId="32" borderId="0" xfId="78" applyFont="1" applyFill="1" applyAlignment="1" applyProtection="1">
      <alignment vertical="center"/>
      <protection locked="0"/>
    </xf>
    <xf numFmtId="43" fontId="128" fillId="32" borderId="0" xfId="78" applyFont="1" applyFill="1" applyAlignment="1" applyProtection="1">
      <alignment vertical="center"/>
    </xf>
    <xf numFmtId="0" fontId="60" fillId="0" borderId="0" xfId="0" applyFont="1" applyAlignment="1" applyProtection="1">
      <alignment horizontal="left" vertical="center" wrapText="1"/>
      <protection locked="0"/>
    </xf>
    <xf numFmtId="7" fontId="100" fillId="32" borderId="0" xfId="0" applyNumberFormat="1" applyFont="1" applyFill="1" applyAlignment="1">
      <alignment vertical="center"/>
    </xf>
    <xf numFmtId="7" fontId="55" fillId="0" borderId="0" xfId="0" applyNumberFormat="1" applyFont="1" applyAlignment="1" applyProtection="1">
      <alignment horizontal="left" vertical="center" wrapText="1"/>
      <protection locked="0"/>
    </xf>
    <xf numFmtId="0" fontId="0" fillId="0" borderId="0" xfId="0" applyAlignment="1">
      <alignment horizontal="left" wrapText="1"/>
    </xf>
    <xf numFmtId="0" fontId="0" fillId="0" borderId="21" xfId="0" applyBorder="1"/>
    <xf numFmtId="0" fontId="118" fillId="0" borderId="0" xfId="0" applyFont="1" applyAlignment="1">
      <alignment horizontal="centerContinuous"/>
    </xf>
    <xf numFmtId="0" fontId="129" fillId="0" borderId="56" xfId="0" applyFont="1" applyBorder="1" applyAlignment="1">
      <alignment horizontal="center" vertical="center"/>
    </xf>
    <xf numFmtId="0" fontId="129" fillId="0" borderId="56" xfId="0" applyFont="1" applyBorder="1" applyAlignment="1">
      <alignment horizontal="center" vertical="center" wrapText="1"/>
    </xf>
    <xf numFmtId="0" fontId="130" fillId="0" borderId="56" xfId="0" applyFont="1" applyBorder="1" applyAlignment="1">
      <alignment horizontal="center" vertical="center" wrapText="1"/>
    </xf>
    <xf numFmtId="0" fontId="130" fillId="0" borderId="56" xfId="0" applyFont="1" applyBorder="1" applyAlignment="1">
      <alignment horizontal="center" vertical="center"/>
    </xf>
    <xf numFmtId="0" fontId="129" fillId="0" borderId="59" xfId="0" applyFont="1" applyBorder="1" applyAlignment="1">
      <alignment horizontal="center" vertical="center"/>
    </xf>
    <xf numFmtId="0" fontId="118" fillId="0" borderId="59" xfId="0" applyFont="1" applyBorder="1" applyAlignment="1">
      <alignment horizontal="center" vertical="center"/>
    </xf>
    <xf numFmtId="0" fontId="0" fillId="0" borderId="56" xfId="0" applyBorder="1" applyAlignment="1">
      <alignment vertical="center"/>
    </xf>
    <xf numFmtId="0" fontId="0" fillId="0" borderId="59" xfId="0" applyBorder="1" applyAlignment="1">
      <alignment vertical="center"/>
    </xf>
    <xf numFmtId="0" fontId="0" fillId="0" borderId="59" xfId="0" applyBorder="1" applyAlignment="1">
      <alignment vertical="center" wrapText="1"/>
    </xf>
    <xf numFmtId="0" fontId="131" fillId="0" borderId="56" xfId="0" applyFont="1" applyBorder="1" applyAlignment="1">
      <alignment horizontal="center" vertical="center"/>
    </xf>
    <xf numFmtId="1" fontId="131" fillId="0" borderId="56" xfId="0" applyNumberFormat="1" applyFont="1" applyBorder="1" applyAlignment="1">
      <alignment horizontal="center" vertical="center"/>
    </xf>
    <xf numFmtId="43" fontId="131" fillId="0" borderId="56" xfId="78" applyFont="1" applyBorder="1" applyAlignment="1">
      <alignment horizontal="center" vertical="center"/>
    </xf>
    <xf numFmtId="0" fontId="0" fillId="0" borderId="56" xfId="0" applyBorder="1"/>
    <xf numFmtId="0" fontId="131" fillId="0" borderId="0" xfId="0" applyFont="1" applyAlignment="1">
      <alignment horizontal="center" vertical="center"/>
    </xf>
    <xf numFmtId="1" fontId="131" fillId="0" borderId="0" xfId="0" applyNumberFormat="1" applyFont="1" applyAlignment="1">
      <alignment horizontal="center" vertical="center"/>
    </xf>
    <xf numFmtId="43" fontId="131" fillId="0" borderId="0" xfId="78" applyFont="1" applyAlignment="1">
      <alignment horizontal="center" vertical="center"/>
    </xf>
    <xf numFmtId="7" fontId="131" fillId="0" borderId="0" xfId="78" applyNumberFormat="1" applyFont="1" applyAlignment="1">
      <alignment horizontal="center" vertical="center"/>
    </xf>
    <xf numFmtId="0" fontId="132" fillId="0" borderId="0" xfId="0" applyFont="1"/>
    <xf numFmtId="0" fontId="61" fillId="0" borderId="0" xfId="0" applyFont="1"/>
    <xf numFmtId="0" fontId="75" fillId="0" borderId="60" xfId="0" applyFont="1" applyBorder="1"/>
    <xf numFmtId="0" fontId="61" fillId="0" borderId="60" xfId="0" applyFont="1" applyBorder="1"/>
    <xf numFmtId="0" fontId="75" fillId="0" borderId="0" xfId="0" applyFont="1"/>
    <xf numFmtId="0" fontId="61" fillId="0" borderId="33" xfId="0" applyFont="1" applyBorder="1" applyAlignment="1">
      <alignment horizontal="left" vertical="center"/>
    </xf>
    <xf numFmtId="0" fontId="61" fillId="0" borderId="33" xfId="0" applyFont="1" applyBorder="1" applyAlignment="1">
      <alignment horizontal="center" vertical="center" wrapText="1"/>
    </xf>
    <xf numFmtId="0" fontId="61" fillId="0" borderId="0" xfId="0" applyFont="1" applyAlignment="1">
      <alignment horizontal="left" vertical="center" wrapText="1"/>
    </xf>
    <xf numFmtId="0" fontId="61" fillId="0" borderId="0" xfId="0" applyFont="1" applyAlignment="1">
      <alignment horizontal="left" vertical="center"/>
    </xf>
    <xf numFmtId="0" fontId="61" fillId="0" borderId="27" xfId="0" applyFont="1" applyBorder="1" applyAlignment="1">
      <alignment horizontal="left" vertical="center"/>
    </xf>
    <xf numFmtId="0" fontId="61" fillId="0" borderId="27" xfId="0" applyFont="1" applyBorder="1" applyAlignment="1">
      <alignment horizontal="center" vertical="center" wrapText="1"/>
    </xf>
    <xf numFmtId="0" fontId="61" fillId="0" borderId="0" xfId="0" applyFont="1" applyAlignment="1">
      <alignment horizontal="center" vertical="center" wrapText="1"/>
    </xf>
    <xf numFmtId="0" fontId="75" fillId="0" borderId="27" xfId="0" applyFont="1" applyBorder="1" applyAlignment="1">
      <alignment horizontal="center" vertical="center" wrapText="1"/>
    </xf>
    <xf numFmtId="0" fontId="61" fillId="0" borderId="27" xfId="0" applyFont="1" applyBorder="1" applyAlignment="1">
      <alignment horizontal="left" vertical="center" wrapText="1"/>
    </xf>
    <xf numFmtId="0" fontId="29" fillId="36" borderId="0" xfId="42" applyFill="1" applyProtection="1"/>
    <xf numFmtId="0" fontId="134" fillId="0" borderId="24" xfId="0" applyFont="1" applyBorder="1" applyAlignment="1">
      <alignment horizontal="center" vertical="center" wrapText="1"/>
    </xf>
    <xf numFmtId="0" fontId="134" fillId="0" borderId="24" xfId="0" applyFont="1" applyBorder="1" applyAlignment="1">
      <alignment vertical="center" wrapText="1"/>
    </xf>
    <xf numFmtId="0" fontId="135" fillId="0" borderId="24" xfId="0" applyFont="1" applyBorder="1" applyAlignment="1">
      <alignment horizontal="center" vertical="center" wrapText="1"/>
    </xf>
    <xf numFmtId="0" fontId="136" fillId="0" borderId="24" xfId="0" applyFont="1" applyBorder="1" applyAlignment="1">
      <alignment horizontal="center" vertical="center" wrapText="1"/>
    </xf>
    <xf numFmtId="0" fontId="137" fillId="0" borderId="24" xfId="0" applyFont="1" applyBorder="1" applyAlignment="1">
      <alignment horizontal="center" vertical="center" wrapText="1"/>
    </xf>
    <xf numFmtId="0" fontId="134" fillId="0" borderId="0" xfId="0" applyFont="1" applyAlignment="1">
      <alignment horizontal="center" vertical="center" wrapText="1"/>
    </xf>
    <xf numFmtId="0" fontId="138" fillId="0" borderId="24" xfId="0" applyFont="1" applyBorder="1" applyAlignment="1">
      <alignment horizontal="center" vertical="center" wrapText="1"/>
    </xf>
    <xf numFmtId="0" fontId="139" fillId="0" borderId="24" xfId="0" applyFont="1" applyBorder="1" applyAlignment="1">
      <alignment horizontal="center" vertical="center" wrapText="1"/>
    </xf>
    <xf numFmtId="0" fontId="140" fillId="0" borderId="24" xfId="0" applyFont="1" applyBorder="1" applyAlignment="1">
      <alignment horizontal="center" vertical="center" wrapText="1"/>
    </xf>
    <xf numFmtId="0" fontId="29" fillId="36" borderId="0" xfId="42" applyFill="1" applyAlignment="1" applyProtection="1">
      <alignment wrapText="1"/>
    </xf>
    <xf numFmtId="3" fontId="0" fillId="38" borderId="52" xfId="0" applyNumberFormat="1" applyFill="1" applyBorder="1" applyAlignment="1">
      <alignment vertical="center" wrapText="1"/>
    </xf>
    <xf numFmtId="166" fontId="0" fillId="38" borderId="52" xfId="0" applyNumberFormat="1" applyFill="1" applyBorder="1" applyAlignment="1">
      <alignment vertical="center" wrapText="1"/>
    </xf>
    <xf numFmtId="0" fontId="0" fillId="38" borderId="52" xfId="0" applyFill="1" applyBorder="1" applyAlignment="1">
      <alignment horizontal="center" vertical="center" wrapText="1"/>
    </xf>
    <xf numFmtId="0" fontId="0" fillId="38" borderId="52" xfId="0" applyFill="1" applyBorder="1" applyAlignment="1">
      <alignment vertical="center" wrapText="1"/>
    </xf>
    <xf numFmtId="0" fontId="0" fillId="38" borderId="52" xfId="0" applyFill="1" applyBorder="1" applyAlignment="1">
      <alignment horizontal="center" vertical="center"/>
    </xf>
    <xf numFmtId="0" fontId="0" fillId="0" borderId="62" xfId="0" applyBorder="1"/>
    <xf numFmtId="3" fontId="0" fillId="0" borderId="63" xfId="0" applyNumberFormat="1" applyBorder="1" applyAlignment="1">
      <alignment vertical="center" wrapText="1"/>
    </xf>
    <xf numFmtId="166" fontId="0" fillId="0" borderId="63" xfId="0" applyNumberFormat="1" applyBorder="1" applyAlignment="1">
      <alignment horizontal="center" vertical="center" wrapText="1"/>
    </xf>
    <xf numFmtId="0" fontId="0" fillId="0" borderId="63" xfId="0" applyBorder="1" applyAlignment="1">
      <alignment horizontal="center" vertical="center" wrapText="1"/>
    </xf>
    <xf numFmtId="2" fontId="0" fillId="0" borderId="63" xfId="0" applyNumberFormat="1" applyBorder="1" applyAlignment="1">
      <alignment horizontal="center" vertical="center" wrapText="1"/>
    </xf>
    <xf numFmtId="166" fontId="0" fillId="0" borderId="64" xfId="0" applyNumberFormat="1" applyBorder="1" applyAlignment="1">
      <alignment horizontal="center" vertical="center" wrapText="1"/>
    </xf>
    <xf numFmtId="0" fontId="141" fillId="0" borderId="0" xfId="0" applyFont="1"/>
    <xf numFmtId="0" fontId="0" fillId="0" borderId="61" xfId="0" applyBorder="1"/>
    <xf numFmtId="3" fontId="0" fillId="0" borderId="0" xfId="0" applyNumberFormat="1" applyAlignment="1">
      <alignment vertical="center" wrapText="1"/>
    </xf>
    <xf numFmtId="166" fontId="0" fillId="0" borderId="0" xfId="0" applyNumberFormat="1" applyAlignment="1">
      <alignment horizontal="center" vertical="center" wrapText="1"/>
    </xf>
    <xf numFmtId="2" fontId="0" fillId="0" borderId="0" xfId="0" applyNumberFormat="1" applyAlignment="1">
      <alignment horizontal="center" vertical="center" wrapText="1"/>
    </xf>
    <xf numFmtId="166" fontId="0" fillId="0" borderId="65" xfId="0" applyNumberFormat="1" applyBorder="1" applyAlignment="1">
      <alignment horizontal="center" vertical="center" wrapText="1"/>
    </xf>
    <xf numFmtId="0" fontId="0" fillId="0" borderId="66" xfId="0" applyBorder="1"/>
    <xf numFmtId="3" fontId="0" fillId="0" borderId="21" xfId="0" applyNumberFormat="1" applyBorder="1" applyAlignment="1">
      <alignment vertical="center" wrapText="1"/>
    </xf>
    <xf numFmtId="166" fontId="0" fillId="0" borderId="21" xfId="0" applyNumberFormat="1" applyBorder="1" applyAlignment="1">
      <alignment horizontal="center" vertical="center" wrapText="1"/>
    </xf>
    <xf numFmtId="0" fontId="0" fillId="0" borderId="21" xfId="0" applyBorder="1" applyAlignment="1">
      <alignment horizontal="center" vertical="center" wrapText="1"/>
    </xf>
    <xf numFmtId="2" fontId="0" fillId="0" borderId="21" xfId="0" applyNumberFormat="1" applyBorder="1" applyAlignment="1">
      <alignment horizontal="center" vertical="center" wrapText="1"/>
    </xf>
    <xf numFmtId="166" fontId="0" fillId="0" borderId="67" xfId="0" applyNumberFormat="1" applyBorder="1" applyAlignment="1">
      <alignment horizontal="center" vertical="center" wrapText="1"/>
    </xf>
    <xf numFmtId="3" fontId="135" fillId="0" borderId="63" xfId="0" applyNumberFormat="1" applyFont="1" applyBorder="1" applyAlignment="1">
      <alignment vertical="center" wrapText="1"/>
    </xf>
    <xf numFmtId="0" fontId="135" fillId="0" borderId="63" xfId="0" applyFont="1" applyBorder="1" applyAlignment="1">
      <alignment horizontal="center" vertical="center" wrapText="1"/>
    </xf>
    <xf numFmtId="3" fontId="135" fillId="0" borderId="0" xfId="0" applyNumberFormat="1" applyFont="1" applyAlignment="1">
      <alignment vertical="center" wrapText="1"/>
    </xf>
    <xf numFmtId="0" fontId="135" fillId="0" borderId="0" xfId="0" applyFont="1" applyAlignment="1">
      <alignment horizontal="center" vertical="center" wrapText="1"/>
    </xf>
    <xf numFmtId="3" fontId="135" fillId="0" borderId="21" xfId="0" applyNumberFormat="1" applyFont="1" applyBorder="1" applyAlignment="1">
      <alignment vertical="center" wrapText="1"/>
    </xf>
    <xf numFmtId="0" fontId="135" fillId="0" borderId="21" xfId="0" applyFont="1" applyBorder="1" applyAlignment="1">
      <alignment horizontal="center" vertical="center" wrapText="1"/>
    </xf>
    <xf numFmtId="0" fontId="134" fillId="0" borderId="63" xfId="0" applyFont="1" applyBorder="1" applyAlignment="1">
      <alignment horizontal="center" vertical="center" wrapText="1"/>
    </xf>
    <xf numFmtId="166" fontId="0" fillId="0" borderId="63" xfId="0" applyNumberFormat="1" applyBorder="1" applyAlignment="1">
      <alignment horizontal="center"/>
    </xf>
    <xf numFmtId="166" fontId="0" fillId="0" borderId="64" xfId="0" applyNumberFormat="1" applyBorder="1" applyAlignment="1">
      <alignment horizontal="center"/>
    </xf>
    <xf numFmtId="166" fontId="0" fillId="0" borderId="0" xfId="0" applyNumberFormat="1" applyAlignment="1">
      <alignment horizontal="center"/>
    </xf>
    <xf numFmtId="166" fontId="0" fillId="0" borderId="65" xfId="0" applyNumberFormat="1" applyBorder="1" applyAlignment="1">
      <alignment horizontal="center"/>
    </xf>
    <xf numFmtId="166" fontId="0" fillId="0" borderId="21" xfId="0" applyNumberFormat="1" applyBorder="1" applyAlignment="1">
      <alignment horizontal="center"/>
    </xf>
    <xf numFmtId="166" fontId="0" fillId="0" borderId="67" xfId="0" applyNumberFormat="1" applyBorder="1" applyAlignment="1">
      <alignment horizontal="center"/>
    </xf>
    <xf numFmtId="0" fontId="135" fillId="0" borderId="0" xfId="0" applyFont="1" applyAlignment="1">
      <alignment horizontal="center"/>
    </xf>
    <xf numFmtId="1" fontId="0" fillId="0" borderId="21" xfId="0" applyNumberFormat="1" applyBorder="1" applyAlignment="1">
      <alignment horizontal="center" vertical="center" wrapText="1"/>
    </xf>
    <xf numFmtId="1" fontId="0" fillId="0" borderId="21" xfId="0" applyNumberFormat="1" applyBorder="1" applyAlignment="1">
      <alignment horizontal="center"/>
    </xf>
    <xf numFmtId="0" fontId="51" fillId="0" borderId="69" xfId="0" applyFont="1" applyBorder="1" applyAlignment="1">
      <alignment horizontal="center" vertical="center" wrapText="1"/>
    </xf>
    <xf numFmtId="43" fontId="61" fillId="0" borderId="0" xfId="78" applyFont="1" applyAlignment="1">
      <alignment vertical="center"/>
    </xf>
    <xf numFmtId="2" fontId="61" fillId="0" borderId="0" xfId="0" applyNumberFormat="1" applyFont="1" applyAlignment="1">
      <alignment horizontal="left" vertical="center" wrapText="1"/>
    </xf>
    <xf numFmtId="9" fontId="61" fillId="0" borderId="0" xfId="77" applyFont="1" applyAlignment="1">
      <alignment vertical="center"/>
    </xf>
    <xf numFmtId="4" fontId="61" fillId="0" borderId="0" xfId="0" applyNumberFormat="1" applyFont="1" applyAlignment="1">
      <alignment vertical="center"/>
    </xf>
    <xf numFmtId="43" fontId="61" fillId="0" borderId="0" xfId="78" applyFont="1" applyAlignment="1">
      <alignment horizontal="left" vertical="center" wrapText="1"/>
    </xf>
    <xf numFmtId="9" fontId="61" fillId="0" borderId="0" xfId="77" applyFont="1" applyAlignment="1">
      <alignment horizontal="left" vertical="center" wrapText="1"/>
    </xf>
    <xf numFmtId="43" fontId="61" fillId="0" borderId="0" xfId="78" applyFont="1" applyAlignment="1">
      <alignment horizontal="center" vertical="center" wrapText="1"/>
    </xf>
    <xf numFmtId="9" fontId="61" fillId="0" borderId="0" xfId="77" applyFont="1" applyAlignment="1">
      <alignment horizontal="center" vertical="center" wrapText="1"/>
    </xf>
    <xf numFmtId="9" fontId="61" fillId="0" borderId="0" xfId="77" applyFont="1" applyAlignment="1">
      <alignment horizontal="right" vertical="center" wrapText="1"/>
    </xf>
    <xf numFmtId="0" fontId="61" fillId="0" borderId="68" xfId="0" applyFont="1" applyBorder="1" applyAlignment="1">
      <alignment horizontal="center" vertical="center" wrapText="1"/>
    </xf>
    <xf numFmtId="43" fontId="61" fillId="0" borderId="68" xfId="78" applyFont="1" applyBorder="1" applyAlignment="1">
      <alignment horizontal="center" vertical="center" wrapText="1"/>
    </xf>
    <xf numFmtId="0" fontId="61" fillId="0" borderId="71" xfId="0" applyFont="1" applyBorder="1" applyAlignment="1">
      <alignment horizontal="center" vertical="center" wrapText="1"/>
    </xf>
    <xf numFmtId="43" fontId="61" fillId="0" borderId="71" xfId="78" applyFont="1" applyBorder="1" applyAlignment="1">
      <alignment horizontal="center" vertical="center" wrapText="1"/>
    </xf>
    <xf numFmtId="0" fontId="61" fillId="0" borderId="70" xfId="0" applyFont="1" applyBorder="1" applyAlignment="1">
      <alignment horizontal="center" vertical="center" wrapText="1"/>
    </xf>
    <xf numFmtId="43" fontId="61" fillId="0" borderId="70" xfId="78" applyFont="1" applyBorder="1" applyAlignment="1">
      <alignment horizontal="center" vertical="center" wrapText="1"/>
    </xf>
    <xf numFmtId="43" fontId="61" fillId="0" borderId="71" xfId="78" applyFont="1" applyBorder="1" applyAlignment="1">
      <alignment horizontal="right" vertical="center" wrapText="1"/>
    </xf>
    <xf numFmtId="0" fontId="61" fillId="0" borderId="0" xfId="0" applyFont="1" applyAlignment="1">
      <alignment horizontal="center" vertical="center"/>
    </xf>
    <xf numFmtId="165" fontId="61" fillId="0" borderId="71" xfId="78" applyNumberFormat="1" applyFont="1" applyBorder="1" applyAlignment="1">
      <alignment horizontal="center" vertical="center" wrapText="1"/>
    </xf>
    <xf numFmtId="0" fontId="61" fillId="0" borderId="71" xfId="0" applyFont="1" applyBorder="1" applyAlignment="1">
      <alignment horizontal="center" vertical="center"/>
    </xf>
    <xf numFmtId="9" fontId="61" fillId="0" borderId="0" xfId="77" applyFont="1" applyAlignment="1">
      <alignment horizontal="center" vertical="center"/>
    </xf>
    <xf numFmtId="4" fontId="61" fillId="0" borderId="0" xfId="0" applyNumberFormat="1" applyFont="1" applyAlignment="1">
      <alignment horizontal="center" vertical="center"/>
    </xf>
    <xf numFmtId="165" fontId="61" fillId="0" borderId="71" xfId="78" applyNumberFormat="1" applyFont="1" applyBorder="1" applyAlignment="1">
      <alignment horizontal="left" vertical="center" wrapText="1"/>
    </xf>
    <xf numFmtId="0" fontId="61" fillId="0" borderId="71" xfId="0" applyFont="1" applyBorder="1" applyAlignment="1">
      <alignment horizontal="left" vertical="center" wrapText="1"/>
    </xf>
    <xf numFmtId="43" fontId="61" fillId="0" borderId="71" xfId="78" applyFont="1" applyBorder="1" applyAlignment="1">
      <alignment horizontal="left" vertical="center" wrapText="1"/>
    </xf>
    <xf numFmtId="0" fontId="61" fillId="31" borderId="0" xfId="0" applyFont="1" applyFill="1" applyAlignment="1">
      <alignment vertical="center"/>
    </xf>
    <xf numFmtId="165" fontId="61" fillId="31" borderId="0" xfId="78" applyNumberFormat="1" applyFont="1" applyFill="1" applyAlignment="1">
      <alignment vertical="center" wrapText="1"/>
    </xf>
    <xf numFmtId="0" fontId="61" fillId="31" borderId="0" xfId="0" applyFont="1" applyFill="1" applyAlignment="1">
      <alignment horizontal="left" vertical="center" wrapText="1"/>
    </xf>
    <xf numFmtId="43" fontId="61" fillId="31" borderId="0" xfId="78" applyFont="1" applyFill="1" applyAlignment="1">
      <alignment horizontal="left" vertical="center" wrapText="1"/>
    </xf>
    <xf numFmtId="2" fontId="61" fillId="31" borderId="0" xfId="0" applyNumberFormat="1" applyFont="1" applyFill="1" applyAlignment="1">
      <alignment horizontal="left" vertical="center" wrapText="1"/>
    </xf>
    <xf numFmtId="9" fontId="61" fillId="31" borderId="0" xfId="77" applyFont="1" applyFill="1" applyAlignment="1">
      <alignment horizontal="left" vertical="center" wrapText="1"/>
    </xf>
    <xf numFmtId="4" fontId="61" fillId="31" borderId="0" xfId="0" applyNumberFormat="1" applyFont="1" applyFill="1" applyAlignment="1">
      <alignment vertical="center"/>
    </xf>
    <xf numFmtId="2" fontId="61" fillId="31" borderId="0" xfId="78" applyNumberFormat="1" applyFont="1" applyFill="1" applyAlignment="1">
      <alignment horizontal="left" vertical="center" wrapText="1"/>
    </xf>
    <xf numFmtId="0" fontId="0" fillId="31" borderId="0" xfId="0" applyFill="1"/>
    <xf numFmtId="0" fontId="143" fillId="31" borderId="51" xfId="0" applyFont="1" applyFill="1" applyBorder="1" applyAlignment="1">
      <alignment horizontal="center" vertical="center"/>
    </xf>
    <xf numFmtId="0" fontId="0" fillId="31" borderId="72" xfId="0" applyFill="1" applyBorder="1" applyAlignment="1">
      <alignment horizontal="center" vertical="center"/>
    </xf>
    <xf numFmtId="0" fontId="0" fillId="31" borderId="84" xfId="0" applyFill="1" applyBorder="1" applyAlignment="1">
      <alignment horizontal="center" vertical="center"/>
    </xf>
    <xf numFmtId="0" fontId="0" fillId="31" borderId="78" xfId="0" applyFill="1" applyBorder="1" applyAlignment="1">
      <alignment horizontal="center" vertical="center"/>
    </xf>
    <xf numFmtId="0" fontId="0" fillId="31" borderId="75" xfId="0" applyFill="1" applyBorder="1" applyAlignment="1">
      <alignment horizontal="center" vertical="center"/>
    </xf>
    <xf numFmtId="0" fontId="0" fillId="31" borderId="85" xfId="0" applyFill="1" applyBorder="1" applyAlignment="1">
      <alignment horizontal="center" vertical="center"/>
    </xf>
    <xf numFmtId="0" fontId="0" fillId="31" borderId="86" xfId="0" applyFill="1" applyBorder="1" applyAlignment="1">
      <alignment horizontal="center" vertical="center"/>
    </xf>
    <xf numFmtId="0" fontId="0" fillId="31" borderId="89" xfId="0" applyFill="1" applyBorder="1" applyAlignment="1">
      <alignment horizontal="center" vertical="center"/>
    </xf>
    <xf numFmtId="0" fontId="0" fillId="31" borderId="55" xfId="0" applyFill="1" applyBorder="1" applyAlignment="1">
      <alignment horizontal="center" vertical="center"/>
    </xf>
    <xf numFmtId="0" fontId="0" fillId="31" borderId="52" xfId="0" applyFill="1" applyBorder="1" applyAlignment="1">
      <alignment horizontal="center" vertical="center"/>
    </xf>
    <xf numFmtId="0" fontId="0" fillId="31" borderId="90" xfId="0" applyFill="1" applyBorder="1" applyAlignment="1">
      <alignment horizontal="center" vertical="center"/>
    </xf>
    <xf numFmtId="0" fontId="0" fillId="31" borderId="91" xfId="0" applyFill="1" applyBorder="1" applyAlignment="1">
      <alignment horizontal="center" vertical="center"/>
    </xf>
    <xf numFmtId="0" fontId="0" fillId="31" borderId="92" xfId="0" applyFill="1" applyBorder="1" applyAlignment="1">
      <alignment horizontal="center" vertical="center"/>
    </xf>
    <xf numFmtId="0" fontId="0" fillId="31" borderId="93" xfId="0" applyFill="1" applyBorder="1" applyAlignment="1">
      <alignment horizontal="center" vertical="center"/>
    </xf>
    <xf numFmtId="0" fontId="0" fillId="31" borderId="94" xfId="0" applyFill="1" applyBorder="1" applyAlignment="1">
      <alignment horizontal="center" vertical="center"/>
    </xf>
    <xf numFmtId="0" fontId="0" fillId="31" borderId="95" xfId="0" applyFill="1" applyBorder="1" applyAlignment="1">
      <alignment horizontal="center" vertical="center"/>
    </xf>
    <xf numFmtId="0" fontId="0" fillId="31" borderId="67" xfId="0" applyFill="1" applyBorder="1" applyAlignment="1">
      <alignment horizontal="center" vertical="center"/>
    </xf>
    <xf numFmtId="0" fontId="0" fillId="31" borderId="96" xfId="0" applyFill="1" applyBorder="1" applyAlignment="1">
      <alignment horizontal="center" vertical="center"/>
    </xf>
    <xf numFmtId="0" fontId="0" fillId="31" borderId="97" xfId="0" applyFill="1" applyBorder="1" applyAlignment="1">
      <alignment horizontal="center" vertical="center"/>
    </xf>
    <xf numFmtId="0" fontId="0" fillId="35" borderId="86" xfId="0" applyFill="1" applyBorder="1" applyAlignment="1">
      <alignment horizontal="center" vertical="center"/>
    </xf>
    <xf numFmtId="0" fontId="0" fillId="31" borderId="98" xfId="0" applyFill="1" applyBorder="1" applyAlignment="1">
      <alignment horizontal="center" vertical="center"/>
    </xf>
    <xf numFmtId="0" fontId="0" fillId="31" borderId="64" xfId="0" applyFill="1" applyBorder="1" applyAlignment="1">
      <alignment horizontal="center" vertical="center"/>
    </xf>
    <xf numFmtId="0" fontId="0" fillId="31" borderId="51" xfId="0" applyFill="1" applyBorder="1" applyAlignment="1">
      <alignment horizontal="center" vertical="center"/>
    </xf>
    <xf numFmtId="0" fontId="0" fillId="31" borderId="99" xfId="0" applyFill="1" applyBorder="1" applyAlignment="1">
      <alignment horizontal="center" vertical="center"/>
    </xf>
    <xf numFmtId="0" fontId="0" fillId="35" borderId="102" xfId="0" applyFill="1" applyBorder="1" applyAlignment="1">
      <alignment horizontal="center" vertical="center"/>
    </xf>
    <xf numFmtId="0" fontId="143" fillId="31" borderId="0" xfId="0" applyFont="1" applyFill="1" applyAlignment="1">
      <alignment horizontal="left" vertical="center"/>
    </xf>
    <xf numFmtId="0" fontId="0" fillId="31" borderId="63" xfId="0" applyFill="1" applyBorder="1" applyAlignment="1">
      <alignment horizontal="center" vertical="center"/>
    </xf>
    <xf numFmtId="0" fontId="0" fillId="31" borderId="103" xfId="0" applyFill="1" applyBorder="1" applyAlignment="1">
      <alignment horizontal="center" vertical="center"/>
    </xf>
    <xf numFmtId="0" fontId="61" fillId="0" borderId="26" xfId="0" applyFont="1" applyBorder="1" applyAlignment="1" applyProtection="1">
      <alignment horizontal="center" vertical="center"/>
      <protection locked="0"/>
    </xf>
    <xf numFmtId="0" fontId="67" fillId="24" borderId="27" xfId="0" applyFont="1" applyFill="1" applyBorder="1" applyAlignment="1" applyProtection="1">
      <alignment horizontal="right" vertical="center" wrapText="1"/>
      <protection locked="0"/>
    </xf>
    <xf numFmtId="9" fontId="61" fillId="0" borderId="0" xfId="77" applyFont="1" applyFill="1" applyAlignment="1">
      <alignment horizontal="center" vertical="center" wrapText="1"/>
    </xf>
    <xf numFmtId="14" fontId="47" fillId="0" borderId="26" xfId="0" applyNumberFormat="1" applyFont="1" applyBorder="1" applyAlignment="1" applyProtection="1">
      <alignment horizontal="right" vertical="center" wrapText="1"/>
      <protection locked="0"/>
    </xf>
    <xf numFmtId="0" fontId="0" fillId="61" borderId="0" xfId="0" applyFill="1" applyProtection="1">
      <protection locked="0"/>
    </xf>
    <xf numFmtId="43" fontId="102" fillId="0" borderId="26" xfId="78" applyFont="1" applyFill="1" applyBorder="1" applyAlignment="1" applyProtection="1">
      <alignment vertical="center"/>
      <protection locked="0"/>
    </xf>
    <xf numFmtId="2" fontId="100" fillId="61" borderId="0" xfId="0" applyNumberFormat="1" applyFont="1" applyFill="1" applyAlignment="1" applyProtection="1">
      <alignment vertical="center"/>
      <protection locked="0"/>
    </xf>
    <xf numFmtId="43" fontId="66" fillId="0" borderId="26" xfId="78" applyFont="1" applyFill="1" applyBorder="1" applyAlignment="1" applyProtection="1">
      <alignment vertical="center"/>
      <protection locked="0"/>
    </xf>
    <xf numFmtId="43" fontId="67" fillId="62" borderId="22" xfId="78" applyFont="1" applyFill="1" applyBorder="1" applyAlignment="1" applyProtection="1">
      <alignment vertical="center"/>
      <protection locked="0"/>
    </xf>
    <xf numFmtId="0" fontId="67" fillId="62" borderId="36" xfId="0" applyFont="1" applyFill="1" applyBorder="1" applyAlignment="1" applyProtection="1">
      <alignment horizontal="right" vertical="center" wrapText="1"/>
      <protection locked="0"/>
    </xf>
    <xf numFmtId="0" fontId="123" fillId="24" borderId="27" xfId="0" applyFont="1" applyFill="1" applyBorder="1" applyAlignment="1" applyProtection="1">
      <alignment horizontal="left" vertical="center" wrapText="1"/>
      <protection locked="0"/>
    </xf>
    <xf numFmtId="0" fontId="167" fillId="24" borderId="22" xfId="0" applyFont="1" applyFill="1" applyBorder="1" applyAlignment="1">
      <alignment horizontal="center" vertical="center" wrapText="1"/>
    </xf>
    <xf numFmtId="0" fontId="73" fillId="24" borderId="22" xfId="0" applyFont="1" applyFill="1" applyBorder="1" applyAlignment="1" applyProtection="1">
      <alignment horizontal="right" vertical="center" wrapText="1"/>
      <protection locked="0"/>
    </xf>
    <xf numFmtId="0" fontId="123" fillId="0" borderId="36" xfId="0" applyFont="1" applyBorder="1" applyAlignment="1" applyProtection="1">
      <alignment horizontal="right" vertical="center" wrapText="1"/>
      <protection locked="0"/>
    </xf>
    <xf numFmtId="2" fontId="123" fillId="24" borderId="31" xfId="0" applyNumberFormat="1" applyFont="1" applyFill="1" applyBorder="1" applyAlignment="1" applyProtection="1">
      <alignment horizontal="right" vertical="center"/>
      <protection locked="0"/>
    </xf>
    <xf numFmtId="2" fontId="73" fillId="24" borderId="22" xfId="0" applyNumberFormat="1" applyFont="1" applyFill="1" applyBorder="1" applyAlignment="1" applyProtection="1">
      <alignment horizontal="right" vertical="center"/>
      <protection locked="0"/>
    </xf>
    <xf numFmtId="0" fontId="123" fillId="24" borderId="22" xfId="0" applyFont="1" applyFill="1" applyBorder="1" applyAlignment="1" applyProtection="1">
      <alignment horizontal="center" vertical="center"/>
      <protection locked="0"/>
    </xf>
    <xf numFmtId="43" fontId="123" fillId="0" borderId="22" xfId="78" applyFont="1" applyBorder="1" applyAlignment="1" applyProtection="1">
      <alignment vertical="center"/>
      <protection locked="0"/>
    </xf>
    <xf numFmtId="43" fontId="123" fillId="24" borderId="22" xfId="78" applyFont="1" applyFill="1" applyBorder="1" applyAlignment="1" applyProtection="1">
      <alignment vertical="center"/>
    </xf>
    <xf numFmtId="169" fontId="123" fillId="24" borderId="27" xfId="0" applyNumberFormat="1" applyFont="1" applyFill="1" applyBorder="1" applyAlignment="1">
      <alignment vertical="center"/>
    </xf>
    <xf numFmtId="43" fontId="67" fillId="62" borderId="28" xfId="78" applyFont="1" applyFill="1" applyBorder="1" applyAlignment="1" applyProtection="1">
      <alignment vertical="center"/>
      <protection locked="0"/>
    </xf>
    <xf numFmtId="0" fontId="123" fillId="24" borderId="36" xfId="0" applyFont="1" applyFill="1" applyBorder="1" applyAlignment="1" applyProtection="1">
      <alignment vertical="center"/>
      <protection locked="0"/>
    </xf>
    <xf numFmtId="0" fontId="73" fillId="24" borderId="22" xfId="0" applyFont="1" applyFill="1" applyBorder="1" applyAlignment="1" applyProtection="1">
      <alignment horizontal="left" vertical="center" wrapText="1"/>
      <protection locked="0"/>
    </xf>
    <xf numFmtId="2" fontId="123" fillId="24" borderId="22" xfId="0" applyNumberFormat="1" applyFont="1" applyFill="1" applyBorder="1" applyAlignment="1" applyProtection="1">
      <alignment horizontal="right" vertical="center"/>
      <protection locked="0"/>
    </xf>
    <xf numFmtId="49" fontId="71" fillId="0" borderId="22" xfId="0" applyNumberFormat="1" applyFont="1" applyBorder="1" applyAlignment="1" applyProtection="1">
      <alignment horizontal="center" vertical="center"/>
      <protection locked="0"/>
    </xf>
    <xf numFmtId="0" fontId="123" fillId="24" borderId="28" xfId="0" applyFont="1" applyFill="1" applyBorder="1" applyAlignment="1" applyProtection="1">
      <alignment vertical="center"/>
      <protection locked="0"/>
    </xf>
    <xf numFmtId="0" fontId="123" fillId="24" borderId="22" xfId="0" applyFont="1" applyFill="1" applyBorder="1" applyAlignment="1" applyProtection="1">
      <alignment horizontal="right" vertical="center"/>
      <protection locked="0"/>
    </xf>
    <xf numFmtId="2" fontId="123" fillId="24" borderId="36" xfId="0" applyNumberFormat="1" applyFont="1" applyFill="1" applyBorder="1" applyAlignment="1" applyProtection="1">
      <alignment horizontal="right" vertical="center" wrapText="1"/>
      <protection locked="0"/>
    </xf>
    <xf numFmtId="166" fontId="73" fillId="24" borderId="22" xfId="0" applyNumberFormat="1" applyFont="1" applyFill="1" applyBorder="1" applyAlignment="1" applyProtection="1">
      <alignment horizontal="right" vertical="center"/>
      <protection locked="0"/>
    </xf>
    <xf numFmtId="0" fontId="0" fillId="62" borderId="0" xfId="0" applyFill="1" applyProtection="1">
      <protection locked="0"/>
    </xf>
    <xf numFmtId="43" fontId="168" fillId="0" borderId="22" xfId="78" applyFont="1" applyFill="1" applyBorder="1" applyAlignment="1" applyProtection="1">
      <alignment vertical="center"/>
      <protection locked="0"/>
    </xf>
    <xf numFmtId="0" fontId="68" fillId="64" borderId="27" xfId="0" applyFont="1" applyFill="1" applyBorder="1" applyAlignment="1" applyProtection="1">
      <alignment horizontal="left" vertical="center" wrapText="1"/>
      <protection locked="0"/>
    </xf>
    <xf numFmtId="0" fontId="68" fillId="64" borderId="27" xfId="0" applyFont="1" applyFill="1" applyBorder="1" applyAlignment="1" applyProtection="1">
      <alignment horizontal="left" vertical="center"/>
      <protection locked="0"/>
    </xf>
    <xf numFmtId="0" fontId="68" fillId="64" borderId="28" xfId="0" applyFont="1" applyFill="1" applyBorder="1" applyAlignment="1" applyProtection="1">
      <alignment horizontal="left" indent="2"/>
      <protection locked="0"/>
    </xf>
    <xf numFmtId="0" fontId="85" fillId="64" borderId="22" xfId="0" applyFont="1" applyFill="1" applyBorder="1" applyAlignment="1">
      <alignment horizontal="center" vertical="center" wrapText="1"/>
    </xf>
    <xf numFmtId="171" fontId="68" fillId="64" borderId="22" xfId="0" applyNumberFormat="1" applyFont="1" applyFill="1" applyBorder="1" applyAlignment="1" applyProtection="1">
      <alignment horizontal="right" vertical="center"/>
      <protection locked="0"/>
    </xf>
    <xf numFmtId="0" fontId="68" fillId="64" borderId="36" xfId="0" applyFont="1" applyFill="1" applyBorder="1" applyAlignment="1" applyProtection="1">
      <alignment horizontal="right" vertical="center" wrapText="1"/>
      <protection locked="0"/>
    </xf>
    <xf numFmtId="2" fontId="68" fillId="64" borderId="36" xfId="0" applyNumberFormat="1" applyFont="1" applyFill="1" applyBorder="1" applyAlignment="1" applyProtection="1">
      <alignment horizontal="right" vertical="center"/>
      <protection locked="0"/>
    </xf>
    <xf numFmtId="2" fontId="83" fillId="64" borderId="22" xfId="0" applyNumberFormat="1" applyFont="1" applyFill="1" applyBorder="1" applyAlignment="1" applyProtection="1">
      <alignment horizontal="right" vertical="center"/>
      <protection locked="0"/>
    </xf>
    <xf numFmtId="0" fontId="68" fillId="64" borderId="22" xfId="0" applyFont="1" applyFill="1" applyBorder="1" applyAlignment="1" applyProtection="1">
      <alignment horizontal="center" vertical="center"/>
      <protection locked="0"/>
    </xf>
    <xf numFmtId="43" fontId="68" fillId="64" borderId="22" xfId="78" applyFont="1" applyFill="1" applyBorder="1" applyAlignment="1" applyProtection="1">
      <alignment vertical="center"/>
      <protection locked="0"/>
    </xf>
    <xf numFmtId="43" fontId="68" fillId="64" borderId="22" xfId="78" applyFont="1" applyFill="1" applyBorder="1" applyAlignment="1" applyProtection="1">
      <alignment vertical="center"/>
    </xf>
    <xf numFmtId="169" fontId="68" fillId="64" borderId="27" xfId="0" applyNumberFormat="1" applyFont="1" applyFill="1" applyBorder="1" applyAlignment="1">
      <alignment vertical="center"/>
    </xf>
    <xf numFmtId="2" fontId="68" fillId="64" borderId="36" xfId="0" applyNumberFormat="1" applyFont="1" applyFill="1" applyBorder="1" applyAlignment="1" applyProtection="1">
      <alignment horizontal="right" vertical="center" wrapText="1"/>
      <protection locked="0"/>
    </xf>
    <xf numFmtId="166" fontId="83" fillId="64" borderId="22" xfId="0" applyNumberFormat="1" applyFont="1" applyFill="1" applyBorder="1" applyAlignment="1" applyProtection="1">
      <alignment horizontal="right" vertical="center"/>
      <protection locked="0"/>
    </xf>
    <xf numFmtId="0" fontId="10" fillId="0" borderId="0" xfId="0" applyFont="1"/>
    <xf numFmtId="43" fontId="168" fillId="0" borderId="22" xfId="78" applyFont="1" applyBorder="1" applyAlignment="1" applyProtection="1">
      <alignment vertical="center"/>
      <protection locked="0"/>
    </xf>
    <xf numFmtId="0" fontId="166" fillId="24" borderId="36" xfId="0" applyFont="1" applyFill="1" applyBorder="1" applyAlignment="1" applyProtection="1">
      <alignment vertical="center" wrapText="1"/>
      <protection locked="0"/>
    </xf>
    <xf numFmtId="171" fontId="123" fillId="24" borderId="22" xfId="0" applyNumberFormat="1" applyFont="1" applyFill="1" applyBorder="1" applyAlignment="1" applyProtection="1">
      <alignment horizontal="right" vertical="center"/>
      <protection locked="0"/>
    </xf>
    <xf numFmtId="1" fontId="123" fillId="24" borderId="36" xfId="0" applyNumberFormat="1" applyFont="1" applyFill="1" applyBorder="1" applyAlignment="1" applyProtection="1">
      <alignment horizontal="right" vertical="center" wrapText="1"/>
      <protection locked="0"/>
    </xf>
    <xf numFmtId="0" fontId="67" fillId="24" borderId="26" xfId="0" applyFont="1" applyFill="1" applyBorder="1" applyAlignment="1" applyProtection="1">
      <alignment horizontal="center" vertical="center"/>
      <protection locked="0"/>
    </xf>
    <xf numFmtId="43" fontId="101" fillId="0" borderId="26" xfId="78" applyFont="1" applyFill="1" applyBorder="1" applyAlignment="1" applyProtection="1">
      <alignment vertical="center"/>
      <protection locked="0"/>
    </xf>
    <xf numFmtId="166" fontId="76" fillId="24" borderId="26" xfId="0" applyNumberFormat="1" applyFont="1" applyFill="1" applyBorder="1" applyAlignment="1" applyProtection="1">
      <alignment horizontal="right" vertical="center"/>
      <protection locked="0"/>
    </xf>
    <xf numFmtId="43" fontId="67" fillId="0" borderId="26" xfId="78" applyFont="1" applyBorder="1" applyAlignment="1" applyProtection="1">
      <alignment vertical="center"/>
      <protection locked="0"/>
    </xf>
    <xf numFmtId="43" fontId="67" fillId="24" borderId="26" xfId="78" applyFont="1" applyFill="1" applyBorder="1" applyAlignment="1" applyProtection="1">
      <alignment vertical="center"/>
    </xf>
    <xf numFmtId="0" fontId="68" fillId="0" borderId="12" xfId="0" applyFont="1" applyBorder="1" applyAlignment="1" applyProtection="1">
      <alignment horizontal="left" vertical="center" wrapText="1"/>
      <protection locked="0"/>
    </xf>
    <xf numFmtId="2" fontId="78" fillId="0" borderId="12" xfId="0" applyNumberFormat="1" applyFont="1" applyBorder="1" applyAlignment="1" applyProtection="1">
      <alignment horizontal="center" vertical="center" wrapText="1"/>
      <protection locked="0"/>
    </xf>
    <xf numFmtId="43" fontId="97" fillId="0" borderId="22" xfId="78" applyFont="1" applyBorder="1" applyAlignment="1" applyProtection="1">
      <alignment vertical="center"/>
      <protection locked="0"/>
    </xf>
    <xf numFmtId="0" fontId="85" fillId="63" borderId="31" xfId="0" applyFont="1" applyFill="1" applyBorder="1" applyAlignment="1" applyProtection="1">
      <alignment vertical="center" wrapText="1"/>
      <protection locked="0"/>
    </xf>
    <xf numFmtId="0" fontId="85" fillId="63" borderId="34" xfId="0" applyFont="1" applyFill="1" applyBorder="1" applyAlignment="1" applyProtection="1">
      <alignment vertical="center" wrapText="1"/>
      <protection locked="0"/>
    </xf>
    <xf numFmtId="0" fontId="123" fillId="24" borderId="36" xfId="0" applyFont="1" applyFill="1" applyBorder="1" applyAlignment="1" applyProtection="1">
      <alignment horizontal="right" vertical="center" wrapText="1"/>
      <protection locked="0"/>
    </xf>
    <xf numFmtId="43" fontId="123" fillId="24" borderId="22" xfId="78" applyFont="1" applyFill="1" applyBorder="1" applyAlignment="1" applyProtection="1">
      <alignment vertical="center"/>
      <protection locked="0"/>
    </xf>
    <xf numFmtId="0" fontId="67" fillId="24" borderId="27" xfId="0" applyFont="1" applyFill="1" applyBorder="1" applyAlignment="1" applyProtection="1">
      <alignment horizontal="center" vertical="center" wrapText="1"/>
      <protection locked="0"/>
    </xf>
    <xf numFmtId="0" fontId="145" fillId="0" borderId="0" xfId="0" applyFont="1" applyAlignment="1">
      <alignment vertical="center" wrapText="1"/>
    </xf>
    <xf numFmtId="0" fontId="48" fillId="0" borderId="26" xfId="0" applyFont="1" applyBorder="1" applyAlignment="1" applyProtection="1">
      <alignment horizontal="right" vertical="center" wrapText="1"/>
      <protection locked="0"/>
    </xf>
    <xf numFmtId="0" fontId="81" fillId="24" borderId="26" xfId="0" applyFont="1" applyFill="1" applyBorder="1" applyAlignment="1">
      <alignment horizontal="center" vertical="center" wrapText="1"/>
    </xf>
    <xf numFmtId="0" fontId="67" fillId="24" borderId="26" xfId="0" applyFont="1" applyFill="1" applyBorder="1" applyAlignment="1" applyProtection="1">
      <alignment horizontal="right" vertical="center"/>
      <protection locked="0"/>
    </xf>
    <xf numFmtId="43" fontId="67" fillId="62" borderId="26" xfId="78" applyFont="1" applyFill="1" applyBorder="1" applyAlignment="1" applyProtection="1">
      <alignment vertical="center"/>
      <protection locked="0"/>
    </xf>
    <xf numFmtId="0" fontId="145" fillId="0" borderId="0" xfId="0" applyFont="1" applyAlignment="1">
      <alignment wrapText="1"/>
    </xf>
    <xf numFmtId="2" fontId="67" fillId="31" borderId="22" xfId="0" applyNumberFormat="1" applyFont="1" applyFill="1" applyBorder="1" applyAlignment="1" applyProtection="1">
      <alignment horizontal="right" vertical="center" wrapText="1"/>
      <protection locked="0"/>
    </xf>
    <xf numFmtId="169" fontId="73" fillId="24" borderId="43" xfId="0" applyNumberFormat="1" applyFont="1" applyFill="1" applyBorder="1" applyAlignment="1">
      <alignment vertical="center"/>
    </xf>
    <xf numFmtId="0" fontId="67" fillId="24" borderId="31" xfId="0" applyFont="1" applyFill="1" applyBorder="1" applyAlignment="1" applyProtection="1">
      <alignment horizontal="center" vertical="center" wrapText="1"/>
      <protection locked="0"/>
    </xf>
    <xf numFmtId="0" fontId="123" fillId="24" borderId="28" xfId="0" applyFont="1" applyFill="1" applyBorder="1" applyAlignment="1" applyProtection="1">
      <alignment horizontal="center" vertical="center"/>
      <protection locked="0"/>
    </xf>
    <xf numFmtId="0" fontId="0" fillId="62" borderId="0" xfId="0" applyFill="1"/>
    <xf numFmtId="0" fontId="38" fillId="62" borderId="0" xfId="0" applyFont="1" applyFill="1"/>
    <xf numFmtId="0" fontId="39" fillId="62" borderId="0" xfId="0" applyFont="1" applyFill="1" applyAlignment="1">
      <alignment vertical="center"/>
    </xf>
    <xf numFmtId="0" fontId="29" fillId="62" borderId="0" xfId="147" applyFill="1" applyAlignment="1" applyProtection="1">
      <alignment horizontal="right"/>
    </xf>
    <xf numFmtId="0" fontId="40" fillId="67" borderId="0" xfId="52" applyFont="1" applyFill="1" applyAlignment="1">
      <alignment horizontal="left" vertical="center"/>
    </xf>
    <xf numFmtId="0" fontId="41" fillId="67" borderId="0" xfId="52" applyFont="1" applyFill="1" applyAlignment="1">
      <alignment horizontal="left" vertical="center" wrapText="1"/>
    </xf>
    <xf numFmtId="0" fontId="33" fillId="68" borderId="0" xfId="52" applyFill="1" applyAlignment="1">
      <alignment horizontal="center" vertical="center"/>
    </xf>
    <xf numFmtId="0" fontId="33" fillId="68" borderId="0" xfId="52" applyFill="1" applyAlignment="1">
      <alignment horizontal="left" vertical="center" wrapText="1"/>
    </xf>
    <xf numFmtId="0" fontId="30" fillId="68" borderId="0" xfId="87" applyFill="1" applyAlignment="1">
      <alignment horizontal="left" vertical="center" wrapText="1"/>
    </xf>
    <xf numFmtId="0" fontId="33" fillId="68" borderId="0" xfId="52" applyFill="1" applyAlignment="1">
      <alignment wrapText="1"/>
    </xf>
    <xf numFmtId="0" fontId="33" fillId="0" borderId="0" xfId="52" applyAlignment="1">
      <alignment wrapText="1"/>
    </xf>
    <xf numFmtId="0" fontId="33" fillId="68" borderId="0" xfId="52" applyFill="1" applyAlignment="1">
      <alignment horizontal="left" vertical="center"/>
    </xf>
    <xf numFmtId="0" fontId="170" fillId="0" borderId="0" xfId="0" applyFont="1" applyAlignment="1">
      <alignment horizontal="centerContinuous" wrapText="1"/>
    </xf>
    <xf numFmtId="14" fontId="50" fillId="0" borderId="26" xfId="0" applyNumberFormat="1" applyFont="1" applyBorder="1" applyAlignment="1" applyProtection="1">
      <alignment horizontal="right" vertical="center" wrapText="1"/>
      <protection locked="0"/>
    </xf>
    <xf numFmtId="0" fontId="49" fillId="0" borderId="104" xfId="0" applyFont="1" applyBorder="1" applyAlignment="1" applyProtection="1">
      <alignment horizontal="right" vertical="center" wrapText="1"/>
      <protection locked="0"/>
    </xf>
    <xf numFmtId="3" fontId="76" fillId="0" borderId="28" xfId="0" applyNumberFormat="1" applyFont="1" applyBorder="1" applyAlignment="1" applyProtection="1">
      <alignment horizontal="center" vertical="center"/>
      <protection locked="0"/>
    </xf>
    <xf numFmtId="0" fontId="67" fillId="24" borderId="0" xfId="0" applyFont="1" applyFill="1" applyAlignment="1" applyProtection="1">
      <alignment horizontal="left" vertical="center" wrapText="1"/>
      <protection locked="0"/>
    </xf>
    <xf numFmtId="0" fontId="67" fillId="24" borderId="0" xfId="0" applyFont="1" applyFill="1" applyAlignment="1" applyProtection="1">
      <alignment vertical="center" wrapText="1"/>
      <protection locked="0"/>
    </xf>
    <xf numFmtId="0" fontId="67" fillId="24" borderId="0" xfId="0" applyFont="1" applyFill="1" applyAlignment="1" applyProtection="1">
      <alignment vertical="center"/>
      <protection locked="0"/>
    </xf>
    <xf numFmtId="0" fontId="81" fillId="24" borderId="0" xfId="0" applyFont="1" applyFill="1" applyAlignment="1">
      <alignment horizontal="center" vertical="center" wrapText="1"/>
    </xf>
    <xf numFmtId="2" fontId="76" fillId="24" borderId="0" xfId="0" applyNumberFormat="1" applyFont="1" applyFill="1" applyAlignment="1" applyProtection="1">
      <alignment horizontal="right" vertical="center"/>
      <protection locked="0"/>
    </xf>
    <xf numFmtId="0" fontId="67" fillId="24" borderId="0" xfId="0" applyFont="1" applyFill="1" applyAlignment="1" applyProtection="1">
      <alignment horizontal="center" vertical="center"/>
      <protection locked="0"/>
    </xf>
    <xf numFmtId="43" fontId="67" fillId="24" borderId="0" xfId="78" applyFont="1" applyFill="1" applyBorder="1" applyAlignment="1" applyProtection="1">
      <alignment vertical="center"/>
    </xf>
    <xf numFmtId="169" fontId="67" fillId="24" borderId="0" xfId="0" applyNumberFormat="1" applyFont="1" applyFill="1" applyAlignment="1">
      <alignment vertical="center"/>
    </xf>
    <xf numFmtId="0" fontId="78" fillId="0" borderId="0" xfId="0" applyFont="1" applyAlignment="1" applyProtection="1">
      <alignment horizontal="center" vertical="center" wrapText="1"/>
      <protection locked="0"/>
    </xf>
    <xf numFmtId="43" fontId="67" fillId="62" borderId="0" xfId="78" applyFont="1" applyFill="1" applyBorder="1" applyAlignment="1" applyProtection="1">
      <alignment vertical="center"/>
      <protection locked="0"/>
    </xf>
    <xf numFmtId="2" fontId="67" fillId="62" borderId="36" xfId="0" applyNumberFormat="1" applyFont="1" applyFill="1" applyBorder="1" applyAlignment="1" applyProtection="1">
      <alignment horizontal="right" vertical="center" wrapText="1"/>
      <protection locked="0"/>
    </xf>
    <xf numFmtId="0" fontId="125" fillId="24" borderId="0" xfId="0" applyFont="1" applyFill="1" applyProtection="1">
      <protection locked="0"/>
    </xf>
    <xf numFmtId="0" fontId="125" fillId="24" borderId="36" xfId="0" applyFont="1" applyFill="1" applyBorder="1" applyProtection="1">
      <protection locked="0"/>
    </xf>
    <xf numFmtId="0" fontId="85" fillId="24" borderId="27" xfId="0" applyFont="1" applyFill="1" applyBorder="1" applyAlignment="1">
      <alignment horizontal="center" vertical="center" wrapText="1"/>
    </xf>
    <xf numFmtId="2" fontId="68" fillId="24" borderId="28" xfId="0" applyNumberFormat="1" applyFont="1" applyFill="1" applyBorder="1" applyAlignment="1" applyProtection="1">
      <alignment horizontal="right" vertical="center" wrapText="1"/>
      <protection locked="0"/>
    </xf>
    <xf numFmtId="169" fontId="83" fillId="24" borderId="40" xfId="0" applyNumberFormat="1" applyFont="1" applyFill="1" applyBorder="1" applyAlignment="1">
      <alignment vertical="center"/>
    </xf>
    <xf numFmtId="0" fontId="36" fillId="0" borderId="26" xfId="0" applyFont="1" applyBorder="1" applyAlignment="1" applyProtection="1">
      <alignment horizontal="center" vertical="center"/>
      <protection locked="0"/>
    </xf>
    <xf numFmtId="0" fontId="84" fillId="62" borderId="22" xfId="0" applyFont="1" applyFill="1" applyBorder="1" applyAlignment="1" applyProtection="1">
      <alignment horizontal="center" vertical="center"/>
      <protection locked="0"/>
    </xf>
    <xf numFmtId="2" fontId="68" fillId="0" borderId="36" xfId="0" applyNumberFormat="1" applyFont="1" applyBorder="1" applyAlignment="1" applyProtection="1">
      <alignment horizontal="right" vertical="center" wrapText="1"/>
      <protection locked="0"/>
    </xf>
    <xf numFmtId="0" fontId="167" fillId="24" borderId="26" xfId="0" applyFont="1" applyFill="1" applyBorder="1" applyAlignment="1">
      <alignment horizontal="center" vertical="center" wrapText="1"/>
    </xf>
    <xf numFmtId="0" fontId="73" fillId="24" borderId="26" xfId="0" applyFont="1" applyFill="1" applyBorder="1" applyAlignment="1" applyProtection="1">
      <alignment horizontal="right" vertical="center" wrapText="1"/>
      <protection locked="0"/>
    </xf>
    <xf numFmtId="0" fontId="123" fillId="24" borderId="26" xfId="0" applyFont="1" applyFill="1" applyBorder="1" applyAlignment="1" applyProtection="1">
      <alignment horizontal="center" vertical="center"/>
      <protection locked="0"/>
    </xf>
    <xf numFmtId="43" fontId="123" fillId="24" borderId="26" xfId="78" applyFont="1" applyFill="1" applyBorder="1" applyAlignment="1" applyProtection="1">
      <alignment vertical="center"/>
    </xf>
    <xf numFmtId="0" fontId="68" fillId="24" borderId="0" xfId="0" applyFont="1" applyFill="1" applyAlignment="1" applyProtection="1">
      <alignment horizontal="left" vertical="center" wrapText="1"/>
      <protection locked="0"/>
    </xf>
    <xf numFmtId="0" fontId="84" fillId="62" borderId="0" xfId="0" applyFont="1" applyFill="1" applyAlignment="1" applyProtection="1">
      <alignment horizontal="center" vertical="center"/>
      <protection locked="0"/>
    </xf>
    <xf numFmtId="0" fontId="85" fillId="24" borderId="0" xfId="0" applyFont="1" applyFill="1" applyAlignment="1">
      <alignment horizontal="center" vertical="center" wrapText="1"/>
    </xf>
    <xf numFmtId="0" fontId="68" fillId="24" borderId="0" xfId="0" applyFont="1" applyFill="1" applyAlignment="1" applyProtection="1">
      <alignment horizontal="right" vertical="center"/>
      <protection locked="0"/>
    </xf>
    <xf numFmtId="2" fontId="68" fillId="24" borderId="0" xfId="0" applyNumberFormat="1" applyFont="1" applyFill="1" applyAlignment="1" applyProtection="1">
      <alignment horizontal="right" vertical="center"/>
      <protection locked="0"/>
    </xf>
    <xf numFmtId="166" fontId="83" fillId="24" borderId="0" xfId="0" applyNumberFormat="1" applyFont="1" applyFill="1" applyAlignment="1" applyProtection="1">
      <alignment horizontal="right" vertical="center"/>
      <protection locked="0"/>
    </xf>
    <xf numFmtId="0" fontId="68" fillId="24" borderId="0" xfId="0" applyFont="1" applyFill="1" applyAlignment="1" applyProtection="1">
      <alignment horizontal="center" vertical="center"/>
      <protection locked="0"/>
    </xf>
    <xf numFmtId="43" fontId="68" fillId="24" borderId="0" xfId="78" applyFont="1" applyFill="1" applyBorder="1" applyAlignment="1" applyProtection="1">
      <alignment vertical="center"/>
    </xf>
    <xf numFmtId="169" fontId="68" fillId="24" borderId="0" xfId="0" applyNumberFormat="1" applyFont="1" applyFill="1" applyAlignment="1">
      <alignment vertical="center"/>
    </xf>
    <xf numFmtId="0" fontId="83" fillId="0" borderId="28" xfId="0" applyFont="1" applyBorder="1" applyAlignment="1" applyProtection="1">
      <alignment vertical="center"/>
      <protection locked="0"/>
    </xf>
    <xf numFmtId="43" fontId="68" fillId="62" borderId="22" xfId="78" applyFont="1" applyFill="1" applyBorder="1" applyAlignment="1" applyProtection="1">
      <alignment horizontal="center" vertical="center"/>
      <protection locked="0"/>
    </xf>
    <xf numFmtId="2" fontId="68" fillId="62" borderId="0" xfId="0" applyNumberFormat="1" applyFont="1" applyFill="1" applyAlignment="1" applyProtection="1">
      <alignment horizontal="right" vertical="center" wrapText="1"/>
      <protection locked="0"/>
    </xf>
    <xf numFmtId="43" fontId="68" fillId="62" borderId="0" xfId="78" applyFont="1" applyFill="1" applyBorder="1" applyAlignment="1" applyProtection="1">
      <alignment vertical="center"/>
      <protection locked="0"/>
    </xf>
    <xf numFmtId="0" fontId="73" fillId="24" borderId="26" xfId="0" applyFont="1" applyFill="1" applyBorder="1" applyAlignment="1" applyProtection="1">
      <alignment horizontal="left" vertical="center" wrapText="1"/>
      <protection locked="0"/>
    </xf>
    <xf numFmtId="0" fontId="167" fillId="24" borderId="28" xfId="0" applyFont="1" applyFill="1" applyBorder="1" applyAlignment="1">
      <alignment horizontal="center" vertical="center" wrapText="1"/>
    </xf>
    <xf numFmtId="0" fontId="73" fillId="24" borderId="28" xfId="0" applyFont="1" applyFill="1" applyBorder="1" applyAlignment="1" applyProtection="1">
      <alignment horizontal="left" vertical="center" wrapText="1"/>
      <protection locked="0"/>
    </xf>
    <xf numFmtId="43" fontId="123" fillId="0" borderId="28" xfId="78" applyFont="1" applyBorder="1" applyAlignment="1" applyProtection="1">
      <alignment vertical="center"/>
      <protection locked="0"/>
    </xf>
    <xf numFmtId="43" fontId="123" fillId="24" borderId="28" xfId="78" applyFont="1" applyFill="1" applyBorder="1" applyAlignment="1" applyProtection="1">
      <alignment vertical="center"/>
    </xf>
    <xf numFmtId="43" fontId="123" fillId="62" borderId="26" xfId="78" applyFont="1" applyFill="1" applyBorder="1" applyAlignment="1" applyProtection="1">
      <alignment vertical="center"/>
      <protection locked="0"/>
    </xf>
    <xf numFmtId="1" fontId="123" fillId="62" borderId="28" xfId="0" applyNumberFormat="1" applyFont="1" applyFill="1" applyBorder="1" applyAlignment="1" applyProtection="1">
      <alignment horizontal="right" vertical="center" wrapText="1"/>
      <protection locked="0"/>
    </xf>
    <xf numFmtId="0" fontId="76" fillId="24" borderId="26" xfId="0" applyFont="1" applyFill="1" applyBorder="1" applyAlignment="1" applyProtection="1">
      <alignment horizontal="left" vertical="center" wrapText="1"/>
      <protection locked="0"/>
    </xf>
    <xf numFmtId="0" fontId="68" fillId="0" borderId="28" xfId="0" applyFont="1" applyBorder="1" applyAlignment="1" applyProtection="1">
      <alignment horizontal="right" vertical="center" wrapText="1"/>
      <protection locked="0"/>
    </xf>
    <xf numFmtId="2" fontId="83" fillId="24" borderId="26" xfId="0" applyNumberFormat="1" applyFont="1" applyFill="1" applyBorder="1" applyAlignment="1" applyProtection="1">
      <alignment horizontal="right" vertical="center"/>
      <protection locked="0"/>
    </xf>
    <xf numFmtId="0" fontId="80" fillId="0" borderId="26" xfId="0" applyFont="1" applyBorder="1" applyAlignment="1" applyProtection="1">
      <alignment horizontal="center" vertical="center"/>
      <protection locked="0"/>
    </xf>
    <xf numFmtId="0" fontId="81" fillId="63" borderId="28" xfId="0" applyFont="1" applyFill="1" applyBorder="1" applyAlignment="1" applyProtection="1">
      <alignment vertical="center" wrapText="1"/>
      <protection locked="0"/>
    </xf>
    <xf numFmtId="0" fontId="83" fillId="62" borderId="28" xfId="0" applyFont="1" applyFill="1" applyBorder="1" applyAlignment="1" applyProtection="1">
      <alignment horizontal="center" vertical="center"/>
      <protection locked="0"/>
    </xf>
    <xf numFmtId="0" fontId="83" fillId="62" borderId="36" xfId="0" applyFont="1" applyFill="1" applyBorder="1" applyAlignment="1" applyProtection="1">
      <alignment horizontal="right" vertical="center" wrapText="1"/>
      <protection locked="0"/>
    </xf>
    <xf numFmtId="49" fontId="61" fillId="0" borderId="26" xfId="0" applyNumberFormat="1" applyFont="1" applyBorder="1" applyAlignment="1" applyProtection="1">
      <alignment horizontal="center" vertical="center"/>
      <protection locked="0"/>
    </xf>
    <xf numFmtId="43" fontId="60" fillId="0" borderId="28" xfId="78" applyFont="1" applyBorder="1" applyAlignment="1" applyProtection="1">
      <alignment vertical="center"/>
      <protection locked="0"/>
    </xf>
    <xf numFmtId="0" fontId="83" fillId="24" borderId="23" xfId="0" applyFont="1" applyFill="1" applyBorder="1" applyAlignment="1" applyProtection="1">
      <alignment horizontal="left" vertical="center" wrapText="1"/>
      <protection locked="0"/>
    </xf>
    <xf numFmtId="1" fontId="83" fillId="0" borderId="22" xfId="0" applyNumberFormat="1" applyFont="1" applyBorder="1" applyAlignment="1" applyProtection="1">
      <alignment horizontal="right" vertical="center" wrapText="1"/>
      <protection locked="0"/>
    </xf>
    <xf numFmtId="0" fontId="85" fillId="26" borderId="28" xfId="0" applyFont="1" applyFill="1" applyBorder="1" applyAlignment="1" applyProtection="1">
      <alignment vertical="center" wrapText="1"/>
      <protection locked="0"/>
    </xf>
    <xf numFmtId="0" fontId="83" fillId="24" borderId="22" xfId="0" applyFont="1" applyFill="1" applyBorder="1" applyAlignment="1" applyProtection="1">
      <alignment horizontal="right" vertical="center" wrapText="1"/>
      <protection locked="0"/>
    </xf>
    <xf numFmtId="49" fontId="71" fillId="0" borderId="26" xfId="0" applyNumberFormat="1" applyFont="1" applyBorder="1" applyAlignment="1" applyProtection="1">
      <alignment horizontal="center" vertical="center"/>
      <protection locked="0"/>
    </xf>
    <xf numFmtId="0" fontId="123" fillId="24" borderId="28" xfId="0" applyFont="1" applyFill="1" applyBorder="1" applyAlignment="1" applyProtection="1">
      <alignment horizontal="right" vertical="center"/>
      <protection locked="0"/>
    </xf>
    <xf numFmtId="0" fontId="123" fillId="0" borderId="28" xfId="0" applyFont="1" applyBorder="1" applyAlignment="1" applyProtection="1">
      <alignment horizontal="right" vertical="center" wrapText="1"/>
      <protection locked="0"/>
    </xf>
    <xf numFmtId="2" fontId="123" fillId="24" borderId="28" xfId="0" applyNumberFormat="1" applyFont="1" applyFill="1" applyBorder="1" applyAlignment="1" applyProtection="1">
      <alignment horizontal="right" vertical="center" wrapText="1"/>
      <protection locked="0"/>
    </xf>
    <xf numFmtId="166" fontId="73" fillId="24" borderId="28" xfId="0" applyNumberFormat="1" applyFont="1" applyFill="1" applyBorder="1" applyAlignment="1" applyProtection="1">
      <alignment horizontal="right" vertical="center"/>
      <protection locked="0"/>
    </xf>
    <xf numFmtId="169" fontId="123" fillId="24" borderId="28" xfId="0" applyNumberFormat="1" applyFont="1" applyFill="1" applyBorder="1" applyAlignment="1">
      <alignment vertical="center"/>
    </xf>
    <xf numFmtId="0" fontId="67" fillId="0" borderId="27" xfId="0" applyFont="1" applyBorder="1" applyAlignment="1" applyProtection="1">
      <alignment horizontal="right" vertical="center" wrapText="1"/>
      <protection locked="0"/>
    </xf>
    <xf numFmtId="169" fontId="68" fillId="24" borderId="22" xfId="78" applyNumberFormat="1" applyFont="1" applyFill="1" applyBorder="1" applyAlignment="1" applyProtection="1">
      <alignment vertical="center"/>
    </xf>
    <xf numFmtId="2" fontId="38" fillId="62" borderId="12" xfId="0" applyNumberFormat="1" applyFont="1" applyFill="1" applyBorder="1" applyAlignment="1" applyProtection="1">
      <alignment horizontal="left" vertical="center" wrapText="1"/>
      <protection locked="0"/>
    </xf>
    <xf numFmtId="0" fontId="123" fillId="24" borderId="26" xfId="0" applyFont="1" applyFill="1" applyBorder="1" applyAlignment="1" applyProtection="1">
      <alignment horizontal="right" vertical="center"/>
      <protection locked="0"/>
    </xf>
    <xf numFmtId="166" fontId="73" fillId="24" borderId="26" xfId="0" applyNumberFormat="1" applyFont="1" applyFill="1" applyBorder="1" applyAlignment="1" applyProtection="1">
      <alignment horizontal="right" vertical="center"/>
      <protection locked="0"/>
    </xf>
    <xf numFmtId="43" fontId="123" fillId="24" borderId="26" xfId="78" applyFont="1" applyFill="1" applyBorder="1" applyAlignment="1" applyProtection="1">
      <alignment vertical="center"/>
      <protection locked="0"/>
    </xf>
    <xf numFmtId="180" fontId="67" fillId="62" borderId="36" xfId="0" applyNumberFormat="1" applyFont="1" applyFill="1" applyBorder="1" applyAlignment="1" applyProtection="1">
      <alignment horizontal="left" vertical="center" wrapText="1"/>
      <protection locked="0"/>
    </xf>
    <xf numFmtId="0" fontId="68" fillId="62" borderId="36" xfId="0" applyFont="1" applyFill="1" applyBorder="1" applyAlignment="1" applyProtection="1">
      <alignment horizontal="right" vertical="center" wrapText="1"/>
      <protection locked="0"/>
    </xf>
    <xf numFmtId="173" fontId="76" fillId="24" borderId="28" xfId="0" applyNumberFormat="1" applyFont="1" applyFill="1" applyBorder="1" applyAlignment="1" applyProtection="1">
      <alignment horizontal="center" vertical="center" wrapText="1"/>
      <protection locked="0"/>
    </xf>
    <xf numFmtId="0" fontId="68" fillId="65" borderId="27" xfId="0" applyFont="1" applyFill="1" applyBorder="1" applyAlignment="1" applyProtection="1">
      <alignment horizontal="left" vertical="center" wrapText="1"/>
      <protection locked="0"/>
    </xf>
    <xf numFmtId="1" fontId="76" fillId="24" borderId="38" xfId="0" applyNumberFormat="1" applyFont="1" applyFill="1" applyBorder="1" applyAlignment="1" applyProtection="1">
      <alignment vertical="center"/>
      <protection locked="0"/>
    </xf>
    <xf numFmtId="1" fontId="68" fillId="71" borderId="27" xfId="0" applyNumberFormat="1" applyFont="1" applyFill="1" applyBorder="1" applyAlignment="1" applyProtection="1">
      <alignment horizontal="center" vertical="center" wrapText="1"/>
      <protection locked="0"/>
    </xf>
    <xf numFmtId="1" fontId="81" fillId="72" borderId="25" xfId="0" applyNumberFormat="1" applyFont="1" applyFill="1" applyBorder="1" applyAlignment="1" applyProtection="1">
      <alignment horizontal="center" vertical="center" wrapText="1"/>
      <protection locked="0"/>
    </xf>
    <xf numFmtId="0" fontId="172" fillId="0" borderId="104" xfId="0" applyFont="1" applyBorder="1" applyAlignment="1">
      <alignment horizontal="center" vertical="center" wrapText="1"/>
    </xf>
    <xf numFmtId="2" fontId="172" fillId="0" borderId="104" xfId="0" applyNumberFormat="1" applyFont="1" applyBorder="1" applyAlignment="1">
      <alignment horizontal="center" vertical="center" wrapText="1"/>
    </xf>
    <xf numFmtId="0" fontId="134" fillId="0" borderId="26" xfId="0" applyFont="1" applyBorder="1" applyAlignment="1">
      <alignment horizontal="center" vertical="center" wrapText="1"/>
    </xf>
    <xf numFmtId="0" fontId="38" fillId="61" borderId="12" xfId="0" applyFont="1" applyFill="1" applyBorder="1" applyAlignment="1" applyProtection="1">
      <alignment horizontal="left" vertical="center" wrapText="1"/>
      <protection locked="0"/>
    </xf>
    <xf numFmtId="0" fontId="140" fillId="0" borderId="26" xfId="0" applyFont="1" applyBorder="1" applyAlignment="1">
      <alignment horizontal="center" vertical="center" wrapText="1"/>
    </xf>
    <xf numFmtId="0" fontId="138" fillId="0" borderId="26" xfId="0" applyFont="1" applyBorder="1" applyAlignment="1">
      <alignment horizontal="center" vertical="center" wrapText="1"/>
    </xf>
    <xf numFmtId="0" fontId="138" fillId="61" borderId="24" xfId="0" applyFont="1" applyFill="1" applyBorder="1" applyAlignment="1">
      <alignment horizontal="center" vertical="center" wrapText="1"/>
    </xf>
    <xf numFmtId="0" fontId="172" fillId="61" borderId="104" xfId="0" applyFont="1" applyFill="1" applyBorder="1" applyAlignment="1">
      <alignment horizontal="center" vertical="center" wrapText="1"/>
    </xf>
    <xf numFmtId="2" fontId="172" fillId="61" borderId="104" xfId="0" applyNumberFormat="1" applyFont="1" applyFill="1" applyBorder="1" applyAlignment="1">
      <alignment horizontal="center" vertical="center" wrapText="1"/>
    </xf>
    <xf numFmtId="14" fontId="33" fillId="62" borderId="27" xfId="0" applyNumberFormat="1" applyFont="1" applyFill="1" applyBorder="1" applyAlignment="1" applyProtection="1">
      <alignment horizontal="center" wrapText="1"/>
      <protection locked="0"/>
    </xf>
    <xf numFmtId="0" fontId="8" fillId="0" borderId="0" xfId="0" applyFont="1"/>
    <xf numFmtId="0" fontId="174" fillId="0" borderId="0" xfId="0" applyFont="1"/>
    <xf numFmtId="0" fontId="175" fillId="0" borderId="0" xfId="0" applyFont="1"/>
    <xf numFmtId="0" fontId="176" fillId="0" borderId="0" xfId="0" applyFont="1"/>
    <xf numFmtId="2" fontId="174" fillId="0" borderId="0" xfId="0" applyNumberFormat="1" applyFont="1"/>
    <xf numFmtId="183" fontId="0" fillId="0" borderId="0" xfId="0" applyNumberFormat="1"/>
    <xf numFmtId="172" fontId="174" fillId="0" borderId="0" xfId="0" applyNumberFormat="1" applyFont="1"/>
    <xf numFmtId="0" fontId="174" fillId="73" borderId="0" xfId="0" applyFont="1" applyFill="1"/>
    <xf numFmtId="0" fontId="177" fillId="0" borderId="0" xfId="0" applyFont="1"/>
    <xf numFmtId="2" fontId="177" fillId="0" borderId="0" xfId="0" applyNumberFormat="1" applyFont="1"/>
    <xf numFmtId="0" fontId="178" fillId="0" borderId="0" xfId="0" applyFont="1"/>
    <xf numFmtId="172" fontId="0" fillId="0" borderId="0" xfId="0" applyNumberFormat="1"/>
    <xf numFmtId="182" fontId="174" fillId="0" borderId="0" xfId="0" applyNumberFormat="1" applyFont="1"/>
    <xf numFmtId="0" fontId="174" fillId="0" borderId="0" xfId="0" applyFont="1" applyAlignment="1">
      <alignment horizontal="center" vertical="center"/>
    </xf>
    <xf numFmtId="1" fontId="174" fillId="0" borderId="0" xfId="0" applyNumberFormat="1" applyFont="1"/>
    <xf numFmtId="166" fontId="174" fillId="0" borderId="0" xfId="0" applyNumberFormat="1" applyFont="1"/>
    <xf numFmtId="2" fontId="178" fillId="0" borderId="0" xfId="0" applyNumberFormat="1" applyFont="1"/>
    <xf numFmtId="2" fontId="179" fillId="62" borderId="0" xfId="0" applyNumberFormat="1" applyFont="1" applyFill="1"/>
    <xf numFmtId="0" fontId="174" fillId="0" borderId="105" xfId="0" applyFont="1" applyBorder="1"/>
    <xf numFmtId="0" fontId="8" fillId="0" borderId="0" xfId="0" applyFont="1" applyAlignment="1">
      <alignment vertical="center"/>
    </xf>
    <xf numFmtId="2" fontId="179" fillId="62" borderId="0" xfId="0" applyNumberFormat="1" applyFont="1" applyFill="1" applyAlignment="1">
      <alignment vertical="center"/>
    </xf>
    <xf numFmtId="0" fontId="174" fillId="0" borderId="0" xfId="0" applyFont="1" applyAlignment="1">
      <alignment vertical="center"/>
    </xf>
    <xf numFmtId="2" fontId="174" fillId="0" borderId="0" xfId="0" applyNumberFormat="1" applyFont="1" applyAlignment="1">
      <alignment vertical="center"/>
    </xf>
    <xf numFmtId="2" fontId="179" fillId="62" borderId="105" xfId="0" applyNumberFormat="1" applyFont="1" applyFill="1" applyBorder="1" applyAlignment="1">
      <alignment vertical="center"/>
    </xf>
    <xf numFmtId="2" fontId="174" fillId="0" borderId="105" xfId="0" applyNumberFormat="1" applyFont="1" applyBorder="1" applyAlignment="1">
      <alignment vertical="center"/>
    </xf>
    <xf numFmtId="0" fontId="176" fillId="0" borderId="110" xfId="0" applyFont="1" applyBorder="1"/>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174" fillId="0" borderId="105" xfId="0" applyFont="1" applyBorder="1" applyAlignment="1">
      <alignment vertical="center"/>
    </xf>
    <xf numFmtId="172" fontId="177" fillId="0" borderId="105" xfId="0" applyNumberFormat="1" applyFont="1" applyBorder="1"/>
    <xf numFmtId="0" fontId="0" fillId="35" borderId="68" xfId="0" applyFill="1" applyBorder="1" applyAlignment="1">
      <alignment vertical="center" wrapText="1"/>
    </xf>
    <xf numFmtId="0" fontId="0" fillId="0" borderId="68" xfId="0" applyBorder="1" applyAlignment="1">
      <alignment vertical="center"/>
    </xf>
    <xf numFmtId="0" fontId="0" fillId="0" borderId="68" xfId="0" applyBorder="1" applyAlignment="1">
      <alignment horizontal="left" vertical="center"/>
    </xf>
    <xf numFmtId="0" fontId="61" fillId="0" borderId="0" xfId="0" applyFont="1" applyAlignment="1">
      <alignment vertical="center"/>
    </xf>
    <xf numFmtId="0" fontId="75" fillId="0" borderId="0" xfId="0" applyFont="1" applyAlignment="1">
      <alignment vertical="center" wrapText="1"/>
    </xf>
    <xf numFmtId="0" fontId="75" fillId="0" borderId="0" xfId="0" applyFont="1" applyAlignment="1">
      <alignment vertical="center"/>
    </xf>
    <xf numFmtId="0" fontId="75" fillId="34" borderId="69" xfId="0" applyFont="1" applyFill="1" applyBorder="1" applyAlignment="1">
      <alignment horizontal="center" vertical="center"/>
    </xf>
    <xf numFmtId="181" fontId="75" fillId="34" borderId="69" xfId="47" applyNumberFormat="1" applyFont="1" applyFill="1" applyBorder="1" applyAlignment="1">
      <alignment horizontal="center" vertical="center"/>
    </xf>
    <xf numFmtId="0" fontId="29" fillId="36" borderId="0" xfId="42" applyFill="1" applyAlignment="1" applyProtection="1">
      <alignment vertical="center"/>
    </xf>
    <xf numFmtId="165" fontId="61" fillId="0" borderId="0" xfId="0" applyNumberFormat="1" applyFont="1" applyAlignment="1">
      <alignment vertical="center"/>
    </xf>
    <xf numFmtId="165" fontId="61" fillId="0" borderId="0" xfId="78" applyNumberFormat="1" applyFont="1" applyAlignment="1">
      <alignment vertical="center" wrapText="1"/>
    </xf>
    <xf numFmtId="165" fontId="0" fillId="0" borderId="0" xfId="78" applyNumberFormat="1" applyFont="1" applyAlignment="1">
      <alignment vertical="center" wrapText="1"/>
    </xf>
    <xf numFmtId="0" fontId="133" fillId="0" borderId="0" xfId="0" applyFont="1" applyAlignment="1">
      <alignment vertical="center"/>
    </xf>
    <xf numFmtId="2" fontId="61" fillId="0" borderId="0" xfId="78" applyNumberFormat="1" applyFont="1" applyAlignment="1">
      <alignment horizontal="left" vertical="center" wrapText="1"/>
    </xf>
    <xf numFmtId="0" fontId="151" fillId="0" borderId="0" xfId="0" applyFont="1" applyAlignment="1">
      <alignment vertical="center"/>
    </xf>
    <xf numFmtId="165" fontId="61" fillId="0" borderId="70" xfId="78" applyNumberFormat="1" applyFont="1" applyBorder="1" applyAlignment="1">
      <alignment vertical="center" wrapText="1"/>
    </xf>
    <xf numFmtId="165" fontId="61" fillId="0" borderId="71" xfId="78" applyNumberFormat="1" applyFont="1" applyBorder="1" applyAlignment="1">
      <alignment vertical="center" wrapText="1"/>
    </xf>
    <xf numFmtId="43" fontId="61" fillId="0" borderId="71" xfId="78" applyFont="1" applyBorder="1" applyAlignment="1">
      <alignment vertical="center"/>
    </xf>
    <xf numFmtId="0" fontId="61" fillId="0" borderId="71" xfId="0" applyFont="1" applyBorder="1" applyAlignment="1">
      <alignment vertical="center"/>
    </xf>
    <xf numFmtId="9" fontId="61" fillId="0" borderId="0" xfId="77" applyFont="1" applyFill="1" applyAlignment="1">
      <alignment vertical="center"/>
    </xf>
    <xf numFmtId="9" fontId="151" fillId="0" borderId="0" xfId="77" applyFont="1" applyFill="1" applyAlignment="1">
      <alignment vertical="center"/>
    </xf>
    <xf numFmtId="4" fontId="151" fillId="0" borderId="0" xfId="0" applyNumberFormat="1" applyFont="1" applyAlignment="1">
      <alignment vertical="center"/>
    </xf>
    <xf numFmtId="2" fontId="61" fillId="0" borderId="0" xfId="78" applyNumberFormat="1" applyFont="1" applyAlignment="1">
      <alignment vertical="center"/>
    </xf>
    <xf numFmtId="2" fontId="61" fillId="31" borderId="71" xfId="0" applyNumberFormat="1" applyFont="1" applyFill="1" applyBorder="1" applyAlignment="1">
      <alignment vertical="center"/>
    </xf>
    <xf numFmtId="0" fontId="61" fillId="31" borderId="71" xfId="0" applyFont="1" applyFill="1" applyBorder="1" applyAlignment="1">
      <alignment vertical="center"/>
    </xf>
    <xf numFmtId="43" fontId="61" fillId="31" borderId="71" xfId="78" applyFont="1" applyFill="1" applyBorder="1" applyAlignment="1">
      <alignment vertical="center"/>
    </xf>
    <xf numFmtId="9" fontId="61" fillId="31" borderId="0" xfId="77" applyFont="1" applyFill="1" applyAlignment="1">
      <alignment vertical="center"/>
    </xf>
    <xf numFmtId="165" fontId="61" fillId="31" borderId="71" xfId="0" applyNumberFormat="1" applyFont="1" applyFill="1" applyBorder="1" applyAlignment="1">
      <alignment vertical="center"/>
    </xf>
    <xf numFmtId="2" fontId="61" fillId="31" borderId="0" xfId="0" applyNumberFormat="1" applyFont="1" applyFill="1" applyAlignment="1">
      <alignment vertical="center"/>
    </xf>
    <xf numFmtId="165" fontId="61" fillId="31" borderId="0" xfId="0" applyNumberFormat="1" applyFont="1" applyFill="1" applyAlignment="1">
      <alignment vertical="center"/>
    </xf>
    <xf numFmtId="43" fontId="61" fillId="31" borderId="0" xfId="78" applyFont="1" applyFill="1" applyAlignment="1">
      <alignment vertical="center"/>
    </xf>
    <xf numFmtId="2" fontId="61" fillId="31" borderId="0" xfId="78" applyNumberFormat="1" applyFont="1" applyFill="1" applyAlignment="1">
      <alignment vertical="center"/>
    </xf>
    <xf numFmtId="0" fontId="165" fillId="0" borderId="0" xfId="0" applyFont="1" applyAlignment="1">
      <alignment vertical="center"/>
    </xf>
    <xf numFmtId="0" fontId="0" fillId="0" borderId="0" xfId="0" applyAlignment="1">
      <alignment horizontal="left" vertical="center"/>
    </xf>
    <xf numFmtId="0" fontId="118" fillId="0" borderId="113" xfId="0" applyFont="1" applyBorder="1" applyAlignment="1">
      <alignment horizontal="center"/>
    </xf>
    <xf numFmtId="166" fontId="118" fillId="0" borderId="113" xfId="0" applyNumberFormat="1" applyFont="1" applyBorder="1" applyAlignment="1">
      <alignment horizontal="center"/>
    </xf>
    <xf numFmtId="1" fontId="0" fillId="0" borderId="113" xfId="0" applyNumberFormat="1" applyBorder="1" applyAlignment="1">
      <alignment horizontal="center" vertical="center"/>
    </xf>
    <xf numFmtId="0" fontId="7" fillId="0" borderId="0" xfId="0" applyFont="1"/>
    <xf numFmtId="165" fontId="61" fillId="0" borderId="71" xfId="78" applyNumberFormat="1" applyFont="1" applyFill="1" applyBorder="1" applyAlignment="1">
      <alignment horizontal="left" vertical="center" wrapText="1"/>
    </xf>
    <xf numFmtId="165" fontId="61" fillId="0" borderId="71" xfId="78" applyNumberFormat="1" applyFont="1" applyFill="1" applyBorder="1" applyAlignment="1">
      <alignment horizontal="center" vertical="center" wrapText="1"/>
    </xf>
    <xf numFmtId="43" fontId="61" fillId="0" borderId="71" xfId="78" applyFont="1" applyFill="1" applyBorder="1" applyAlignment="1">
      <alignment horizontal="center" vertical="center" wrapText="1"/>
    </xf>
    <xf numFmtId="9" fontId="61" fillId="0" borderId="0" xfId="77" applyFont="1" applyFill="1" applyAlignment="1">
      <alignment horizontal="center" vertical="center"/>
    </xf>
    <xf numFmtId="2" fontId="78" fillId="69" borderId="12" xfId="0" applyNumberFormat="1" applyFont="1" applyFill="1" applyBorder="1" applyAlignment="1" applyProtection="1">
      <alignment horizontal="left" vertical="center" wrapText="1"/>
      <protection locked="0"/>
    </xf>
    <xf numFmtId="2" fontId="78" fillId="70" borderId="12" xfId="0" applyNumberFormat="1" applyFont="1" applyFill="1" applyBorder="1" applyAlignment="1" applyProtection="1">
      <alignment horizontal="left" vertical="center" wrapText="1"/>
      <protection locked="0"/>
    </xf>
    <xf numFmtId="0" fontId="43" fillId="28" borderId="0" xfId="0" applyFont="1" applyFill="1" applyAlignment="1">
      <alignment wrapText="1"/>
    </xf>
    <xf numFmtId="0" fontId="68" fillId="62" borderId="22" xfId="0" applyFont="1" applyFill="1" applyBorder="1" applyAlignment="1" applyProtection="1">
      <alignment horizontal="right" vertical="center" wrapText="1"/>
      <protection locked="0"/>
    </xf>
    <xf numFmtId="1" fontId="68" fillId="62" borderId="22" xfId="0" applyNumberFormat="1" applyFont="1" applyFill="1" applyBorder="1" applyAlignment="1" applyProtection="1">
      <alignment horizontal="right" vertical="center" wrapText="1"/>
      <protection locked="0"/>
    </xf>
    <xf numFmtId="0" fontId="33" fillId="68" borderId="0" xfId="52" applyFill="1" applyAlignment="1">
      <alignment horizontal="right" vertical="center" wrapText="1"/>
    </xf>
    <xf numFmtId="0" fontId="33" fillId="68" borderId="0" xfId="52" applyFill="1" applyAlignment="1">
      <alignment horizontal="right" wrapText="1"/>
    </xf>
    <xf numFmtId="49" fontId="84" fillId="62" borderId="29" xfId="0" applyNumberFormat="1" applyFont="1" applyFill="1" applyBorder="1" applyAlignment="1" applyProtection="1">
      <alignment horizontal="center" vertical="center"/>
      <protection locked="0"/>
    </xf>
    <xf numFmtId="0" fontId="85" fillId="24" borderId="28" xfId="0" applyFont="1" applyFill="1" applyBorder="1" applyAlignment="1" applyProtection="1">
      <alignment vertical="center"/>
      <protection locked="0"/>
    </xf>
    <xf numFmtId="49" fontId="80" fillId="62" borderId="29" xfId="0" applyNumberFormat="1" applyFont="1" applyFill="1" applyBorder="1" applyAlignment="1" applyProtection="1">
      <alignment horizontal="center" vertical="center" wrapText="1"/>
      <protection locked="0"/>
    </xf>
    <xf numFmtId="0" fontId="81" fillId="24" borderId="28" xfId="0" applyFont="1" applyFill="1" applyBorder="1" applyAlignment="1" applyProtection="1">
      <alignment vertical="center"/>
      <protection locked="0"/>
    </xf>
    <xf numFmtId="49" fontId="84" fillId="24" borderId="29" xfId="0" applyNumberFormat="1" applyFont="1" applyFill="1" applyBorder="1" applyAlignment="1" applyProtection="1">
      <alignment horizontal="center" vertical="center" wrapText="1"/>
      <protection locked="0"/>
    </xf>
    <xf numFmtId="43" fontId="68" fillId="24" borderId="28" xfId="78" applyFont="1" applyFill="1" applyBorder="1" applyAlignment="1" applyProtection="1">
      <alignment vertical="center"/>
      <protection locked="0"/>
    </xf>
    <xf numFmtId="43" fontId="68" fillId="24" borderId="28" xfId="78" applyFont="1" applyFill="1" applyBorder="1" applyAlignment="1" applyProtection="1">
      <alignment vertical="center"/>
    </xf>
    <xf numFmtId="43" fontId="60" fillId="0" borderId="22" xfId="78" applyFont="1" applyBorder="1" applyAlignment="1" applyProtection="1">
      <alignment horizontal="right" vertical="center"/>
      <protection locked="0"/>
    </xf>
    <xf numFmtId="0" fontId="43" fillId="28" borderId="0" xfId="0" applyFont="1" applyFill="1" applyAlignment="1">
      <alignment vertical="center" wrapText="1"/>
    </xf>
    <xf numFmtId="0" fontId="67" fillId="62" borderId="28" xfId="0" applyFont="1" applyFill="1" applyBorder="1" applyAlignment="1" applyProtection="1">
      <alignment horizontal="right" vertical="center" wrapText="1"/>
      <protection locked="0"/>
    </xf>
    <xf numFmtId="43" fontId="68" fillId="62" borderId="28" xfId="78" applyFont="1" applyFill="1" applyBorder="1" applyAlignment="1" applyProtection="1">
      <alignment vertical="center"/>
      <protection locked="0"/>
    </xf>
    <xf numFmtId="0" fontId="81" fillId="24" borderId="36" xfId="0" applyFont="1" applyFill="1" applyBorder="1" applyAlignment="1">
      <alignment vertical="center" wrapText="1"/>
    </xf>
    <xf numFmtId="173" fontId="76" fillId="74" borderId="28" xfId="0" applyNumberFormat="1" applyFont="1" applyFill="1" applyBorder="1" applyAlignment="1" applyProtection="1">
      <alignment horizontal="center" vertical="center" wrapText="1"/>
      <protection locked="0"/>
    </xf>
    <xf numFmtId="0" fontId="49" fillId="0" borderId="26" xfId="0" applyFont="1" applyBorder="1" applyAlignment="1" applyProtection="1">
      <alignment horizontal="right" vertical="center" wrapText="1"/>
      <protection locked="0"/>
    </xf>
    <xf numFmtId="0" fontId="183" fillId="0" borderId="0" xfId="0" applyFont="1" applyAlignment="1">
      <alignment vertical="center"/>
    </xf>
    <xf numFmtId="165" fontId="183" fillId="0" borderId="0" xfId="78" applyNumberFormat="1" applyFont="1" applyFill="1" applyAlignment="1">
      <alignment vertical="center" wrapText="1"/>
    </xf>
    <xf numFmtId="0" fontId="81" fillId="63" borderId="31" xfId="0" applyFont="1" applyFill="1" applyBorder="1" applyAlignment="1" applyProtection="1">
      <alignment vertical="center" wrapText="1"/>
      <protection locked="0"/>
    </xf>
    <xf numFmtId="0" fontId="119" fillId="24" borderId="28" xfId="0" applyFont="1" applyFill="1" applyBorder="1" applyAlignment="1" applyProtection="1">
      <alignment horizontal="right" vertical="center" wrapText="1"/>
      <protection locked="0"/>
    </xf>
    <xf numFmtId="0" fontId="182" fillId="0" borderId="0" xfId="0" applyFont="1" applyAlignment="1">
      <alignment vertical="center"/>
    </xf>
    <xf numFmtId="0" fontId="81" fillId="63" borderId="25" xfId="0" applyFont="1" applyFill="1" applyBorder="1" applyAlignment="1" applyProtection="1">
      <alignment vertical="center" wrapText="1"/>
      <protection locked="0"/>
    </xf>
    <xf numFmtId="0" fontId="81" fillId="63" borderId="25" xfId="0" applyFont="1" applyFill="1" applyBorder="1" applyAlignment="1" applyProtection="1">
      <alignment horizontal="center" vertical="center" wrapText="1"/>
      <protection locked="0"/>
    </xf>
    <xf numFmtId="0" fontId="76" fillId="75" borderId="27" xfId="0" applyFont="1" applyFill="1" applyBorder="1" applyAlignment="1" applyProtection="1">
      <alignment horizontal="center" vertical="center"/>
      <protection locked="0"/>
    </xf>
    <xf numFmtId="1" fontId="76" fillId="62" borderId="22" xfId="0" applyNumberFormat="1" applyFont="1" applyFill="1" applyBorder="1" applyAlignment="1" applyProtection="1">
      <alignment horizontal="right" vertical="center" wrapText="1"/>
      <protection locked="0"/>
    </xf>
    <xf numFmtId="0" fontId="181" fillId="62" borderId="22" xfId="0" applyFont="1" applyFill="1" applyBorder="1" applyAlignment="1" applyProtection="1">
      <alignment horizontal="center" vertical="center" wrapText="1"/>
      <protection locked="0"/>
    </xf>
    <xf numFmtId="0" fontId="4" fillId="0" borderId="0" xfId="0" applyFont="1" applyAlignment="1">
      <alignment horizontal="right" vertical="center"/>
    </xf>
    <xf numFmtId="43" fontId="168" fillId="62" borderId="22" xfId="78" applyFont="1" applyFill="1" applyBorder="1" applyAlignment="1" applyProtection="1">
      <alignment vertical="center"/>
      <protection locked="0"/>
    </xf>
    <xf numFmtId="2" fontId="176" fillId="73" borderId="111" xfId="0" applyNumberFormat="1" applyFont="1" applyFill="1" applyBorder="1" applyAlignment="1">
      <alignment vertical="center"/>
    </xf>
    <xf numFmtId="2" fontId="174" fillId="73" borderId="0" xfId="0" applyNumberFormat="1" applyFont="1" applyFill="1"/>
    <xf numFmtId="1" fontId="174" fillId="73" borderId="0" xfId="0" applyNumberFormat="1" applyFont="1" applyFill="1"/>
    <xf numFmtId="2" fontId="177" fillId="73" borderId="0" xfId="0" applyNumberFormat="1" applyFont="1" applyFill="1"/>
    <xf numFmtId="0" fontId="174" fillId="0" borderId="112" xfId="0" applyFont="1" applyBorder="1" applyAlignment="1">
      <alignment vertical="center"/>
    </xf>
    <xf numFmtId="0" fontId="0" fillId="73" borderId="51" xfId="0" applyFill="1" applyBorder="1" applyAlignment="1">
      <alignment horizontal="center" vertical="center"/>
    </xf>
    <xf numFmtId="0" fontId="125" fillId="76" borderId="51" xfId="0" applyFont="1" applyFill="1" applyBorder="1" applyAlignment="1">
      <alignment horizontal="center" vertical="center"/>
    </xf>
    <xf numFmtId="0" fontId="0" fillId="73" borderId="52" xfId="0" applyFill="1" applyBorder="1" applyAlignment="1">
      <alignment horizontal="center" vertical="center"/>
    </xf>
    <xf numFmtId="0" fontId="0" fillId="73" borderId="53" xfId="0" applyFill="1" applyBorder="1" applyAlignment="1">
      <alignment horizontal="center" vertical="center"/>
    </xf>
    <xf numFmtId="0" fontId="0" fillId="73" borderId="54" xfId="0" applyFill="1" applyBorder="1" applyAlignment="1">
      <alignment horizontal="center" vertical="center"/>
    </xf>
    <xf numFmtId="0" fontId="0" fillId="73" borderId="55" xfId="0" applyFill="1" applyBorder="1" applyAlignment="1">
      <alignment horizontal="center" vertical="center"/>
    </xf>
    <xf numFmtId="0" fontId="0" fillId="73" borderId="0" xfId="0" applyFill="1" applyAlignment="1">
      <alignment vertical="center"/>
    </xf>
    <xf numFmtId="0" fontId="0" fillId="73" borderId="0" xfId="0" applyFill="1"/>
    <xf numFmtId="2" fontId="0" fillId="73" borderId="52" xfId="0" applyNumberFormat="1" applyFill="1" applyBorder="1" applyAlignment="1">
      <alignment horizontal="center" vertical="center"/>
    </xf>
    <xf numFmtId="0" fontId="0" fillId="76" borderId="53" xfId="0" applyFill="1" applyBorder="1" applyAlignment="1">
      <alignment horizontal="center" vertical="center"/>
    </xf>
    <xf numFmtId="0" fontId="0" fillId="76" borderId="54" xfId="0" applyFill="1" applyBorder="1" applyAlignment="1">
      <alignment horizontal="center" vertical="center"/>
    </xf>
    <xf numFmtId="0" fontId="0" fillId="76" borderId="55" xfId="0" applyFill="1" applyBorder="1" applyAlignment="1">
      <alignment horizontal="center" vertical="center"/>
    </xf>
    <xf numFmtId="172" fontId="0" fillId="73" borderId="52" xfId="0" applyNumberFormat="1" applyFill="1" applyBorder="1" applyAlignment="1">
      <alignment horizontal="center" vertical="center"/>
    </xf>
    <xf numFmtId="184" fontId="0" fillId="73" borderId="52" xfId="0" applyNumberFormat="1" applyFill="1" applyBorder="1" applyAlignment="1">
      <alignment horizontal="center" vertical="center"/>
    </xf>
    <xf numFmtId="3" fontId="0" fillId="73" borderId="106" xfId="0" applyNumberFormat="1" applyFill="1" applyBorder="1" applyAlignment="1">
      <alignment horizontal="center" vertical="center"/>
    </xf>
    <xf numFmtId="0" fontId="3" fillId="73" borderId="105" xfId="0" applyFont="1" applyFill="1" applyBorder="1" applyAlignment="1">
      <alignment horizontal="center" vertical="center" wrapText="1"/>
    </xf>
    <xf numFmtId="0" fontId="0" fillId="73" borderId="105" xfId="0" applyFill="1" applyBorder="1" applyAlignment="1">
      <alignment horizontal="center" vertical="center"/>
    </xf>
    <xf numFmtId="0" fontId="4" fillId="73" borderId="105" xfId="0" applyFont="1" applyFill="1" applyBorder="1" applyAlignment="1">
      <alignment horizontal="center" vertical="center" wrapText="1"/>
    </xf>
    <xf numFmtId="4" fontId="0" fillId="73" borderId="105" xfId="0" applyNumberFormat="1" applyFill="1" applyBorder="1" applyAlignment="1">
      <alignment horizontal="center" vertical="center"/>
    </xf>
    <xf numFmtId="0" fontId="6" fillId="73" borderId="105" xfId="0" applyFont="1" applyFill="1" applyBorder="1" applyAlignment="1">
      <alignment horizontal="center" vertical="center" wrapText="1"/>
    </xf>
    <xf numFmtId="2" fontId="0" fillId="73" borderId="105" xfId="0" applyNumberFormat="1" applyFill="1" applyBorder="1" applyAlignment="1">
      <alignment horizontal="center" vertical="center"/>
    </xf>
    <xf numFmtId="0" fontId="8" fillId="73" borderId="105" xfId="0" applyFont="1" applyFill="1" applyBorder="1" applyAlignment="1">
      <alignment horizontal="center" vertical="center" wrapText="1"/>
    </xf>
    <xf numFmtId="0" fontId="8" fillId="73" borderId="105" xfId="0" applyFont="1" applyFill="1" applyBorder="1" applyAlignment="1">
      <alignment horizontal="center" vertical="center"/>
    </xf>
    <xf numFmtId="43" fontId="68" fillId="62" borderId="22" xfId="78" applyFont="1" applyFill="1" applyBorder="1" applyAlignment="1" applyProtection="1">
      <alignment vertical="center"/>
      <protection locked="0"/>
    </xf>
    <xf numFmtId="0" fontId="85" fillId="64" borderId="26" xfId="0" applyFont="1" applyFill="1" applyBorder="1" applyAlignment="1">
      <alignment horizontal="center" vertical="center" wrapText="1"/>
    </xf>
    <xf numFmtId="171" fontId="68" fillId="64" borderId="26" xfId="0" applyNumberFormat="1" applyFont="1" applyFill="1" applyBorder="1" applyAlignment="1" applyProtection="1">
      <alignment horizontal="right" vertical="center"/>
      <protection locked="0"/>
    </xf>
    <xf numFmtId="166" fontId="83" fillId="64" borderId="26" xfId="0" applyNumberFormat="1" applyFont="1" applyFill="1" applyBorder="1" applyAlignment="1" applyProtection="1">
      <alignment horizontal="right" vertical="center"/>
      <protection locked="0"/>
    </xf>
    <xf numFmtId="0" fontId="68" fillId="64" borderId="26" xfId="0" applyFont="1" applyFill="1" applyBorder="1" applyAlignment="1" applyProtection="1">
      <alignment horizontal="center" vertical="center"/>
      <protection locked="0"/>
    </xf>
    <xf numFmtId="43" fontId="68" fillId="64" borderId="26" xfId="78" applyFont="1" applyFill="1" applyBorder="1" applyAlignment="1" applyProtection="1">
      <alignment vertical="center"/>
      <protection locked="0"/>
    </xf>
    <xf numFmtId="43" fontId="68" fillId="64" borderId="26" xfId="78" applyFont="1" applyFill="1" applyBorder="1" applyAlignment="1" applyProtection="1">
      <alignment vertical="center"/>
    </xf>
    <xf numFmtId="0" fontId="185" fillId="0" borderId="0" xfId="0" applyFont="1" applyAlignment="1">
      <alignment horizontal="center" vertical="center"/>
    </xf>
    <xf numFmtId="0" fontId="113" fillId="0" borderId="0" xfId="0" applyFont="1" applyAlignment="1">
      <alignment horizontal="center" vertical="center"/>
    </xf>
    <xf numFmtId="0" fontId="177" fillId="66" borderId="0" xfId="0" applyFont="1" applyFill="1"/>
    <xf numFmtId="2" fontId="177" fillId="66" borderId="0" xfId="0" applyNumberFormat="1" applyFont="1" applyFill="1"/>
    <xf numFmtId="3" fontId="56" fillId="0" borderId="22" xfId="0" applyNumberFormat="1" applyFont="1" applyBorder="1" applyAlignment="1" applyProtection="1">
      <alignment horizontal="right" vertical="center" wrapText="1"/>
      <protection locked="0"/>
    </xf>
    <xf numFmtId="0" fontId="125" fillId="73" borderId="105" xfId="0" applyFont="1" applyFill="1" applyBorder="1" applyAlignment="1">
      <alignment horizontal="center" vertical="center"/>
    </xf>
    <xf numFmtId="3" fontId="48" fillId="62" borderId="22" xfId="0" applyNumberFormat="1" applyFont="1" applyFill="1" applyBorder="1" applyAlignment="1" applyProtection="1">
      <alignment horizontal="right" vertical="center" wrapText="1"/>
      <protection locked="0"/>
    </xf>
    <xf numFmtId="0" fontId="56" fillId="0" borderId="26" xfId="0" applyFont="1" applyBorder="1" applyAlignment="1" applyProtection="1">
      <alignment horizontal="right" vertical="center" wrapText="1"/>
      <protection locked="0"/>
    </xf>
    <xf numFmtId="0" fontId="56" fillId="62" borderId="22" xfId="0" applyFont="1" applyFill="1" applyBorder="1" applyAlignment="1" applyProtection="1">
      <alignment horizontal="right" vertical="center" wrapText="1"/>
      <protection locked="0"/>
    </xf>
    <xf numFmtId="165" fontId="61" fillId="0" borderId="0" xfId="78" applyNumberFormat="1" applyFont="1" applyFill="1" applyAlignment="1">
      <alignment vertical="center" wrapText="1"/>
    </xf>
    <xf numFmtId="43" fontId="61" fillId="0" borderId="0" xfId="78" applyFont="1" applyFill="1" applyAlignment="1">
      <alignment horizontal="left" vertical="center" wrapText="1"/>
    </xf>
    <xf numFmtId="2" fontId="61" fillId="0" borderId="0" xfId="78" applyNumberFormat="1" applyFont="1" applyFill="1" applyAlignment="1">
      <alignment vertical="center"/>
    </xf>
    <xf numFmtId="9" fontId="61" fillId="0" borderId="0" xfId="77" applyFont="1" applyFill="1" applyAlignment="1">
      <alignment horizontal="left" vertical="center" wrapText="1"/>
    </xf>
    <xf numFmtId="4" fontId="61" fillId="0" borderId="0" xfId="0" applyNumberFormat="1" applyFont="1" applyAlignment="1">
      <alignment horizontal="right" vertical="center"/>
    </xf>
    <xf numFmtId="0" fontId="184" fillId="26" borderId="31" xfId="0" applyFont="1" applyFill="1" applyBorder="1" applyAlignment="1" applyProtection="1">
      <alignment vertical="center" wrapText="1"/>
      <protection locked="0"/>
    </xf>
    <xf numFmtId="0" fontId="184" fillId="26" borderId="25" xfId="0" applyFont="1" applyFill="1" applyBorder="1" applyAlignment="1" applyProtection="1">
      <alignment vertical="center" wrapText="1"/>
      <protection locked="0"/>
    </xf>
    <xf numFmtId="0" fontId="184" fillId="26" borderId="34" xfId="0" applyFont="1" applyFill="1" applyBorder="1" applyAlignment="1" applyProtection="1">
      <alignment vertical="center" wrapText="1"/>
      <protection locked="0"/>
    </xf>
    <xf numFmtId="43" fontId="60" fillId="62" borderId="22" xfId="78" applyFont="1" applyFill="1" applyBorder="1" applyAlignment="1" applyProtection="1">
      <alignment vertical="center"/>
      <protection locked="0"/>
    </xf>
    <xf numFmtId="2" fontId="67" fillId="24" borderId="26" xfId="0" applyNumberFormat="1" applyFont="1" applyFill="1" applyBorder="1" applyAlignment="1" applyProtection="1">
      <alignment horizontal="right" vertical="center"/>
      <protection locked="0"/>
    </xf>
    <xf numFmtId="2" fontId="76" fillId="24" borderId="26" xfId="0" applyNumberFormat="1" applyFont="1" applyFill="1" applyBorder="1" applyAlignment="1" applyProtection="1">
      <alignment horizontal="right" vertical="center"/>
      <protection locked="0"/>
    </xf>
    <xf numFmtId="1" fontId="67" fillId="62" borderId="36" xfId="0" applyNumberFormat="1" applyFont="1" applyFill="1" applyBorder="1" applyAlignment="1" applyProtection="1">
      <alignment horizontal="right" vertical="center" wrapText="1"/>
      <protection locked="0"/>
    </xf>
    <xf numFmtId="43" fontId="67" fillId="62" borderId="36" xfId="78" applyFont="1" applyFill="1" applyBorder="1" applyAlignment="1" applyProtection="1">
      <alignment horizontal="right" vertical="center" wrapText="1"/>
      <protection locked="0"/>
    </xf>
    <xf numFmtId="178" fontId="67" fillId="24" borderId="22" xfId="0" applyNumberFormat="1" applyFont="1" applyFill="1" applyBorder="1" applyAlignment="1" applyProtection="1">
      <alignment horizontal="right" vertical="center"/>
      <protection locked="0"/>
    </xf>
    <xf numFmtId="3" fontId="49" fillId="62" borderId="22" xfId="0" applyNumberFormat="1" applyFont="1" applyFill="1" applyBorder="1" applyAlignment="1" applyProtection="1">
      <alignment horizontal="right" vertical="center" wrapText="1"/>
      <protection locked="0"/>
    </xf>
    <xf numFmtId="3" fontId="76" fillId="62" borderId="28" xfId="0" applyNumberFormat="1" applyFont="1" applyFill="1" applyBorder="1" applyAlignment="1" applyProtection="1">
      <alignment horizontal="center" vertical="center"/>
      <protection locked="0"/>
    </xf>
    <xf numFmtId="0" fontId="84" fillId="62" borderId="36" xfId="0" applyFont="1" applyFill="1" applyBorder="1" applyAlignment="1" applyProtection="1">
      <alignment horizontal="center" vertical="center" wrapText="1"/>
      <protection locked="0"/>
    </xf>
    <xf numFmtId="0" fontId="76" fillId="77" borderId="36" xfId="0" applyFont="1" applyFill="1" applyBorder="1" applyAlignment="1" applyProtection="1">
      <alignment horizontal="right" vertical="center" wrapText="1"/>
      <protection locked="0"/>
    </xf>
    <xf numFmtId="0" fontId="123" fillId="62" borderId="22" xfId="0" applyFont="1" applyFill="1" applyBorder="1" applyAlignment="1" applyProtection="1">
      <alignment horizontal="right" vertical="center" wrapText="1"/>
      <protection locked="0"/>
    </xf>
    <xf numFmtId="1" fontId="123" fillId="62" borderId="22" xfId="0" applyNumberFormat="1" applyFont="1" applyFill="1" applyBorder="1" applyAlignment="1" applyProtection="1">
      <alignment horizontal="right" vertical="center" wrapText="1"/>
      <protection locked="0"/>
    </xf>
    <xf numFmtId="0" fontId="47" fillId="0" borderId="0" xfId="0" applyFont="1" applyAlignment="1" applyProtection="1">
      <alignment horizontal="right" vertical="center"/>
      <protection locked="0"/>
    </xf>
    <xf numFmtId="3" fontId="48" fillId="0" borderId="26" xfId="0" applyNumberFormat="1" applyFont="1" applyBorder="1" applyAlignment="1" applyProtection="1">
      <alignment horizontal="right" vertical="center" wrapText="1"/>
      <protection locked="0"/>
    </xf>
    <xf numFmtId="3" fontId="49" fillId="0" borderId="26" xfId="0" applyNumberFormat="1" applyFont="1" applyBorder="1" applyAlignment="1" applyProtection="1">
      <alignment horizontal="right" vertical="center" wrapText="1"/>
      <protection locked="0"/>
    </xf>
    <xf numFmtId="0" fontId="53" fillId="62" borderId="0" xfId="0" applyFont="1" applyFill="1" applyAlignment="1">
      <alignment horizontal="right" vertical="center" wrapText="1"/>
    </xf>
    <xf numFmtId="2" fontId="68" fillId="64" borderId="22" xfId="0" applyNumberFormat="1" applyFont="1" applyFill="1" applyBorder="1" applyAlignment="1" applyProtection="1">
      <alignment horizontal="right" vertical="center" wrapText="1"/>
      <protection locked="0"/>
    </xf>
    <xf numFmtId="0" fontId="119" fillId="78" borderId="36" xfId="0" applyFont="1" applyFill="1" applyBorder="1" applyAlignment="1" applyProtection="1">
      <alignment vertical="center" wrapText="1"/>
      <protection locked="0"/>
    </xf>
    <xf numFmtId="177" fontId="83" fillId="62" borderId="28" xfId="0" applyNumberFormat="1" applyFont="1" applyFill="1" applyBorder="1" applyAlignment="1" applyProtection="1">
      <alignment horizontal="center" vertical="center"/>
      <protection locked="0"/>
    </xf>
    <xf numFmtId="171" fontId="168" fillId="24" borderId="22" xfId="0" applyNumberFormat="1" applyFont="1" applyFill="1" applyBorder="1" applyAlignment="1" applyProtection="1">
      <alignment horizontal="right" vertical="center"/>
      <protection locked="0"/>
    </xf>
    <xf numFmtId="0" fontId="67" fillId="62" borderId="22" xfId="0" applyFont="1" applyFill="1" applyBorder="1" applyAlignment="1" applyProtection="1">
      <alignment horizontal="right" vertical="center" wrapText="1"/>
      <protection locked="0"/>
    </xf>
    <xf numFmtId="171" fontId="67" fillId="24" borderId="26" xfId="0" applyNumberFormat="1" applyFont="1" applyFill="1" applyBorder="1" applyAlignment="1" applyProtection="1">
      <alignment horizontal="right" vertical="center"/>
      <protection locked="0"/>
    </xf>
    <xf numFmtId="43" fontId="67" fillId="62" borderId="27" xfId="78" applyFont="1" applyFill="1" applyBorder="1" applyAlignment="1" applyProtection="1">
      <alignment vertical="center"/>
      <protection locked="0"/>
    </xf>
    <xf numFmtId="3" fontId="67" fillId="79" borderId="22" xfId="0" applyNumberFormat="1" applyFont="1" applyFill="1" applyBorder="1" applyAlignment="1" applyProtection="1">
      <alignment horizontal="center" vertical="center" wrapText="1"/>
      <protection locked="0"/>
    </xf>
    <xf numFmtId="0" fontId="62" fillId="25" borderId="36" xfId="0" applyFont="1" applyFill="1" applyBorder="1" applyAlignment="1" applyProtection="1">
      <alignment horizontal="center" vertical="center" wrapText="1"/>
      <protection locked="0"/>
    </xf>
    <xf numFmtId="0" fontId="61" fillId="0" borderId="22" xfId="0" applyFont="1" applyBorder="1" applyAlignment="1" applyProtection="1">
      <alignment horizontal="center" vertical="center" wrapText="1"/>
      <protection locked="0"/>
    </xf>
    <xf numFmtId="0" fontId="67" fillId="24" borderId="38" xfId="0" applyFont="1" applyFill="1" applyBorder="1" applyAlignment="1" applyProtection="1">
      <alignment vertical="center" wrapText="1"/>
      <protection locked="0"/>
    </xf>
    <xf numFmtId="173" fontId="76" fillId="0" borderId="114" xfId="0" applyNumberFormat="1" applyFont="1" applyBorder="1" applyAlignment="1" applyProtection="1">
      <alignment horizontal="center" vertical="center"/>
      <protection locked="0"/>
    </xf>
    <xf numFmtId="2" fontId="76" fillId="0" borderId="22" xfId="0" applyNumberFormat="1" applyFont="1" applyBorder="1" applyAlignment="1" applyProtection="1">
      <alignment horizontal="center" vertical="center" wrapText="1"/>
      <protection locked="0"/>
    </xf>
    <xf numFmtId="171" fontId="68" fillId="24" borderId="22" xfId="0" applyNumberFormat="1" applyFont="1" applyFill="1" applyBorder="1" applyAlignment="1" applyProtection="1">
      <alignment horizontal="center" vertical="center"/>
      <protection locked="0"/>
    </xf>
    <xf numFmtId="43" fontId="60" fillId="0" borderId="26" xfId="78" applyFont="1" applyBorder="1" applyAlignment="1" applyProtection="1">
      <alignment horizontal="right" vertical="center"/>
      <protection locked="0"/>
    </xf>
    <xf numFmtId="170" fontId="76" fillId="0" borderId="22" xfId="78" applyNumberFormat="1" applyFont="1" applyFill="1" applyBorder="1" applyAlignment="1" applyProtection="1">
      <alignment vertical="center"/>
      <protection locked="0"/>
    </xf>
    <xf numFmtId="43" fontId="60" fillId="0" borderId="22" xfId="78" applyFont="1" applyFill="1" applyBorder="1" applyAlignment="1" applyProtection="1">
      <alignment vertical="center"/>
      <protection locked="0"/>
    </xf>
    <xf numFmtId="0" fontId="85" fillId="64" borderId="36" xfId="0" applyFont="1" applyFill="1" applyBorder="1" applyAlignment="1">
      <alignment horizontal="center" vertical="center" wrapText="1"/>
    </xf>
    <xf numFmtId="171" fontId="68" fillId="64" borderId="36" xfId="0" applyNumberFormat="1" applyFont="1" applyFill="1" applyBorder="1" applyAlignment="1" applyProtection="1">
      <alignment horizontal="right" vertical="center"/>
      <protection locked="0"/>
    </xf>
    <xf numFmtId="2" fontId="68" fillId="64" borderId="28" xfId="0" applyNumberFormat="1" applyFont="1" applyFill="1" applyBorder="1" applyAlignment="1" applyProtection="1">
      <alignment horizontal="right" vertical="center" wrapText="1"/>
      <protection locked="0"/>
    </xf>
    <xf numFmtId="166" fontId="83" fillId="64" borderId="28" xfId="0" applyNumberFormat="1" applyFont="1" applyFill="1" applyBorder="1" applyAlignment="1" applyProtection="1">
      <alignment horizontal="right" vertical="center"/>
      <protection locked="0"/>
    </xf>
    <xf numFmtId="0" fontId="68" fillId="64" borderId="28" xfId="0" applyFont="1" applyFill="1" applyBorder="1" applyAlignment="1" applyProtection="1">
      <alignment horizontal="center" vertical="center"/>
      <protection locked="0"/>
    </xf>
    <xf numFmtId="43" fontId="68" fillId="64" borderId="28" xfId="78" applyFont="1" applyFill="1" applyBorder="1" applyAlignment="1" applyProtection="1">
      <alignment vertical="center"/>
      <protection locked="0"/>
    </xf>
    <xf numFmtId="43" fontId="68" fillId="64" borderId="28" xfId="78" applyFont="1" applyFill="1" applyBorder="1" applyAlignment="1" applyProtection="1">
      <alignment vertical="center"/>
    </xf>
    <xf numFmtId="169" fontId="68" fillId="64" borderId="28" xfId="0" applyNumberFormat="1" applyFont="1" applyFill="1" applyBorder="1" applyAlignment="1">
      <alignment vertical="center"/>
    </xf>
    <xf numFmtId="175" fontId="80" fillId="24" borderId="28" xfId="0" applyNumberFormat="1" applyFont="1" applyFill="1" applyBorder="1" applyAlignment="1" applyProtection="1">
      <alignment horizontal="center" vertical="center" wrapText="1"/>
      <protection locked="0"/>
    </xf>
    <xf numFmtId="3" fontId="76" fillId="79" borderId="22" xfId="0" applyNumberFormat="1" applyFont="1" applyFill="1" applyBorder="1" applyAlignment="1" applyProtection="1">
      <alignment horizontal="center" vertical="center" wrapText="1"/>
      <protection locked="0"/>
    </xf>
    <xf numFmtId="177" fontId="76" fillId="62" borderId="28" xfId="0" applyNumberFormat="1" applyFont="1" applyFill="1" applyBorder="1" applyAlignment="1" applyProtection="1">
      <alignment horizontal="center" vertical="center"/>
      <protection locked="0"/>
    </xf>
    <xf numFmtId="1" fontId="76" fillId="0" borderId="22" xfId="0" applyNumberFormat="1" applyFont="1" applyBorder="1" applyAlignment="1" applyProtection="1">
      <alignment horizontal="center" vertical="center" wrapText="1"/>
      <protection locked="0"/>
    </xf>
    <xf numFmtId="43" fontId="67" fillId="24" borderId="40" xfId="78" applyFont="1" applyFill="1" applyBorder="1" applyAlignment="1" applyProtection="1">
      <alignment vertical="center"/>
    </xf>
    <xf numFmtId="1" fontId="67" fillId="62" borderId="22" xfId="0" applyNumberFormat="1" applyFont="1" applyFill="1" applyBorder="1" applyAlignment="1" applyProtection="1">
      <alignment horizontal="right" vertical="center" wrapText="1"/>
      <protection locked="0"/>
    </xf>
    <xf numFmtId="3" fontId="76" fillId="0" borderId="23" xfId="0" applyNumberFormat="1" applyFont="1" applyBorder="1" applyAlignment="1" applyProtection="1">
      <alignment horizontal="right" vertical="center"/>
      <protection locked="0"/>
    </xf>
    <xf numFmtId="3" fontId="76" fillId="0" borderId="22" xfId="0" applyNumberFormat="1" applyFont="1" applyBorder="1" applyAlignment="1" applyProtection="1">
      <alignment horizontal="right" vertical="center"/>
      <protection locked="0"/>
    </xf>
    <xf numFmtId="0" fontId="76" fillId="24" borderId="22" xfId="0" applyFont="1" applyFill="1" applyBorder="1" applyAlignment="1" applyProtection="1">
      <alignment horizontal="center" vertical="center"/>
      <protection locked="0"/>
    </xf>
    <xf numFmtId="173" fontId="83" fillId="24" borderId="33" xfId="0" applyNumberFormat="1" applyFont="1" applyFill="1" applyBorder="1" applyAlignment="1" applyProtection="1">
      <alignment horizontal="center" vertical="center" wrapText="1"/>
      <protection locked="0"/>
    </xf>
    <xf numFmtId="0" fontId="49" fillId="0" borderId="27" xfId="0" applyFont="1" applyBorder="1" applyAlignment="1">
      <alignment horizontal="center" vertical="center"/>
    </xf>
    <xf numFmtId="0" fontId="49" fillId="0" borderId="28" xfId="0" applyFont="1" applyBorder="1" applyAlignment="1">
      <alignment horizontal="center" vertical="center"/>
    </xf>
    <xf numFmtId="0" fontId="0" fillId="0" borderId="21" xfId="0" applyBorder="1" applyAlignment="1">
      <alignment horizontal="center" wrapText="1"/>
    </xf>
    <xf numFmtId="0" fontId="48" fillId="0" borderId="0" xfId="0" applyFont="1" applyAlignment="1">
      <alignment horizontal="center" vertical="center"/>
    </xf>
    <xf numFmtId="0" fontId="49" fillId="0" borderId="0" xfId="0" applyFont="1" applyAlignment="1">
      <alignment horizontal="left" vertical="center" wrapText="1"/>
    </xf>
    <xf numFmtId="0" fontId="49" fillId="0" borderId="25" xfId="0" applyFont="1" applyBorder="1" applyAlignment="1">
      <alignment horizontal="left" vertical="center" wrapText="1"/>
    </xf>
    <xf numFmtId="0" fontId="80" fillId="24" borderId="28" xfId="0" applyFont="1" applyFill="1" applyBorder="1" applyAlignment="1">
      <alignment horizontal="center" vertical="center"/>
    </xf>
    <xf numFmtId="0" fontId="67" fillId="24" borderId="27" xfId="0" applyFont="1" applyFill="1" applyBorder="1" applyAlignment="1" applyProtection="1">
      <alignment horizontal="center" vertical="center"/>
      <protection locked="0"/>
    </xf>
    <xf numFmtId="0" fontId="67" fillId="24" borderId="28" xfId="0" applyFont="1" applyFill="1" applyBorder="1" applyAlignment="1" applyProtection="1">
      <alignment horizontal="center" vertical="center"/>
      <protection locked="0"/>
    </xf>
    <xf numFmtId="0" fontId="67" fillId="24" borderId="40" xfId="0" applyFont="1" applyFill="1" applyBorder="1" applyAlignment="1" applyProtection="1">
      <alignment horizontal="center" vertical="center"/>
      <protection locked="0"/>
    </xf>
    <xf numFmtId="0" fontId="83" fillId="24" borderId="27" xfId="0" applyFont="1" applyFill="1" applyBorder="1" applyAlignment="1" applyProtection="1">
      <alignment horizontal="center" vertical="center"/>
      <protection locked="0"/>
    </xf>
    <xf numFmtId="0" fontId="83" fillId="24" borderId="28" xfId="0" applyFont="1" applyFill="1" applyBorder="1" applyAlignment="1" applyProtection="1">
      <alignment horizontal="center" vertical="center"/>
      <protection locked="0"/>
    </xf>
    <xf numFmtId="0" fontId="83" fillId="24" borderId="40" xfId="0" applyFont="1" applyFill="1" applyBorder="1" applyAlignment="1" applyProtection="1">
      <alignment horizontal="center" vertical="center"/>
      <protection locked="0"/>
    </xf>
    <xf numFmtId="43" fontId="67" fillId="24" borderId="27" xfId="78" applyFont="1" applyFill="1" applyBorder="1" applyAlignment="1" applyProtection="1">
      <alignment horizontal="center" vertical="center"/>
    </xf>
    <xf numFmtId="43" fontId="67" fillId="24" borderId="28" xfId="78" applyFont="1" applyFill="1" applyBorder="1" applyAlignment="1" applyProtection="1">
      <alignment horizontal="center" vertical="center"/>
    </xf>
    <xf numFmtId="43" fontId="67" fillId="24" borderId="40" xfId="78" applyFont="1" applyFill="1" applyBorder="1" applyAlignment="1" applyProtection="1">
      <alignment horizontal="center" vertical="center"/>
    </xf>
    <xf numFmtId="0" fontId="81" fillId="26" borderId="31" xfId="0" applyFont="1" applyFill="1" applyBorder="1" applyAlignment="1" applyProtection="1">
      <alignment horizontal="center" vertical="center" wrapText="1"/>
      <protection locked="0"/>
    </xf>
    <xf numFmtId="0" fontId="81" fillId="26" borderId="34" xfId="0" applyFont="1" applyFill="1" applyBorder="1" applyAlignment="1" applyProtection="1">
      <alignment horizontal="center" vertical="center" wrapText="1"/>
      <protection locked="0"/>
    </xf>
    <xf numFmtId="43" fontId="67" fillId="24" borderId="29" xfId="78" applyFont="1" applyFill="1" applyBorder="1" applyAlignment="1" applyProtection="1">
      <alignment horizontal="center" vertical="center"/>
    </xf>
    <xf numFmtId="43" fontId="67" fillId="24" borderId="30" xfId="78" applyFont="1" applyFill="1" applyBorder="1" applyAlignment="1" applyProtection="1">
      <alignment horizontal="center" vertical="center"/>
    </xf>
    <xf numFmtId="43" fontId="67" fillId="24" borderId="41" xfId="78" applyFont="1" applyFill="1" applyBorder="1" applyAlignment="1" applyProtection="1">
      <alignment horizontal="center" vertical="center"/>
    </xf>
    <xf numFmtId="0" fontId="81" fillId="24" borderId="27" xfId="0" applyFont="1" applyFill="1" applyBorder="1" applyAlignment="1">
      <alignment horizontal="center" vertical="center" wrapText="1"/>
    </xf>
    <xf numFmtId="0" fontId="81" fillId="24" borderId="28" xfId="0" applyFont="1" applyFill="1" applyBorder="1" applyAlignment="1">
      <alignment horizontal="center" vertical="center" wrapText="1"/>
    </xf>
    <xf numFmtId="0" fontId="81" fillId="24" borderId="36" xfId="0" applyFont="1" applyFill="1" applyBorder="1" applyAlignment="1">
      <alignment horizontal="center" vertical="center" wrapText="1"/>
    </xf>
    <xf numFmtId="43" fontId="67" fillId="24" borderId="33" xfId="78" applyFont="1" applyFill="1" applyBorder="1" applyAlignment="1" applyProtection="1">
      <alignment horizontal="center" vertical="center"/>
    </xf>
    <xf numFmtId="43" fontId="67" fillId="24" borderId="38" xfId="78" applyFont="1" applyFill="1" applyBorder="1" applyAlignment="1" applyProtection="1">
      <alignment horizontal="center" vertical="center"/>
    </xf>
    <xf numFmtId="43" fontId="67" fillId="24" borderId="42" xfId="78" applyFont="1" applyFill="1" applyBorder="1" applyAlignment="1" applyProtection="1">
      <alignment horizontal="center" vertical="center"/>
    </xf>
    <xf numFmtId="0" fontId="76" fillId="24" borderId="28" xfId="0" applyFont="1" applyFill="1" applyBorder="1" applyAlignment="1" applyProtection="1">
      <alignment horizontal="center" vertical="center"/>
      <protection locked="0"/>
    </xf>
    <xf numFmtId="0" fontId="76" fillId="24" borderId="40" xfId="0" applyFont="1" applyFill="1" applyBorder="1" applyAlignment="1" applyProtection="1">
      <alignment horizontal="center" vertical="center"/>
      <protection locked="0"/>
    </xf>
    <xf numFmtId="0" fontId="48" fillId="0" borderId="28" xfId="0" applyFont="1" applyBorder="1" applyAlignment="1">
      <alignment horizontal="center" vertical="center"/>
    </xf>
    <xf numFmtId="0" fontId="48" fillId="0" borderId="36" xfId="0" applyFont="1" applyBorder="1" applyAlignment="1">
      <alignment horizontal="center" vertical="center"/>
    </xf>
    <xf numFmtId="0" fontId="111" fillId="0" borderId="0" xfId="0" applyFont="1" applyAlignment="1">
      <alignment horizontal="left" vertical="center" wrapText="1"/>
    </xf>
    <xf numFmtId="0" fontId="111" fillId="0" borderId="25" xfId="0" applyFont="1" applyBorder="1" applyAlignment="1">
      <alignment horizontal="left" vertical="center" wrapText="1"/>
    </xf>
    <xf numFmtId="0" fontId="81" fillId="24" borderId="40" xfId="0" applyFont="1" applyFill="1" applyBorder="1" applyAlignment="1">
      <alignment horizontal="center" vertical="center" wrapText="1"/>
    </xf>
    <xf numFmtId="43" fontId="67" fillId="24" borderId="27" xfId="78" applyFont="1" applyFill="1" applyBorder="1" applyAlignment="1" applyProtection="1">
      <alignment horizontal="center" vertical="center"/>
      <protection locked="0"/>
    </xf>
    <xf numFmtId="43" fontId="67" fillId="24" borderId="28" xfId="78" applyFont="1" applyFill="1" applyBorder="1" applyAlignment="1" applyProtection="1">
      <alignment horizontal="center" vertical="center"/>
      <protection locked="0"/>
    </xf>
    <xf numFmtId="43" fontId="67" fillId="24" borderId="40" xfId="78" applyFont="1" applyFill="1" applyBorder="1" applyAlignment="1" applyProtection="1">
      <alignment horizontal="center" vertical="center"/>
      <protection locked="0"/>
    </xf>
    <xf numFmtId="0" fontId="85" fillId="24" borderId="27" xfId="0" applyFont="1" applyFill="1" applyBorder="1" applyAlignment="1">
      <alignment horizontal="center" vertical="center" wrapText="1"/>
    </xf>
    <xf numFmtId="0" fontId="85" fillId="24" borderId="28" xfId="0" applyFont="1" applyFill="1" applyBorder="1" applyAlignment="1">
      <alignment horizontal="center" vertical="center" wrapText="1"/>
    </xf>
    <xf numFmtId="0" fontId="85" fillId="24" borderId="40" xfId="0" applyFont="1" applyFill="1" applyBorder="1" applyAlignment="1">
      <alignment horizontal="center" vertical="center" wrapText="1"/>
    </xf>
    <xf numFmtId="0" fontId="119" fillId="24" borderId="28" xfId="0" applyFont="1" applyFill="1" applyBorder="1" applyAlignment="1" applyProtection="1">
      <alignment horizontal="left" vertical="center"/>
      <protection locked="0"/>
    </xf>
    <xf numFmtId="0" fontId="119" fillId="24" borderId="40" xfId="0" applyFont="1" applyFill="1" applyBorder="1" applyAlignment="1" applyProtection="1">
      <alignment horizontal="left" vertical="center"/>
      <protection locked="0"/>
    </xf>
    <xf numFmtId="0" fontId="67" fillId="24" borderId="27" xfId="0" applyFont="1" applyFill="1" applyBorder="1" applyAlignment="1" applyProtection="1">
      <alignment horizontal="center" vertical="center" wrapText="1"/>
      <protection locked="0"/>
    </xf>
    <xf numFmtId="0" fontId="67" fillId="24" borderId="28" xfId="0" applyFont="1" applyFill="1" applyBorder="1" applyAlignment="1" applyProtection="1">
      <alignment horizontal="center" vertical="center" wrapText="1"/>
      <protection locked="0"/>
    </xf>
    <xf numFmtId="0" fontId="67" fillId="24" borderId="40" xfId="0" applyFont="1" applyFill="1" applyBorder="1" applyAlignment="1" applyProtection="1">
      <alignment horizontal="center" vertical="center" wrapText="1"/>
      <protection locked="0"/>
    </xf>
    <xf numFmtId="43" fontId="67" fillId="24" borderId="48" xfId="78" applyFont="1" applyFill="1" applyBorder="1" applyAlignment="1" applyProtection="1">
      <alignment horizontal="center" vertical="center"/>
    </xf>
    <xf numFmtId="43" fontId="67" fillId="24" borderId="0" xfId="78" applyFont="1" applyFill="1" applyAlignment="1" applyProtection="1">
      <alignment horizontal="center" vertical="center"/>
    </xf>
    <xf numFmtId="43" fontId="67" fillId="24" borderId="50" xfId="78" applyFont="1" applyFill="1" applyBorder="1" applyAlignment="1" applyProtection="1">
      <alignment horizontal="center" vertical="center"/>
    </xf>
    <xf numFmtId="0" fontId="61" fillId="62" borderId="27" xfId="0" applyFont="1" applyFill="1" applyBorder="1" applyAlignment="1" applyProtection="1">
      <alignment horizontal="center" vertical="center"/>
      <protection locked="0"/>
    </xf>
    <xf numFmtId="0" fontId="61" fillId="62" borderId="28" xfId="0" applyFont="1" applyFill="1" applyBorder="1" applyAlignment="1" applyProtection="1">
      <alignment horizontal="center" vertical="center"/>
      <protection locked="0"/>
    </xf>
    <xf numFmtId="0" fontId="61" fillId="62" borderId="40" xfId="0" applyFont="1" applyFill="1" applyBorder="1" applyAlignment="1" applyProtection="1">
      <alignment horizontal="center" vertical="center"/>
      <protection locked="0"/>
    </xf>
    <xf numFmtId="0" fontId="0" fillId="62" borderId="27" xfId="0" applyFill="1" applyBorder="1" applyAlignment="1" applyProtection="1">
      <alignment horizontal="center"/>
      <protection locked="0"/>
    </xf>
    <xf numFmtId="0" fontId="0" fillId="62" borderId="28" xfId="0" applyFill="1" applyBorder="1" applyAlignment="1" applyProtection="1">
      <alignment horizontal="center"/>
      <protection locked="0"/>
    </xf>
    <xf numFmtId="0" fontId="0" fillId="62" borderId="40" xfId="0" applyFill="1" applyBorder="1" applyAlignment="1" applyProtection="1">
      <alignment horizontal="center"/>
      <protection locked="0"/>
    </xf>
    <xf numFmtId="1" fontId="76" fillId="24" borderId="27" xfId="0" applyNumberFormat="1" applyFont="1" applyFill="1" applyBorder="1" applyAlignment="1" applyProtection="1">
      <alignment horizontal="center" vertical="center"/>
      <protection locked="0"/>
    </xf>
    <xf numFmtId="1" fontId="76" fillId="24" borderId="28" xfId="0" applyNumberFormat="1" applyFont="1" applyFill="1" applyBorder="1" applyAlignment="1" applyProtection="1">
      <alignment horizontal="center" vertical="center"/>
      <protection locked="0"/>
    </xf>
    <xf numFmtId="1" fontId="76" fillId="24" borderId="40" xfId="0" applyNumberFormat="1" applyFont="1" applyFill="1" applyBorder="1" applyAlignment="1" applyProtection="1">
      <alignment horizontal="center" vertical="center"/>
      <protection locked="0"/>
    </xf>
    <xf numFmtId="0" fontId="67" fillId="24" borderId="29" xfId="0" applyFont="1" applyFill="1" applyBorder="1" applyAlignment="1" applyProtection="1">
      <alignment horizontal="center" vertical="center"/>
      <protection locked="0"/>
    </xf>
    <xf numFmtId="0" fontId="67" fillId="24" borderId="30" xfId="0" applyFont="1" applyFill="1" applyBorder="1" applyAlignment="1" applyProtection="1">
      <alignment horizontal="center" vertical="center"/>
      <protection locked="0"/>
    </xf>
    <xf numFmtId="0" fontId="67" fillId="24" borderId="41" xfId="0" applyFont="1" applyFill="1" applyBorder="1" applyAlignment="1" applyProtection="1">
      <alignment horizontal="center" vertical="center"/>
      <protection locked="0"/>
    </xf>
    <xf numFmtId="0" fontId="67" fillId="24" borderId="33" xfId="0" applyFont="1" applyFill="1" applyBorder="1" applyAlignment="1" applyProtection="1">
      <alignment horizontal="center" vertical="center"/>
      <protection locked="0"/>
    </xf>
    <xf numFmtId="0" fontId="67" fillId="24" borderId="38" xfId="0" applyFont="1" applyFill="1" applyBorder="1" applyAlignment="1" applyProtection="1">
      <alignment horizontal="center" vertical="center"/>
      <protection locked="0"/>
    </xf>
    <xf numFmtId="0" fontId="67" fillId="24" borderId="42" xfId="0" applyFont="1" applyFill="1" applyBorder="1" applyAlignment="1" applyProtection="1">
      <alignment horizontal="center" vertical="center"/>
      <protection locked="0"/>
    </xf>
    <xf numFmtId="0" fontId="0" fillId="62" borderId="33" xfId="0" applyFill="1" applyBorder="1" applyAlignment="1" applyProtection="1">
      <alignment horizontal="center"/>
      <protection locked="0"/>
    </xf>
    <xf numFmtId="0" fontId="0" fillId="62" borderId="38" xfId="0" applyFill="1" applyBorder="1" applyAlignment="1" applyProtection="1">
      <alignment horizontal="center"/>
      <protection locked="0"/>
    </xf>
    <xf numFmtId="0" fontId="0" fillId="62" borderId="42" xfId="0" applyFill="1" applyBorder="1" applyAlignment="1" applyProtection="1">
      <alignment horizontal="center"/>
      <protection locked="0"/>
    </xf>
    <xf numFmtId="0" fontId="67" fillId="24" borderId="48" xfId="0" applyFont="1" applyFill="1" applyBorder="1" applyAlignment="1" applyProtection="1">
      <alignment horizontal="center" vertical="center" wrapText="1"/>
      <protection locked="0"/>
    </xf>
    <xf numFmtId="0" fontId="67" fillId="24" borderId="0" xfId="0" applyFont="1" applyFill="1" applyAlignment="1" applyProtection="1">
      <alignment horizontal="center" vertical="center" wrapText="1"/>
      <protection locked="0"/>
    </xf>
    <xf numFmtId="0" fontId="67" fillId="24" borderId="50" xfId="0" applyFont="1" applyFill="1" applyBorder="1" applyAlignment="1" applyProtection="1">
      <alignment horizontal="center" vertical="center" wrapText="1"/>
      <protection locked="0"/>
    </xf>
    <xf numFmtId="0" fontId="9" fillId="0" borderId="0" xfId="0" applyFont="1" applyAlignment="1">
      <alignment horizontal="center" wrapText="1"/>
    </xf>
    <xf numFmtId="0" fontId="0" fillId="0" borderId="0" xfId="0" applyAlignment="1">
      <alignment horizontal="center" wrapText="1"/>
    </xf>
    <xf numFmtId="0" fontId="49" fillId="0" borderId="27" xfId="0" applyFont="1" applyBorder="1" applyAlignment="1">
      <alignment horizontal="left" vertical="center" wrapText="1"/>
    </xf>
    <xf numFmtId="0" fontId="48" fillId="0" borderId="28" xfId="0" applyFont="1" applyBorder="1" applyAlignment="1">
      <alignment horizontal="left" vertical="center"/>
    </xf>
    <xf numFmtId="0" fontId="48" fillId="0" borderId="36" xfId="0" applyFont="1" applyBorder="1" applyAlignment="1">
      <alignment horizontal="left" vertical="center"/>
    </xf>
    <xf numFmtId="0" fontId="83" fillId="0" borderId="28" xfId="0" applyFont="1" applyBorder="1" applyAlignment="1" applyProtection="1">
      <alignment horizontal="left" vertical="center"/>
      <protection locked="0"/>
    </xf>
    <xf numFmtId="0" fontId="167" fillId="24" borderId="27" xfId="0" applyFont="1" applyFill="1" applyBorder="1" applyAlignment="1">
      <alignment horizontal="center" vertical="center" wrapText="1"/>
    </xf>
    <xf numFmtId="0" fontId="167" fillId="24" borderId="28" xfId="0" applyFont="1" applyFill="1" applyBorder="1" applyAlignment="1">
      <alignment horizontal="center" vertical="center" wrapText="1"/>
    </xf>
    <xf numFmtId="0" fontId="167" fillId="24" borderId="40" xfId="0" applyFont="1" applyFill="1" applyBorder="1" applyAlignment="1">
      <alignment horizontal="center" vertical="center" wrapText="1"/>
    </xf>
    <xf numFmtId="0" fontId="81" fillId="24" borderId="29" xfId="0" applyFont="1" applyFill="1" applyBorder="1" applyAlignment="1">
      <alignment horizontal="center" vertical="center" wrapText="1"/>
    </xf>
    <xf numFmtId="0" fontId="81" fillId="24" borderId="31" xfId="0" applyFont="1" applyFill="1" applyBorder="1" applyAlignment="1">
      <alignment horizontal="center" vertical="center" wrapText="1"/>
    </xf>
    <xf numFmtId="0" fontId="81" fillId="24" borderId="33" xfId="0" applyFont="1" applyFill="1" applyBorder="1" applyAlignment="1">
      <alignment horizontal="center" vertical="center" wrapText="1"/>
    </xf>
    <xf numFmtId="0" fontId="81" fillId="24" borderId="34" xfId="0" applyFont="1" applyFill="1" applyBorder="1" applyAlignment="1">
      <alignment horizontal="center" vertical="center" wrapText="1"/>
    </xf>
    <xf numFmtId="0" fontId="61" fillId="62" borderId="48" xfId="0" applyFont="1" applyFill="1" applyBorder="1" applyAlignment="1" applyProtection="1">
      <alignment horizontal="center" vertical="center"/>
      <protection locked="0"/>
    </xf>
    <xf numFmtId="0" fontId="61" fillId="62" borderId="0" xfId="0" applyFont="1" applyFill="1" applyAlignment="1" applyProtection="1">
      <alignment horizontal="center" vertical="center"/>
      <protection locked="0"/>
    </xf>
    <xf numFmtId="0" fontId="61" fillId="62" borderId="50" xfId="0" applyFont="1" applyFill="1" applyBorder="1" applyAlignment="1" applyProtection="1">
      <alignment horizontal="center" vertical="center"/>
      <protection locked="0"/>
    </xf>
    <xf numFmtId="0" fontId="61" fillId="62" borderId="33" xfId="0" applyFont="1" applyFill="1" applyBorder="1" applyAlignment="1" applyProtection="1">
      <alignment horizontal="center" vertical="center"/>
      <protection locked="0"/>
    </xf>
    <xf numFmtId="0" fontId="61" fillId="62" borderId="38" xfId="0" applyFont="1" applyFill="1" applyBorder="1" applyAlignment="1" applyProtection="1">
      <alignment horizontal="center" vertical="center"/>
      <protection locked="0"/>
    </xf>
    <xf numFmtId="0" fontId="61" fillId="62" borderId="42" xfId="0" applyFont="1" applyFill="1" applyBorder="1" applyAlignment="1" applyProtection="1">
      <alignment horizontal="center" vertical="center"/>
      <protection locked="0"/>
    </xf>
    <xf numFmtId="0" fontId="67" fillId="24" borderId="28" xfId="0" applyFont="1" applyFill="1" applyBorder="1" applyAlignment="1">
      <alignment horizontal="center" vertical="center"/>
    </xf>
    <xf numFmtId="0" fontId="67" fillId="24" borderId="40" xfId="0" applyFont="1" applyFill="1" applyBorder="1" applyAlignment="1">
      <alignment horizontal="center" vertical="center"/>
    </xf>
    <xf numFmtId="0" fontId="67" fillId="24" borderId="27" xfId="0" applyFont="1" applyFill="1" applyBorder="1" applyAlignment="1">
      <alignment horizontal="center" vertical="center"/>
    </xf>
    <xf numFmtId="0" fontId="0" fillId="62" borderId="0" xfId="0" applyFill="1" applyAlignment="1" applyProtection="1">
      <alignment horizontal="center"/>
      <protection locked="0"/>
    </xf>
    <xf numFmtId="0" fontId="0" fillId="62" borderId="50" xfId="0" applyFill="1" applyBorder="1" applyAlignment="1" applyProtection="1">
      <alignment horizontal="center"/>
      <protection locked="0"/>
    </xf>
    <xf numFmtId="0" fontId="80" fillId="24" borderId="40" xfId="0" applyFont="1" applyFill="1" applyBorder="1" applyAlignment="1">
      <alignment horizontal="center" vertical="center"/>
    </xf>
    <xf numFmtId="0" fontId="61" fillId="62" borderId="25" xfId="0" applyFont="1" applyFill="1" applyBorder="1" applyAlignment="1" applyProtection="1">
      <alignment horizontal="center" vertical="center"/>
      <protection locked="0"/>
    </xf>
    <xf numFmtId="169" fontId="76" fillId="0" borderId="27" xfId="0" applyNumberFormat="1" applyFont="1" applyBorder="1" applyAlignment="1">
      <alignment horizontal="left" vertical="center"/>
    </xf>
    <xf numFmtId="169" fontId="76" fillId="0" borderId="28" xfId="0" applyNumberFormat="1" applyFont="1" applyBorder="1" applyAlignment="1">
      <alignment horizontal="left" vertical="center"/>
    </xf>
    <xf numFmtId="0" fontId="68" fillId="24" borderId="27" xfId="0" applyFont="1" applyFill="1" applyBorder="1" applyAlignment="1" applyProtection="1">
      <alignment horizontal="center" vertical="center"/>
      <protection locked="0"/>
    </xf>
    <xf numFmtId="0" fontId="68" fillId="24" borderId="36" xfId="0" applyFont="1" applyFill="1" applyBorder="1" applyAlignment="1" applyProtection="1">
      <alignment horizontal="center" vertical="center"/>
      <protection locked="0"/>
    </xf>
    <xf numFmtId="0" fontId="130" fillId="0" borderId="56" xfId="0" applyFont="1" applyBorder="1" applyAlignment="1">
      <alignment horizontal="center" vertical="center" wrapText="1"/>
    </xf>
    <xf numFmtId="0" fontId="129" fillId="0" borderId="56" xfId="0" applyFont="1" applyBorder="1" applyAlignment="1">
      <alignment horizontal="center" vertical="center" wrapText="1"/>
    </xf>
    <xf numFmtId="0" fontId="129" fillId="0" borderId="56" xfId="0" applyFont="1" applyBorder="1" applyAlignment="1">
      <alignment horizontal="center" vertical="center"/>
    </xf>
    <xf numFmtId="0" fontId="118" fillId="0" borderId="56" xfId="0" applyFont="1" applyBorder="1" applyAlignment="1">
      <alignment horizontal="center" vertical="center"/>
    </xf>
    <xf numFmtId="0" fontId="129" fillId="0" borderId="57" xfId="0" applyFont="1" applyBorder="1" applyAlignment="1">
      <alignment horizontal="center" vertical="center"/>
    </xf>
    <xf numFmtId="0" fontId="129" fillId="0" borderId="58" xfId="0" applyFont="1" applyBorder="1" applyAlignment="1">
      <alignment horizontal="center" vertical="center"/>
    </xf>
    <xf numFmtId="0" fontId="2" fillId="0" borderId="107" xfId="0" applyFont="1" applyBorder="1" applyAlignment="1">
      <alignment horizontal="left" vertical="center"/>
    </xf>
    <xf numFmtId="0" fontId="8" fillId="0" borderId="108" xfId="0" applyFont="1" applyBorder="1" applyAlignment="1">
      <alignment horizontal="left" vertical="center"/>
    </xf>
    <xf numFmtId="0" fontId="8" fillId="0" borderId="109" xfId="0" applyFont="1" applyBorder="1" applyAlignment="1">
      <alignment horizontal="left" vertical="center"/>
    </xf>
    <xf numFmtId="0" fontId="47" fillId="66" borderId="107" xfId="0" applyFont="1" applyFill="1" applyBorder="1" applyAlignment="1">
      <alignment horizontal="center" vertical="center"/>
    </xf>
    <xf numFmtId="0" fontId="47" fillId="66" borderId="108" xfId="0" applyFont="1" applyFill="1" applyBorder="1" applyAlignment="1">
      <alignment horizontal="center" vertical="center"/>
    </xf>
    <xf numFmtId="0" fontId="47" fillId="66" borderId="109" xfId="0" applyFont="1" applyFill="1" applyBorder="1" applyAlignment="1">
      <alignment horizontal="center" vertical="center"/>
    </xf>
    <xf numFmtId="0" fontId="180" fillId="0" borderId="0" xfId="0" applyFont="1" applyAlignment="1">
      <alignment horizontal="center" vertical="center"/>
    </xf>
    <xf numFmtId="0" fontId="7" fillId="0" borderId="0" xfId="0" applyFont="1" applyAlignment="1">
      <alignment horizontal="left" vertical="center" wrapText="1"/>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134" fillId="0" borderId="24" xfId="0" applyFont="1" applyBorder="1" applyAlignment="1">
      <alignment horizontal="center" vertical="center" wrapText="1"/>
    </xf>
    <xf numFmtId="0" fontId="0" fillId="37" borderId="0" xfId="0" applyFill="1" applyAlignment="1">
      <alignment horizontal="center"/>
    </xf>
    <xf numFmtId="0" fontId="0" fillId="31" borderId="82" xfId="0" applyFill="1" applyBorder="1" applyAlignment="1">
      <alignment horizontal="center" vertical="center" wrapText="1"/>
    </xf>
    <xf numFmtId="0" fontId="0" fillId="31" borderId="87" xfId="0" applyFill="1" applyBorder="1"/>
    <xf numFmtId="0" fontId="0" fillId="31" borderId="100" xfId="0" applyFill="1" applyBorder="1"/>
    <xf numFmtId="0" fontId="0" fillId="31" borderId="83" xfId="0" applyFill="1" applyBorder="1" applyAlignment="1">
      <alignment horizontal="center" vertical="center" wrapText="1"/>
    </xf>
    <xf numFmtId="0" fontId="0" fillId="31" borderId="88" xfId="0" applyFill="1" applyBorder="1"/>
    <xf numFmtId="0" fontId="0" fillId="31" borderId="101" xfId="0" applyFill="1" applyBorder="1"/>
    <xf numFmtId="16" fontId="0" fillId="31" borderId="83" xfId="0" applyNumberFormat="1" applyFill="1" applyBorder="1" applyAlignment="1">
      <alignment horizontal="center" vertical="center" wrapText="1"/>
    </xf>
    <xf numFmtId="0" fontId="143" fillId="31" borderId="76" xfId="0" applyFont="1" applyFill="1" applyBorder="1" applyAlignment="1">
      <alignment horizontal="center" vertical="center" wrapText="1"/>
    </xf>
    <xf numFmtId="0" fontId="143" fillId="31" borderId="77" xfId="0" applyFont="1" applyFill="1" applyBorder="1" applyAlignment="1">
      <alignment horizontal="center" vertical="center" wrapText="1"/>
    </xf>
    <xf numFmtId="0" fontId="143" fillId="31" borderId="78" xfId="0" applyFont="1" applyFill="1" applyBorder="1" applyAlignment="1">
      <alignment horizontal="center" vertical="center" wrapText="1"/>
    </xf>
    <xf numFmtId="0" fontId="143" fillId="31" borderId="72" xfId="0" applyFont="1" applyFill="1" applyBorder="1" applyAlignment="1">
      <alignment horizontal="center" vertical="center"/>
    </xf>
    <xf numFmtId="0" fontId="143" fillId="31" borderId="79" xfId="0" applyFont="1" applyFill="1" applyBorder="1" applyAlignment="1">
      <alignment horizontal="center" vertical="center"/>
    </xf>
    <xf numFmtId="0" fontId="143" fillId="31" borderId="73" xfId="0" applyFont="1" applyFill="1" applyBorder="1" applyAlignment="1">
      <alignment horizontal="center" vertical="center" wrapText="1"/>
    </xf>
    <xf numFmtId="0" fontId="143" fillId="31" borderId="80" xfId="0" applyFont="1" applyFill="1" applyBorder="1" applyAlignment="1">
      <alignment horizontal="center" vertical="center" wrapText="1"/>
    </xf>
    <xf numFmtId="0" fontId="143" fillId="31" borderId="74" xfId="0" applyFont="1" applyFill="1" applyBorder="1" applyAlignment="1">
      <alignment horizontal="center" vertical="center" wrapText="1"/>
    </xf>
    <xf numFmtId="0" fontId="143" fillId="31" borderId="81" xfId="0" applyFont="1" applyFill="1" applyBorder="1" applyAlignment="1">
      <alignment horizontal="center" vertical="center" wrapText="1"/>
    </xf>
    <xf numFmtId="0" fontId="143" fillId="31" borderId="75" xfId="0" applyFont="1" applyFill="1" applyBorder="1" applyAlignment="1">
      <alignment horizontal="center" vertical="center" wrapText="1"/>
    </xf>
    <xf numFmtId="0" fontId="143" fillId="31" borderId="51" xfId="0" applyFont="1" applyFill="1" applyBorder="1" applyAlignment="1">
      <alignment horizontal="center" vertical="center" wrapText="1"/>
    </xf>
    <xf numFmtId="0" fontId="142" fillId="0" borderId="0" xfId="0" applyFont="1" applyAlignment="1">
      <alignment horizontal="center" vertical="center" wrapText="1"/>
    </xf>
    <xf numFmtId="169" fontId="68" fillId="24" borderId="28" xfId="78" applyNumberFormat="1" applyFont="1" applyFill="1" applyBorder="1" applyAlignment="1" applyProtection="1">
      <alignment vertical="center"/>
    </xf>
  </cellXfs>
  <cellStyles count="160">
    <cellStyle name="20% - Accent1" xfId="1" xr:uid="{00000000-0005-0000-0000-000000000000}"/>
    <cellStyle name="20% - Accent1 2" xfId="91" xr:uid="{5BB53CEA-E28D-43B5-A7E0-F60117787551}"/>
    <cellStyle name="20% - Accent2" xfId="2" xr:uid="{00000000-0005-0000-0000-000001000000}"/>
    <cellStyle name="20% - Accent2 2" xfId="92" xr:uid="{85E78E3F-FE8C-4BAB-B5D6-25B10F8AE86B}"/>
    <cellStyle name="20% - Accent3" xfId="3" xr:uid="{00000000-0005-0000-0000-000002000000}"/>
    <cellStyle name="20% - Accent3 2" xfId="93" xr:uid="{1E59A287-DF43-407E-847A-24A3DF89DD88}"/>
    <cellStyle name="20% - Accent4" xfId="4" xr:uid="{00000000-0005-0000-0000-000003000000}"/>
    <cellStyle name="20% - Accent4 2" xfId="94" xr:uid="{BA5CEB85-8BFE-4FDE-8C39-00C59678FAE3}"/>
    <cellStyle name="20% - Accent5" xfId="5" xr:uid="{00000000-0005-0000-0000-000004000000}"/>
    <cellStyle name="20% - Accent5 2" xfId="95" xr:uid="{214B4176-B5BD-4325-9F3A-894638768CC6}"/>
    <cellStyle name="20% - Accent6" xfId="6" xr:uid="{00000000-0005-0000-0000-000005000000}"/>
    <cellStyle name="20% - Accent6 2" xfId="96" xr:uid="{879F6066-62F7-44E4-BE91-D1FE5ADBBD6A}"/>
    <cellStyle name="40% - Accent1" xfId="7" xr:uid="{00000000-0005-0000-0000-000006000000}"/>
    <cellStyle name="40% - Accent1 2" xfId="97" xr:uid="{A3A7F9D5-71FD-4FC8-82CF-BB7EAC083B12}"/>
    <cellStyle name="40% - Accent2" xfId="8" xr:uid="{00000000-0005-0000-0000-000007000000}"/>
    <cellStyle name="40% - Accent2 2" xfId="98" xr:uid="{DA6E6B2A-7E4B-4419-8023-B59AF193B7A8}"/>
    <cellStyle name="40% - Accent3" xfId="9" xr:uid="{00000000-0005-0000-0000-000008000000}"/>
    <cellStyle name="40% - Accent3 2" xfId="99" xr:uid="{766C9822-BC1D-4ACB-982D-C4E064A18481}"/>
    <cellStyle name="40% - Accent4" xfId="10" xr:uid="{00000000-0005-0000-0000-000009000000}"/>
    <cellStyle name="40% - Accent4 2" xfId="100" xr:uid="{0A23D170-E03D-4C31-B1BD-2E89067D9C92}"/>
    <cellStyle name="40% - Accent5" xfId="11" xr:uid="{00000000-0005-0000-0000-00000A000000}"/>
    <cellStyle name="40% - Accent5 2" xfId="101" xr:uid="{7B997AC5-A7B4-40C3-ADC8-A922BAC7AA32}"/>
    <cellStyle name="40% - Accent6" xfId="12" xr:uid="{00000000-0005-0000-0000-00000B000000}"/>
    <cellStyle name="40% - Accent6 2" xfId="102" xr:uid="{65B048BC-5F12-4B4D-BFF0-9301E13557F6}"/>
    <cellStyle name="60% - Accent1" xfId="13" xr:uid="{00000000-0005-0000-0000-00000C000000}"/>
    <cellStyle name="60% - Accent1 2" xfId="103" xr:uid="{9B79AC6C-FB37-4FD3-B2C3-1E0ED3D1E999}"/>
    <cellStyle name="60% - Accent2" xfId="14" xr:uid="{00000000-0005-0000-0000-00000D000000}"/>
    <cellStyle name="60% - Accent2 2" xfId="104" xr:uid="{15C880CC-1792-4E0F-AD21-42AD2E25BC9D}"/>
    <cellStyle name="60% - Accent3" xfId="15" xr:uid="{00000000-0005-0000-0000-00000E000000}"/>
    <cellStyle name="60% - Accent3 2" xfId="105" xr:uid="{32534711-FEDD-44C7-8570-ADBC3019EB08}"/>
    <cellStyle name="60% - Accent4" xfId="16" xr:uid="{00000000-0005-0000-0000-00000F000000}"/>
    <cellStyle name="60% - Accent4 2" xfId="106" xr:uid="{80DD62C1-3565-480F-8383-E5167306A233}"/>
    <cellStyle name="60% - Accent5" xfId="17" xr:uid="{00000000-0005-0000-0000-000010000000}"/>
    <cellStyle name="60% - Accent5 2" xfId="107" xr:uid="{D637C05D-80FE-4FE0-8222-2082E0B20311}"/>
    <cellStyle name="60% - Accent6" xfId="18" xr:uid="{00000000-0005-0000-0000-000011000000}"/>
    <cellStyle name="60% - Accent6 2" xfId="108" xr:uid="{AB319722-B06C-438C-999B-F0FF3479552C}"/>
    <cellStyle name="Accent1" xfId="19" xr:uid="{00000000-0005-0000-0000-000012000000}"/>
    <cellStyle name="Accent1 2" xfId="109" xr:uid="{C5BA5B41-E224-4D8A-92FA-2AFD134D7F7E}"/>
    <cellStyle name="Accent2" xfId="20" xr:uid="{00000000-0005-0000-0000-000013000000}"/>
    <cellStyle name="Accent2 2" xfId="110" xr:uid="{B8461D6F-7BFB-4615-9D54-B6DB4C7742A0}"/>
    <cellStyle name="Accent3" xfId="21" xr:uid="{00000000-0005-0000-0000-000014000000}"/>
    <cellStyle name="Accent3 2" xfId="111" xr:uid="{22A267E9-67FC-4B24-A527-60874D05080C}"/>
    <cellStyle name="Accent4" xfId="22" xr:uid="{00000000-0005-0000-0000-000015000000}"/>
    <cellStyle name="Accent4 2" xfId="112" xr:uid="{1B4C6F3C-F2CD-4AA6-8DC6-D4A08EE5AC3E}"/>
    <cellStyle name="Accent5" xfId="23" xr:uid="{00000000-0005-0000-0000-000016000000}"/>
    <cellStyle name="Accent5 2" xfId="113" xr:uid="{0C2AE78C-F453-4239-86F5-FEC892D6F8BF}"/>
    <cellStyle name="Accent6" xfId="24" xr:uid="{00000000-0005-0000-0000-000017000000}"/>
    <cellStyle name="Accent6 2" xfId="114" xr:uid="{AA147035-D492-469C-9880-E5A6E8E8D190}"/>
    <cellStyle name="Bad" xfId="25" xr:uid="{00000000-0005-0000-0000-000018000000}"/>
    <cellStyle name="Bad 2" xfId="115" xr:uid="{F662FE24-9C61-4A33-86F7-35E81EB82596}"/>
    <cellStyle name="Calculation" xfId="26" xr:uid="{00000000-0005-0000-0000-000019000000}"/>
    <cellStyle name="Calculation 2" xfId="116" xr:uid="{50DD0483-C84C-4694-ACC4-E1BE9E2BBEE7}"/>
    <cellStyle name="Check Cell" xfId="27" xr:uid="{00000000-0005-0000-0000-00001A000000}"/>
    <cellStyle name="Check Cell 2" xfId="117" xr:uid="{08114FC4-04A3-48A7-9048-A6A5769FDE27}"/>
    <cellStyle name="Explanatory Text" xfId="28" xr:uid="{00000000-0005-0000-0000-00001B000000}"/>
    <cellStyle name="Explanatory Text 2" xfId="118" xr:uid="{1E86A16D-182C-42F9-BE07-9F277EA48D53}"/>
    <cellStyle name="Good" xfId="29" xr:uid="{00000000-0005-0000-0000-00001C000000}"/>
    <cellStyle name="Good 2" xfId="119" xr:uid="{88934943-EDF6-4D1B-AD44-1F527D83672E}"/>
    <cellStyle name="Heading 1" xfId="30" xr:uid="{00000000-0005-0000-0000-00001D000000}"/>
    <cellStyle name="Heading 1 2" xfId="120" xr:uid="{FE8EA43E-228D-4739-B9B6-7206E75DB1A5}"/>
    <cellStyle name="Heading 2" xfId="31" xr:uid="{00000000-0005-0000-0000-00001E000000}"/>
    <cellStyle name="Heading 2 2" xfId="121" xr:uid="{56D87D24-F958-4345-B41E-BA41704AB14D}"/>
    <cellStyle name="Heading 3" xfId="32" xr:uid="{00000000-0005-0000-0000-00001F000000}"/>
    <cellStyle name="Heading 3 2" xfId="122" xr:uid="{24F33234-B5EE-4F7C-8397-A8A3314C4832}"/>
    <cellStyle name="Heading 4" xfId="33" xr:uid="{00000000-0005-0000-0000-000020000000}"/>
    <cellStyle name="Heading 4 2" xfId="123" xr:uid="{2308C5A4-48F0-48F7-811F-9AD5AD844420}"/>
    <cellStyle name="Input" xfId="34" xr:uid="{00000000-0005-0000-0000-000021000000}"/>
    <cellStyle name="Input 2" xfId="124" xr:uid="{24933A94-2081-42C2-BD85-872E990518EE}"/>
    <cellStyle name="Linked Cell" xfId="35" xr:uid="{00000000-0005-0000-0000-000022000000}"/>
    <cellStyle name="Linked Cell 2" xfId="125" xr:uid="{83DB3D23-B1E8-4B57-9F78-1B05C993308F}"/>
    <cellStyle name="Neutral" xfId="36" xr:uid="{00000000-0005-0000-0000-000023000000}"/>
    <cellStyle name="Neutral 2" xfId="126" xr:uid="{8DB06681-1822-48E9-8840-8A779432937F}"/>
    <cellStyle name="Note" xfId="37" xr:uid="{00000000-0005-0000-0000-000024000000}"/>
    <cellStyle name="Note 2" xfId="127" xr:uid="{7B0BD03B-F4A0-43D3-99B6-932BD3509681}"/>
    <cellStyle name="Output" xfId="38" xr:uid="{00000000-0005-0000-0000-000025000000}"/>
    <cellStyle name="Output 2" xfId="128" xr:uid="{3A5BEDF7-8014-4F84-ACA9-D291B6570FCE}"/>
    <cellStyle name="Title" xfId="39" xr:uid="{00000000-0005-0000-0000-000026000000}"/>
    <cellStyle name="Title 2" xfId="129" xr:uid="{55E7DF4A-B6F5-42BB-9FD4-3E418B3B7A46}"/>
    <cellStyle name="Total" xfId="40" xr:uid="{00000000-0005-0000-0000-000027000000}"/>
    <cellStyle name="Total 2" xfId="130" xr:uid="{73329657-4772-4994-80FD-238557FB9CF1}"/>
    <cellStyle name="Warning Text" xfId="41" xr:uid="{00000000-0005-0000-0000-000028000000}"/>
    <cellStyle name="Warning Text 2" xfId="131" xr:uid="{B1999F7E-8D47-477D-91D8-F9166F22DA20}"/>
    <cellStyle name="Гиперссылка" xfId="42" builtinId="8"/>
    <cellStyle name="Гиперссылка 2" xfId="43" xr:uid="{00000000-0005-0000-0000-00002A000000}"/>
    <cellStyle name="Гиперссылка 2 2" xfId="44" xr:uid="{00000000-0005-0000-0000-00002B000000}"/>
    <cellStyle name="Гиперссылка 2 2 2" xfId="132" xr:uid="{AB116FC4-0666-48D4-867E-EF2CC3334898}"/>
    <cellStyle name="Гиперссылка 2 3" xfId="45" xr:uid="{00000000-0005-0000-0000-00002C000000}"/>
    <cellStyle name="Гиперссылка 2 3 2" xfId="147" xr:uid="{00A4C213-420A-432A-8B28-04897768E297}"/>
    <cellStyle name="Гиперссылка 2 4" xfId="87" xr:uid="{2F2107D1-6B26-4F37-927D-C18EE95E8FED}"/>
    <cellStyle name="Гиперссылка 3" xfId="46" xr:uid="{00000000-0005-0000-0000-00002D000000}"/>
    <cellStyle name="Гиперссылка 3 2" xfId="150" xr:uid="{7282C969-26D7-477D-9BF2-00E37A4121C8}"/>
    <cellStyle name="Денежный" xfId="47" builtinId="4"/>
    <cellStyle name="Денежный 2" xfId="48" xr:uid="{00000000-0005-0000-0000-00002F000000}"/>
    <cellStyle name="Денежный 2 2" xfId="49" xr:uid="{00000000-0005-0000-0000-000030000000}"/>
    <cellStyle name="Денежный 2 3" xfId="50" xr:uid="{00000000-0005-0000-0000-000031000000}"/>
    <cellStyle name="Денежный 2 4" xfId="90" xr:uid="{7FA816AA-EFCF-4F7A-9E54-74E5C775BF7E}"/>
    <cellStyle name="Денежный 2 5" xfId="155" xr:uid="{6B688B46-3788-4CD8-92B0-BA39F87A9DEE}"/>
    <cellStyle name="Денежный 3" xfId="51" xr:uid="{00000000-0005-0000-0000-000032000000}"/>
    <cellStyle name="Обычный" xfId="0" builtinId="0"/>
    <cellStyle name="Обычный 10" xfId="153" xr:uid="{E3DC7AAB-33A9-459F-A82A-14CB54D70EEC}"/>
    <cellStyle name="Обычный 2" xfId="52" xr:uid="{00000000-0005-0000-0000-000034000000}"/>
    <cellStyle name="Обычный 2 2" xfId="53" xr:uid="{00000000-0005-0000-0000-000035000000}"/>
    <cellStyle name="Обычный 2 2 2" xfId="54" xr:uid="{00000000-0005-0000-0000-000036000000}"/>
    <cellStyle name="Обычный 2 2 2 2" xfId="146" xr:uid="{4ACF4D0D-B944-4947-B5E7-E8D597A486CC}"/>
    <cellStyle name="Обычный 2 2 3" xfId="135" xr:uid="{8208FC98-9E13-4A7A-8EA7-B1EAA1934FA5}"/>
    <cellStyle name="Обычный 2 3" xfId="55" xr:uid="{00000000-0005-0000-0000-000037000000}"/>
    <cellStyle name="Обычный 2 3 2" xfId="56" xr:uid="{00000000-0005-0000-0000-000038000000}"/>
    <cellStyle name="Обычный 2 3 3" xfId="141" xr:uid="{E53C29CE-D058-47AA-B0A9-2D29E54ABA1B}"/>
    <cellStyle name="Обычный 2 4" xfId="57" xr:uid="{00000000-0005-0000-0000-000039000000}"/>
    <cellStyle name="Обычный 2 4 2" xfId="58" xr:uid="{00000000-0005-0000-0000-00003A000000}"/>
    <cellStyle name="Обычный 2 4 3" xfId="145" xr:uid="{95284B0E-E8FB-4B02-886B-CBFADA52DEF7}"/>
    <cellStyle name="Обычный 2 5" xfId="59" xr:uid="{00000000-0005-0000-0000-00003B000000}"/>
    <cellStyle name="Обычный 3" xfId="60" xr:uid="{00000000-0005-0000-0000-00003C000000}"/>
    <cellStyle name="Обычный 3 2" xfId="61" xr:uid="{00000000-0005-0000-0000-00003D000000}"/>
    <cellStyle name="Обычный 3 2 2" xfId="62" xr:uid="{00000000-0005-0000-0000-00003E000000}"/>
    <cellStyle name="Обычный 3 2 2 2" xfId="139" xr:uid="{DF1CC1ED-D073-4F96-B52F-BC2E4AD0242C}"/>
    <cellStyle name="Обычный 3 2 2 3" xfId="158" xr:uid="{8CBB83C5-EDE7-4E7C-9F2E-4FEAA0C48B02}"/>
    <cellStyle name="Обычный 3 2 3" xfId="63" xr:uid="{00000000-0005-0000-0000-00003F000000}"/>
    <cellStyle name="Обычный 3 2 3 2" xfId="152" xr:uid="{3EFAD22F-66C1-4DDE-A083-25F541AE59E4}"/>
    <cellStyle name="Обычный 3 2 4" xfId="136" xr:uid="{1F42A5E7-5EFB-42B9-A34C-25D6A196913E}"/>
    <cellStyle name="Обычный 3 2 5" xfId="157" xr:uid="{98DACE2A-2C86-4AAE-B368-D1DB9A11868E}"/>
    <cellStyle name="Обычный 3 3" xfId="64" xr:uid="{00000000-0005-0000-0000-000040000000}"/>
    <cellStyle name="Обычный 3 3 2" xfId="142" xr:uid="{C6CA57F0-A6E0-4E3B-AB2B-7001D5C6BD37}"/>
    <cellStyle name="Обычный 3 4" xfId="65" xr:uid="{00000000-0005-0000-0000-000041000000}"/>
    <cellStyle name="Обычный 3 5" xfId="66" xr:uid="{00000000-0005-0000-0000-000042000000}"/>
    <cellStyle name="Обычный 3 5 2" xfId="149" xr:uid="{428DDCCB-CB94-4FBE-B43E-755FA1131263}"/>
    <cellStyle name="Обычный 3 6" xfId="88" xr:uid="{9CB02010-602F-4063-8F5E-6145C2346093}"/>
    <cellStyle name="Обычный 4" xfId="67" xr:uid="{00000000-0005-0000-0000-000043000000}"/>
    <cellStyle name="Обычный 4 2" xfId="68" xr:uid="{00000000-0005-0000-0000-000044000000}"/>
    <cellStyle name="Обычный 4 2 2" xfId="143" xr:uid="{028C972B-A2C1-4F2B-B6A9-09D2AE4D650E}"/>
    <cellStyle name="Обычный 4 3" xfId="69" xr:uid="{00000000-0005-0000-0000-000045000000}"/>
    <cellStyle name="Обычный 4 3 2" xfId="137" xr:uid="{9FA6502B-324E-4CB5-ABA6-AEDE49030D2B}"/>
    <cellStyle name="Обычный 4 4" xfId="70" xr:uid="{00000000-0005-0000-0000-000046000000}"/>
    <cellStyle name="Обычный 4 4 2" xfId="148" xr:uid="{F06F3074-C48B-4B1B-9F61-1CFB606A1452}"/>
    <cellStyle name="Обычный 4 4 3" xfId="159" xr:uid="{C1CE7338-B0BD-4BD6-BDE3-F0FE838FE4FC}"/>
    <cellStyle name="Обычный 5" xfId="71" xr:uid="{00000000-0005-0000-0000-000047000000}"/>
    <cellStyle name="Обычный 5 2" xfId="72" xr:uid="{00000000-0005-0000-0000-000048000000}"/>
    <cellStyle name="Обычный 5 2 2" xfId="144" xr:uid="{D650F1F7-7954-471F-88FC-B41F72BEEB43}"/>
    <cellStyle name="Обычный 5 3" xfId="138" xr:uid="{7C3D8EE3-2B95-48A4-BAEA-4DF60611CAB5}"/>
    <cellStyle name="Обычный 6" xfId="73" xr:uid="{00000000-0005-0000-0000-000049000000}"/>
    <cellStyle name="Обычный 6 2" xfId="134" xr:uid="{221E9164-05B8-4784-B2A7-88F5B1FAF96F}"/>
    <cellStyle name="Обычный 7" xfId="74" xr:uid="{00000000-0005-0000-0000-00004A000000}"/>
    <cellStyle name="Обычный 7 2" xfId="140" xr:uid="{25DC2B4B-BC91-49B0-B2BE-996A03E5718B}"/>
    <cellStyle name="Обычный 8" xfId="75" xr:uid="{00000000-0005-0000-0000-00004B000000}"/>
    <cellStyle name="Обычный 8 2" xfId="76" xr:uid="{00000000-0005-0000-0000-00004C000000}"/>
    <cellStyle name="Обычный 9" xfId="86" xr:uid="{653BBFA9-738E-4FB4-8A3C-62883D33915C}"/>
    <cellStyle name="Процентный" xfId="77" builtinId="5"/>
    <cellStyle name="Финансовый" xfId="78" builtinId="3"/>
    <cellStyle name="Финансовый 2" xfId="79" xr:uid="{00000000-0005-0000-0000-00004F000000}"/>
    <cellStyle name="Финансовый 2 2" xfId="80" xr:uid="{00000000-0005-0000-0000-000050000000}"/>
    <cellStyle name="Финансовый 2 2 2" xfId="151" xr:uid="{0861885C-2A9E-40A6-90CD-7EA87F8E3E82}"/>
    <cellStyle name="Финансовый 2 3" xfId="133" xr:uid="{A270ED72-E2C4-4AEA-88DA-B3EA8B0F22DE}"/>
    <cellStyle name="Финансовый 2 4" xfId="156" xr:uid="{073E1B47-186C-4FD3-88A4-3B32F40166A0}"/>
    <cellStyle name="Финансовый 3" xfId="81" xr:uid="{00000000-0005-0000-0000-000051000000}"/>
    <cellStyle name="Финансовый 3 2" xfId="82" xr:uid="{00000000-0005-0000-0000-000052000000}"/>
    <cellStyle name="Финансовый 3 3" xfId="83" xr:uid="{00000000-0005-0000-0000-000053000000}"/>
    <cellStyle name="Финансовый 3 4" xfId="89" xr:uid="{D64AA997-906C-4D19-A6EB-BDC1AE19993F}"/>
    <cellStyle name="Финансовый 3 5" xfId="154" xr:uid="{45C7CB26-9625-4EFC-80EA-78832C6B0237}"/>
    <cellStyle name="Финансовый 4" xfId="84" xr:uid="{00000000-0005-0000-0000-000054000000}"/>
    <cellStyle name="常规_Sheet1_3" xfId="85" xr:uid="{00000000-0005-0000-0000-000055000000}"/>
  </cellStyles>
  <dxfs count="692">
    <dxf>
      <font>
        <color rgb="FF9C0006"/>
      </font>
      <fill>
        <patternFill patternType="solid">
          <fgColor rgb="FFFFC7CE"/>
          <bgColor rgb="FFFFC7CE"/>
        </patternFill>
      </fill>
    </dxf>
    <dxf>
      <font>
        <color rgb="FF9C0006"/>
      </font>
      <fill>
        <patternFill patternType="solid">
          <fgColor rgb="FFFFC7CE"/>
          <bgColor rgb="FFFFC7CE"/>
        </patternFill>
      </fill>
    </dxf>
    <dxf>
      <numFmt numFmtId="3" formatCode="#,##0"/>
    </dxf>
    <dxf>
      <font>
        <color theme="0" tint="-4.9989318521683403E-2"/>
      </font>
    </dxf>
    <dxf>
      <font>
        <color indexed="2"/>
      </font>
      <fill>
        <patternFill patternType="solid">
          <fgColor theme="5" tint="0.79998168889431442"/>
          <bgColor theme="5" tint="0.79998168889431442"/>
        </patternFill>
      </fill>
    </dxf>
    <dxf>
      <font>
        <color theme="0"/>
      </font>
      <fill>
        <patternFill>
          <bgColor theme="2"/>
        </patternFill>
      </fill>
    </dxf>
    <dxf>
      <font>
        <color indexed="2"/>
      </font>
      <fill>
        <patternFill patternType="solid">
          <fgColor theme="5" tint="0.79998168889431442"/>
          <bgColor theme="5" tint="0.79998168889431442"/>
        </patternFill>
      </fill>
    </dxf>
    <dxf>
      <font>
        <color theme="0"/>
      </font>
      <fill>
        <patternFill>
          <bgColor theme="2"/>
        </patternFill>
      </fill>
    </dxf>
    <dxf>
      <font>
        <color theme="0"/>
      </font>
    </dxf>
    <dxf>
      <font>
        <color rgb="FFFF0000"/>
      </font>
      <fill>
        <patternFill>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ill>
        <patternFill patternType="solid">
          <fgColor theme="0" tint="-0.14996795556505021"/>
          <bgColor theme="0" tint="-0.14996795556505021"/>
        </patternFill>
      </fill>
    </dxf>
    <dxf>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ill>
        <patternFill patternType="solid">
          <fgColor theme="0"/>
          <bgColor theme="0"/>
        </patternFill>
      </fill>
    </dxf>
    <dxf>
      <fill>
        <patternFill patternType="solid">
          <fgColor theme="2"/>
          <bgColor theme="2"/>
        </patternFill>
      </fill>
    </dxf>
    <dxf>
      <fill>
        <patternFill patternType="solid">
          <fgColor theme="0"/>
          <bgColor theme="0"/>
        </patternFill>
      </fill>
    </dxf>
    <dxf>
      <fill>
        <patternFill patternType="solid">
          <fgColor theme="0"/>
          <bgColor theme="0"/>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dxf>
    <dxf>
      <font>
        <color theme="0"/>
      </font>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numFmt numFmtId="3" formatCode="#,##0"/>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indexed="2"/>
      </font>
      <fill>
        <patternFill patternType="solid">
          <fgColor theme="5" tint="0.79998168889431442"/>
          <bgColor theme="5" tint="0.79998168889431442"/>
        </patternFill>
      </fill>
    </dxf>
    <dxf>
      <fill>
        <patternFill patternType="solid">
          <fgColor theme="2"/>
          <bgColor theme="2"/>
        </patternFill>
      </fill>
    </dxf>
    <dxf>
      <fill>
        <patternFill patternType="solid">
          <fgColor theme="2"/>
          <bgColor theme="2"/>
        </patternFill>
      </fill>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1"/>
      </font>
    </dxf>
    <dxf>
      <font>
        <color indexed="2"/>
      </font>
      <fill>
        <patternFill patternType="solid">
          <fgColor theme="5" tint="0.79998168889431442"/>
          <bgColor theme="5" tint="0.79998168889431442"/>
        </patternFill>
      </fill>
    </dxf>
    <dxf>
      <fill>
        <patternFill>
          <bgColor theme="2"/>
        </patternFill>
      </fill>
    </dxf>
    <dxf>
      <font>
        <color theme="0"/>
      </font>
      <fill>
        <patternFill>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dxf>
    <dxf>
      <font>
        <color theme="0"/>
      </font>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rgb="FFFF0000"/>
      </font>
      <fill>
        <patternFill>
          <bgColor theme="2"/>
        </patternFill>
      </fill>
    </dxf>
    <dxf>
      <font>
        <color rgb="FFFF000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bgColor theme="2"/>
        </patternFill>
      </fill>
    </dxf>
    <dxf>
      <font>
        <color indexed="2"/>
      </font>
      <fill>
        <patternFill patternType="solid">
          <fgColor theme="5" tint="0.79998168889431442"/>
          <bgColor theme="5" tint="0.79998168889431442"/>
        </patternFill>
      </fill>
    </dxf>
    <dxf>
      <font>
        <color theme="0"/>
      </font>
      <fill>
        <patternFill>
          <bgColor theme="2"/>
        </patternFill>
      </fill>
    </dxf>
    <dxf>
      <font>
        <color theme="0"/>
      </font>
      <fill>
        <patternFill>
          <bgColor theme="2"/>
        </patternFill>
      </fill>
    </dxf>
    <dxf>
      <font>
        <color indexed="2"/>
      </font>
      <fill>
        <patternFill patternType="solid">
          <fgColor theme="5" tint="0.79998168889431442"/>
          <bgColor theme="5" tint="0.79998168889431442"/>
        </patternFill>
      </fill>
    </dxf>
    <dxf>
      <font>
        <color theme="0"/>
      </font>
      <fill>
        <patternFill>
          <bgColor theme="2"/>
        </patternFill>
      </fill>
    </dxf>
    <dxf>
      <font>
        <color theme="0"/>
      </font>
      <fill>
        <patternFill>
          <bgColor theme="2"/>
        </patternFill>
      </fill>
    </dxf>
    <dxf>
      <font>
        <color theme="0"/>
      </font>
      <fill>
        <patternFill>
          <fgColor theme="2"/>
          <bgColor theme="2"/>
        </patternFill>
      </fill>
    </dxf>
    <dxf>
      <font>
        <color theme="0"/>
      </font>
      <fill>
        <patternFill>
          <fgColor theme="2"/>
          <bgColor theme="2"/>
        </patternFill>
      </fill>
    </dxf>
    <dxf>
      <font>
        <color theme="0"/>
      </font>
      <fill>
        <patternFill>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dxf>
    <dxf>
      <fill>
        <patternFill patternType="solid">
          <fgColor theme="0" tint="-0.14996795556505021"/>
          <bgColor theme="0" tint="-0.14996795556505021"/>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dxf>
    <dxf>
      <font>
        <color theme="0"/>
      </font>
      <fill>
        <patternFill>
          <fgColor theme="2"/>
          <bgColor theme="2"/>
        </patternFill>
      </fill>
    </dxf>
    <dxf>
      <font>
        <color theme="0"/>
      </font>
      <fill>
        <patternFill>
          <fgColor theme="2"/>
          <bgColor theme="2"/>
        </patternFill>
      </fill>
    </dxf>
    <dxf>
      <font>
        <color theme="0"/>
      </font>
      <fill>
        <patternFill>
          <fgColor theme="2"/>
          <bgColor theme="2"/>
        </patternFill>
      </fill>
    </dxf>
    <dxf>
      <font>
        <color theme="0"/>
      </font>
    </dxf>
    <dxf>
      <font>
        <color theme="0"/>
      </font>
      <fill>
        <patternFill>
          <fgColor theme="2"/>
          <bgColor theme="2"/>
        </patternFill>
      </fill>
    </dxf>
    <dxf>
      <font>
        <color theme="0"/>
      </font>
      <fill>
        <patternFill>
          <fgColor theme="2"/>
          <bgColor theme="2"/>
        </patternFill>
      </fill>
    </dxf>
    <dxf>
      <font>
        <color theme="0"/>
      </font>
    </dxf>
    <dxf>
      <font>
        <color theme="0"/>
      </font>
    </dxf>
    <dxf>
      <font>
        <color theme="0"/>
      </font>
    </dxf>
    <dxf>
      <font>
        <color theme="0"/>
      </font>
    </dxf>
    <dxf>
      <font>
        <color theme="0"/>
      </font>
    </dxf>
    <dxf>
      <font>
        <color theme="0"/>
      </font>
    </dxf>
    <dxf>
      <font>
        <color theme="1"/>
      </font>
    </dxf>
    <dxf>
      <font>
        <color theme="0"/>
      </font>
    </dxf>
    <dxf>
      <font>
        <color theme="0"/>
      </font>
    </dxf>
    <dxf>
      <font>
        <color theme="0"/>
      </font>
    </dxf>
    <dxf>
      <font>
        <color theme="0"/>
      </font>
    </dxf>
    <dxf>
      <font>
        <color theme="0"/>
      </font>
    </dxf>
    <dxf>
      <font>
        <color auto="1"/>
      </font>
      <fill>
        <patternFill>
          <bgColor theme="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2"/>
        </patternFill>
      </fill>
    </dxf>
    <dxf>
      <font>
        <color rgb="FFFF0000"/>
      </font>
    </dxf>
    <dxf>
      <font>
        <color theme="0"/>
      </font>
      <numFmt numFmtId="0" formatCode="General"/>
    </dxf>
    <dxf>
      <font>
        <color theme="0"/>
      </font>
    </dxf>
    <dxf>
      <border>
        <left/>
        <right/>
        <top style="thin">
          <color theme="0"/>
        </top>
        <bottom style="thin">
          <color theme="0"/>
        </bottom>
        <vertical/>
        <horizontal/>
      </border>
    </dxf>
    <dxf>
      <border>
        <left/>
        <right/>
        <top style="thin">
          <color theme="0"/>
        </top>
        <bottom style="thin">
          <color theme="0"/>
        </bottom>
        <vertical/>
        <horizontal/>
      </border>
    </dxf>
    <dxf>
      <border>
        <left/>
        <right/>
        <top style="thin">
          <color theme="0"/>
        </top>
        <bottom style="thin">
          <color theme="0"/>
        </bottom>
        <vertical/>
        <horizontal/>
      </border>
    </dxf>
    <dxf>
      <font>
        <color theme="0"/>
      </font>
    </dxf>
    <dxf>
      <font>
        <color theme="0"/>
      </font>
      <border>
        <left/>
        <right/>
        <top/>
        <bottom/>
        <vertical/>
        <horizontal/>
      </border>
    </dxf>
    <dxf>
      <font>
        <color theme="0"/>
      </font>
      <border>
        <left style="thin">
          <color theme="0"/>
        </left>
        <right style="thin">
          <color theme="0"/>
        </right>
        <top/>
        <bottom/>
      </border>
    </dxf>
    <dxf>
      <font>
        <color theme="0" tint="-4.9989318521683403E-2"/>
      </font>
    </dxf>
    <dxf>
      <font>
        <color theme="1"/>
      </font>
    </dxf>
    <dxf>
      <border>
        <left/>
        <right/>
        <top/>
        <bottom/>
        <vertical/>
        <horizontal/>
      </border>
    </dxf>
    <dxf>
      <font>
        <color theme="0" tint="-4.9989318521683403E-2"/>
      </font>
    </dxf>
    <dxf>
      <fill>
        <patternFill>
          <bgColor theme="5" tint="0.39994506668294322"/>
        </patternFill>
      </fill>
    </dxf>
    <dxf>
      <font>
        <color theme="0" tint="-4.9989318521683403E-2"/>
      </font>
    </dxf>
    <dxf>
      <font>
        <color theme="0" tint="-4.9989318521683403E-2"/>
      </font>
    </dxf>
    <dxf>
      <font>
        <color theme="0"/>
      </font>
      <border>
        <left/>
        <right/>
        <top/>
        <bottom/>
        <vertical/>
        <horizontal/>
      </border>
    </dxf>
    <dxf>
      <font>
        <color theme="0"/>
      </font>
      <border>
        <left/>
        <right/>
        <top/>
        <bottom/>
        <vertical/>
        <horizontal/>
      </border>
    </dxf>
    <dxf>
      <font>
        <color theme="0"/>
      </font>
      <border>
        <left/>
        <right/>
        <top/>
        <bottom/>
      </border>
    </dxf>
    <dxf>
      <font>
        <color theme="0"/>
      </font>
    </dxf>
    <dxf>
      <font>
        <color theme="0"/>
      </font>
    </dxf>
    <dxf>
      <font>
        <color theme="0"/>
      </font>
      <fill>
        <patternFill>
          <bgColor theme="2"/>
        </patternFill>
      </fill>
    </dxf>
    <dxf>
      <font>
        <color theme="0"/>
      </font>
      <fill>
        <patternFill>
          <bgColor theme="2"/>
        </patternFill>
      </fill>
    </dxf>
    <dxf>
      <font>
        <color theme="0" tint="-0.14996795556505021"/>
      </font>
    </dxf>
    <dxf>
      <font>
        <color rgb="FFFF0000"/>
      </font>
      <fill>
        <patternFill>
          <bgColor theme="5" tint="0.7999816888943144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theme="0" tint="-0.14996795556505021"/>
      </font>
    </dxf>
    <dxf>
      <fill>
        <patternFill patternType="solid">
          <fgColor theme="0" tint="-0.14996795556505021"/>
          <bgColor theme="0" tint="-0.14996795556505021"/>
        </patternFill>
      </fill>
    </dxf>
    <dxf>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numFmt numFmtId="3" formatCode="#,##0"/>
    </dxf>
    <dxf>
      <fill>
        <patternFill patternType="solid">
          <fgColor theme="2"/>
          <bgColor theme="2"/>
        </patternFill>
      </fill>
    </dxf>
    <dxf>
      <fill>
        <patternFill patternType="solid">
          <fgColor theme="2"/>
          <bgColor theme="2"/>
        </patternFill>
      </fill>
    </dxf>
    <dxf>
      <fill>
        <patternFill patternType="solid">
          <fgColor theme="2"/>
          <bgColor theme="2"/>
        </patternFill>
      </fill>
    </dxf>
    <dxf>
      <numFmt numFmtId="3" formatCode="#,##0"/>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none"/>
      </fill>
    </dxf>
    <dxf>
      <font>
        <color theme="0"/>
      </font>
      <fill>
        <patternFill patternType="solid">
          <fgColor theme="2"/>
          <bgColor theme="2"/>
        </patternFill>
      </fill>
    </dxf>
    <dxf>
      <font>
        <color theme="0"/>
      </font>
      <fill>
        <patternFill patternType="solid">
          <fgColor theme="2"/>
          <bgColor theme="2"/>
        </patternFill>
      </fill>
    </dxf>
    <dxf>
      <font>
        <color theme="0"/>
      </font>
    </dxf>
    <dxf>
      <font>
        <color theme="0"/>
      </font>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theme="0"/>
      </font>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auto="1"/>
      </font>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dxf>
    <dxf>
      <font>
        <color theme="0"/>
      </font>
      <fill>
        <patternFill patternType="solid">
          <fgColor theme="2"/>
          <bgColor theme="2"/>
        </patternFill>
      </fill>
    </dxf>
    <dxf>
      <font>
        <color theme="0"/>
      </font>
    </dxf>
    <dxf>
      <fill>
        <patternFill patternType="solid">
          <fgColor theme="0" tint="-0.14996795556505021"/>
          <bgColor theme="0" tint="-0.14996795556505021"/>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dxf>
    <dxf>
      <font>
        <color theme="0"/>
      </font>
      <fill>
        <patternFill>
          <bgColor theme="2"/>
        </patternFill>
      </fill>
    </dxf>
    <dxf>
      <font>
        <color theme="0"/>
      </font>
    </dxf>
    <dxf>
      <font>
        <color theme="0"/>
      </font>
      <fill>
        <patternFill>
          <bgColor theme="2"/>
        </patternFill>
      </fill>
    </dxf>
    <dxf>
      <font>
        <color theme="0"/>
      </font>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border>
        <vertical/>
        <horizontal/>
      </border>
    </dxf>
    <dxf>
      <font>
        <color rgb="FFFF0000"/>
      </font>
    </dxf>
    <dxf>
      <font>
        <color theme="0"/>
      </font>
      <border>
        <left/>
        <right/>
        <top/>
        <bottom/>
        <vertical/>
        <horizontal/>
      </border>
    </dxf>
    <dxf>
      <border>
        <left/>
        <right/>
        <top/>
        <bottom/>
        <vertical/>
        <horizontal/>
      </border>
    </dxf>
    <dxf>
      <font>
        <color theme="0"/>
      </font>
      <border>
        <left/>
        <right/>
        <top/>
        <bottom/>
        <vertical/>
        <horizontal/>
      </border>
    </dxf>
    <dxf>
      <font>
        <color theme="0"/>
      </font>
    </dxf>
    <dxf>
      <font>
        <color theme="0" tint="-4.9989318521683403E-2"/>
      </font>
    </dxf>
    <dxf>
      <border>
        <left/>
        <right/>
        <top/>
        <bottom/>
        <vertical/>
        <horizontal/>
      </border>
    </dxf>
    <dxf>
      <font>
        <color theme="0"/>
      </font>
      <fill>
        <patternFill patternType="solid">
          <fgColor theme="0"/>
          <bgColor theme="0"/>
        </patternFill>
      </fill>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tint="-4.9989318521683403E-2"/>
      </font>
    </dxf>
    <dxf>
      <font>
        <color theme="0" tint="-0.14996795556505021"/>
      </font>
    </dxf>
    <dxf>
      <font>
        <color theme="0"/>
      </font>
      <fill>
        <patternFill patternType="solid">
          <fgColor theme="2"/>
          <bgColor theme="2"/>
        </patternFill>
      </fill>
    </dxf>
    <dxf>
      <font>
        <color rgb="FFFF0000"/>
      </font>
      <fill>
        <patternFill>
          <bgColor theme="5" tint="0.79998168889431442"/>
        </patternFill>
      </fill>
    </dxf>
    <dxf>
      <fill>
        <patternFill patternType="solid">
          <fgColor theme="0"/>
          <bgColor theme="0"/>
        </patternFill>
      </fill>
    </dxf>
    <dxf>
      <fill>
        <patternFill patternType="solid">
          <fgColor theme="2"/>
          <bgColor theme="2"/>
        </patternFill>
      </fill>
    </dxf>
    <dxf>
      <fill>
        <patternFill patternType="solid">
          <fgColor theme="0"/>
          <bgColor theme="0"/>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rgb="FFFF0000"/>
      </font>
      <fill>
        <patternFill>
          <bgColor theme="0"/>
        </patternFill>
      </fill>
    </dxf>
    <dxf>
      <fill>
        <patternFill patternType="solid">
          <fgColor theme="0"/>
          <bgColor theme="0"/>
        </patternFill>
      </fill>
    </dxf>
    <dxf>
      <font>
        <color theme="0"/>
      </font>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ill>
        <patternFill patternType="solid">
          <fgColor theme="2"/>
          <bgColor theme="2"/>
        </patternFill>
      </fill>
    </dxf>
    <dxf>
      <numFmt numFmtId="3" formatCode="#,##0"/>
    </dxf>
    <dxf>
      <fill>
        <patternFill patternType="solid">
          <fgColor theme="2"/>
          <bgColor theme="2"/>
        </patternFill>
      </fill>
    </dxf>
    <dxf>
      <numFmt numFmtId="3" formatCode="#,##0"/>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auto="1"/>
      </font>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dxf>
    <dxf>
      <fill>
        <patternFill patternType="solid">
          <fgColor theme="0" tint="-0.14996795556505021"/>
          <bgColor theme="0" tint="-0.14996795556505021"/>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border>
        <left/>
        <right/>
        <top/>
        <bottom/>
        <vertical/>
        <horizontal/>
      </border>
    </dxf>
    <dxf>
      <font>
        <color theme="0" tint="-4.9989318521683403E-2"/>
      </font>
    </dxf>
    <dxf>
      <font>
        <color theme="0"/>
      </font>
    </dxf>
    <dxf>
      <font>
        <color theme="0" tint="-4.9989318521683403E-2"/>
      </font>
    </dxf>
    <dxf>
      <font>
        <color theme="0"/>
      </font>
      <border>
        <left/>
        <right/>
        <top/>
        <bottom/>
        <vertical/>
        <horizontal/>
      </border>
    </dxf>
    <dxf>
      <border>
        <left/>
        <right/>
        <top/>
        <bottom/>
        <vertical/>
        <horizontal/>
      </border>
    </dxf>
    <dxf>
      <font>
        <color theme="0" tint="-4.9989318521683403E-2"/>
      </font>
    </dxf>
    <dxf>
      <font>
        <color theme="0" tint="-4.9989318521683403E-2"/>
      </font>
    </dxf>
    <dxf>
      <font>
        <color theme="0"/>
      </font>
      <border>
        <left/>
        <right/>
        <top/>
        <bottom/>
        <vertical/>
        <horizontal/>
      </border>
    </dxf>
    <dxf>
      <font>
        <color theme="0"/>
      </font>
      <border>
        <left/>
        <right/>
        <top/>
        <bottom/>
        <vertical/>
        <horizontal/>
      </border>
    </dxf>
    <dxf>
      <font>
        <color theme="0"/>
      </font>
    </dxf>
    <dxf>
      <font>
        <color theme="0"/>
      </font>
      <border>
        <left/>
        <right/>
        <top/>
        <bottom/>
      </border>
    </dxf>
    <dxf>
      <font>
        <color theme="0"/>
      </font>
      <border>
        <left/>
        <right/>
        <top/>
        <bottom/>
        <vertical/>
        <horizontal/>
      </border>
    </dxf>
    <dxf>
      <font>
        <color theme="0" tint="-4.9989318521683403E-2"/>
      </font>
    </dxf>
    <dxf>
      <font>
        <color theme="0" tint="-4.9989318521683403E-2"/>
      </font>
    </dxf>
    <dxf>
      <font>
        <color theme="0"/>
      </font>
      <border>
        <left/>
        <right/>
        <top/>
        <bottom/>
        <vertical/>
        <horizontal/>
      </border>
    </dxf>
    <dxf>
      <font>
        <color theme="0" tint="-4.9989318521683403E-2"/>
      </font>
    </dxf>
    <dxf>
      <font>
        <color theme="0" tint="-4.9989318521683403E-2"/>
      </font>
    </dxf>
    <dxf>
      <font>
        <color theme="0"/>
      </font>
      <border>
        <left/>
        <right/>
        <top/>
        <bottom/>
        <vertical/>
        <horizontal/>
      </border>
    </dxf>
    <dxf>
      <font>
        <color theme="0" tint="-4.9989318521683403E-2"/>
      </font>
    </dxf>
    <dxf>
      <font>
        <color theme="0"/>
      </font>
      <border>
        <left/>
        <right/>
        <top/>
        <bottom/>
        <vertical/>
        <horizontal/>
      </border>
    </dxf>
    <dxf>
      <font>
        <color theme="0" tint="-4.9989318521683403E-2"/>
      </font>
    </dxf>
    <dxf>
      <font>
        <color theme="0" tint="-4.9989318521683403E-2"/>
      </font>
    </dxf>
    <dxf>
      <font>
        <color theme="0"/>
      </font>
      <fill>
        <patternFill>
          <bgColor theme="2"/>
        </patternFill>
      </fill>
    </dxf>
    <dxf>
      <fill>
        <patternFill patternType="solid">
          <fgColor theme="2"/>
          <bgColor theme="2"/>
        </patternFill>
      </fill>
    </dxf>
    <dxf>
      <font>
        <color theme="0"/>
      </font>
    </dxf>
    <dxf>
      <font>
        <color theme="0"/>
      </font>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dxf>
    <dxf>
      <font>
        <color theme="0"/>
      </font>
    </dxf>
    <dxf>
      <font>
        <color theme="0" tint="-0.14996795556505021"/>
      </font>
    </dxf>
    <dxf>
      <font>
        <color rgb="FFFF0000"/>
      </font>
      <fill>
        <patternFill>
          <bgColor theme="5" tint="0.7999816888943144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ill>
        <patternFill patternType="solid">
          <fgColor theme="2"/>
          <bgColor theme="2"/>
        </patternFill>
      </fill>
    </dxf>
    <dxf>
      <font>
        <color theme="0"/>
      </font>
      <fill>
        <patternFill patternType="solid">
          <fgColor theme="2"/>
          <bgColor theme="2"/>
        </patternFill>
      </fill>
    </dxf>
    <dxf>
      <font>
        <color theme="0" tint="-0.14996795556505021"/>
      </font>
    </dxf>
    <dxf>
      <fill>
        <patternFill patternType="solid">
          <fgColor theme="0" tint="-0.14996795556505021"/>
          <bgColor theme="0" tint="-0.14996795556505021"/>
        </patternFill>
      </fill>
    </dxf>
    <dxf>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numFmt numFmtId="3" formatCode="#,##0"/>
    </dxf>
    <dxf>
      <fill>
        <patternFill patternType="solid">
          <fgColor theme="2"/>
          <bgColor theme="2"/>
        </patternFill>
      </fill>
    </dxf>
    <dxf>
      <fill>
        <patternFill patternType="solid">
          <fgColor theme="2"/>
          <bgColor theme="2"/>
        </patternFill>
      </fill>
    </dxf>
    <dxf>
      <fill>
        <patternFill patternType="solid">
          <fgColor theme="2"/>
          <bgColor theme="2"/>
        </patternFill>
      </fill>
    </dxf>
    <dxf>
      <numFmt numFmtId="3" formatCode="#,##0"/>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solid">
          <fgColor theme="2"/>
          <bgColor theme="2"/>
        </patternFill>
      </fill>
    </dxf>
    <dxf>
      <fill>
        <patternFill patternType="none"/>
      </fill>
    </dxf>
    <dxf>
      <font>
        <color theme="0"/>
      </font>
      <fill>
        <patternFill patternType="solid">
          <fgColor theme="2"/>
          <bgColor theme="2"/>
        </patternFill>
      </fill>
    </dxf>
    <dxf>
      <font>
        <color theme="0"/>
      </font>
      <fill>
        <patternFill patternType="solid">
          <fgColor theme="2"/>
          <bgColor theme="2"/>
        </patternFill>
      </fill>
    </dxf>
    <dxf>
      <font>
        <color theme="0"/>
      </font>
    </dxf>
    <dxf>
      <font>
        <color theme="0"/>
      </font>
    </dxf>
    <dxf>
      <font>
        <color theme="0"/>
      </font>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dxf>
    <dxf>
      <font>
        <color theme="0"/>
      </font>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patternType="solid">
          <fgColor theme="2"/>
          <bgColor theme="2"/>
        </patternFill>
      </fill>
    </dxf>
    <dxf>
      <font>
        <color theme="0"/>
      </font>
      <fill>
        <patternFill patternType="solid">
          <fgColor theme="2"/>
          <bgColor theme="2"/>
        </patternFill>
      </fill>
    </dxf>
    <dxf>
      <font>
        <color auto="1"/>
      </font>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dxf>
    <dxf>
      <font>
        <color theme="0"/>
      </font>
      <fill>
        <patternFill patternType="solid">
          <fgColor theme="2"/>
          <bgColor theme="2"/>
        </patternFill>
      </fill>
    </dxf>
    <dxf>
      <font>
        <color theme="0"/>
      </font>
    </dxf>
    <dxf>
      <fill>
        <patternFill patternType="solid">
          <fgColor theme="0" tint="-0.14996795556505021"/>
          <bgColor theme="0" tint="-0.14996795556505021"/>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indexed="2"/>
      </font>
      <fill>
        <patternFill patternType="solid">
          <fgColor theme="5" tint="0.79998168889431442"/>
          <bgColor theme="5" tint="0.7999816888943144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dxf>
    <dxf>
      <font>
        <color theme="0"/>
      </font>
      <fill>
        <patternFill>
          <bgColor theme="2"/>
        </patternFill>
      </fill>
    </dxf>
    <dxf>
      <font>
        <color theme="0"/>
      </font>
    </dxf>
    <dxf>
      <font>
        <color theme="0"/>
      </font>
      <fill>
        <patternFill>
          <bgColor theme="2"/>
        </patternFill>
      </fill>
    </dxf>
    <dxf>
      <font>
        <color theme="0"/>
      </font>
    </dxf>
    <dxf>
      <font>
        <color theme="0"/>
      </font>
      <fill>
        <patternFill>
          <bgColor theme="2"/>
        </patternFill>
      </fill>
    </dxf>
    <dxf>
      <font>
        <color theme="0"/>
      </font>
      <fill>
        <patternFill>
          <bgColor theme="2"/>
        </patternFill>
      </fill>
    </dxf>
    <dxf>
      <font>
        <color theme="0"/>
      </font>
      <fill>
        <patternFill patternType="solid">
          <fgColor theme="2"/>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dxf>
    <dxf>
      <font>
        <color theme="0"/>
      </font>
      <fill>
        <patternFill>
          <bgColor theme="2"/>
        </patternFill>
      </fill>
      <border>
        <vertical/>
        <horizontal/>
      </border>
    </dxf>
    <dxf>
      <font>
        <strike val="0"/>
        <u val="none"/>
        <vertAlign val="baseline"/>
        <sz val="8"/>
        <color theme="1"/>
        <name val="Arial"/>
        <scheme val="none"/>
      </font>
      <fill>
        <patternFill patternType="none"/>
      </fill>
      <alignment vertical="center" textRotation="0" indent="0" justifyLastLine="0" shrinkToFit="0" readingOrder="0"/>
    </dxf>
    <dxf>
      <font>
        <b val="0"/>
        <i val="0"/>
        <strike val="0"/>
        <u val="none"/>
        <vertAlign val="baseline"/>
        <sz val="8"/>
        <color theme="1"/>
        <name val="Arial"/>
        <scheme val="none"/>
      </font>
      <numFmt numFmtId="4" formatCode="#,##0.00"/>
      <fill>
        <patternFill patternType="none"/>
      </fill>
      <alignment vertical="center" textRotation="0" indent="0" justifyLastLine="0" shrinkToFit="0" readingOrder="0"/>
    </dxf>
    <dxf>
      <font>
        <b val="0"/>
        <i val="0"/>
        <strike val="0"/>
        <u val="none"/>
        <vertAlign val="baseline"/>
        <sz val="8"/>
        <color theme="1"/>
        <name val="Arial"/>
        <scheme val="none"/>
      </font>
      <fill>
        <patternFill patternType="none"/>
      </fill>
      <alignment vertical="center" textRotation="0" indent="0" justifyLastLine="0" shrinkToFit="0" readingOrder="0"/>
    </dxf>
    <dxf>
      <font>
        <b val="0"/>
        <i val="0"/>
        <strike val="0"/>
        <u val="none"/>
        <vertAlign val="baseline"/>
        <sz val="8"/>
        <color theme="1"/>
        <name val="Arial"/>
        <scheme val="none"/>
      </font>
      <numFmt numFmtId="2" formatCode="0.00"/>
      <fill>
        <patternFill patternType="none"/>
      </fill>
      <alignment vertical="center" textRotation="0" indent="0" justifyLastLine="0" shrinkToFit="0" readingOrder="0"/>
    </dxf>
    <dxf>
      <font>
        <strike val="0"/>
        <u val="none"/>
        <vertAlign val="baseline"/>
        <sz val="8"/>
        <color theme="1"/>
        <name val="Arial"/>
        <scheme val="none"/>
      </font>
      <numFmt numFmtId="35" formatCode="_-* #,##0.00_-;\-* #,##0.00_-;_-* &quot;-&quot;??_-;_-@_-"/>
      <fill>
        <patternFill patternType="none"/>
      </fill>
      <alignment vertical="center" textRotation="0" indent="0" justifyLastLine="0" shrinkToFit="0" readingOrder="0"/>
    </dxf>
    <dxf>
      <font>
        <strike val="0"/>
        <u val="none"/>
        <vertAlign val="baseline"/>
        <sz val="8"/>
        <color theme="1"/>
        <name val="Arial"/>
        <scheme val="none"/>
      </font>
      <numFmt numFmtId="0" formatCode="General"/>
      <fill>
        <patternFill patternType="none"/>
      </fill>
      <alignment vertical="center" textRotation="0" indent="0" justifyLastLine="0" shrinkToFit="0" readingOrder="0"/>
    </dxf>
    <dxf>
      <font>
        <b val="0"/>
        <i val="0"/>
        <strike val="0"/>
        <u val="none"/>
        <vertAlign val="baseline"/>
        <sz val="8"/>
        <color theme="1"/>
        <name val="Arial"/>
        <scheme val="none"/>
      </font>
      <numFmt numFmtId="165" formatCode="_-* #,##0.00\ _₽_-;\-* #,##0.00\ _₽_-;_-* &quot;-&quot;??\ _₽_-;_-@_-"/>
      <fill>
        <patternFill patternType="none"/>
      </fill>
      <alignment vertical="center" textRotation="0" wrapText="1" indent="0" justifyLastLine="0" shrinkToFit="0" readingOrder="0"/>
    </dxf>
    <dxf>
      <font>
        <strike val="0"/>
        <u val="none"/>
        <vertAlign val="baseline"/>
        <sz val="8"/>
        <color theme="1"/>
        <name val="Arial"/>
        <scheme val="none"/>
      </font>
      <numFmt numFmtId="165" formatCode="_-* #,##0.00\ _₽_-;\-* #,##0.00\ _₽_-;_-* &quot;-&quot;??\ _₽_-;_-@_-"/>
      <fill>
        <patternFill patternType="none"/>
      </fill>
      <alignment vertical="center" textRotation="0" wrapText="1" indent="0" justifyLastLine="0" shrinkToFit="0" readingOrder="0"/>
    </dxf>
    <dxf>
      <font>
        <b val="0"/>
        <i val="0"/>
        <strike val="0"/>
        <u val="none"/>
        <vertAlign val="baseline"/>
        <sz val="8"/>
        <color theme="1"/>
        <name val="Arial"/>
        <scheme val="none"/>
      </font>
      <numFmt numFmtId="0" formatCode="General"/>
      <fill>
        <patternFill patternType="none"/>
      </fill>
      <alignment vertical="center" textRotation="0" indent="0" justifyLastLine="0" shrinkToFit="0" readingOrder="0"/>
    </dxf>
    <dxf>
      <font>
        <b val="0"/>
        <i val="0"/>
        <strike val="0"/>
        <u val="none"/>
        <vertAlign val="baseline"/>
        <sz val="8"/>
        <color theme="1"/>
        <name val="Arial"/>
        <scheme val="none"/>
      </font>
      <fill>
        <patternFill patternType="none"/>
      </fil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u val="none"/>
        <vertAlign val="baseline"/>
        <sz val="11"/>
        <color theme="1"/>
        <name val="Calibri"/>
        <scheme val="minor"/>
      </font>
      <numFmt numFmtId="0" formatCode="General"/>
      <alignment horizontal="left" vertical="bottom" textRotation="0" wrapText="0" relativeIndent="0" shrinkToFit="0"/>
      <border>
        <left style="medium">
          <color auto="1"/>
        </left>
        <right/>
        <top style="thin">
          <color theme="4"/>
        </top>
        <bottom/>
        <vertical/>
        <horizontal/>
      </border>
    </dxf>
    <dxf>
      <font>
        <b val="0"/>
        <i val="0"/>
        <strike val="0"/>
        <u val="none"/>
        <vertAlign val="baseline"/>
        <sz val="11"/>
        <color theme="1"/>
        <name val="Calibri"/>
        <scheme val="minor"/>
      </font>
      <numFmt numFmtId="0" formatCode="General"/>
      <alignment horizontal="left" vertical="bottom" textRotation="0" wrapText="0" relativeIndent="0" shrinkToFit="0"/>
      <border>
        <left style="medium">
          <color auto="1"/>
        </left>
        <right/>
        <top style="thin">
          <color theme="4"/>
        </top>
        <bottom/>
        <vertical/>
        <horizontal/>
      </border>
    </dxf>
    <dxf>
      <font>
        <b val="0"/>
        <i val="0"/>
        <strike val="0"/>
        <u val="none"/>
        <vertAlign val="baseline"/>
        <sz val="11"/>
        <color theme="1"/>
        <name val="Calibri"/>
        <scheme val="minor"/>
      </font>
      <numFmt numFmtId="0" formatCode="General"/>
      <alignment horizontal="left" vertical="bottom" textRotation="0" wrapText="0" relativeIndent="0" shrinkToFit="0"/>
      <border>
        <left style="medium">
          <color auto="1"/>
        </left>
        <right/>
        <top style="thin">
          <color theme="4"/>
        </top>
        <bottom/>
        <vertical/>
        <horizontal/>
      </border>
    </dxf>
    <dxf>
      <font>
        <b val="0"/>
        <i val="0"/>
        <strike val="0"/>
        <u val="none"/>
        <vertAlign val="baseline"/>
        <sz val="11"/>
        <color theme="1"/>
        <name val="Calibri"/>
        <scheme val="minor"/>
      </font>
      <alignment horizontal="center" vertical="bottom" textRotation="0" wrapText="0" relativeIndent="0" shrinkToFit="0"/>
      <border>
        <left/>
        <right/>
        <top style="thin">
          <color theme="4"/>
        </top>
        <bottom/>
      </border>
    </dxf>
    <dxf>
      <font>
        <b val="0"/>
        <i val="0"/>
        <strike val="0"/>
        <u val="none"/>
        <vertAlign val="baseline"/>
        <sz val="11"/>
        <color theme="1"/>
        <name val="Calibri"/>
        <scheme val="minor"/>
      </font>
      <alignment horizontal="center" vertical="bottom" textRotation="0" wrapText="0" relativeIndent="0" shrinkToFit="0"/>
      <border>
        <left/>
        <right/>
        <top style="thin">
          <color theme="4"/>
        </top>
        <bottom/>
      </border>
    </dxf>
    <dxf>
      <font>
        <b val="0"/>
        <i val="0"/>
        <strike val="0"/>
        <u val="none"/>
        <vertAlign val="baseline"/>
        <sz val="11"/>
        <color theme="1"/>
        <name val="Calibri"/>
        <scheme val="minor"/>
      </font>
      <border>
        <left/>
        <right/>
        <top style="thin">
          <color theme="4"/>
        </top>
        <bottom/>
        <vertical/>
        <horizontal/>
      </border>
    </dxf>
    <dxf>
      <font>
        <b val="0"/>
        <i val="0"/>
        <strike val="0"/>
        <u val="none"/>
        <vertAlign val="baseline"/>
        <sz val="11"/>
        <color theme="1"/>
        <name val="Calibri"/>
        <scheme val="minor"/>
      </font>
      <border>
        <left/>
        <right/>
        <top style="thin">
          <color theme="4"/>
        </top>
        <bottom/>
        <vertical/>
        <horizontal/>
      </border>
    </dxf>
    <dxf>
      <font>
        <b val="0"/>
        <i val="0"/>
        <strike val="0"/>
        <u val="none"/>
        <vertAlign val="baseline"/>
        <sz val="11"/>
        <color theme="1"/>
        <name val="Calibri"/>
        <scheme val="minor"/>
      </font>
      <border>
        <left/>
        <right/>
        <top style="thin">
          <color theme="4"/>
        </top>
        <bottom/>
        <vertical/>
        <horizontal/>
      </border>
    </dxf>
    <dxf>
      <font>
        <b val="0"/>
        <i val="0"/>
        <strike val="0"/>
        <u val="none"/>
        <vertAlign val="baseline"/>
        <sz val="11"/>
        <color theme="1"/>
        <name val="Calibri"/>
        <scheme val="minor"/>
      </font>
      <border>
        <left/>
        <right/>
        <top style="thin">
          <color theme="4"/>
        </top>
        <bottom/>
        <vertical/>
        <horizontal/>
      </border>
    </dxf>
    <dxf>
      <fill>
        <patternFill patternType="solid">
          <fgColor theme="2" tint="-9.9948118533890809E-2"/>
          <bgColor theme="2" tint="-9.9948118533890809E-2"/>
        </patternFill>
      </fill>
    </dxf>
    <dxf>
      <border>
        <left style="dotted">
          <color theme="2" tint="-9.9948118533890809E-2"/>
        </left>
        <right style="dotted">
          <color theme="2" tint="-9.9948118533890809E-2"/>
        </right>
        <top style="dotted">
          <color theme="2" tint="-9.9917600024414813E-2"/>
        </top>
        <bottom style="dotted">
          <color theme="2" tint="-9.9917600024414813E-2"/>
        </bottom>
        <vertical style="dotted">
          <color theme="2" tint="-9.9948118533890809E-2"/>
        </vertical>
        <horizontal style="dotted">
          <color theme="2" tint="-9.9917600024414813E-2"/>
        </horizontal>
      </border>
    </dxf>
  </dxfs>
  <tableStyles count="1" defaultTableStyle="TableStyleMedium2" defaultPivotStyle="PivotStyleLight16">
    <tableStyle name="Стиль НТТ" pivot="0" count="2" xr9:uid="{00000000-0011-0000-FFFF-FFFF00000000}">
      <tableStyleElement type="wholeTable" dxfId="691"/>
      <tableStyleElement type="headerRow" dxfId="69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ru-RU" sz="1200"/>
              <a:t>График совместной работы насосов и водоводов</a:t>
            </a:r>
          </a:p>
        </c:rich>
      </c:tx>
      <c:layout>
        <c:manualLayout>
          <c:xMode val="edge"/>
          <c:yMode val="edge"/>
          <c:x val="0.2485832871334602"/>
          <c:y val="5.3965241285534203E-3"/>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ru-RU"/>
        </a:p>
      </c:txPr>
    </c:title>
    <c:autoTitleDeleted val="0"/>
    <c:plotArea>
      <c:layout>
        <c:manualLayout>
          <c:layoutTarget val="inner"/>
          <c:xMode val="edge"/>
          <c:yMode val="edge"/>
          <c:x val="0.11424163816544997"/>
          <c:y val="3.1635841930541947E-2"/>
          <c:w val="0.76992477598257203"/>
          <c:h val="0.7219124477130382"/>
        </c:manualLayout>
      </c:layout>
      <c:scatterChart>
        <c:scatterStyle val="smoothMarker"/>
        <c:varyColors val="0"/>
        <c:ser>
          <c:idx val="3"/>
          <c:order val="0"/>
          <c:tx>
            <c:v>Характеристика сети на 1 водовод</c:v>
          </c:tx>
          <c:spPr>
            <a:ln w="19050" cap="rnd">
              <a:solidFill>
                <a:schemeClr val="accent4">
                  <a:alpha val="60000"/>
                </a:schemeClr>
              </a:solidFill>
              <a:round/>
            </a:ln>
            <a:effectLst/>
          </c:spPr>
          <c:marker>
            <c:symbol val="none"/>
          </c:marker>
          <c:dPt>
            <c:idx val="5"/>
            <c:marker>
              <c:symbol val="circle"/>
              <c:size val="6"/>
              <c:spPr>
                <a:solidFill>
                  <a:schemeClr val="accent1"/>
                </a:solidFill>
                <a:ln w="38100">
                  <a:solidFill>
                    <a:schemeClr val="accent4">
                      <a:alpha val="60000"/>
                    </a:schemeClr>
                  </a:solidFill>
                </a:ln>
                <a:effectLst/>
              </c:spPr>
            </c:marker>
            <c:bubble3D val="0"/>
            <c:extLst>
              <c:ext xmlns:c16="http://schemas.microsoft.com/office/drawing/2014/chart" uri="{C3380CC4-5D6E-409C-BE32-E72D297353CC}">
                <c16:uniqueId val="{00000000-5940-4A01-B61C-20D3A0CED5A4}"/>
              </c:ext>
            </c:extLst>
          </c:dPt>
          <c:dPt>
            <c:idx val="6"/>
            <c:marker>
              <c:symbol val="none"/>
            </c:marker>
            <c:bubble3D val="0"/>
            <c:extLst>
              <c:ext xmlns:c16="http://schemas.microsoft.com/office/drawing/2014/chart" uri="{C3380CC4-5D6E-409C-BE32-E72D297353CC}">
                <c16:uniqueId val="{00000001-5940-4A01-B61C-20D3A0CED5A4}"/>
              </c:ext>
            </c:extLst>
          </c:dPt>
          <c:dPt>
            <c:idx val="7"/>
            <c:marker>
              <c:symbol val="none"/>
            </c:marker>
            <c:bubble3D val="0"/>
            <c:extLst>
              <c:ext xmlns:c16="http://schemas.microsoft.com/office/drawing/2014/chart" uri="{C3380CC4-5D6E-409C-BE32-E72D297353CC}">
                <c16:uniqueId val="{00000002-5940-4A01-B61C-20D3A0CED5A4}"/>
              </c:ext>
            </c:extLst>
          </c:dPt>
          <c:dPt>
            <c:idx val="8"/>
            <c:marker>
              <c:symbol val="none"/>
            </c:marker>
            <c:bubble3D val="0"/>
            <c:extLst>
              <c:ext xmlns:c16="http://schemas.microsoft.com/office/drawing/2014/chart" uri="{C3380CC4-5D6E-409C-BE32-E72D297353CC}">
                <c16:uniqueId val="{00000003-5940-4A01-B61C-20D3A0CED5A4}"/>
              </c:ext>
            </c:extLst>
          </c:dPt>
          <c:dPt>
            <c:idx val="10"/>
            <c:marker>
              <c:symbol val="none"/>
            </c:marker>
            <c:bubble3D val="0"/>
            <c:extLst>
              <c:ext xmlns:c16="http://schemas.microsoft.com/office/drawing/2014/chart" uri="{C3380CC4-5D6E-409C-BE32-E72D297353CC}">
                <c16:uniqueId val="{00000004-5940-4A01-B61C-20D3A0CED5A4}"/>
              </c:ext>
            </c:extLst>
          </c:dPt>
          <c:dPt>
            <c:idx val="16"/>
            <c:marker>
              <c:symbol val="none"/>
            </c:marker>
            <c:bubble3D val="0"/>
            <c:extLst>
              <c:ext xmlns:c16="http://schemas.microsoft.com/office/drawing/2014/chart" uri="{C3380CC4-5D6E-409C-BE32-E72D297353CC}">
                <c16:uniqueId val="{00000005-5940-4A01-B61C-20D3A0CED5A4}"/>
              </c:ext>
            </c:extLst>
          </c:dPt>
          <c:xVal>
            <c:numRef>
              <c:f>'Гидравл. расчет'!$D$37:$D$46</c:f>
              <c:numCache>
                <c:formatCode>0.0</c:formatCode>
                <c:ptCount val="10"/>
                <c:pt idx="0" formatCode="0">
                  <c:v>0</c:v>
                </c:pt>
                <c:pt idx="1">
                  <c:v>9</c:v>
                </c:pt>
                <c:pt idx="2" formatCode="0.00">
                  <c:v>11</c:v>
                </c:pt>
                <c:pt idx="3" formatCode="0">
                  <c:v>14</c:v>
                </c:pt>
                <c:pt idx="4">
                  <c:v>17</c:v>
                </c:pt>
                <c:pt idx="5" formatCode="0">
                  <c:v>19</c:v>
                </c:pt>
                <c:pt idx="6" formatCode="0">
                  <c:v>22</c:v>
                </c:pt>
                <c:pt idx="7" formatCode="0">
                  <c:v>22.36</c:v>
                </c:pt>
                <c:pt idx="8" formatCode="0">
                  <c:v>25</c:v>
                </c:pt>
                <c:pt idx="9" formatCode="0">
                  <c:v>27</c:v>
                </c:pt>
              </c:numCache>
            </c:numRef>
          </c:xVal>
          <c:yVal>
            <c:numRef>
              <c:f>'Гидравл. расчет'!$C$37:$C$46</c:f>
              <c:numCache>
                <c:formatCode>0.00</c:formatCode>
                <c:ptCount val="10"/>
                <c:pt idx="0">
                  <c:v>8.5</c:v>
                </c:pt>
                <c:pt idx="1">
                  <c:v>9.1683473355179999</c:v>
                </c:pt>
                <c:pt idx="2">
                  <c:v>9.4983954024404689</c:v>
                </c:pt>
                <c:pt idx="3">
                  <c:v>10.117235527920098</c:v>
                </c:pt>
                <c:pt idx="4">
                  <c:v>10.884597283514838</c:v>
                </c:pt>
                <c:pt idx="5">
                  <c:v>11.478683803975283</c:v>
                </c:pt>
                <c:pt idx="6">
                  <c:v>12.493581609761875</c:v>
                </c:pt>
                <c:pt idx="7">
                  <c:v>12.625350000000001</c:v>
                </c:pt>
                <c:pt idx="8">
                  <c:v>13.657001045663577</c:v>
                </c:pt>
                <c:pt idx="9">
                  <c:v>14.515126019661997</c:v>
                </c:pt>
              </c:numCache>
            </c:numRef>
          </c:yVal>
          <c:smooth val="1"/>
          <c:extLst>
            <c:ext xmlns:c16="http://schemas.microsoft.com/office/drawing/2014/chart" uri="{C3380CC4-5D6E-409C-BE32-E72D297353CC}">
              <c16:uniqueId val="{00000006-5940-4A01-B61C-20D3A0CED5A4}"/>
            </c:ext>
          </c:extLst>
        </c:ser>
        <c:ser>
          <c:idx val="2"/>
          <c:order val="1"/>
          <c:tx>
            <c:v>Характеристика 1 рабочего насоса</c:v>
          </c:tx>
          <c:spPr>
            <a:ln w="19050" cap="rnd">
              <a:solidFill>
                <a:schemeClr val="accent3">
                  <a:alpha val="60000"/>
                </a:schemeClr>
              </a:solidFill>
              <a:round/>
            </a:ln>
            <a:effectLst/>
          </c:spPr>
          <c:marker>
            <c:symbol val="none"/>
          </c:marker>
          <c:dPt>
            <c:idx val="2"/>
            <c:marker>
              <c:symbol val="none"/>
            </c:marker>
            <c:bubble3D val="0"/>
            <c:extLst>
              <c:ext xmlns:c16="http://schemas.microsoft.com/office/drawing/2014/chart" uri="{C3380CC4-5D6E-409C-BE32-E72D297353CC}">
                <c16:uniqueId val="{00000007-5940-4A01-B61C-20D3A0CED5A4}"/>
              </c:ext>
            </c:extLst>
          </c:dPt>
          <c:dPt>
            <c:idx val="3"/>
            <c:marker>
              <c:symbol val="none"/>
            </c:marker>
            <c:bubble3D val="0"/>
            <c:extLst>
              <c:ext xmlns:c16="http://schemas.microsoft.com/office/drawing/2014/chart" uri="{C3380CC4-5D6E-409C-BE32-E72D297353CC}">
                <c16:uniqueId val="{00000008-5940-4A01-B61C-20D3A0CED5A4}"/>
              </c:ext>
            </c:extLst>
          </c:dPt>
          <c:dPt>
            <c:idx val="6"/>
            <c:marker>
              <c:symbol val="circle"/>
              <c:size val="6"/>
              <c:spPr>
                <a:solidFill>
                  <a:schemeClr val="accent1"/>
                </a:solidFill>
                <a:ln w="38100">
                  <a:solidFill>
                    <a:schemeClr val="accent3">
                      <a:alpha val="60000"/>
                    </a:schemeClr>
                  </a:solidFill>
                </a:ln>
                <a:effectLst/>
              </c:spPr>
            </c:marker>
            <c:bubble3D val="0"/>
            <c:extLst>
              <c:ext xmlns:c16="http://schemas.microsoft.com/office/drawing/2014/chart" uri="{C3380CC4-5D6E-409C-BE32-E72D297353CC}">
                <c16:uniqueId val="{00000009-5940-4A01-B61C-20D3A0CED5A4}"/>
              </c:ext>
            </c:extLst>
          </c:dPt>
          <c:dPt>
            <c:idx val="7"/>
            <c:marker>
              <c:symbol val="none"/>
            </c:marker>
            <c:bubble3D val="0"/>
            <c:extLst>
              <c:ext xmlns:c16="http://schemas.microsoft.com/office/drawing/2014/chart" uri="{C3380CC4-5D6E-409C-BE32-E72D297353CC}">
                <c16:uniqueId val="{0000000A-5940-4A01-B61C-20D3A0CED5A4}"/>
              </c:ext>
            </c:extLst>
          </c:dPt>
          <c:dPt>
            <c:idx val="12"/>
            <c:marker>
              <c:symbol val="circle"/>
              <c:size val="5"/>
              <c:spPr>
                <a:solidFill>
                  <a:schemeClr val="accent3"/>
                </a:solidFill>
                <a:ln w="38100">
                  <a:solidFill>
                    <a:schemeClr val="accent3">
                      <a:alpha val="60000"/>
                    </a:schemeClr>
                  </a:solidFill>
                </a:ln>
                <a:effectLst/>
              </c:spPr>
            </c:marker>
            <c:bubble3D val="0"/>
            <c:extLst>
              <c:ext xmlns:c16="http://schemas.microsoft.com/office/drawing/2014/chart" uri="{C3380CC4-5D6E-409C-BE32-E72D297353CC}">
                <c16:uniqueId val="{0000000B-5940-4A01-B61C-20D3A0CED5A4}"/>
              </c:ext>
            </c:extLst>
          </c:dPt>
          <c:xVal>
            <c:numRef>
              <c:f>[6]График!$C$53:$C$58</c:f>
              <c:numCache>
                <c:formatCode>General</c:formatCode>
                <c:ptCount val="6"/>
                <c:pt idx="0">
                  <c:v>0</c:v>
                </c:pt>
                <c:pt idx="1">
                  <c:v>2.7777777777777777</c:v>
                </c:pt>
                <c:pt idx="2">
                  <c:v>5.5555555555555554</c:v>
                </c:pt>
                <c:pt idx="3">
                  <c:v>8.3333333333333339</c:v>
                </c:pt>
                <c:pt idx="4">
                  <c:v>8.5222222222222221</c:v>
                </c:pt>
                <c:pt idx="5">
                  <c:v>11.111111111111111</c:v>
                </c:pt>
              </c:numCache>
            </c:numRef>
          </c:xVal>
          <c:yVal>
            <c:numRef>
              <c:f>[6]График!$B$53:$B$58</c:f>
              <c:numCache>
                <c:formatCode>General</c:formatCode>
                <c:ptCount val="6"/>
                <c:pt idx="0">
                  <c:v>22.5</c:v>
                </c:pt>
                <c:pt idx="1">
                  <c:v>20.5</c:v>
                </c:pt>
                <c:pt idx="2">
                  <c:v>18.5</c:v>
                </c:pt>
                <c:pt idx="3">
                  <c:v>15.2</c:v>
                </c:pt>
                <c:pt idx="4">
                  <c:v>14.89</c:v>
                </c:pt>
                <c:pt idx="5">
                  <c:v>9</c:v>
                </c:pt>
              </c:numCache>
            </c:numRef>
          </c:yVal>
          <c:smooth val="1"/>
          <c:extLst>
            <c:ext xmlns:c16="http://schemas.microsoft.com/office/drawing/2014/chart" uri="{C3380CC4-5D6E-409C-BE32-E72D297353CC}">
              <c16:uniqueId val="{0000000C-5940-4A01-B61C-20D3A0CED5A4}"/>
            </c:ext>
          </c:extLst>
        </c:ser>
        <c:ser>
          <c:idx val="4"/>
          <c:order val="2"/>
          <c:tx>
            <c:v>Геометрический перепад высот</c:v>
          </c:tx>
          <c:spPr>
            <a:ln w="19050" cap="rnd">
              <a:solidFill>
                <a:schemeClr val="accent5">
                  <a:alpha val="60000"/>
                </a:schemeClr>
              </a:solidFill>
              <a:round/>
            </a:ln>
            <a:effectLst/>
          </c:spPr>
          <c:marker>
            <c:symbol val="none"/>
          </c:marker>
          <c:dPt>
            <c:idx val="7"/>
            <c:marker>
              <c:symbol val="none"/>
            </c:marker>
            <c:bubble3D val="0"/>
            <c:extLst>
              <c:ext xmlns:c16="http://schemas.microsoft.com/office/drawing/2014/chart" uri="{C3380CC4-5D6E-409C-BE32-E72D297353CC}">
                <c16:uniqueId val="{0000000D-5940-4A01-B61C-20D3A0CED5A4}"/>
              </c:ext>
            </c:extLst>
          </c:dPt>
          <c:dPt>
            <c:idx val="14"/>
            <c:marker>
              <c:symbol val="none"/>
            </c:marker>
            <c:bubble3D val="0"/>
            <c:extLst>
              <c:ext xmlns:c16="http://schemas.microsoft.com/office/drawing/2014/chart" uri="{C3380CC4-5D6E-409C-BE32-E72D297353CC}">
                <c16:uniqueId val="{0000000E-5940-4A01-B61C-20D3A0CED5A4}"/>
              </c:ext>
            </c:extLst>
          </c:dPt>
          <c:dPt>
            <c:idx val="21"/>
            <c:marker>
              <c:symbol val="none"/>
            </c:marker>
            <c:bubble3D val="0"/>
            <c:extLst>
              <c:ext xmlns:c16="http://schemas.microsoft.com/office/drawing/2014/chart" uri="{C3380CC4-5D6E-409C-BE32-E72D297353CC}">
                <c16:uniqueId val="{0000000F-5940-4A01-B61C-20D3A0CED5A4}"/>
              </c:ext>
            </c:extLst>
          </c:dPt>
          <c:xVal>
            <c:numRef>
              <c:f>'Гидравл. расчет'!$D$37:$D$46</c:f>
              <c:numCache>
                <c:formatCode>0.0</c:formatCode>
                <c:ptCount val="10"/>
                <c:pt idx="0" formatCode="0">
                  <c:v>0</c:v>
                </c:pt>
                <c:pt idx="1">
                  <c:v>9</c:v>
                </c:pt>
                <c:pt idx="2" formatCode="0.00">
                  <c:v>11</c:v>
                </c:pt>
                <c:pt idx="3" formatCode="0">
                  <c:v>14</c:v>
                </c:pt>
                <c:pt idx="4">
                  <c:v>17</c:v>
                </c:pt>
                <c:pt idx="5" formatCode="0">
                  <c:v>19</c:v>
                </c:pt>
                <c:pt idx="6" formatCode="0">
                  <c:v>22</c:v>
                </c:pt>
                <c:pt idx="7" formatCode="0">
                  <c:v>22.36</c:v>
                </c:pt>
                <c:pt idx="8" formatCode="0">
                  <c:v>25</c:v>
                </c:pt>
                <c:pt idx="9" formatCode="0">
                  <c:v>27</c:v>
                </c:pt>
              </c:numCache>
            </c:numRef>
          </c:xVal>
          <c:yVal>
            <c:numRef>
              <c:f>'Гидравл. расчет'!$G$37:$G$46</c:f>
              <c:numCache>
                <c:formatCode>0.00</c:formatCode>
                <c:ptCount val="10"/>
                <c:pt idx="0">
                  <c:v>8.5</c:v>
                </c:pt>
                <c:pt idx="1">
                  <c:v>8.5</c:v>
                </c:pt>
                <c:pt idx="2">
                  <c:v>8.5</c:v>
                </c:pt>
                <c:pt idx="3">
                  <c:v>8.5</c:v>
                </c:pt>
                <c:pt idx="4">
                  <c:v>8.5</c:v>
                </c:pt>
                <c:pt idx="5">
                  <c:v>8.5</c:v>
                </c:pt>
                <c:pt idx="6">
                  <c:v>8.5</c:v>
                </c:pt>
                <c:pt idx="7">
                  <c:v>8.5</c:v>
                </c:pt>
                <c:pt idx="8">
                  <c:v>8.5</c:v>
                </c:pt>
                <c:pt idx="9">
                  <c:v>8.5</c:v>
                </c:pt>
              </c:numCache>
            </c:numRef>
          </c:yVal>
          <c:smooth val="1"/>
          <c:extLst>
            <c:ext xmlns:c16="http://schemas.microsoft.com/office/drawing/2014/chart" uri="{C3380CC4-5D6E-409C-BE32-E72D297353CC}">
              <c16:uniqueId val="{00000010-5940-4A01-B61C-20D3A0CED5A4}"/>
            </c:ext>
          </c:extLst>
        </c:ser>
        <c:ser>
          <c:idx val="0"/>
          <c:order val="3"/>
          <c:tx>
            <c:strRef>
              <c:f>'Гидравл. расчет'!$D$37:$D$46</c:f>
              <c:strCache>
                <c:ptCount val="10"/>
                <c:pt idx="0">
                  <c:v>0</c:v>
                </c:pt>
                <c:pt idx="1">
                  <c:v>9,0</c:v>
                </c:pt>
                <c:pt idx="2">
                  <c:v>11,00</c:v>
                </c:pt>
                <c:pt idx="3">
                  <c:v>14</c:v>
                </c:pt>
                <c:pt idx="4">
                  <c:v>17,0</c:v>
                </c:pt>
                <c:pt idx="5">
                  <c:v>19</c:v>
                </c:pt>
                <c:pt idx="6">
                  <c:v>22</c:v>
                </c:pt>
                <c:pt idx="7">
                  <c:v>22</c:v>
                </c:pt>
                <c:pt idx="8">
                  <c:v>25</c:v>
                </c:pt>
                <c:pt idx="9">
                  <c:v>27</c:v>
                </c:pt>
              </c:strCache>
            </c:strRef>
          </c:tx>
          <c:spPr>
            <a:ln w="19050" cap="rnd">
              <a:solidFill>
                <a:schemeClr val="accent1">
                  <a:alpha val="60000"/>
                </a:schemeClr>
              </a:solidFill>
              <a:round/>
            </a:ln>
            <a:effectLst/>
          </c:spPr>
          <c:marker>
            <c:symbol val="none"/>
          </c:marker>
          <c:xVal>
            <c:numRef>
              <c:f>'Гидравл. расчет'!$C$37:$C$46</c:f>
              <c:numCache>
                <c:formatCode>0.00</c:formatCode>
                <c:ptCount val="10"/>
                <c:pt idx="0">
                  <c:v>8.5</c:v>
                </c:pt>
                <c:pt idx="1">
                  <c:v>9.1683473355179999</c:v>
                </c:pt>
                <c:pt idx="2">
                  <c:v>9.4983954024404689</c:v>
                </c:pt>
                <c:pt idx="3">
                  <c:v>10.117235527920098</c:v>
                </c:pt>
                <c:pt idx="4">
                  <c:v>10.884597283514838</c:v>
                </c:pt>
                <c:pt idx="5">
                  <c:v>11.478683803975283</c:v>
                </c:pt>
                <c:pt idx="6">
                  <c:v>12.493581609761875</c:v>
                </c:pt>
                <c:pt idx="7">
                  <c:v>12.625350000000001</c:v>
                </c:pt>
                <c:pt idx="8">
                  <c:v>13.657001045663577</c:v>
                </c:pt>
                <c:pt idx="9">
                  <c:v>14.515126019661997</c:v>
                </c:pt>
              </c:numCache>
            </c:numRef>
          </c:xVal>
          <c:yVal>
            <c:numLit>
              <c:formatCode>General</c:formatCode>
              <c:ptCount val="1"/>
              <c:pt idx="0">
                <c:v>1</c:v>
              </c:pt>
            </c:numLit>
          </c:yVal>
          <c:smooth val="1"/>
          <c:extLst>
            <c:ext xmlns:c16="http://schemas.microsoft.com/office/drawing/2014/chart" uri="{C3380CC4-5D6E-409C-BE32-E72D297353CC}">
              <c16:uniqueId val="{0000000E-B930-446B-9749-C2E8FCE710F0}"/>
            </c:ext>
          </c:extLst>
        </c:ser>
        <c:dLbls>
          <c:showLegendKey val="0"/>
          <c:showVal val="0"/>
          <c:showCatName val="0"/>
          <c:showSerName val="0"/>
          <c:showPercent val="0"/>
          <c:showBubbleSize val="0"/>
        </c:dLbls>
        <c:axId val="1819934719"/>
        <c:axId val="1819928895"/>
      </c:scatterChart>
      <c:valAx>
        <c:axId val="1819934719"/>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Q</a:t>
                </a:r>
                <a:r>
                  <a:rPr lang="ru-RU"/>
                  <a:t>, л/с</a:t>
                </a:r>
              </a:p>
            </c:rich>
          </c:tx>
          <c:layout>
            <c:manualLayout>
              <c:xMode val="edge"/>
              <c:yMode val="edge"/>
              <c:x val="0.91190376623182035"/>
              <c:y val="0.7615589014319910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ru-RU"/>
            </a:p>
          </c:txPr>
        </c:title>
        <c:numFmt formatCode="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ru-RU"/>
          </a:p>
        </c:txPr>
        <c:crossAx val="1819928895"/>
        <c:crosses val="autoZero"/>
        <c:crossBetween val="midCat"/>
        <c:majorUnit val="8"/>
        <c:minorUnit val="8"/>
      </c:valAx>
      <c:valAx>
        <c:axId val="1819928895"/>
        <c:scaling>
          <c:orientation val="minMax"/>
          <c:max val="22"/>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ru-RU"/>
                  <a:t>Н,м</a:t>
                </a:r>
              </a:p>
            </c:rich>
          </c:tx>
          <c:layout>
            <c:manualLayout>
              <c:xMode val="edge"/>
              <c:yMode val="edge"/>
              <c:x val="2.554556201601534E-3"/>
              <c:y val="3.3189329286346784E-4"/>
            </c:manualLayout>
          </c:layout>
          <c:overlay val="0"/>
          <c:spPr>
            <a:noFill/>
            <a:ln>
              <a:noFill/>
            </a:ln>
            <a:effectLst/>
          </c:spPr>
          <c:txPr>
            <a:bodyPr rot="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ru-RU"/>
          </a:p>
        </c:txPr>
        <c:crossAx val="1819934719"/>
        <c:crossesAt val="0"/>
        <c:crossBetween val="midCat"/>
        <c:majorUnit val="2"/>
        <c:minorUnit val="2"/>
      </c:valAx>
      <c:spPr>
        <a:noFill/>
        <a:ln>
          <a:noFill/>
        </a:ln>
        <a:effectLst/>
      </c:spPr>
    </c:plotArea>
    <c:legend>
      <c:legendPos val="r"/>
      <c:layout>
        <c:manualLayout>
          <c:xMode val="edge"/>
          <c:yMode val="edge"/>
          <c:x val="0.23692799898126204"/>
          <c:y val="0.82434039742935594"/>
          <c:w val="0.32777574269521331"/>
          <c:h val="0.1573112097427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g"/></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 Type="http://schemas.openxmlformats.org/officeDocument/2006/relationships/image" Target="../media/image12.png"/><Relationship Id="rId16" Type="http://schemas.openxmlformats.org/officeDocument/2006/relationships/image" Target="../media/image30.png"/><Relationship Id="rId1" Type="http://schemas.openxmlformats.org/officeDocument/2006/relationships/image" Target="../media/image11.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_rels/drawing4.xml.rels><?xml version="1.0" encoding="UTF-8" standalone="yes"?>
<Relationships xmlns="http://schemas.openxmlformats.org/package/2006/relationships"><Relationship Id="rId2" Type="http://schemas.openxmlformats.org/officeDocument/2006/relationships/image" Target="../media/image33.jpg"/><Relationship Id="rId1" Type="http://schemas.openxmlformats.org/officeDocument/2006/relationships/image" Target="../media/image32.jpg"/></Relationships>
</file>

<file path=xl/drawings/_rels/drawing5.xml.rels><?xml version="1.0" encoding="UTF-8" standalone="yes"?>
<Relationships xmlns="http://schemas.openxmlformats.org/package/2006/relationships"><Relationship Id="rId1" Type="http://schemas.openxmlformats.org/officeDocument/2006/relationships/image" Target="../media/image34.jpg"/></Relationships>
</file>

<file path=xl/drawings/_rels/drawing6.xml.rels><?xml version="1.0" encoding="UTF-8" standalone="yes"?>
<Relationships xmlns="http://schemas.openxmlformats.org/package/2006/relationships"><Relationship Id="rId2" Type="http://schemas.openxmlformats.org/officeDocument/2006/relationships/image" Target="../media/image33.jpg"/><Relationship Id="rId1" Type="http://schemas.openxmlformats.org/officeDocument/2006/relationships/image" Target="../media/image35.jpg"/></Relationships>
</file>

<file path=xl/drawings/_rels/drawing7.xml.rels><?xml version="1.0" encoding="UTF-8" standalone="yes"?>
<Relationships xmlns="http://schemas.openxmlformats.org/package/2006/relationships"><Relationship Id="rId1" Type="http://schemas.openxmlformats.org/officeDocument/2006/relationships/image" Target="../media/image36.jpg"/></Relationships>
</file>

<file path=xl/drawings/_rels/drawing8.xml.rels><?xml version="1.0" encoding="UTF-8" standalone="yes"?>
<Relationships xmlns="http://schemas.openxmlformats.org/package/2006/relationships"><Relationship Id="rId3" Type="http://schemas.openxmlformats.org/officeDocument/2006/relationships/image" Target="../media/image38.jpg"/><Relationship Id="rId2" Type="http://schemas.openxmlformats.org/officeDocument/2006/relationships/image" Target="../media/image37.jpg"/><Relationship Id="rId1" Type="http://schemas.openxmlformats.org/officeDocument/2006/relationships/image" Target="../media/image3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3.jp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1</xdr:col>
      <xdr:colOff>21167</xdr:colOff>
      <xdr:row>0</xdr:row>
      <xdr:rowOff>42333</xdr:rowOff>
    </xdr:from>
    <xdr:to>
      <xdr:col>1</xdr:col>
      <xdr:colOff>299712</xdr:colOff>
      <xdr:row>0</xdr:row>
      <xdr:rowOff>260047</xdr:rowOff>
    </xdr:to>
    <xdr:pic>
      <xdr:nvPicPr>
        <xdr:cNvPr id="37" name="Рисунок 36">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1"/>
        <a:stretch/>
      </xdr:blipFill>
      <xdr:spPr bwMode="auto">
        <a:xfrm>
          <a:off x="176389" y="42333"/>
          <a:ext cx="278546" cy="217714"/>
        </a:xfrm>
        <a:prstGeom prst="rect">
          <a:avLst/>
        </a:prstGeom>
      </xdr:spPr>
    </xdr:pic>
    <xdr:clientData/>
  </xdr:twoCellAnchor>
  <xdr:twoCellAnchor>
    <xdr:from>
      <xdr:col>2</xdr:col>
      <xdr:colOff>54484</xdr:colOff>
      <xdr:row>13</xdr:row>
      <xdr:rowOff>63501</xdr:rowOff>
    </xdr:from>
    <xdr:to>
      <xdr:col>2</xdr:col>
      <xdr:colOff>4444999</xdr:colOff>
      <xdr:row>26</xdr:row>
      <xdr:rowOff>150912</xdr:rowOff>
    </xdr:to>
    <xdr:grpSp>
      <xdr:nvGrpSpPr>
        <xdr:cNvPr id="2" name="Группа 1">
          <a:extLst>
            <a:ext uri="{FF2B5EF4-FFF2-40B4-BE49-F238E27FC236}">
              <a16:creationId xmlns:a16="http://schemas.microsoft.com/office/drawing/2014/main" id="{00000000-0008-0000-0000-000002000000}"/>
            </a:ext>
          </a:extLst>
        </xdr:cNvPr>
        <xdr:cNvGrpSpPr/>
      </xdr:nvGrpSpPr>
      <xdr:grpSpPr bwMode="auto">
        <a:xfrm>
          <a:off x="541317" y="2921001"/>
          <a:ext cx="4390515" cy="2426328"/>
          <a:chOff x="555429" y="1380610"/>
          <a:chExt cx="4468127" cy="2283968"/>
        </a:xfrm>
      </xdr:grpSpPr>
      <xdr:pic>
        <xdr:nvPicPr>
          <xdr:cNvPr id="39" name="Рисунок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
          <a:stretch/>
        </xdr:blipFill>
        <xdr:spPr bwMode="auto">
          <a:xfrm>
            <a:off x="555429" y="1380610"/>
            <a:ext cx="4468127" cy="2283968"/>
          </a:xfrm>
          <a:prstGeom prst="rect">
            <a:avLst/>
          </a:prstGeom>
        </xdr:spPr>
      </xdr:pic>
      <xdr:sp macro="" textlink="">
        <xdr:nvSpPr>
          <xdr:cNvPr id="40" name="Прямоугольник 39">
            <a:extLst>
              <a:ext uri="{FF2B5EF4-FFF2-40B4-BE49-F238E27FC236}">
                <a16:creationId xmlns:a16="http://schemas.microsoft.com/office/drawing/2014/main" id="{00000000-0008-0000-0000-000028000000}"/>
              </a:ext>
            </a:extLst>
          </xdr:cNvPr>
          <xdr:cNvSpPr/>
        </xdr:nvSpPr>
        <xdr:spPr bwMode="auto">
          <a:xfrm>
            <a:off x="2420056" y="1996722"/>
            <a:ext cx="1326444" cy="1502834"/>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sp macro="" textlink="">
        <xdr:nvSpPr>
          <xdr:cNvPr id="42" name="Стрелка вправо 41">
            <a:extLst>
              <a:ext uri="{FF2B5EF4-FFF2-40B4-BE49-F238E27FC236}">
                <a16:creationId xmlns:a16="http://schemas.microsoft.com/office/drawing/2014/main" id="{00000000-0008-0000-0000-00002A000000}"/>
              </a:ext>
            </a:extLst>
          </xdr:cNvPr>
          <xdr:cNvSpPr/>
        </xdr:nvSpPr>
        <xdr:spPr bwMode="auto">
          <a:xfrm>
            <a:off x="1404056" y="2314222"/>
            <a:ext cx="938388" cy="486834"/>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ru-RU" sz="1100">
                <a:solidFill>
                  <a:srgbClr val="FF0000"/>
                </a:solidFill>
              </a:rPr>
              <a:t>Заполнить</a:t>
            </a:r>
            <a:endParaRPr/>
          </a:p>
        </xdr:txBody>
      </xdr:sp>
    </xdr:grpSp>
    <xdr:clientData/>
  </xdr:twoCellAnchor>
  <xdr:twoCellAnchor>
    <xdr:from>
      <xdr:col>2</xdr:col>
      <xdr:colOff>16163</xdr:colOff>
      <xdr:row>32</xdr:row>
      <xdr:rowOff>119408</xdr:rowOff>
    </xdr:from>
    <xdr:to>
      <xdr:col>2</xdr:col>
      <xdr:colOff>6174611</xdr:colOff>
      <xdr:row>49</xdr:row>
      <xdr:rowOff>28685</xdr:rowOff>
    </xdr:to>
    <xdr:grpSp>
      <xdr:nvGrpSpPr>
        <xdr:cNvPr id="3" name="Группа 2">
          <a:extLst>
            <a:ext uri="{FF2B5EF4-FFF2-40B4-BE49-F238E27FC236}">
              <a16:creationId xmlns:a16="http://schemas.microsoft.com/office/drawing/2014/main" id="{00000000-0008-0000-0000-000003000000}"/>
            </a:ext>
          </a:extLst>
        </xdr:cNvPr>
        <xdr:cNvGrpSpPr/>
      </xdr:nvGrpSpPr>
      <xdr:grpSpPr bwMode="auto">
        <a:xfrm>
          <a:off x="502996" y="6501158"/>
          <a:ext cx="6158448" cy="2967860"/>
          <a:chOff x="531220" y="4938352"/>
          <a:chExt cx="6158447" cy="2160000"/>
        </a:xfrm>
      </xdr:grpSpPr>
      <xdr:pic>
        <xdr:nvPicPr>
          <xdr:cNvPr id="44" name="Рисунок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3"/>
          <a:stretch/>
        </xdr:blipFill>
        <xdr:spPr bwMode="auto">
          <a:xfrm>
            <a:off x="531220" y="4938352"/>
            <a:ext cx="6158447" cy="2160000"/>
          </a:xfrm>
          <a:prstGeom prst="rect">
            <a:avLst/>
          </a:prstGeom>
        </xdr:spPr>
      </xdr:pic>
      <xdr:cxnSp macro="">
        <xdr:nvCxnSpPr>
          <xdr:cNvPr id="47" name="Прямая со стрелкой 46">
            <a:extLst>
              <a:ext uri="{FF2B5EF4-FFF2-40B4-BE49-F238E27FC236}">
                <a16:creationId xmlns:a16="http://schemas.microsoft.com/office/drawing/2014/main" id="{00000000-0008-0000-0000-00002F000000}"/>
              </a:ext>
            </a:extLst>
          </xdr:cNvPr>
          <xdr:cNvCxnSpPr>
            <a:cxnSpLocks/>
          </xdr:cNvCxnSpPr>
        </xdr:nvCxnSpPr>
        <xdr:spPr bwMode="auto">
          <a:xfrm flipH="1" flipV="1">
            <a:off x="1333501" y="5552723"/>
            <a:ext cx="543277" cy="121355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Прямая со стрелкой 49">
            <a:extLst>
              <a:ext uri="{FF2B5EF4-FFF2-40B4-BE49-F238E27FC236}">
                <a16:creationId xmlns:a16="http://schemas.microsoft.com/office/drawing/2014/main" id="{00000000-0008-0000-0000-000032000000}"/>
              </a:ext>
            </a:extLst>
          </xdr:cNvPr>
          <xdr:cNvCxnSpPr>
            <a:cxnSpLocks/>
          </xdr:cNvCxnSpPr>
        </xdr:nvCxnSpPr>
        <xdr:spPr bwMode="auto">
          <a:xfrm flipH="1" flipV="1">
            <a:off x="2441223" y="5559777"/>
            <a:ext cx="543277" cy="119239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1" name="Прямая со стрелкой 50">
            <a:extLst>
              <a:ext uri="{FF2B5EF4-FFF2-40B4-BE49-F238E27FC236}">
                <a16:creationId xmlns:a16="http://schemas.microsoft.com/office/drawing/2014/main" id="{00000000-0008-0000-0000-000033000000}"/>
              </a:ext>
            </a:extLst>
          </xdr:cNvPr>
          <xdr:cNvCxnSpPr>
            <a:cxnSpLocks/>
          </xdr:cNvCxnSpPr>
        </xdr:nvCxnSpPr>
        <xdr:spPr bwMode="auto">
          <a:xfrm flipH="1" flipV="1">
            <a:off x="3591278" y="5566832"/>
            <a:ext cx="472722" cy="119239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 name="Прямая со стрелкой 51">
            <a:extLst>
              <a:ext uri="{FF2B5EF4-FFF2-40B4-BE49-F238E27FC236}">
                <a16:creationId xmlns:a16="http://schemas.microsoft.com/office/drawing/2014/main" id="{00000000-0008-0000-0000-000034000000}"/>
              </a:ext>
            </a:extLst>
          </xdr:cNvPr>
          <xdr:cNvCxnSpPr>
            <a:cxnSpLocks/>
          </xdr:cNvCxnSpPr>
        </xdr:nvCxnSpPr>
        <xdr:spPr bwMode="auto">
          <a:xfrm flipH="1" flipV="1">
            <a:off x="4501448" y="6406444"/>
            <a:ext cx="169330" cy="37394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4" name="Прямая со стрелкой 53">
            <a:extLst>
              <a:ext uri="{FF2B5EF4-FFF2-40B4-BE49-F238E27FC236}">
                <a16:creationId xmlns:a16="http://schemas.microsoft.com/office/drawing/2014/main" id="{00000000-0008-0000-0000-000036000000}"/>
              </a:ext>
            </a:extLst>
          </xdr:cNvPr>
          <xdr:cNvCxnSpPr>
            <a:cxnSpLocks/>
          </xdr:cNvCxnSpPr>
        </xdr:nvCxnSpPr>
        <xdr:spPr bwMode="auto">
          <a:xfrm flipH="1" flipV="1">
            <a:off x="4593169" y="6103053"/>
            <a:ext cx="324553" cy="67733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5" name="Прямоугольник 54">
            <a:extLst>
              <a:ext uri="{FF2B5EF4-FFF2-40B4-BE49-F238E27FC236}">
                <a16:creationId xmlns:a16="http://schemas.microsoft.com/office/drawing/2014/main" id="{00000000-0008-0000-0000-000037000000}"/>
              </a:ext>
            </a:extLst>
          </xdr:cNvPr>
          <xdr:cNvSpPr/>
        </xdr:nvSpPr>
        <xdr:spPr bwMode="auto">
          <a:xfrm>
            <a:off x="1347611" y="6780389"/>
            <a:ext cx="5051778" cy="254000"/>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defRPr/>
            </a:pPr>
            <a:r>
              <a:rPr lang="ru-RU" sz="1100" b="1">
                <a:solidFill>
                  <a:srgbClr val="FF0000"/>
                </a:solidFill>
              </a:rPr>
              <a:t>Заполнять</a:t>
            </a:r>
            <a:endParaRPr/>
          </a:p>
        </xdr:txBody>
      </xdr:sp>
      <xdr:cxnSp macro="">
        <xdr:nvCxnSpPr>
          <xdr:cNvPr id="62" name="Прямая со стрелкой 61">
            <a:extLst>
              <a:ext uri="{FF2B5EF4-FFF2-40B4-BE49-F238E27FC236}">
                <a16:creationId xmlns:a16="http://schemas.microsoft.com/office/drawing/2014/main" id="{00000000-0008-0000-0000-00003E000000}"/>
              </a:ext>
            </a:extLst>
          </xdr:cNvPr>
          <xdr:cNvCxnSpPr>
            <a:cxnSpLocks/>
          </xdr:cNvCxnSpPr>
        </xdr:nvCxnSpPr>
        <xdr:spPr bwMode="auto">
          <a:xfrm flipH="1" flipV="1">
            <a:off x="5623282" y="6272389"/>
            <a:ext cx="218718" cy="51505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56445</xdr:colOff>
      <xdr:row>53</xdr:row>
      <xdr:rowOff>141113</xdr:rowOff>
    </xdr:from>
    <xdr:to>
      <xdr:col>2</xdr:col>
      <xdr:colOff>7027873</xdr:colOff>
      <xdr:row>67</xdr:row>
      <xdr:rowOff>2557</xdr:rowOff>
    </xdr:to>
    <xdr:grpSp>
      <xdr:nvGrpSpPr>
        <xdr:cNvPr id="4" name="Группа 3">
          <a:extLst>
            <a:ext uri="{FF2B5EF4-FFF2-40B4-BE49-F238E27FC236}">
              <a16:creationId xmlns:a16="http://schemas.microsoft.com/office/drawing/2014/main" id="{00000000-0008-0000-0000-000004000000}"/>
            </a:ext>
          </a:extLst>
        </xdr:cNvPr>
        <xdr:cNvGrpSpPr/>
      </xdr:nvGrpSpPr>
      <xdr:grpSpPr bwMode="auto">
        <a:xfrm>
          <a:off x="543278" y="10914946"/>
          <a:ext cx="6971428" cy="2380278"/>
          <a:chOff x="571501" y="8205613"/>
          <a:chExt cx="6971428" cy="2133333"/>
        </a:xfrm>
      </xdr:grpSpPr>
      <xdr:pic>
        <xdr:nvPicPr>
          <xdr:cNvPr id="65" name="Рисунок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4"/>
          <a:stretch/>
        </xdr:blipFill>
        <xdr:spPr bwMode="auto">
          <a:xfrm>
            <a:off x="571501" y="8205613"/>
            <a:ext cx="6971428" cy="2133333"/>
          </a:xfrm>
          <a:prstGeom prst="rect">
            <a:avLst/>
          </a:prstGeom>
        </xdr:spPr>
      </xdr:pic>
      <xdr:sp macro="" textlink="">
        <xdr:nvSpPr>
          <xdr:cNvPr id="66" name="Стрелка влево 65">
            <a:extLst>
              <a:ext uri="{FF2B5EF4-FFF2-40B4-BE49-F238E27FC236}">
                <a16:creationId xmlns:a16="http://schemas.microsoft.com/office/drawing/2014/main" id="{00000000-0008-0000-0000-000042000000}"/>
              </a:ext>
            </a:extLst>
          </xdr:cNvPr>
          <xdr:cNvSpPr/>
        </xdr:nvSpPr>
        <xdr:spPr bwMode="auto">
          <a:xfrm>
            <a:off x="3915835" y="9313336"/>
            <a:ext cx="2483554" cy="507998"/>
          </a:xfrm>
          <a:prstGeom prst="leftArrow">
            <a:avLst>
              <a:gd name="adj1" fmla="val 50000"/>
              <a:gd name="adj2" fmla="val 5873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ru-RU" sz="1100">
                <a:solidFill>
                  <a:srgbClr val="FF0000"/>
                </a:solidFill>
              </a:rPr>
              <a:t>Автоматическое. </a:t>
            </a:r>
            <a:r>
              <a:rPr lang="ru-RU" sz="1000">
                <a:solidFill>
                  <a:srgbClr val="FF0000"/>
                </a:solidFill>
              </a:rPr>
              <a:t>НЕ ИСПРАВЛЯТЬ!!!</a:t>
            </a:r>
            <a:endParaRPr/>
          </a:p>
        </xdr:txBody>
      </xdr:sp>
      <xdr:sp macro="" textlink="">
        <xdr:nvSpPr>
          <xdr:cNvPr id="68" name="Прямоугольник 67">
            <a:extLst>
              <a:ext uri="{FF2B5EF4-FFF2-40B4-BE49-F238E27FC236}">
                <a16:creationId xmlns:a16="http://schemas.microsoft.com/office/drawing/2014/main" id="{00000000-0008-0000-0000-000044000000}"/>
              </a:ext>
            </a:extLst>
          </xdr:cNvPr>
          <xdr:cNvSpPr/>
        </xdr:nvSpPr>
        <xdr:spPr bwMode="auto">
          <a:xfrm>
            <a:off x="2659943" y="9278056"/>
            <a:ext cx="1270001" cy="599722"/>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sp macro="" textlink="">
        <xdr:nvSpPr>
          <xdr:cNvPr id="69" name="Стрелка вправо 68">
            <a:extLst>
              <a:ext uri="{FF2B5EF4-FFF2-40B4-BE49-F238E27FC236}">
                <a16:creationId xmlns:a16="http://schemas.microsoft.com/office/drawing/2014/main" id="{00000000-0008-0000-0000-000045000000}"/>
              </a:ext>
            </a:extLst>
          </xdr:cNvPr>
          <xdr:cNvSpPr/>
        </xdr:nvSpPr>
        <xdr:spPr bwMode="auto">
          <a:xfrm>
            <a:off x="1298222" y="9313335"/>
            <a:ext cx="1350520" cy="529165"/>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ru-RU" sz="1100">
                <a:solidFill>
                  <a:srgbClr val="FF0000"/>
                </a:solidFill>
              </a:rPr>
              <a:t>Ручной ввод</a:t>
            </a:r>
            <a:endParaRPr/>
          </a:p>
        </xdr:txBody>
      </xdr:sp>
    </xdr:grpSp>
    <xdr:clientData/>
  </xdr:twoCellAnchor>
  <xdr:twoCellAnchor>
    <xdr:from>
      <xdr:col>2</xdr:col>
      <xdr:colOff>105834</xdr:colOff>
      <xdr:row>70</xdr:row>
      <xdr:rowOff>63501</xdr:rowOff>
    </xdr:from>
    <xdr:to>
      <xdr:col>2</xdr:col>
      <xdr:colOff>7066278</xdr:colOff>
      <xdr:row>84</xdr:row>
      <xdr:rowOff>59931</xdr:rowOff>
    </xdr:to>
    <xdr:grpSp>
      <xdr:nvGrpSpPr>
        <xdr:cNvPr id="5" name="Группа 4">
          <a:extLst>
            <a:ext uri="{FF2B5EF4-FFF2-40B4-BE49-F238E27FC236}">
              <a16:creationId xmlns:a16="http://schemas.microsoft.com/office/drawing/2014/main" id="{00000000-0008-0000-0000-000005000000}"/>
            </a:ext>
          </a:extLst>
        </xdr:cNvPr>
        <xdr:cNvGrpSpPr/>
      </xdr:nvGrpSpPr>
      <xdr:grpSpPr bwMode="auto">
        <a:xfrm>
          <a:off x="592667" y="14044084"/>
          <a:ext cx="6960444" cy="2515264"/>
          <a:chOff x="620890" y="11041945"/>
          <a:chExt cx="6960444" cy="2331819"/>
        </a:xfrm>
      </xdr:grpSpPr>
      <xdr:pic>
        <xdr:nvPicPr>
          <xdr:cNvPr id="71" name="Рисунок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5"/>
          <a:stretch/>
        </xdr:blipFill>
        <xdr:spPr bwMode="auto">
          <a:xfrm>
            <a:off x="620890" y="11041945"/>
            <a:ext cx="6960444" cy="2331819"/>
          </a:xfrm>
          <a:prstGeom prst="rect">
            <a:avLst/>
          </a:prstGeom>
        </xdr:spPr>
      </xdr:pic>
      <xdr:sp macro="" textlink="">
        <xdr:nvSpPr>
          <xdr:cNvPr id="72" name="Прямоугольник 71">
            <a:extLst>
              <a:ext uri="{FF2B5EF4-FFF2-40B4-BE49-F238E27FC236}">
                <a16:creationId xmlns:a16="http://schemas.microsoft.com/office/drawing/2014/main" id="{00000000-0008-0000-0000-000048000000}"/>
              </a:ext>
            </a:extLst>
          </xdr:cNvPr>
          <xdr:cNvSpPr/>
        </xdr:nvSpPr>
        <xdr:spPr bwMode="auto">
          <a:xfrm>
            <a:off x="2144888" y="12573001"/>
            <a:ext cx="966611" cy="402165"/>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sp macro="" textlink="">
        <xdr:nvSpPr>
          <xdr:cNvPr id="75" name="Стрелка влево 74">
            <a:extLst>
              <a:ext uri="{FF2B5EF4-FFF2-40B4-BE49-F238E27FC236}">
                <a16:creationId xmlns:a16="http://schemas.microsoft.com/office/drawing/2014/main" id="{00000000-0008-0000-0000-00004B000000}"/>
              </a:ext>
            </a:extLst>
          </xdr:cNvPr>
          <xdr:cNvSpPr/>
        </xdr:nvSpPr>
        <xdr:spPr bwMode="auto">
          <a:xfrm>
            <a:off x="3146778" y="12629447"/>
            <a:ext cx="2829277" cy="543276"/>
          </a:xfrm>
          <a:prstGeom prst="leftArrow">
            <a:avLst>
              <a:gd name="adj1" fmla="val 50000"/>
              <a:gd name="adj2" fmla="val 5873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ru-RU" sz="1100">
                <a:solidFill>
                  <a:srgbClr val="FF0000"/>
                </a:solidFill>
              </a:rPr>
              <a:t>Автоматический расчет. Не исправляем!</a:t>
            </a:r>
            <a:endParaRPr lang="ru-RU" sz="1000">
              <a:solidFill>
                <a:srgbClr val="FF0000"/>
              </a:solidFill>
            </a:endParaRPr>
          </a:p>
        </xdr:txBody>
      </xdr:sp>
      <xdr:sp macro="" textlink="">
        <xdr:nvSpPr>
          <xdr:cNvPr id="76" name="Стрелка вправо 75">
            <a:extLst>
              <a:ext uri="{FF2B5EF4-FFF2-40B4-BE49-F238E27FC236}">
                <a16:creationId xmlns:a16="http://schemas.microsoft.com/office/drawing/2014/main" id="{00000000-0008-0000-0000-00004C000000}"/>
              </a:ext>
            </a:extLst>
          </xdr:cNvPr>
          <xdr:cNvSpPr/>
        </xdr:nvSpPr>
        <xdr:spPr bwMode="auto">
          <a:xfrm>
            <a:off x="804333" y="12438945"/>
            <a:ext cx="1329353" cy="465664"/>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r>
              <a:rPr lang="ru-RU" sz="1100">
                <a:solidFill>
                  <a:srgbClr val="FF0000"/>
                </a:solidFill>
              </a:rPr>
              <a:t>Ручной ввод</a:t>
            </a:r>
            <a:endParaRPr/>
          </a:p>
        </xdr:txBody>
      </xdr:sp>
    </xdr:grpSp>
    <xdr:clientData/>
  </xdr:twoCellAnchor>
  <xdr:twoCellAnchor>
    <xdr:from>
      <xdr:col>1</xdr:col>
      <xdr:colOff>345724</xdr:colOff>
      <xdr:row>90</xdr:row>
      <xdr:rowOff>7056</xdr:rowOff>
    </xdr:from>
    <xdr:to>
      <xdr:col>3</xdr:col>
      <xdr:colOff>453722</xdr:colOff>
      <xdr:row>99</xdr:row>
      <xdr:rowOff>95760</xdr:rowOff>
    </xdr:to>
    <xdr:grpSp>
      <xdr:nvGrpSpPr>
        <xdr:cNvPr id="6" name="Группа 5">
          <a:extLst>
            <a:ext uri="{FF2B5EF4-FFF2-40B4-BE49-F238E27FC236}">
              <a16:creationId xmlns:a16="http://schemas.microsoft.com/office/drawing/2014/main" id="{00000000-0008-0000-0000-000006000000}"/>
            </a:ext>
          </a:extLst>
        </xdr:cNvPr>
        <xdr:cNvGrpSpPr/>
      </xdr:nvGrpSpPr>
      <xdr:grpSpPr bwMode="auto">
        <a:xfrm>
          <a:off x="493891" y="17808223"/>
          <a:ext cx="9357831" cy="1707954"/>
          <a:chOff x="500946" y="14379223"/>
          <a:chExt cx="9809387" cy="1549204"/>
        </a:xfrm>
      </xdr:grpSpPr>
      <xdr:pic>
        <xdr:nvPicPr>
          <xdr:cNvPr id="80" name="Рисунок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6"/>
          <a:stretch/>
        </xdr:blipFill>
        <xdr:spPr bwMode="auto">
          <a:xfrm>
            <a:off x="6074832" y="14379223"/>
            <a:ext cx="4235501" cy="1549204"/>
          </a:xfrm>
          <a:prstGeom prst="rect">
            <a:avLst/>
          </a:prstGeom>
        </xdr:spPr>
      </xdr:pic>
      <xdr:sp macro="" textlink="">
        <xdr:nvSpPr>
          <xdr:cNvPr id="81" name="Стрелка вправо 80">
            <a:extLst>
              <a:ext uri="{FF2B5EF4-FFF2-40B4-BE49-F238E27FC236}">
                <a16:creationId xmlns:a16="http://schemas.microsoft.com/office/drawing/2014/main" id="{00000000-0008-0000-0000-000051000000}"/>
              </a:ext>
            </a:extLst>
          </xdr:cNvPr>
          <xdr:cNvSpPr/>
        </xdr:nvSpPr>
        <xdr:spPr bwMode="auto">
          <a:xfrm>
            <a:off x="5305778" y="14809611"/>
            <a:ext cx="627945" cy="338667"/>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solidFill>
                <a:srgbClr val="FF0000"/>
              </a:solidFill>
            </a:endParaRPr>
          </a:p>
        </xdr:txBody>
      </xdr:sp>
      <xdr:pic>
        <xdr:nvPicPr>
          <xdr:cNvPr id="84" name="Рисунок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7"/>
          <a:srcRect r="13997"/>
          <a:stretch/>
        </xdr:blipFill>
        <xdr:spPr bwMode="auto">
          <a:xfrm>
            <a:off x="500946" y="14421556"/>
            <a:ext cx="4522610" cy="1446388"/>
          </a:xfrm>
          <a:prstGeom prst="rect">
            <a:avLst/>
          </a:prstGeom>
        </xdr:spPr>
      </xdr:pic>
    </xdr:grpSp>
    <xdr:clientData/>
  </xdr:twoCellAnchor>
  <xdr:twoCellAnchor>
    <xdr:from>
      <xdr:col>2</xdr:col>
      <xdr:colOff>5644445</xdr:colOff>
      <xdr:row>105</xdr:row>
      <xdr:rowOff>77612</xdr:rowOff>
    </xdr:from>
    <xdr:to>
      <xdr:col>3</xdr:col>
      <xdr:colOff>508000</xdr:colOff>
      <xdr:row>106</xdr:row>
      <xdr:rowOff>112889</xdr:rowOff>
    </xdr:to>
    <xdr:sp macro="" textlink="">
      <xdr:nvSpPr>
        <xdr:cNvPr id="95" name="Прямоугольник 94">
          <a:extLst>
            <a:ext uri="{FF2B5EF4-FFF2-40B4-BE49-F238E27FC236}">
              <a16:creationId xmlns:a16="http://schemas.microsoft.com/office/drawing/2014/main" id="{00000000-0008-0000-0000-00005F000000}"/>
            </a:ext>
          </a:extLst>
        </xdr:cNvPr>
        <xdr:cNvSpPr/>
      </xdr:nvSpPr>
      <xdr:spPr bwMode="auto">
        <a:xfrm>
          <a:off x="6159501" y="17356668"/>
          <a:ext cx="4205110" cy="197554"/>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clientData/>
  </xdr:twoCellAnchor>
  <xdr:twoCellAnchor>
    <xdr:from>
      <xdr:col>2</xdr:col>
      <xdr:colOff>21167</xdr:colOff>
      <xdr:row>103</xdr:row>
      <xdr:rowOff>14111</xdr:rowOff>
    </xdr:from>
    <xdr:to>
      <xdr:col>3</xdr:col>
      <xdr:colOff>825500</xdr:colOff>
      <xdr:row>113</xdr:row>
      <xdr:rowOff>156724</xdr:rowOff>
    </xdr:to>
    <xdr:grpSp>
      <xdr:nvGrpSpPr>
        <xdr:cNvPr id="7" name="Группа 6">
          <a:extLst>
            <a:ext uri="{FF2B5EF4-FFF2-40B4-BE49-F238E27FC236}">
              <a16:creationId xmlns:a16="http://schemas.microsoft.com/office/drawing/2014/main" id="{00000000-0008-0000-0000-000007000000}"/>
            </a:ext>
          </a:extLst>
        </xdr:cNvPr>
        <xdr:cNvGrpSpPr/>
      </xdr:nvGrpSpPr>
      <xdr:grpSpPr bwMode="auto">
        <a:xfrm>
          <a:off x="508000" y="20619861"/>
          <a:ext cx="9715500" cy="1941780"/>
          <a:chOff x="536223" y="17180278"/>
          <a:chExt cx="10145888" cy="1765390"/>
        </a:xfrm>
      </xdr:grpSpPr>
      <xdr:grpSp>
        <xdr:nvGrpSpPr>
          <xdr:cNvPr id="8" name="Группа 7">
            <a:extLst>
              <a:ext uri="{FF2B5EF4-FFF2-40B4-BE49-F238E27FC236}">
                <a16:creationId xmlns:a16="http://schemas.microsoft.com/office/drawing/2014/main" id="{00000000-0008-0000-0000-000008000000}"/>
              </a:ext>
            </a:extLst>
          </xdr:cNvPr>
          <xdr:cNvGrpSpPr/>
        </xdr:nvGrpSpPr>
        <xdr:grpSpPr bwMode="auto">
          <a:xfrm>
            <a:off x="536223" y="17180278"/>
            <a:ext cx="5369278" cy="1765390"/>
            <a:chOff x="719667" y="16954500"/>
            <a:chExt cx="5369278" cy="1765391"/>
          </a:xfrm>
        </xdr:grpSpPr>
        <xdr:pic>
          <xdr:nvPicPr>
            <xdr:cNvPr id="86" name="Рисунок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
            <a:srcRect l="3125" r="14870"/>
            <a:stretch/>
          </xdr:blipFill>
          <xdr:spPr bwMode="auto">
            <a:xfrm>
              <a:off x="719667" y="16954500"/>
              <a:ext cx="5369278" cy="1765391"/>
            </a:xfrm>
            <a:prstGeom prst="rect">
              <a:avLst/>
            </a:prstGeom>
          </xdr:spPr>
        </xdr:pic>
        <xdr:sp macro="" textlink="">
          <xdr:nvSpPr>
            <xdr:cNvPr id="87" name="Прямоугольник 86">
              <a:extLst>
                <a:ext uri="{FF2B5EF4-FFF2-40B4-BE49-F238E27FC236}">
                  <a16:creationId xmlns:a16="http://schemas.microsoft.com/office/drawing/2014/main" id="{00000000-0008-0000-0000-000057000000}"/>
                </a:ext>
              </a:extLst>
            </xdr:cNvPr>
            <xdr:cNvSpPr/>
          </xdr:nvSpPr>
          <xdr:spPr bwMode="auto">
            <a:xfrm>
              <a:off x="4480277" y="17081500"/>
              <a:ext cx="1559276" cy="536222"/>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cxnSp macro="">
          <xdr:nvCxnSpPr>
            <xdr:cNvPr id="88" name="Прямая со стрелкой 87">
              <a:extLst>
                <a:ext uri="{FF2B5EF4-FFF2-40B4-BE49-F238E27FC236}">
                  <a16:creationId xmlns:a16="http://schemas.microsoft.com/office/drawing/2014/main" id="{00000000-0008-0000-0000-000058000000}"/>
                </a:ext>
              </a:extLst>
            </xdr:cNvPr>
            <xdr:cNvCxnSpPr>
              <a:cxnSpLocks/>
              <a:stCxn id="87" idx="1"/>
            </xdr:cNvCxnSpPr>
          </xdr:nvCxnSpPr>
          <xdr:spPr bwMode="auto">
            <a:xfrm flipH="1" flipV="1">
              <a:off x="2405944" y="17215556"/>
              <a:ext cx="2074333" cy="13405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91" name="Рисунок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9"/>
          <a:stretch/>
        </xdr:blipFill>
        <xdr:spPr bwMode="auto">
          <a:xfrm>
            <a:off x="6060723" y="17180279"/>
            <a:ext cx="4621388" cy="1741008"/>
          </a:xfrm>
          <a:prstGeom prst="rect">
            <a:avLst/>
          </a:prstGeom>
        </xdr:spPr>
      </xdr:pic>
      <xdr:sp macro="" textlink="">
        <xdr:nvSpPr>
          <xdr:cNvPr id="94" name="TextBox 93">
            <a:extLst>
              <a:ext uri="{FF2B5EF4-FFF2-40B4-BE49-F238E27FC236}">
                <a16:creationId xmlns:a16="http://schemas.microsoft.com/office/drawing/2014/main" id="{00000000-0008-0000-0000-00005E000000}"/>
              </a:ext>
            </a:extLst>
          </xdr:cNvPr>
          <xdr:cNvSpPr txBox="1"/>
        </xdr:nvSpPr>
        <xdr:spPr bwMode="auto">
          <a:xfrm>
            <a:off x="8233833" y="17180278"/>
            <a:ext cx="656167" cy="345721"/>
          </a:xfrm>
          <a:prstGeom prst="rect">
            <a:avLst/>
          </a:prstGeom>
          <a:solidFill>
            <a:schemeClr val="lt1"/>
          </a:solidFill>
          <a:ln w="9525" cmpd="sng">
            <a:no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ru-RU" sz="1800">
                <a:solidFill>
                  <a:srgbClr val="FF0000"/>
                </a:solidFill>
              </a:rPr>
              <a:t>ОЛ</a:t>
            </a:r>
            <a:endParaRPr/>
          </a:p>
        </xdr:txBody>
      </xdr:sp>
      <xdr:cxnSp macro="">
        <xdr:nvCxnSpPr>
          <xdr:cNvPr id="96" name="Прямая со стрелкой 95">
            <a:extLst>
              <a:ext uri="{FF2B5EF4-FFF2-40B4-BE49-F238E27FC236}">
                <a16:creationId xmlns:a16="http://schemas.microsoft.com/office/drawing/2014/main" id="{00000000-0008-0000-0000-000060000000}"/>
              </a:ext>
            </a:extLst>
          </xdr:cNvPr>
          <xdr:cNvCxnSpPr>
            <a:cxnSpLocks/>
            <a:stCxn id="95" idx="2"/>
          </xdr:cNvCxnSpPr>
        </xdr:nvCxnSpPr>
        <xdr:spPr bwMode="auto">
          <a:xfrm flipH="1">
            <a:off x="2434167" y="17765889"/>
            <a:ext cx="5827889" cy="56444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39240</xdr:colOff>
      <xdr:row>119</xdr:row>
      <xdr:rowOff>96904</xdr:rowOff>
    </xdr:from>
    <xdr:to>
      <xdr:col>2</xdr:col>
      <xdr:colOff>8487832</xdr:colOff>
      <xdr:row>141</xdr:row>
      <xdr:rowOff>158531</xdr:rowOff>
    </xdr:to>
    <xdr:pic>
      <xdr:nvPicPr>
        <xdr:cNvPr id="101" name="Рисунок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0"/>
        <a:stretch/>
      </xdr:blipFill>
      <xdr:spPr bwMode="auto">
        <a:xfrm>
          <a:off x="554296" y="20000626"/>
          <a:ext cx="8448593" cy="4097407"/>
        </a:xfrm>
        <a:prstGeom prst="rect">
          <a:avLst/>
        </a:prstGeom>
      </xdr:spPr>
    </xdr:pic>
    <xdr:clientData/>
  </xdr:twoCellAnchor>
  <xdr:twoCellAnchor>
    <xdr:from>
      <xdr:col>2</xdr:col>
      <xdr:colOff>413185</xdr:colOff>
      <xdr:row>142</xdr:row>
      <xdr:rowOff>132182</xdr:rowOff>
    </xdr:from>
    <xdr:to>
      <xdr:col>2</xdr:col>
      <xdr:colOff>8586611</xdr:colOff>
      <xdr:row>144</xdr:row>
      <xdr:rowOff>7055</xdr:rowOff>
    </xdr:to>
    <xdr:sp macro="" textlink="">
      <xdr:nvSpPr>
        <xdr:cNvPr id="103" name="Прямоугольник 102">
          <a:extLst>
            <a:ext uri="{FF2B5EF4-FFF2-40B4-BE49-F238E27FC236}">
              <a16:creationId xmlns:a16="http://schemas.microsoft.com/office/drawing/2014/main" id="{00000000-0008-0000-0000-000067000000}"/>
            </a:ext>
          </a:extLst>
        </xdr:cNvPr>
        <xdr:cNvSpPr/>
      </xdr:nvSpPr>
      <xdr:spPr bwMode="auto">
        <a:xfrm>
          <a:off x="928241" y="23768293"/>
          <a:ext cx="8173426" cy="19942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clientData/>
  </xdr:twoCellAnchor>
  <xdr:twoCellAnchor>
    <xdr:from>
      <xdr:col>2</xdr:col>
      <xdr:colOff>130963</xdr:colOff>
      <xdr:row>142</xdr:row>
      <xdr:rowOff>160403</xdr:rowOff>
    </xdr:from>
    <xdr:to>
      <xdr:col>2</xdr:col>
      <xdr:colOff>310445</xdr:colOff>
      <xdr:row>143</xdr:row>
      <xdr:rowOff>155927</xdr:rowOff>
    </xdr:to>
    <xdr:sp macro="" textlink="">
      <xdr:nvSpPr>
        <xdr:cNvPr id="104" name="Стрелка вправо 103">
          <a:extLst>
            <a:ext uri="{FF2B5EF4-FFF2-40B4-BE49-F238E27FC236}">
              <a16:creationId xmlns:a16="http://schemas.microsoft.com/office/drawing/2014/main" id="{00000000-0008-0000-0000-000068000000}"/>
            </a:ext>
          </a:extLst>
        </xdr:cNvPr>
        <xdr:cNvSpPr/>
      </xdr:nvSpPr>
      <xdr:spPr bwMode="auto">
        <a:xfrm>
          <a:off x="646019" y="23796515"/>
          <a:ext cx="179482" cy="157801"/>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solidFill>
              <a:srgbClr val="FF0000"/>
            </a:solidFill>
          </a:endParaRPr>
        </a:p>
      </xdr:txBody>
    </xdr:sp>
    <xdr:clientData/>
  </xdr:twoCellAnchor>
  <xdr:twoCellAnchor>
    <xdr:from>
      <xdr:col>2</xdr:col>
      <xdr:colOff>176388</xdr:colOff>
      <xdr:row>119</xdr:row>
      <xdr:rowOff>134056</xdr:rowOff>
    </xdr:from>
    <xdr:to>
      <xdr:col>2</xdr:col>
      <xdr:colOff>719667</xdr:colOff>
      <xdr:row>122</xdr:row>
      <xdr:rowOff>7055</xdr:rowOff>
    </xdr:to>
    <xdr:sp macro="" textlink="">
      <xdr:nvSpPr>
        <xdr:cNvPr id="106" name="Овал 105">
          <a:extLst>
            <a:ext uri="{FF2B5EF4-FFF2-40B4-BE49-F238E27FC236}">
              <a16:creationId xmlns:a16="http://schemas.microsoft.com/office/drawing/2014/main" id="{00000000-0008-0000-0000-00006A000000}"/>
            </a:ext>
          </a:extLst>
        </xdr:cNvPr>
        <xdr:cNvSpPr/>
      </xdr:nvSpPr>
      <xdr:spPr bwMode="auto">
        <a:xfrm>
          <a:off x="691445" y="20037778"/>
          <a:ext cx="543278" cy="35983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2</xdr:col>
      <xdr:colOff>6399389</xdr:colOff>
      <xdr:row>120</xdr:row>
      <xdr:rowOff>119945</xdr:rowOff>
    </xdr:from>
    <xdr:to>
      <xdr:col>2</xdr:col>
      <xdr:colOff>7238999</xdr:colOff>
      <xdr:row>122</xdr:row>
      <xdr:rowOff>148167</xdr:rowOff>
    </xdr:to>
    <xdr:sp macro="" textlink="">
      <xdr:nvSpPr>
        <xdr:cNvPr id="107" name="Овал 106">
          <a:extLst>
            <a:ext uri="{FF2B5EF4-FFF2-40B4-BE49-F238E27FC236}">
              <a16:creationId xmlns:a16="http://schemas.microsoft.com/office/drawing/2014/main" id="{00000000-0008-0000-0000-00006B000000}"/>
            </a:ext>
          </a:extLst>
        </xdr:cNvPr>
        <xdr:cNvSpPr/>
      </xdr:nvSpPr>
      <xdr:spPr bwMode="auto">
        <a:xfrm>
          <a:off x="6914445" y="20185945"/>
          <a:ext cx="839610" cy="352778"/>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2</xdr:col>
      <xdr:colOff>719667</xdr:colOff>
      <xdr:row>120</xdr:row>
      <xdr:rowOff>151695</xdr:rowOff>
    </xdr:from>
    <xdr:to>
      <xdr:col>2</xdr:col>
      <xdr:colOff>6399389</xdr:colOff>
      <xdr:row>121</xdr:row>
      <xdr:rowOff>134056</xdr:rowOff>
    </xdr:to>
    <xdr:cxnSp macro="">
      <xdr:nvCxnSpPr>
        <xdr:cNvPr id="108" name="Прямая со стрелкой 107">
          <a:extLst>
            <a:ext uri="{FF2B5EF4-FFF2-40B4-BE49-F238E27FC236}">
              <a16:creationId xmlns:a16="http://schemas.microsoft.com/office/drawing/2014/main" id="{00000000-0008-0000-0000-00006C000000}"/>
            </a:ext>
          </a:extLst>
        </xdr:cNvPr>
        <xdr:cNvCxnSpPr>
          <a:cxnSpLocks/>
          <a:stCxn id="106" idx="6"/>
          <a:endCxn id="107" idx="2"/>
        </xdr:cNvCxnSpPr>
      </xdr:nvCxnSpPr>
      <xdr:spPr bwMode="auto">
        <a:xfrm>
          <a:off x="1234723" y="20217695"/>
          <a:ext cx="5679722" cy="14463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14111</xdr:colOff>
      <xdr:row>148</xdr:row>
      <xdr:rowOff>35280</xdr:rowOff>
    </xdr:from>
    <xdr:to>
      <xdr:col>2</xdr:col>
      <xdr:colOff>8469759</xdr:colOff>
      <xdr:row>155</xdr:row>
      <xdr:rowOff>91724</xdr:rowOff>
    </xdr:to>
    <xdr:grpSp>
      <xdr:nvGrpSpPr>
        <xdr:cNvPr id="9" name="Группа 8">
          <a:extLst>
            <a:ext uri="{FF2B5EF4-FFF2-40B4-BE49-F238E27FC236}">
              <a16:creationId xmlns:a16="http://schemas.microsoft.com/office/drawing/2014/main" id="{00000000-0008-0000-0000-000009000000}"/>
            </a:ext>
          </a:extLst>
        </xdr:cNvPr>
        <xdr:cNvGrpSpPr/>
      </xdr:nvGrpSpPr>
      <xdr:grpSpPr bwMode="auto">
        <a:xfrm>
          <a:off x="500944" y="29054780"/>
          <a:ext cx="8455648" cy="1389944"/>
          <a:chOff x="592668" y="24906112"/>
          <a:chExt cx="8455648" cy="1192388"/>
        </a:xfrm>
      </xdr:grpSpPr>
      <xdr:pic>
        <xdr:nvPicPr>
          <xdr:cNvPr id="10" name="Рисунок 4">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1"/>
          <a:srcRect r="10760"/>
          <a:stretch/>
        </xdr:blipFill>
        <xdr:spPr bwMode="auto">
          <a:xfrm>
            <a:off x="606779" y="24906112"/>
            <a:ext cx="8382000" cy="1192388"/>
          </a:xfrm>
          <a:prstGeom prst="rect">
            <a:avLst/>
          </a:prstGeom>
        </xdr:spPr>
      </xdr:pic>
      <xdr:sp macro="" textlink="">
        <xdr:nvSpPr>
          <xdr:cNvPr id="53" name="Прямоугольник 52">
            <a:extLst>
              <a:ext uri="{FF2B5EF4-FFF2-40B4-BE49-F238E27FC236}">
                <a16:creationId xmlns:a16="http://schemas.microsoft.com/office/drawing/2014/main" id="{00000000-0008-0000-0000-000035000000}"/>
              </a:ext>
            </a:extLst>
          </xdr:cNvPr>
          <xdr:cNvSpPr/>
        </xdr:nvSpPr>
        <xdr:spPr bwMode="auto">
          <a:xfrm>
            <a:off x="874890" y="25435278"/>
            <a:ext cx="8173426" cy="19942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defRPr/>
            </a:pPr>
            <a:endParaRPr lang="ru-RU" sz="1100"/>
          </a:p>
        </xdr:txBody>
      </xdr:sp>
      <xdr:sp macro="" textlink="">
        <xdr:nvSpPr>
          <xdr:cNvPr id="56" name="Стрелка вправо 55">
            <a:extLst>
              <a:ext uri="{FF2B5EF4-FFF2-40B4-BE49-F238E27FC236}">
                <a16:creationId xmlns:a16="http://schemas.microsoft.com/office/drawing/2014/main" id="{00000000-0008-0000-0000-000038000000}"/>
              </a:ext>
            </a:extLst>
          </xdr:cNvPr>
          <xdr:cNvSpPr/>
        </xdr:nvSpPr>
        <xdr:spPr bwMode="auto">
          <a:xfrm>
            <a:off x="592668" y="25463500"/>
            <a:ext cx="179482" cy="157801"/>
          </a:xfrm>
          <a:prstGeom prst="rightArrow">
            <a:avLst>
              <a:gd name="adj1" fmla="val 50000"/>
              <a:gd name="adj2" fmla="val 5000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solidFill>
                <a:srgbClr val="FF0000"/>
              </a:solidFill>
            </a:endParaRPr>
          </a:p>
        </xdr:txBody>
      </xdr:sp>
    </xdr:grpSp>
    <xdr:clientData/>
  </xdr:twoCellAnchor>
  <xdr:twoCellAnchor>
    <xdr:from>
      <xdr:col>2</xdr:col>
      <xdr:colOff>14111</xdr:colOff>
      <xdr:row>158</xdr:row>
      <xdr:rowOff>0</xdr:rowOff>
    </xdr:from>
    <xdr:to>
      <xdr:col>2</xdr:col>
      <xdr:colOff>8396111</xdr:colOff>
      <xdr:row>165</xdr:row>
      <xdr:rowOff>56444</xdr:rowOff>
    </xdr:to>
    <xdr:pic>
      <xdr:nvPicPr>
        <xdr:cNvPr id="58" name="Рисунок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1"/>
        <a:srcRect r="10760"/>
        <a:stretch/>
      </xdr:blipFill>
      <xdr:spPr bwMode="auto">
        <a:xfrm>
          <a:off x="529167" y="26387778"/>
          <a:ext cx="8382000" cy="1192388"/>
        </a:xfrm>
        <a:prstGeom prst="rect">
          <a:avLst/>
        </a:prstGeom>
      </xdr:spPr>
    </xdr:pic>
    <xdr:clientData/>
  </xdr:twoCellAnchor>
  <xdr:twoCellAnchor>
    <xdr:from>
      <xdr:col>2</xdr:col>
      <xdr:colOff>28222</xdr:colOff>
      <xdr:row>161</xdr:row>
      <xdr:rowOff>63500</xdr:rowOff>
    </xdr:from>
    <xdr:to>
      <xdr:col>2</xdr:col>
      <xdr:colOff>402166</xdr:colOff>
      <xdr:row>162</xdr:row>
      <xdr:rowOff>141112</xdr:rowOff>
    </xdr:to>
    <xdr:sp macro="" textlink="">
      <xdr:nvSpPr>
        <xdr:cNvPr id="63" name="Овал 62">
          <a:extLst>
            <a:ext uri="{FF2B5EF4-FFF2-40B4-BE49-F238E27FC236}">
              <a16:creationId xmlns:a16="http://schemas.microsoft.com/office/drawing/2014/main" id="{00000000-0008-0000-0000-00003F000000}"/>
            </a:ext>
          </a:extLst>
        </xdr:cNvPr>
        <xdr:cNvSpPr/>
      </xdr:nvSpPr>
      <xdr:spPr bwMode="auto">
        <a:xfrm>
          <a:off x="543278" y="26938111"/>
          <a:ext cx="373944" cy="23989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2</xdr:col>
      <xdr:colOff>211666</xdr:colOff>
      <xdr:row>162</xdr:row>
      <xdr:rowOff>141112</xdr:rowOff>
    </xdr:from>
    <xdr:to>
      <xdr:col>2</xdr:col>
      <xdr:colOff>215194</xdr:colOff>
      <xdr:row>165</xdr:row>
      <xdr:rowOff>42334</xdr:rowOff>
    </xdr:to>
    <xdr:cxnSp macro="">
      <xdr:nvCxnSpPr>
        <xdr:cNvPr id="64" name="Прямая со стрелкой 63">
          <a:extLst>
            <a:ext uri="{FF2B5EF4-FFF2-40B4-BE49-F238E27FC236}">
              <a16:creationId xmlns:a16="http://schemas.microsoft.com/office/drawing/2014/main" id="{00000000-0008-0000-0000-000040000000}"/>
            </a:ext>
          </a:extLst>
        </xdr:cNvPr>
        <xdr:cNvCxnSpPr>
          <a:cxnSpLocks/>
          <a:stCxn id="63" idx="4"/>
        </xdr:cNvCxnSpPr>
      </xdr:nvCxnSpPr>
      <xdr:spPr bwMode="auto">
        <a:xfrm flipH="1">
          <a:off x="726722" y="27178001"/>
          <a:ext cx="3528" cy="38805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91721</xdr:colOff>
      <xdr:row>174</xdr:row>
      <xdr:rowOff>101270</xdr:rowOff>
    </xdr:from>
    <xdr:to>
      <xdr:col>2</xdr:col>
      <xdr:colOff>3421943</xdr:colOff>
      <xdr:row>191</xdr:row>
      <xdr:rowOff>87006</xdr:rowOff>
    </xdr:to>
    <xdr:pic>
      <xdr:nvPicPr>
        <xdr:cNvPr id="11" name="Рисунок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2"/>
        <a:stretch/>
      </xdr:blipFill>
      <xdr:spPr bwMode="auto">
        <a:xfrm>
          <a:off x="606777" y="30200270"/>
          <a:ext cx="3330223" cy="3104292"/>
        </a:xfrm>
        <a:prstGeom prst="rect">
          <a:avLst/>
        </a:prstGeom>
      </xdr:spPr>
    </xdr:pic>
    <xdr:clientData/>
  </xdr:twoCellAnchor>
  <xdr:twoCellAnchor>
    <xdr:from>
      <xdr:col>2</xdr:col>
      <xdr:colOff>1615721</xdr:colOff>
      <xdr:row>177</xdr:row>
      <xdr:rowOff>157715</xdr:rowOff>
    </xdr:from>
    <xdr:to>
      <xdr:col>2</xdr:col>
      <xdr:colOff>1989665</xdr:colOff>
      <xdr:row>179</xdr:row>
      <xdr:rowOff>73048</xdr:rowOff>
    </xdr:to>
    <xdr:sp macro="" textlink="">
      <xdr:nvSpPr>
        <xdr:cNvPr id="73" name="Овал 72">
          <a:extLst>
            <a:ext uri="{FF2B5EF4-FFF2-40B4-BE49-F238E27FC236}">
              <a16:creationId xmlns:a16="http://schemas.microsoft.com/office/drawing/2014/main" id="{00000000-0008-0000-0000-000049000000}"/>
            </a:ext>
          </a:extLst>
        </xdr:cNvPr>
        <xdr:cNvSpPr/>
      </xdr:nvSpPr>
      <xdr:spPr bwMode="auto">
        <a:xfrm>
          <a:off x="2130777" y="30743548"/>
          <a:ext cx="373944" cy="23988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2</xdr:col>
      <xdr:colOff>14109</xdr:colOff>
      <xdr:row>207</xdr:row>
      <xdr:rowOff>36190</xdr:rowOff>
    </xdr:from>
    <xdr:to>
      <xdr:col>2</xdr:col>
      <xdr:colOff>6428874</xdr:colOff>
      <xdr:row>222</xdr:row>
      <xdr:rowOff>30550</xdr:rowOff>
    </xdr:to>
    <xdr:grpSp>
      <xdr:nvGrpSpPr>
        <xdr:cNvPr id="12" name="Группа 11">
          <a:extLst>
            <a:ext uri="{FF2B5EF4-FFF2-40B4-BE49-F238E27FC236}">
              <a16:creationId xmlns:a16="http://schemas.microsoft.com/office/drawing/2014/main" id="{00000000-0008-0000-0000-00000C000000}"/>
            </a:ext>
          </a:extLst>
        </xdr:cNvPr>
        <xdr:cNvGrpSpPr/>
      </xdr:nvGrpSpPr>
      <xdr:grpSpPr bwMode="auto">
        <a:xfrm>
          <a:off x="500942" y="40707940"/>
          <a:ext cx="6414765" cy="2693110"/>
          <a:chOff x="529165" y="36132412"/>
          <a:chExt cx="6414765" cy="2428527"/>
        </a:xfrm>
      </xdr:grpSpPr>
      <xdr:pic>
        <xdr:nvPicPr>
          <xdr:cNvPr id="13" name="Рисунок 1">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3"/>
          <a:stretch/>
        </xdr:blipFill>
        <xdr:spPr bwMode="auto">
          <a:xfrm>
            <a:off x="529165" y="36132412"/>
            <a:ext cx="6414765" cy="2428527"/>
          </a:xfrm>
          <a:prstGeom prst="rect">
            <a:avLst/>
          </a:prstGeom>
        </xdr:spPr>
      </xdr:pic>
      <xdr:sp macro="" textlink="">
        <xdr:nvSpPr>
          <xdr:cNvPr id="57" name="Овал 56">
            <a:extLst>
              <a:ext uri="{FF2B5EF4-FFF2-40B4-BE49-F238E27FC236}">
                <a16:creationId xmlns:a16="http://schemas.microsoft.com/office/drawing/2014/main" id="{00000000-0008-0000-0000-000039000000}"/>
              </a:ext>
            </a:extLst>
          </xdr:cNvPr>
          <xdr:cNvSpPr/>
        </xdr:nvSpPr>
        <xdr:spPr bwMode="auto">
          <a:xfrm>
            <a:off x="670277" y="37868079"/>
            <a:ext cx="352779" cy="20369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sp macro="" textlink="">
        <xdr:nvSpPr>
          <xdr:cNvPr id="59" name="Овал 58">
            <a:extLst>
              <a:ext uri="{FF2B5EF4-FFF2-40B4-BE49-F238E27FC236}">
                <a16:creationId xmlns:a16="http://schemas.microsoft.com/office/drawing/2014/main" id="{00000000-0008-0000-0000-00003B000000}"/>
              </a:ext>
            </a:extLst>
          </xdr:cNvPr>
          <xdr:cNvSpPr/>
        </xdr:nvSpPr>
        <xdr:spPr bwMode="auto">
          <a:xfrm>
            <a:off x="712611" y="37508246"/>
            <a:ext cx="444500" cy="14725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xnSp macro="">
        <xdr:nvCxnSpPr>
          <xdr:cNvPr id="60" name="Прямая со стрелкой 59">
            <a:extLst>
              <a:ext uri="{FF2B5EF4-FFF2-40B4-BE49-F238E27FC236}">
                <a16:creationId xmlns:a16="http://schemas.microsoft.com/office/drawing/2014/main" id="{00000000-0008-0000-0000-00003C000000}"/>
              </a:ext>
            </a:extLst>
          </xdr:cNvPr>
          <xdr:cNvCxnSpPr>
            <a:cxnSpLocks/>
            <a:endCxn id="59" idx="4"/>
          </xdr:cNvCxnSpPr>
        </xdr:nvCxnSpPr>
        <xdr:spPr bwMode="auto">
          <a:xfrm flipV="1">
            <a:off x="881944" y="37655500"/>
            <a:ext cx="52917" cy="18344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63501</xdr:colOff>
      <xdr:row>226</xdr:row>
      <xdr:rowOff>77611</xdr:rowOff>
    </xdr:from>
    <xdr:to>
      <xdr:col>2</xdr:col>
      <xdr:colOff>3747854</xdr:colOff>
      <xdr:row>247</xdr:row>
      <xdr:rowOff>93449</xdr:rowOff>
    </xdr:to>
    <xdr:pic>
      <xdr:nvPicPr>
        <xdr:cNvPr id="14" name="Рисунок 8">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4"/>
        <a:stretch/>
      </xdr:blipFill>
      <xdr:spPr bwMode="auto">
        <a:xfrm>
          <a:off x="578557" y="39412332"/>
          <a:ext cx="3684353" cy="3868171"/>
        </a:xfrm>
        <a:prstGeom prst="rect">
          <a:avLst/>
        </a:prstGeom>
      </xdr:spPr>
    </xdr:pic>
    <xdr:clientData/>
  </xdr:twoCellAnchor>
  <xdr:twoCellAnchor editAs="oneCell">
    <xdr:from>
      <xdr:col>2</xdr:col>
      <xdr:colOff>77611</xdr:colOff>
      <xdr:row>254</xdr:row>
      <xdr:rowOff>49389</xdr:rowOff>
    </xdr:from>
    <xdr:to>
      <xdr:col>2</xdr:col>
      <xdr:colOff>8076777</xdr:colOff>
      <xdr:row>279</xdr:row>
      <xdr:rowOff>74388</xdr:rowOff>
    </xdr:to>
    <xdr:pic>
      <xdr:nvPicPr>
        <xdr:cNvPr id="15" name="Рисунок 9">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5"/>
        <a:stretch/>
      </xdr:blipFill>
      <xdr:spPr bwMode="auto">
        <a:xfrm>
          <a:off x="592667" y="44083111"/>
          <a:ext cx="7999166" cy="4611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52917</xdr:colOff>
      <xdr:row>0</xdr:row>
      <xdr:rowOff>31749</xdr:rowOff>
    </xdr:from>
    <xdr:to>
      <xdr:col>1</xdr:col>
      <xdr:colOff>201462</xdr:colOff>
      <xdr:row>0</xdr:row>
      <xdr:rowOff>271945</xdr:rowOff>
    </xdr:to>
    <xdr:pic>
      <xdr:nvPicPr>
        <xdr:cNvPr id="4" name="Рисунок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stretch/>
      </xdr:blipFill>
      <xdr:spPr bwMode="auto">
        <a:xfrm>
          <a:off x="52917" y="31749"/>
          <a:ext cx="296712" cy="24019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278424</xdr:colOff>
      <xdr:row>174</xdr:row>
      <xdr:rowOff>43172</xdr:rowOff>
    </xdr:from>
    <xdr:to>
      <xdr:col>2</xdr:col>
      <xdr:colOff>10963</xdr:colOff>
      <xdr:row>175</xdr:row>
      <xdr:rowOff>38695</xdr:rowOff>
    </xdr:to>
    <xdr:sp macro="" textlink="">
      <xdr:nvSpPr>
        <xdr:cNvPr id="41" name="Стрелка вправо 103">
          <a:extLst>
            <a:ext uri="{FF2B5EF4-FFF2-40B4-BE49-F238E27FC236}">
              <a16:creationId xmlns:a16="http://schemas.microsoft.com/office/drawing/2014/main" id="{91BD876F-EA0A-4229-B751-EEFD57AA604A}"/>
            </a:ext>
          </a:extLst>
        </xdr:cNvPr>
        <xdr:cNvSpPr/>
      </xdr:nvSpPr>
      <xdr:spPr>
        <a:xfrm>
          <a:off x="424962" y="42077730"/>
          <a:ext cx="179482" cy="186023"/>
        </a:xfrm>
        <a:prstGeom prst="rightArrow">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FF0000"/>
            </a:solidFill>
          </a:endParaRPr>
        </a:p>
      </xdr:txBody>
    </xdr:sp>
    <xdr:clientData/>
  </xdr:twoCellAnchor>
  <xdr:twoCellAnchor>
    <xdr:from>
      <xdr:col>2</xdr:col>
      <xdr:colOff>94706</xdr:colOff>
      <xdr:row>179</xdr:row>
      <xdr:rowOff>168519</xdr:rowOff>
    </xdr:from>
    <xdr:to>
      <xdr:col>3</xdr:col>
      <xdr:colOff>483576</xdr:colOff>
      <xdr:row>187</xdr:row>
      <xdr:rowOff>134537</xdr:rowOff>
    </xdr:to>
    <xdr:pic>
      <xdr:nvPicPr>
        <xdr:cNvPr id="49" name="Рисунок 48">
          <a:extLst>
            <a:ext uri="{FF2B5EF4-FFF2-40B4-BE49-F238E27FC236}">
              <a16:creationId xmlns:a16="http://schemas.microsoft.com/office/drawing/2014/main" id="{AFB0F867-4599-4D1F-A6E3-B9EDB221193B}"/>
            </a:ext>
          </a:extLst>
        </xdr:cNvPr>
        <xdr:cNvPicPr>
          <a:picLocks noChangeAspect="1"/>
        </xdr:cNvPicPr>
      </xdr:nvPicPr>
      <xdr:blipFill rotWithShape="1">
        <a:blip xmlns:r="http://schemas.openxmlformats.org/officeDocument/2006/relationships" r:embed="rId1"/>
        <a:srcRect r="10761"/>
        <a:stretch/>
      </xdr:blipFill>
      <xdr:spPr>
        <a:xfrm>
          <a:off x="688187" y="43155577"/>
          <a:ext cx="5942677" cy="1490018"/>
        </a:xfrm>
        <a:prstGeom prst="rect">
          <a:avLst/>
        </a:prstGeom>
      </xdr:spPr>
    </xdr:pic>
    <xdr:clientData/>
  </xdr:twoCellAnchor>
  <xdr:twoCellAnchor>
    <xdr:from>
      <xdr:col>2</xdr:col>
      <xdr:colOff>28222</xdr:colOff>
      <xdr:row>183</xdr:row>
      <xdr:rowOff>63500</xdr:rowOff>
    </xdr:from>
    <xdr:to>
      <xdr:col>2</xdr:col>
      <xdr:colOff>402166</xdr:colOff>
      <xdr:row>184</xdr:row>
      <xdr:rowOff>141112</xdr:rowOff>
    </xdr:to>
    <xdr:sp macro="" textlink="">
      <xdr:nvSpPr>
        <xdr:cNvPr id="50" name="Овал 49">
          <a:extLst>
            <a:ext uri="{FF2B5EF4-FFF2-40B4-BE49-F238E27FC236}">
              <a16:creationId xmlns:a16="http://schemas.microsoft.com/office/drawing/2014/main" id="{5F565AD8-40C5-4E25-9B1C-B9E187B51229}"/>
            </a:ext>
          </a:extLst>
        </xdr:cNvPr>
        <xdr:cNvSpPr/>
      </xdr:nvSpPr>
      <xdr:spPr>
        <a:xfrm>
          <a:off x="513997" y="31924625"/>
          <a:ext cx="373944" cy="268112"/>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211666</xdr:colOff>
      <xdr:row>184</xdr:row>
      <xdr:rowOff>141112</xdr:rowOff>
    </xdr:from>
    <xdr:to>
      <xdr:col>2</xdr:col>
      <xdr:colOff>215194</xdr:colOff>
      <xdr:row>187</xdr:row>
      <xdr:rowOff>42334</xdr:rowOff>
    </xdr:to>
    <xdr:cxnSp macro="">
      <xdr:nvCxnSpPr>
        <xdr:cNvPr id="51" name="Прямая со стрелкой 50">
          <a:extLst>
            <a:ext uri="{FF2B5EF4-FFF2-40B4-BE49-F238E27FC236}">
              <a16:creationId xmlns:a16="http://schemas.microsoft.com/office/drawing/2014/main" id="{8B079E49-3251-4247-B481-FC8A7D6655DF}"/>
            </a:ext>
          </a:extLst>
        </xdr:cNvPr>
        <xdr:cNvCxnSpPr>
          <a:stCxn id="50" idx="4"/>
        </xdr:cNvCxnSpPr>
      </xdr:nvCxnSpPr>
      <xdr:spPr>
        <a:xfrm flipH="1">
          <a:off x="697441" y="32192737"/>
          <a:ext cx="3528" cy="472722"/>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150336</xdr:colOff>
      <xdr:row>197</xdr:row>
      <xdr:rowOff>174539</xdr:rowOff>
    </xdr:from>
    <xdr:to>
      <xdr:col>2</xdr:col>
      <xdr:colOff>3337684</xdr:colOff>
      <xdr:row>214</xdr:row>
      <xdr:rowOff>160276</xdr:rowOff>
    </xdr:to>
    <xdr:pic>
      <xdr:nvPicPr>
        <xdr:cNvPr id="52" name="Рисунок 51">
          <a:extLst>
            <a:ext uri="{FF2B5EF4-FFF2-40B4-BE49-F238E27FC236}">
              <a16:creationId xmlns:a16="http://schemas.microsoft.com/office/drawing/2014/main" id="{47E41064-5C2F-4DA1-94DE-6133BEB6C840}"/>
            </a:ext>
          </a:extLst>
        </xdr:cNvPr>
        <xdr:cNvPicPr>
          <a:picLocks noChangeAspect="1"/>
        </xdr:cNvPicPr>
      </xdr:nvPicPr>
      <xdr:blipFill>
        <a:blip xmlns:r="http://schemas.openxmlformats.org/officeDocument/2006/relationships" r:embed="rId2"/>
        <a:stretch>
          <a:fillRect/>
        </a:stretch>
      </xdr:blipFill>
      <xdr:spPr>
        <a:xfrm>
          <a:off x="743817" y="47132789"/>
          <a:ext cx="3187348" cy="3224237"/>
        </a:xfrm>
        <a:prstGeom prst="rect">
          <a:avLst/>
        </a:prstGeom>
      </xdr:spPr>
    </xdr:pic>
    <xdr:clientData/>
  </xdr:twoCellAnchor>
  <xdr:twoCellAnchor>
    <xdr:from>
      <xdr:col>2</xdr:col>
      <xdr:colOff>1615721</xdr:colOff>
      <xdr:row>200</xdr:row>
      <xdr:rowOff>157715</xdr:rowOff>
    </xdr:from>
    <xdr:to>
      <xdr:col>2</xdr:col>
      <xdr:colOff>1989665</xdr:colOff>
      <xdr:row>202</xdr:row>
      <xdr:rowOff>73048</xdr:rowOff>
    </xdr:to>
    <xdr:sp macro="" textlink="">
      <xdr:nvSpPr>
        <xdr:cNvPr id="53" name="Овал 52">
          <a:extLst>
            <a:ext uri="{FF2B5EF4-FFF2-40B4-BE49-F238E27FC236}">
              <a16:creationId xmlns:a16="http://schemas.microsoft.com/office/drawing/2014/main" id="{4783D64C-0C9C-4903-9114-7D8CD94FF0DD}"/>
            </a:ext>
          </a:extLst>
        </xdr:cNvPr>
        <xdr:cNvSpPr/>
      </xdr:nvSpPr>
      <xdr:spPr>
        <a:xfrm>
          <a:off x="2101496" y="35447840"/>
          <a:ext cx="373944" cy="29633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2</xdr:col>
      <xdr:colOff>38101</xdr:colOff>
      <xdr:row>64</xdr:row>
      <xdr:rowOff>138706</xdr:rowOff>
    </xdr:from>
    <xdr:to>
      <xdr:col>2</xdr:col>
      <xdr:colOff>5323345</xdr:colOff>
      <xdr:row>73</xdr:row>
      <xdr:rowOff>171449</xdr:rowOff>
    </xdr:to>
    <xdr:pic>
      <xdr:nvPicPr>
        <xdr:cNvPr id="2" name="Рисунок 1">
          <a:extLst>
            <a:ext uri="{FF2B5EF4-FFF2-40B4-BE49-F238E27FC236}">
              <a16:creationId xmlns:a16="http://schemas.microsoft.com/office/drawing/2014/main" id="{DCE0204D-B370-6113-2CA5-70264AA65EF4}"/>
            </a:ext>
          </a:extLst>
        </xdr:cNvPr>
        <xdr:cNvPicPr>
          <a:picLocks noChangeAspect="1"/>
        </xdr:cNvPicPr>
      </xdr:nvPicPr>
      <xdr:blipFill>
        <a:blip xmlns:r="http://schemas.openxmlformats.org/officeDocument/2006/relationships" r:embed="rId3"/>
        <a:stretch>
          <a:fillRect/>
        </a:stretch>
      </xdr:blipFill>
      <xdr:spPr>
        <a:xfrm>
          <a:off x="523876" y="8892181"/>
          <a:ext cx="5285244" cy="2747369"/>
        </a:xfrm>
        <a:prstGeom prst="rect">
          <a:avLst/>
        </a:prstGeom>
      </xdr:spPr>
    </xdr:pic>
    <xdr:clientData/>
  </xdr:twoCellAnchor>
  <xdr:twoCellAnchor editAs="oneCell">
    <xdr:from>
      <xdr:col>2</xdr:col>
      <xdr:colOff>66676</xdr:colOff>
      <xdr:row>12</xdr:row>
      <xdr:rowOff>66676</xdr:rowOff>
    </xdr:from>
    <xdr:to>
      <xdr:col>2</xdr:col>
      <xdr:colOff>5343525</xdr:colOff>
      <xdr:row>26</xdr:row>
      <xdr:rowOff>86413</xdr:rowOff>
    </xdr:to>
    <xdr:pic>
      <xdr:nvPicPr>
        <xdr:cNvPr id="54" name="Рисунок 53">
          <a:extLst>
            <a:ext uri="{FF2B5EF4-FFF2-40B4-BE49-F238E27FC236}">
              <a16:creationId xmlns:a16="http://schemas.microsoft.com/office/drawing/2014/main" id="{8486E206-A386-4049-9668-5D0EA82BDC4C}"/>
            </a:ext>
          </a:extLst>
        </xdr:cNvPr>
        <xdr:cNvPicPr>
          <a:picLocks noChangeAspect="1"/>
        </xdr:cNvPicPr>
      </xdr:nvPicPr>
      <xdr:blipFill>
        <a:blip xmlns:r="http://schemas.openxmlformats.org/officeDocument/2006/relationships" r:embed="rId4"/>
        <a:stretch>
          <a:fillRect/>
        </a:stretch>
      </xdr:blipFill>
      <xdr:spPr>
        <a:xfrm>
          <a:off x="552451" y="2590801"/>
          <a:ext cx="5276849" cy="2772462"/>
        </a:xfrm>
        <a:prstGeom prst="rect">
          <a:avLst/>
        </a:prstGeom>
      </xdr:spPr>
    </xdr:pic>
    <xdr:clientData/>
  </xdr:twoCellAnchor>
  <xdr:twoCellAnchor>
    <xdr:from>
      <xdr:col>2</xdr:col>
      <xdr:colOff>2762250</xdr:colOff>
      <xdr:row>65</xdr:row>
      <xdr:rowOff>104775</xdr:rowOff>
    </xdr:from>
    <xdr:to>
      <xdr:col>2</xdr:col>
      <xdr:colOff>4743450</xdr:colOff>
      <xdr:row>66</xdr:row>
      <xdr:rowOff>504825</xdr:rowOff>
    </xdr:to>
    <xdr:sp macro="" textlink="">
      <xdr:nvSpPr>
        <xdr:cNvPr id="58" name="Прямоугольник 57">
          <a:extLst>
            <a:ext uri="{FF2B5EF4-FFF2-40B4-BE49-F238E27FC236}">
              <a16:creationId xmlns:a16="http://schemas.microsoft.com/office/drawing/2014/main" id="{58DFCCA8-7932-4E36-D41F-66BDE9A423AB}"/>
            </a:ext>
          </a:extLst>
        </xdr:cNvPr>
        <xdr:cNvSpPr/>
      </xdr:nvSpPr>
      <xdr:spPr>
        <a:xfrm>
          <a:off x="3352800" y="9505950"/>
          <a:ext cx="1981200" cy="590550"/>
        </a:xfrm>
        <a:prstGeom prst="rect">
          <a:avLst/>
        </a:prstGeom>
        <a:noFill/>
        <a:ln w="19050">
          <a:solidFill>
            <a:srgbClr val="EE0000"/>
          </a:solid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ru-RU" sz="1100"/>
        </a:p>
      </xdr:txBody>
    </xdr:sp>
    <xdr:clientData/>
  </xdr:twoCellAnchor>
  <xdr:twoCellAnchor>
    <xdr:from>
      <xdr:col>2</xdr:col>
      <xdr:colOff>247650</xdr:colOff>
      <xdr:row>71</xdr:row>
      <xdr:rowOff>171450</xdr:rowOff>
    </xdr:from>
    <xdr:to>
      <xdr:col>2</xdr:col>
      <xdr:colOff>2914650</xdr:colOff>
      <xdr:row>72</xdr:row>
      <xdr:rowOff>247650</xdr:rowOff>
    </xdr:to>
    <xdr:sp macro="" textlink="">
      <xdr:nvSpPr>
        <xdr:cNvPr id="59" name="Прямоугольник: скругленные углы 58">
          <a:extLst>
            <a:ext uri="{FF2B5EF4-FFF2-40B4-BE49-F238E27FC236}">
              <a16:creationId xmlns:a16="http://schemas.microsoft.com/office/drawing/2014/main" id="{267ED88D-A0D8-2D16-A184-BBB0A52CF9AD}"/>
            </a:ext>
          </a:extLst>
        </xdr:cNvPr>
        <xdr:cNvSpPr/>
      </xdr:nvSpPr>
      <xdr:spPr>
        <a:xfrm>
          <a:off x="838200" y="11334750"/>
          <a:ext cx="2667000" cy="314325"/>
        </a:xfrm>
        <a:prstGeom prst="roundRect">
          <a:avLst/>
        </a:prstGeom>
        <a:noFill/>
        <a:ln w="28575">
          <a:solidFill>
            <a:schemeClr val="tx2">
              <a:lumMod val="60000"/>
              <a:lumOff val="40000"/>
            </a:schemeClr>
          </a:solid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ru-RU" sz="1100"/>
        </a:p>
      </xdr:txBody>
    </xdr:sp>
    <xdr:clientData/>
  </xdr:twoCellAnchor>
  <xdr:twoCellAnchor editAs="oneCell">
    <xdr:from>
      <xdr:col>2</xdr:col>
      <xdr:colOff>5362576</xdr:colOff>
      <xdr:row>74</xdr:row>
      <xdr:rowOff>114300</xdr:rowOff>
    </xdr:from>
    <xdr:to>
      <xdr:col>3</xdr:col>
      <xdr:colOff>2162175</xdr:colOff>
      <xdr:row>84</xdr:row>
      <xdr:rowOff>29707</xdr:rowOff>
    </xdr:to>
    <xdr:pic>
      <xdr:nvPicPr>
        <xdr:cNvPr id="60" name="Рисунок 59">
          <a:extLst>
            <a:ext uri="{FF2B5EF4-FFF2-40B4-BE49-F238E27FC236}">
              <a16:creationId xmlns:a16="http://schemas.microsoft.com/office/drawing/2014/main" id="{E7766381-9FB5-468C-3208-36D5A21D6C11}"/>
            </a:ext>
          </a:extLst>
        </xdr:cNvPr>
        <xdr:cNvPicPr>
          <a:picLocks noChangeAspect="1"/>
        </xdr:cNvPicPr>
      </xdr:nvPicPr>
      <xdr:blipFill>
        <a:blip xmlns:r="http://schemas.openxmlformats.org/officeDocument/2006/relationships" r:embed="rId5"/>
        <a:stretch>
          <a:fillRect/>
        </a:stretch>
      </xdr:blipFill>
      <xdr:spPr>
        <a:xfrm>
          <a:off x="5953126" y="15830550"/>
          <a:ext cx="2352674" cy="2296658"/>
        </a:xfrm>
        <a:prstGeom prst="rect">
          <a:avLst/>
        </a:prstGeom>
      </xdr:spPr>
    </xdr:pic>
    <xdr:clientData/>
  </xdr:twoCellAnchor>
  <xdr:twoCellAnchor>
    <xdr:from>
      <xdr:col>3</xdr:col>
      <xdr:colOff>266700</xdr:colOff>
      <xdr:row>74</xdr:row>
      <xdr:rowOff>219075</xdr:rowOff>
    </xdr:from>
    <xdr:to>
      <xdr:col>3</xdr:col>
      <xdr:colOff>733425</xdr:colOff>
      <xdr:row>76</xdr:row>
      <xdr:rowOff>200025</xdr:rowOff>
    </xdr:to>
    <xdr:sp macro="" textlink="">
      <xdr:nvSpPr>
        <xdr:cNvPr id="63" name="Овал 62">
          <a:extLst>
            <a:ext uri="{FF2B5EF4-FFF2-40B4-BE49-F238E27FC236}">
              <a16:creationId xmlns:a16="http://schemas.microsoft.com/office/drawing/2014/main" id="{F6997477-B046-9CC4-3FE8-1E6F08CFD369}"/>
            </a:ext>
          </a:extLst>
        </xdr:cNvPr>
        <xdr:cNvSpPr/>
      </xdr:nvSpPr>
      <xdr:spPr>
        <a:xfrm>
          <a:off x="6410325" y="15935325"/>
          <a:ext cx="466725" cy="457200"/>
        </a:xfrm>
        <a:prstGeom prst="ellipse">
          <a:avLst/>
        </a:prstGeom>
        <a:noFill/>
        <a:ln w="28575">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editAs="oneCell">
    <xdr:from>
      <xdr:col>2</xdr:col>
      <xdr:colOff>19051</xdr:colOff>
      <xdr:row>54</xdr:row>
      <xdr:rowOff>66675</xdr:rowOff>
    </xdr:from>
    <xdr:to>
      <xdr:col>2</xdr:col>
      <xdr:colOff>5353051</xdr:colOff>
      <xdr:row>60</xdr:row>
      <xdr:rowOff>89692</xdr:rowOff>
    </xdr:to>
    <xdr:pic>
      <xdr:nvPicPr>
        <xdr:cNvPr id="64" name="Рисунок 63">
          <a:extLst>
            <a:ext uri="{FF2B5EF4-FFF2-40B4-BE49-F238E27FC236}">
              <a16:creationId xmlns:a16="http://schemas.microsoft.com/office/drawing/2014/main" id="{9FD18649-52E3-E700-62C4-C0AE18B94313}"/>
            </a:ext>
          </a:extLst>
        </xdr:cNvPr>
        <xdr:cNvPicPr>
          <a:picLocks noChangeAspect="1"/>
        </xdr:cNvPicPr>
      </xdr:nvPicPr>
      <xdr:blipFill>
        <a:blip xmlns:r="http://schemas.openxmlformats.org/officeDocument/2006/relationships" r:embed="rId6"/>
        <a:stretch>
          <a:fillRect/>
        </a:stretch>
      </xdr:blipFill>
      <xdr:spPr>
        <a:xfrm>
          <a:off x="609601" y="6362700"/>
          <a:ext cx="5334000" cy="1785141"/>
        </a:xfrm>
        <a:prstGeom prst="rect">
          <a:avLst/>
        </a:prstGeom>
      </xdr:spPr>
    </xdr:pic>
    <xdr:clientData/>
  </xdr:twoCellAnchor>
  <xdr:twoCellAnchor>
    <xdr:from>
      <xdr:col>2</xdr:col>
      <xdr:colOff>3571875</xdr:colOff>
      <xdr:row>55</xdr:row>
      <xdr:rowOff>114300</xdr:rowOff>
    </xdr:from>
    <xdr:to>
      <xdr:col>2</xdr:col>
      <xdr:colOff>4438650</xdr:colOff>
      <xdr:row>56</xdr:row>
      <xdr:rowOff>438150</xdr:rowOff>
    </xdr:to>
    <xdr:sp macro="" textlink="">
      <xdr:nvSpPr>
        <xdr:cNvPr id="65" name="Прямоугольник 64">
          <a:extLst>
            <a:ext uri="{FF2B5EF4-FFF2-40B4-BE49-F238E27FC236}">
              <a16:creationId xmlns:a16="http://schemas.microsoft.com/office/drawing/2014/main" id="{955EB024-3DBA-03FF-7B7E-5A90FF3179C5}"/>
            </a:ext>
          </a:extLst>
        </xdr:cNvPr>
        <xdr:cNvSpPr/>
      </xdr:nvSpPr>
      <xdr:spPr>
        <a:xfrm>
          <a:off x="4162425" y="6600825"/>
          <a:ext cx="866775" cy="514350"/>
        </a:xfrm>
        <a:prstGeom prst="rect">
          <a:avLst/>
        </a:prstGeom>
        <a:noFill/>
        <a:ln w="28575">
          <a:solidFill>
            <a:srgbClr val="EE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editAs="oneCell">
    <xdr:from>
      <xdr:col>2</xdr:col>
      <xdr:colOff>71803</xdr:colOff>
      <xdr:row>28</xdr:row>
      <xdr:rowOff>153865</xdr:rowOff>
    </xdr:from>
    <xdr:to>
      <xdr:col>2</xdr:col>
      <xdr:colOff>5405803</xdr:colOff>
      <xdr:row>35</xdr:row>
      <xdr:rowOff>391988</xdr:rowOff>
    </xdr:to>
    <xdr:pic>
      <xdr:nvPicPr>
        <xdr:cNvPr id="66" name="Рисунок 65">
          <a:extLst>
            <a:ext uri="{FF2B5EF4-FFF2-40B4-BE49-F238E27FC236}">
              <a16:creationId xmlns:a16="http://schemas.microsoft.com/office/drawing/2014/main" id="{96E0DDB5-1D54-30FE-A130-2EAE03B75B7C}"/>
            </a:ext>
          </a:extLst>
        </xdr:cNvPr>
        <xdr:cNvPicPr>
          <a:picLocks noChangeAspect="1"/>
        </xdr:cNvPicPr>
      </xdr:nvPicPr>
      <xdr:blipFill>
        <a:blip xmlns:r="http://schemas.openxmlformats.org/officeDocument/2006/relationships" r:embed="rId7"/>
        <a:stretch>
          <a:fillRect/>
        </a:stretch>
      </xdr:blipFill>
      <xdr:spPr>
        <a:xfrm>
          <a:off x="665284" y="6411057"/>
          <a:ext cx="5334000" cy="2355604"/>
        </a:xfrm>
        <a:prstGeom prst="rect">
          <a:avLst/>
        </a:prstGeom>
      </xdr:spPr>
    </xdr:pic>
    <xdr:clientData/>
  </xdr:twoCellAnchor>
  <xdr:twoCellAnchor>
    <xdr:from>
      <xdr:col>2</xdr:col>
      <xdr:colOff>2724149</xdr:colOff>
      <xdr:row>34</xdr:row>
      <xdr:rowOff>183173</xdr:rowOff>
    </xdr:from>
    <xdr:to>
      <xdr:col>2</xdr:col>
      <xdr:colOff>5348654</xdr:colOff>
      <xdr:row>34</xdr:row>
      <xdr:rowOff>552450</xdr:rowOff>
    </xdr:to>
    <xdr:sp macro="" textlink="">
      <xdr:nvSpPr>
        <xdr:cNvPr id="67" name="Прямоугольник 66">
          <a:extLst>
            <a:ext uri="{FF2B5EF4-FFF2-40B4-BE49-F238E27FC236}">
              <a16:creationId xmlns:a16="http://schemas.microsoft.com/office/drawing/2014/main" id="{9608B728-AAE3-CB25-6DDF-E29A163CE28E}"/>
            </a:ext>
          </a:extLst>
        </xdr:cNvPr>
        <xdr:cNvSpPr/>
      </xdr:nvSpPr>
      <xdr:spPr>
        <a:xfrm>
          <a:off x="3317630" y="7583365"/>
          <a:ext cx="2624505" cy="369277"/>
        </a:xfrm>
        <a:prstGeom prst="rect">
          <a:avLst/>
        </a:prstGeom>
        <a:noFill/>
        <a:ln w="28575">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editAs="oneCell">
    <xdr:from>
      <xdr:col>2</xdr:col>
      <xdr:colOff>86706</xdr:colOff>
      <xdr:row>38</xdr:row>
      <xdr:rowOff>8736</xdr:rowOff>
    </xdr:from>
    <xdr:to>
      <xdr:col>2</xdr:col>
      <xdr:colOff>3846635</xdr:colOff>
      <xdr:row>48</xdr:row>
      <xdr:rowOff>87924</xdr:rowOff>
    </xdr:to>
    <xdr:pic>
      <xdr:nvPicPr>
        <xdr:cNvPr id="69" name="Рисунок 68">
          <a:extLst>
            <a:ext uri="{FF2B5EF4-FFF2-40B4-BE49-F238E27FC236}">
              <a16:creationId xmlns:a16="http://schemas.microsoft.com/office/drawing/2014/main" id="{C4891BBC-E8D0-A038-0672-7287367A6CA9}"/>
            </a:ext>
          </a:extLst>
        </xdr:cNvPr>
        <xdr:cNvPicPr>
          <a:picLocks noChangeAspect="1"/>
        </xdr:cNvPicPr>
      </xdr:nvPicPr>
      <xdr:blipFill>
        <a:blip xmlns:r="http://schemas.openxmlformats.org/officeDocument/2006/relationships" r:embed="rId8"/>
        <a:stretch>
          <a:fillRect/>
        </a:stretch>
      </xdr:blipFill>
      <xdr:spPr>
        <a:xfrm>
          <a:off x="680187" y="9731563"/>
          <a:ext cx="3759929" cy="2284592"/>
        </a:xfrm>
        <a:prstGeom prst="rect">
          <a:avLst/>
        </a:prstGeom>
      </xdr:spPr>
    </xdr:pic>
    <xdr:clientData/>
  </xdr:twoCellAnchor>
  <xdr:twoCellAnchor editAs="oneCell">
    <xdr:from>
      <xdr:col>2</xdr:col>
      <xdr:colOff>4110403</xdr:colOff>
      <xdr:row>41</xdr:row>
      <xdr:rowOff>7328</xdr:rowOff>
    </xdr:from>
    <xdr:to>
      <xdr:col>3</xdr:col>
      <xdr:colOff>2014424</xdr:colOff>
      <xdr:row>52</xdr:row>
      <xdr:rowOff>100777</xdr:rowOff>
    </xdr:to>
    <xdr:pic>
      <xdr:nvPicPr>
        <xdr:cNvPr id="70" name="Рисунок 69">
          <a:extLst>
            <a:ext uri="{FF2B5EF4-FFF2-40B4-BE49-F238E27FC236}">
              <a16:creationId xmlns:a16="http://schemas.microsoft.com/office/drawing/2014/main" id="{EF2DDD7D-E572-B99C-4B94-A45E32717F50}"/>
            </a:ext>
          </a:extLst>
        </xdr:cNvPr>
        <xdr:cNvPicPr>
          <a:picLocks noChangeAspect="1"/>
        </xdr:cNvPicPr>
      </xdr:nvPicPr>
      <xdr:blipFill>
        <a:blip xmlns:r="http://schemas.openxmlformats.org/officeDocument/2006/relationships" r:embed="rId9"/>
        <a:stretch>
          <a:fillRect/>
        </a:stretch>
      </xdr:blipFill>
      <xdr:spPr>
        <a:xfrm>
          <a:off x="4703884" y="10404232"/>
          <a:ext cx="3457828" cy="2196276"/>
        </a:xfrm>
        <a:prstGeom prst="rect">
          <a:avLst/>
        </a:prstGeom>
      </xdr:spPr>
    </xdr:pic>
    <xdr:clientData/>
  </xdr:twoCellAnchor>
  <xdr:twoCellAnchor editAs="oneCell">
    <xdr:from>
      <xdr:col>2</xdr:col>
      <xdr:colOff>2036884</xdr:colOff>
      <xdr:row>61</xdr:row>
      <xdr:rowOff>21980</xdr:rowOff>
    </xdr:from>
    <xdr:to>
      <xdr:col>3</xdr:col>
      <xdr:colOff>2040725</xdr:colOff>
      <xdr:row>62</xdr:row>
      <xdr:rowOff>98135</xdr:rowOff>
    </xdr:to>
    <xdr:pic>
      <xdr:nvPicPr>
        <xdr:cNvPr id="71" name="Рисунок 70">
          <a:extLst>
            <a:ext uri="{FF2B5EF4-FFF2-40B4-BE49-F238E27FC236}">
              <a16:creationId xmlns:a16="http://schemas.microsoft.com/office/drawing/2014/main" id="{17C1752B-FB95-5E07-AB10-0527A0E396D4}"/>
            </a:ext>
          </a:extLst>
        </xdr:cNvPr>
        <xdr:cNvPicPr>
          <a:picLocks noChangeAspect="1"/>
        </xdr:cNvPicPr>
      </xdr:nvPicPr>
      <xdr:blipFill>
        <a:blip xmlns:r="http://schemas.openxmlformats.org/officeDocument/2006/relationships" r:embed="rId10"/>
        <a:stretch>
          <a:fillRect/>
        </a:stretch>
      </xdr:blipFill>
      <xdr:spPr>
        <a:xfrm>
          <a:off x="2630365" y="15071480"/>
          <a:ext cx="5557648" cy="266655"/>
        </a:xfrm>
        <a:prstGeom prst="rect">
          <a:avLst/>
        </a:prstGeom>
      </xdr:spPr>
    </xdr:pic>
    <xdr:clientData/>
  </xdr:twoCellAnchor>
  <xdr:twoCellAnchor>
    <xdr:from>
      <xdr:col>2</xdr:col>
      <xdr:colOff>4484077</xdr:colOff>
      <xdr:row>60</xdr:row>
      <xdr:rowOff>161192</xdr:rowOff>
    </xdr:from>
    <xdr:to>
      <xdr:col>2</xdr:col>
      <xdr:colOff>5253404</xdr:colOff>
      <xdr:row>62</xdr:row>
      <xdr:rowOff>168519</xdr:rowOff>
    </xdr:to>
    <xdr:sp macro="" textlink="">
      <xdr:nvSpPr>
        <xdr:cNvPr id="72" name="Овал 71">
          <a:extLst>
            <a:ext uri="{FF2B5EF4-FFF2-40B4-BE49-F238E27FC236}">
              <a16:creationId xmlns:a16="http://schemas.microsoft.com/office/drawing/2014/main" id="{46A82141-6C23-8B04-76C7-68C9ECE1E1C1}"/>
            </a:ext>
          </a:extLst>
        </xdr:cNvPr>
        <xdr:cNvSpPr/>
      </xdr:nvSpPr>
      <xdr:spPr>
        <a:xfrm>
          <a:off x="5077558" y="15020192"/>
          <a:ext cx="769327" cy="388327"/>
        </a:xfrm>
        <a:prstGeom prst="ellipse">
          <a:avLst/>
        </a:prstGeom>
        <a:noFill/>
        <a:ln w="28575">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editAs="oneCell">
    <xdr:from>
      <xdr:col>2</xdr:col>
      <xdr:colOff>43961</xdr:colOff>
      <xdr:row>87</xdr:row>
      <xdr:rowOff>51288</xdr:rowOff>
    </xdr:from>
    <xdr:to>
      <xdr:col>3</xdr:col>
      <xdr:colOff>1735553</xdr:colOff>
      <xdr:row>94</xdr:row>
      <xdr:rowOff>102577</xdr:rowOff>
    </xdr:to>
    <xdr:pic>
      <xdr:nvPicPr>
        <xdr:cNvPr id="73" name="Рисунок 72">
          <a:extLst>
            <a:ext uri="{FF2B5EF4-FFF2-40B4-BE49-F238E27FC236}">
              <a16:creationId xmlns:a16="http://schemas.microsoft.com/office/drawing/2014/main" id="{8802D612-D610-8E77-8F12-2EFCDB0E15E1}"/>
            </a:ext>
          </a:extLst>
        </xdr:cNvPr>
        <xdr:cNvPicPr>
          <a:picLocks noChangeAspect="1"/>
        </xdr:cNvPicPr>
      </xdr:nvPicPr>
      <xdr:blipFill>
        <a:blip xmlns:r="http://schemas.openxmlformats.org/officeDocument/2006/relationships" r:embed="rId11"/>
        <a:stretch>
          <a:fillRect/>
        </a:stretch>
      </xdr:blipFill>
      <xdr:spPr>
        <a:xfrm>
          <a:off x="637442" y="22354442"/>
          <a:ext cx="7245399" cy="1743808"/>
        </a:xfrm>
        <a:prstGeom prst="rect">
          <a:avLst/>
        </a:prstGeom>
      </xdr:spPr>
    </xdr:pic>
    <xdr:clientData/>
  </xdr:twoCellAnchor>
  <xdr:twoCellAnchor editAs="oneCell">
    <xdr:from>
      <xdr:col>1</xdr:col>
      <xdr:colOff>249118</xdr:colOff>
      <xdr:row>99</xdr:row>
      <xdr:rowOff>146540</xdr:rowOff>
    </xdr:from>
    <xdr:to>
      <xdr:col>3</xdr:col>
      <xdr:colOff>1820828</xdr:colOff>
      <xdr:row>111</xdr:row>
      <xdr:rowOff>73270</xdr:rowOff>
    </xdr:to>
    <xdr:pic>
      <xdr:nvPicPr>
        <xdr:cNvPr id="74" name="Рисунок 73">
          <a:extLst>
            <a:ext uri="{FF2B5EF4-FFF2-40B4-BE49-F238E27FC236}">
              <a16:creationId xmlns:a16="http://schemas.microsoft.com/office/drawing/2014/main" id="{A2140A34-96CA-C37A-18E4-CB8E3A22A5BD}"/>
            </a:ext>
          </a:extLst>
        </xdr:cNvPr>
        <xdr:cNvPicPr>
          <a:picLocks noChangeAspect="1"/>
        </xdr:cNvPicPr>
      </xdr:nvPicPr>
      <xdr:blipFill>
        <a:blip xmlns:r="http://schemas.openxmlformats.org/officeDocument/2006/relationships" r:embed="rId12"/>
        <a:stretch>
          <a:fillRect/>
        </a:stretch>
      </xdr:blipFill>
      <xdr:spPr>
        <a:xfrm>
          <a:off x="395656" y="25453732"/>
          <a:ext cx="7572460" cy="2212730"/>
        </a:xfrm>
        <a:prstGeom prst="rect">
          <a:avLst/>
        </a:prstGeom>
      </xdr:spPr>
    </xdr:pic>
    <xdr:clientData/>
  </xdr:twoCellAnchor>
  <xdr:twoCellAnchor>
    <xdr:from>
      <xdr:col>2</xdr:col>
      <xdr:colOff>2366596</xdr:colOff>
      <xdr:row>112</xdr:row>
      <xdr:rowOff>73269</xdr:rowOff>
    </xdr:from>
    <xdr:to>
      <xdr:col>2</xdr:col>
      <xdr:colOff>4740520</xdr:colOff>
      <xdr:row>113</xdr:row>
      <xdr:rowOff>161192</xdr:rowOff>
    </xdr:to>
    <xdr:sp macro="" textlink="">
      <xdr:nvSpPr>
        <xdr:cNvPr id="75" name="TextBox 74">
          <a:extLst>
            <a:ext uri="{FF2B5EF4-FFF2-40B4-BE49-F238E27FC236}">
              <a16:creationId xmlns:a16="http://schemas.microsoft.com/office/drawing/2014/main" id="{9972C592-7C2A-5BA1-C775-9173AE742346}"/>
            </a:ext>
          </a:extLst>
        </xdr:cNvPr>
        <xdr:cNvSpPr txBox="1"/>
      </xdr:nvSpPr>
      <xdr:spPr>
        <a:xfrm>
          <a:off x="2960077" y="27856961"/>
          <a:ext cx="2373924" cy="278423"/>
        </a:xfrm>
        <a:prstGeom prst="rect">
          <a:avLst/>
        </a:prstGeom>
        <a:noFill/>
        <a:ln w="19050" cmpd="sng">
          <a:solidFill>
            <a:srgbClr val="EE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ru-RU" sz="1100" b="1">
              <a:solidFill>
                <a:srgbClr val="EE0000"/>
              </a:solidFill>
            </a:rPr>
            <a:t>Заполнить!</a:t>
          </a:r>
        </a:p>
      </xdr:txBody>
    </xdr:sp>
    <xdr:clientData/>
  </xdr:twoCellAnchor>
  <xdr:twoCellAnchor>
    <xdr:from>
      <xdr:col>2</xdr:col>
      <xdr:colOff>4740520</xdr:colOff>
      <xdr:row>109</xdr:row>
      <xdr:rowOff>7327</xdr:rowOff>
    </xdr:from>
    <xdr:to>
      <xdr:col>3</xdr:col>
      <xdr:colOff>14654</xdr:colOff>
      <xdr:row>113</xdr:row>
      <xdr:rowOff>21981</xdr:rowOff>
    </xdr:to>
    <xdr:cxnSp macro="">
      <xdr:nvCxnSpPr>
        <xdr:cNvPr id="77" name="Прямая со стрелкой 76">
          <a:extLst>
            <a:ext uri="{FF2B5EF4-FFF2-40B4-BE49-F238E27FC236}">
              <a16:creationId xmlns:a16="http://schemas.microsoft.com/office/drawing/2014/main" id="{0C53CE4A-867B-A9C7-4BCA-0BE74998358E}"/>
            </a:ext>
          </a:extLst>
        </xdr:cNvPr>
        <xdr:cNvCxnSpPr>
          <a:stCxn id="75" idx="3"/>
        </xdr:cNvCxnSpPr>
      </xdr:nvCxnSpPr>
      <xdr:spPr>
        <a:xfrm flipV="1">
          <a:off x="5334001" y="27219519"/>
          <a:ext cx="827941" cy="776654"/>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4007827</xdr:colOff>
      <xdr:row>100</xdr:row>
      <xdr:rowOff>71804</xdr:rowOff>
    </xdr:from>
    <xdr:to>
      <xdr:col>3</xdr:col>
      <xdr:colOff>42496</xdr:colOff>
      <xdr:row>112</xdr:row>
      <xdr:rowOff>80596</xdr:rowOff>
    </xdr:to>
    <xdr:cxnSp macro="">
      <xdr:nvCxnSpPr>
        <xdr:cNvPr id="78" name="Прямая со стрелкой 77">
          <a:extLst>
            <a:ext uri="{FF2B5EF4-FFF2-40B4-BE49-F238E27FC236}">
              <a16:creationId xmlns:a16="http://schemas.microsoft.com/office/drawing/2014/main" id="{CD4D177F-7858-4D81-9E31-FE33934A6427}"/>
            </a:ext>
          </a:extLst>
        </xdr:cNvPr>
        <xdr:cNvCxnSpPr/>
      </xdr:nvCxnSpPr>
      <xdr:spPr>
        <a:xfrm flipV="1">
          <a:off x="4601308" y="25569496"/>
          <a:ext cx="1588476" cy="2294792"/>
        </a:xfrm>
        <a:prstGeom prst="straightConnector1">
          <a:avLst/>
        </a:prstGeom>
        <a:ln>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322385</xdr:colOff>
      <xdr:row>117</xdr:row>
      <xdr:rowOff>146538</xdr:rowOff>
    </xdr:from>
    <xdr:to>
      <xdr:col>3</xdr:col>
      <xdr:colOff>1830437</xdr:colOff>
      <xdr:row>128</xdr:row>
      <xdr:rowOff>109903</xdr:rowOff>
    </xdr:to>
    <xdr:pic>
      <xdr:nvPicPr>
        <xdr:cNvPr id="82" name="Рисунок 81">
          <a:extLst>
            <a:ext uri="{FF2B5EF4-FFF2-40B4-BE49-F238E27FC236}">
              <a16:creationId xmlns:a16="http://schemas.microsoft.com/office/drawing/2014/main" id="{851D356E-BEB2-7659-46D9-D2CFCCE38C8F}"/>
            </a:ext>
          </a:extLst>
        </xdr:cNvPr>
        <xdr:cNvPicPr>
          <a:picLocks noChangeAspect="1"/>
        </xdr:cNvPicPr>
      </xdr:nvPicPr>
      <xdr:blipFill>
        <a:blip xmlns:r="http://schemas.openxmlformats.org/officeDocument/2006/relationships" r:embed="rId13"/>
        <a:stretch>
          <a:fillRect/>
        </a:stretch>
      </xdr:blipFill>
      <xdr:spPr>
        <a:xfrm>
          <a:off x="468923" y="28882730"/>
          <a:ext cx="7508802" cy="2058865"/>
        </a:xfrm>
        <a:prstGeom prst="rect">
          <a:avLst/>
        </a:prstGeom>
      </xdr:spPr>
    </xdr:pic>
    <xdr:clientData/>
  </xdr:twoCellAnchor>
  <xdr:twoCellAnchor>
    <xdr:from>
      <xdr:col>2</xdr:col>
      <xdr:colOff>3927231</xdr:colOff>
      <xdr:row>116</xdr:row>
      <xdr:rowOff>307731</xdr:rowOff>
    </xdr:from>
    <xdr:to>
      <xdr:col>2</xdr:col>
      <xdr:colOff>4520711</xdr:colOff>
      <xdr:row>129</xdr:row>
      <xdr:rowOff>0</xdr:rowOff>
    </xdr:to>
    <xdr:sp macro="" textlink="">
      <xdr:nvSpPr>
        <xdr:cNvPr id="83" name="Прямоугольник 82">
          <a:extLst>
            <a:ext uri="{FF2B5EF4-FFF2-40B4-BE49-F238E27FC236}">
              <a16:creationId xmlns:a16="http://schemas.microsoft.com/office/drawing/2014/main" id="{B50D2762-2685-0CC6-A0DA-F216297B1AC1}"/>
            </a:ext>
          </a:extLst>
        </xdr:cNvPr>
        <xdr:cNvSpPr/>
      </xdr:nvSpPr>
      <xdr:spPr>
        <a:xfrm>
          <a:off x="4520712" y="28853423"/>
          <a:ext cx="593480" cy="2300654"/>
        </a:xfrm>
        <a:prstGeom prst="rect">
          <a:avLst/>
        </a:prstGeom>
        <a:noFill/>
        <a:ln w="28575">
          <a:solidFill>
            <a:srgbClr val="EE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editAs="oneCell">
    <xdr:from>
      <xdr:col>1</xdr:col>
      <xdr:colOff>307732</xdr:colOff>
      <xdr:row>135</xdr:row>
      <xdr:rowOff>14653</xdr:rowOff>
    </xdr:from>
    <xdr:to>
      <xdr:col>2</xdr:col>
      <xdr:colOff>5480539</xdr:colOff>
      <xdr:row>140</xdr:row>
      <xdr:rowOff>642097</xdr:rowOff>
    </xdr:to>
    <xdr:pic>
      <xdr:nvPicPr>
        <xdr:cNvPr id="84" name="Рисунок 83">
          <a:extLst>
            <a:ext uri="{FF2B5EF4-FFF2-40B4-BE49-F238E27FC236}">
              <a16:creationId xmlns:a16="http://schemas.microsoft.com/office/drawing/2014/main" id="{8B5835A4-B6C6-857C-0EAE-4763E237491B}"/>
            </a:ext>
          </a:extLst>
        </xdr:cNvPr>
        <xdr:cNvPicPr>
          <a:picLocks noChangeAspect="1"/>
        </xdr:cNvPicPr>
      </xdr:nvPicPr>
      <xdr:blipFill>
        <a:blip xmlns:r="http://schemas.openxmlformats.org/officeDocument/2006/relationships" r:embed="rId14"/>
        <a:stretch>
          <a:fillRect/>
        </a:stretch>
      </xdr:blipFill>
      <xdr:spPr>
        <a:xfrm>
          <a:off x="454270" y="32824615"/>
          <a:ext cx="5619750" cy="2048867"/>
        </a:xfrm>
        <a:prstGeom prst="rect">
          <a:avLst/>
        </a:prstGeom>
      </xdr:spPr>
    </xdr:pic>
    <xdr:clientData/>
  </xdr:twoCellAnchor>
  <xdr:twoCellAnchor editAs="oneCell">
    <xdr:from>
      <xdr:col>1</xdr:col>
      <xdr:colOff>366347</xdr:colOff>
      <xdr:row>141</xdr:row>
      <xdr:rowOff>95907</xdr:rowOff>
    </xdr:from>
    <xdr:to>
      <xdr:col>3</xdr:col>
      <xdr:colOff>2044212</xdr:colOff>
      <xdr:row>148</xdr:row>
      <xdr:rowOff>66490</xdr:rowOff>
    </xdr:to>
    <xdr:pic>
      <xdr:nvPicPr>
        <xdr:cNvPr id="85" name="Рисунок 84">
          <a:extLst>
            <a:ext uri="{FF2B5EF4-FFF2-40B4-BE49-F238E27FC236}">
              <a16:creationId xmlns:a16="http://schemas.microsoft.com/office/drawing/2014/main" id="{40857DBC-4E43-882E-68AB-511B9DF97840}"/>
            </a:ext>
          </a:extLst>
        </xdr:cNvPr>
        <xdr:cNvPicPr>
          <a:picLocks noChangeAspect="1"/>
        </xdr:cNvPicPr>
      </xdr:nvPicPr>
      <xdr:blipFill>
        <a:blip xmlns:r="http://schemas.openxmlformats.org/officeDocument/2006/relationships" r:embed="rId15"/>
        <a:stretch>
          <a:fillRect/>
        </a:stretch>
      </xdr:blipFill>
      <xdr:spPr>
        <a:xfrm>
          <a:off x="512885" y="35309099"/>
          <a:ext cx="7678615" cy="1304083"/>
        </a:xfrm>
        <a:prstGeom prst="rect">
          <a:avLst/>
        </a:prstGeom>
      </xdr:spPr>
    </xdr:pic>
    <xdr:clientData/>
  </xdr:twoCellAnchor>
  <xdr:twoCellAnchor>
    <xdr:from>
      <xdr:col>3</xdr:col>
      <xdr:colOff>190500</xdr:colOff>
      <xdr:row>141</xdr:row>
      <xdr:rowOff>0</xdr:rowOff>
    </xdr:from>
    <xdr:to>
      <xdr:col>3</xdr:col>
      <xdr:colOff>637443</xdr:colOff>
      <xdr:row>148</xdr:row>
      <xdr:rowOff>73270</xdr:rowOff>
    </xdr:to>
    <xdr:sp macro="" textlink="">
      <xdr:nvSpPr>
        <xdr:cNvPr id="86" name="Прямоугольник 85">
          <a:extLst>
            <a:ext uri="{FF2B5EF4-FFF2-40B4-BE49-F238E27FC236}">
              <a16:creationId xmlns:a16="http://schemas.microsoft.com/office/drawing/2014/main" id="{38662C4D-1889-F889-CE28-2AB5E04A60AA}"/>
            </a:ext>
          </a:extLst>
        </xdr:cNvPr>
        <xdr:cNvSpPr/>
      </xdr:nvSpPr>
      <xdr:spPr>
        <a:xfrm>
          <a:off x="6337788" y="35213192"/>
          <a:ext cx="446943" cy="1406770"/>
        </a:xfrm>
        <a:prstGeom prst="rect">
          <a:avLst/>
        </a:prstGeom>
        <a:noFill/>
        <a:ln w="19050">
          <a:solidFill>
            <a:srgbClr val="EE000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ru-RU" sz="1100"/>
        </a:p>
      </xdr:txBody>
    </xdr:sp>
    <xdr:clientData/>
  </xdr:twoCellAnchor>
  <xdr:twoCellAnchor>
    <xdr:from>
      <xdr:col>2</xdr:col>
      <xdr:colOff>5158154</xdr:colOff>
      <xdr:row>147</xdr:row>
      <xdr:rowOff>21981</xdr:rowOff>
    </xdr:from>
    <xdr:to>
      <xdr:col>3</xdr:col>
      <xdr:colOff>205154</xdr:colOff>
      <xdr:row>149</xdr:row>
      <xdr:rowOff>124558</xdr:rowOff>
    </xdr:to>
    <xdr:cxnSp macro="">
      <xdr:nvCxnSpPr>
        <xdr:cNvPr id="88" name="Прямая со стрелкой 87">
          <a:extLst>
            <a:ext uri="{FF2B5EF4-FFF2-40B4-BE49-F238E27FC236}">
              <a16:creationId xmlns:a16="http://schemas.microsoft.com/office/drawing/2014/main" id="{D738B408-8D5A-CD37-9E79-63AF8D8D3027}"/>
            </a:ext>
          </a:extLst>
        </xdr:cNvPr>
        <xdr:cNvCxnSpPr/>
      </xdr:nvCxnSpPr>
      <xdr:spPr>
        <a:xfrm flipV="1">
          <a:off x="5751635" y="36378173"/>
          <a:ext cx="600807" cy="483577"/>
        </a:xfrm>
        <a:prstGeom prst="straightConnector1">
          <a:avLst/>
        </a:prstGeom>
        <a:ln w="12700">
          <a:solidFill>
            <a:srgbClr val="EE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336077</xdr:colOff>
      <xdr:row>150</xdr:row>
      <xdr:rowOff>65943</xdr:rowOff>
    </xdr:from>
    <xdr:to>
      <xdr:col>3</xdr:col>
      <xdr:colOff>2022231</xdr:colOff>
      <xdr:row>164</xdr:row>
      <xdr:rowOff>165340</xdr:rowOff>
    </xdr:to>
    <xdr:pic>
      <xdr:nvPicPr>
        <xdr:cNvPr id="90" name="Рисунок 89">
          <a:extLst>
            <a:ext uri="{FF2B5EF4-FFF2-40B4-BE49-F238E27FC236}">
              <a16:creationId xmlns:a16="http://schemas.microsoft.com/office/drawing/2014/main" id="{5C365991-DE66-2DF7-90B4-DAAEB8BE3D87}"/>
            </a:ext>
          </a:extLst>
        </xdr:cNvPr>
        <xdr:cNvPicPr>
          <a:picLocks noChangeAspect="1"/>
        </xdr:cNvPicPr>
      </xdr:nvPicPr>
      <xdr:blipFill>
        <a:blip xmlns:r="http://schemas.openxmlformats.org/officeDocument/2006/relationships" r:embed="rId16"/>
        <a:stretch>
          <a:fillRect/>
        </a:stretch>
      </xdr:blipFill>
      <xdr:spPr>
        <a:xfrm>
          <a:off x="482615" y="37140174"/>
          <a:ext cx="7686904" cy="2729762"/>
        </a:xfrm>
        <a:prstGeom prst="rect">
          <a:avLst/>
        </a:prstGeom>
      </xdr:spPr>
    </xdr:pic>
    <xdr:clientData/>
  </xdr:twoCellAnchor>
  <xdr:twoCellAnchor>
    <xdr:from>
      <xdr:col>2</xdr:col>
      <xdr:colOff>5158154</xdr:colOff>
      <xdr:row>149</xdr:row>
      <xdr:rowOff>124558</xdr:rowOff>
    </xdr:from>
    <xdr:to>
      <xdr:col>3</xdr:col>
      <xdr:colOff>424962</xdr:colOff>
      <xdr:row>150</xdr:row>
      <xdr:rowOff>73269</xdr:rowOff>
    </xdr:to>
    <xdr:cxnSp macro="">
      <xdr:nvCxnSpPr>
        <xdr:cNvPr id="91" name="Прямая со стрелкой 90">
          <a:extLst>
            <a:ext uri="{FF2B5EF4-FFF2-40B4-BE49-F238E27FC236}">
              <a16:creationId xmlns:a16="http://schemas.microsoft.com/office/drawing/2014/main" id="{A28F760E-81B2-4195-B64F-EF8F6BB3B781}"/>
            </a:ext>
          </a:extLst>
        </xdr:cNvPr>
        <xdr:cNvCxnSpPr/>
      </xdr:nvCxnSpPr>
      <xdr:spPr>
        <a:xfrm>
          <a:off x="5751635" y="36861750"/>
          <a:ext cx="820615" cy="285750"/>
        </a:xfrm>
        <a:prstGeom prst="straightConnector1">
          <a:avLst/>
        </a:prstGeom>
        <a:noFill/>
        <a:ln w="12700" cap="flat" cmpd="sng" algn="ctr">
          <a:solidFill>
            <a:srgbClr val="EE0000"/>
          </a:solidFill>
          <a:prstDash val="solid"/>
          <a:tailEnd type="triangle"/>
        </a:ln>
        <a:effectLst/>
      </xdr:spPr>
    </xdr:cxnSp>
    <xdr:clientData/>
  </xdr:twoCellAnchor>
  <xdr:twoCellAnchor editAs="oneCell">
    <xdr:from>
      <xdr:col>2</xdr:col>
      <xdr:colOff>183172</xdr:colOff>
      <xdr:row>173</xdr:row>
      <xdr:rowOff>27422</xdr:rowOff>
    </xdr:from>
    <xdr:to>
      <xdr:col>3</xdr:col>
      <xdr:colOff>2205404</xdr:colOff>
      <xdr:row>176</xdr:row>
      <xdr:rowOff>51121</xdr:rowOff>
    </xdr:to>
    <xdr:pic>
      <xdr:nvPicPr>
        <xdr:cNvPr id="98" name="Рисунок 97">
          <a:extLst>
            <a:ext uri="{FF2B5EF4-FFF2-40B4-BE49-F238E27FC236}">
              <a16:creationId xmlns:a16="http://schemas.microsoft.com/office/drawing/2014/main" id="{243E8BEE-D9AB-1E0E-6081-33E3BF6915B5}"/>
            </a:ext>
          </a:extLst>
        </xdr:cNvPr>
        <xdr:cNvPicPr>
          <a:picLocks noChangeAspect="1"/>
        </xdr:cNvPicPr>
      </xdr:nvPicPr>
      <xdr:blipFill>
        <a:blip xmlns:r="http://schemas.openxmlformats.org/officeDocument/2006/relationships" r:embed="rId17"/>
        <a:stretch>
          <a:fillRect/>
        </a:stretch>
      </xdr:blipFill>
      <xdr:spPr>
        <a:xfrm>
          <a:off x="776653" y="41871480"/>
          <a:ext cx="7576039" cy="595199"/>
        </a:xfrm>
        <a:prstGeom prst="rect">
          <a:avLst/>
        </a:prstGeom>
      </xdr:spPr>
    </xdr:pic>
    <xdr:clientData/>
  </xdr:twoCellAnchor>
  <xdr:twoCellAnchor>
    <xdr:from>
      <xdr:col>2</xdr:col>
      <xdr:colOff>95250</xdr:colOff>
      <xdr:row>174</xdr:row>
      <xdr:rowOff>51287</xdr:rowOff>
    </xdr:from>
    <xdr:to>
      <xdr:col>3</xdr:col>
      <xdr:colOff>2212733</xdr:colOff>
      <xdr:row>175</xdr:row>
      <xdr:rowOff>51286</xdr:rowOff>
    </xdr:to>
    <xdr:sp macro="" textlink="">
      <xdr:nvSpPr>
        <xdr:cNvPr id="40" name="Прямоугольник 39">
          <a:extLst>
            <a:ext uri="{FF2B5EF4-FFF2-40B4-BE49-F238E27FC236}">
              <a16:creationId xmlns:a16="http://schemas.microsoft.com/office/drawing/2014/main" id="{C4129773-FFE1-4E20-98AD-2505EE36414D}"/>
            </a:ext>
          </a:extLst>
        </xdr:cNvPr>
        <xdr:cNvSpPr/>
      </xdr:nvSpPr>
      <xdr:spPr>
        <a:xfrm>
          <a:off x="688731" y="42085845"/>
          <a:ext cx="7671290" cy="19049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576793</xdr:colOff>
      <xdr:row>6</xdr:row>
      <xdr:rowOff>95888</xdr:rowOff>
    </xdr:from>
    <xdr:to>
      <xdr:col>8</xdr:col>
      <xdr:colOff>1290223</xdr:colOff>
      <xdr:row>26</xdr:row>
      <xdr:rowOff>50913</xdr:rowOff>
    </xdr:to>
    <xdr:pic>
      <xdr:nvPicPr>
        <xdr:cNvPr id="2" name="Изображение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bwMode="auto">
        <a:xfrm>
          <a:off x="7350126" y="1895055"/>
          <a:ext cx="3486264" cy="5056191"/>
        </a:xfrm>
        <a:prstGeom prst="rect">
          <a:avLst/>
        </a:prstGeom>
        <a:noFill/>
      </xdr:spPr>
    </xdr:pic>
    <xdr:clientData/>
  </xdr:twoCellAnchor>
  <xdr:twoCellAnchor editAs="oneCell">
    <xdr:from>
      <xdr:col>2</xdr:col>
      <xdr:colOff>715963</xdr:colOff>
      <xdr:row>0</xdr:row>
      <xdr:rowOff>74347</xdr:rowOff>
    </xdr:from>
    <xdr:to>
      <xdr:col>2</xdr:col>
      <xdr:colOff>1762655</xdr:colOff>
      <xdr:row>0</xdr:row>
      <xdr:rowOff>723085</xdr:rowOff>
    </xdr:to>
    <xdr:pic>
      <xdr:nvPicPr>
        <xdr:cNvPr id="3" name="Рисунок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stretch/>
      </xdr:blipFill>
      <xdr:spPr bwMode="auto">
        <a:xfrm>
          <a:off x="1012296" y="74347"/>
          <a:ext cx="1046692" cy="648738"/>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1</xdr:col>
      <xdr:colOff>232741</xdr:colOff>
      <xdr:row>0</xdr:row>
      <xdr:rowOff>278296</xdr:rowOff>
    </xdr:to>
    <xdr:pic>
      <xdr:nvPicPr>
        <xdr:cNvPr id="2" name="Рисунок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tretch/>
      </xdr:blipFill>
      <xdr:spPr bwMode="auto">
        <a:xfrm>
          <a:off x="28575" y="38100"/>
          <a:ext cx="293066" cy="240196"/>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239448</xdr:colOff>
      <xdr:row>4</xdr:row>
      <xdr:rowOff>157427</xdr:rowOff>
    </xdr:from>
    <xdr:to>
      <xdr:col>8</xdr:col>
      <xdr:colOff>1448591</xdr:colOff>
      <xdr:row>20</xdr:row>
      <xdr:rowOff>346426</xdr:rowOff>
    </xdr:to>
    <xdr:pic>
      <xdr:nvPicPr>
        <xdr:cNvPr id="2" name="Изображение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bwMode="auto">
        <a:xfrm>
          <a:off x="7647781" y="1554427"/>
          <a:ext cx="4013727" cy="3646222"/>
        </a:xfrm>
        <a:prstGeom prst="rect">
          <a:avLst/>
        </a:prstGeom>
        <a:noFill/>
      </xdr:spPr>
    </xdr:pic>
    <xdr:clientData/>
  </xdr:twoCellAnchor>
  <xdr:twoCellAnchor editAs="oneCell">
    <xdr:from>
      <xdr:col>2</xdr:col>
      <xdr:colOff>1103576</xdr:colOff>
      <xdr:row>0</xdr:row>
      <xdr:rowOff>94191</xdr:rowOff>
    </xdr:from>
    <xdr:to>
      <xdr:col>2</xdr:col>
      <xdr:colOff>2146035</xdr:colOff>
      <xdr:row>0</xdr:row>
      <xdr:rowOff>742929</xdr:rowOff>
    </xdr:to>
    <xdr:pic>
      <xdr:nvPicPr>
        <xdr:cNvPr id="3" name="Рисунок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stretch/>
      </xdr:blipFill>
      <xdr:spPr bwMode="auto">
        <a:xfrm>
          <a:off x="1399910" y="94191"/>
          <a:ext cx="1042458" cy="648738"/>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8282</xdr:colOff>
      <xdr:row>0</xdr:row>
      <xdr:rowOff>33131</xdr:rowOff>
    </xdr:from>
    <xdr:to>
      <xdr:col>1</xdr:col>
      <xdr:colOff>240301</xdr:colOff>
      <xdr:row>0</xdr:row>
      <xdr:rowOff>293688</xdr:rowOff>
    </xdr:to>
    <xdr:pic>
      <xdr:nvPicPr>
        <xdr:cNvPr id="3" name="Рисунок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stretch/>
      </xdr:blipFill>
      <xdr:spPr bwMode="auto">
        <a:xfrm>
          <a:off x="8282" y="33131"/>
          <a:ext cx="319332" cy="260557"/>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802716</xdr:colOff>
      <xdr:row>0</xdr:row>
      <xdr:rowOff>339821</xdr:rowOff>
    </xdr:from>
    <xdr:to>
      <xdr:col>2</xdr:col>
      <xdr:colOff>1816055</xdr:colOff>
      <xdr:row>1</xdr:row>
      <xdr:rowOff>1753</xdr:rowOff>
    </xdr:to>
    <xdr:pic>
      <xdr:nvPicPr>
        <xdr:cNvPr id="2" name="Рисунок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stretch/>
      </xdr:blipFill>
      <xdr:spPr bwMode="auto">
        <a:xfrm>
          <a:off x="1099049" y="339821"/>
          <a:ext cx="1013339" cy="656765"/>
        </a:xfrm>
        <a:prstGeom prst="rect">
          <a:avLst/>
        </a:prstGeom>
        <a:noFill/>
      </xdr:spPr>
    </xdr:pic>
    <xdr:clientData/>
  </xdr:twoCellAnchor>
  <xdr:twoCellAnchor editAs="oneCell">
    <xdr:from>
      <xdr:col>7</xdr:col>
      <xdr:colOff>1046992</xdr:colOff>
      <xdr:row>6</xdr:row>
      <xdr:rowOff>124352</xdr:rowOff>
    </xdr:from>
    <xdr:to>
      <xdr:col>8</xdr:col>
      <xdr:colOff>1333500</xdr:colOff>
      <xdr:row>34</xdr:row>
      <xdr:rowOff>116418</xdr:rowOff>
    </xdr:to>
    <xdr:grpSp>
      <xdr:nvGrpSpPr>
        <xdr:cNvPr id="3" name="Группа 2">
          <a:extLst>
            <a:ext uri="{FF2B5EF4-FFF2-40B4-BE49-F238E27FC236}">
              <a16:creationId xmlns:a16="http://schemas.microsoft.com/office/drawing/2014/main" id="{00000000-0008-0000-0800-000003000000}"/>
            </a:ext>
          </a:extLst>
        </xdr:cNvPr>
        <xdr:cNvGrpSpPr/>
      </xdr:nvGrpSpPr>
      <xdr:grpSpPr bwMode="auto">
        <a:xfrm>
          <a:off x="8793992" y="2082269"/>
          <a:ext cx="2942925" cy="6648982"/>
          <a:chOff x="7271310" y="1226484"/>
          <a:chExt cx="1953920" cy="5454367"/>
        </a:xfrm>
      </xdr:grpSpPr>
      <xdr:pic>
        <xdr:nvPicPr>
          <xdr:cNvPr id="4" name="Изображение1">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stretch/>
        </xdr:blipFill>
        <xdr:spPr bwMode="auto">
          <a:xfrm>
            <a:off x="7271310" y="1226484"/>
            <a:ext cx="1953920" cy="3506506"/>
          </a:xfrm>
          <a:prstGeom prst="rect">
            <a:avLst/>
          </a:prstGeom>
          <a:noFill/>
        </xdr:spPr>
      </xdr:pic>
      <xdr:pic>
        <xdr:nvPicPr>
          <xdr:cNvPr id="5" name="Изображение2">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3"/>
          <a:stretch/>
        </xdr:blipFill>
        <xdr:spPr bwMode="auto">
          <a:xfrm>
            <a:off x="7669404" y="5050284"/>
            <a:ext cx="1327497" cy="1630567"/>
          </a:xfrm>
          <a:prstGeom prst="rect">
            <a:avLst/>
          </a:prstGeom>
          <a:noFill/>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1</xdr:col>
      <xdr:colOff>232741</xdr:colOff>
      <xdr:row>0</xdr:row>
      <xdr:rowOff>278296</xdr:rowOff>
    </xdr:to>
    <xdr:pic>
      <xdr:nvPicPr>
        <xdr:cNvPr id="3" name="Рисунок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stretch/>
      </xdr:blipFill>
      <xdr:spPr bwMode="auto">
        <a:xfrm>
          <a:off x="28575" y="38100"/>
          <a:ext cx="289891" cy="240196"/>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42333</xdr:colOff>
      <xdr:row>2</xdr:row>
      <xdr:rowOff>176388</xdr:rowOff>
    </xdr:from>
    <xdr:to>
      <xdr:col>2</xdr:col>
      <xdr:colOff>1199444</xdr:colOff>
      <xdr:row>2</xdr:row>
      <xdr:rowOff>176388</xdr:rowOff>
    </xdr:to>
    <xdr:cxnSp macro="">
      <xdr:nvCxnSpPr>
        <xdr:cNvPr id="3" name="Прямая соединительная линия 2">
          <a:extLst>
            <a:ext uri="{FF2B5EF4-FFF2-40B4-BE49-F238E27FC236}">
              <a16:creationId xmlns:a16="http://schemas.microsoft.com/office/drawing/2014/main" id="{00000000-0008-0000-0A00-000003000000}"/>
            </a:ext>
          </a:extLst>
        </xdr:cNvPr>
        <xdr:cNvCxnSpPr>
          <a:cxnSpLocks/>
        </xdr:cNvCxnSpPr>
      </xdr:nvCxnSpPr>
      <xdr:spPr bwMode="auto">
        <a:xfrm>
          <a:off x="1261533" y="544689"/>
          <a:ext cx="56656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578380</xdr:colOff>
      <xdr:row>0</xdr:row>
      <xdr:rowOff>106097</xdr:rowOff>
    </xdr:from>
    <xdr:to>
      <xdr:col>1</xdr:col>
      <xdr:colOff>1625072</xdr:colOff>
      <xdr:row>0</xdr:row>
      <xdr:rowOff>754835</xdr:rowOff>
    </xdr:to>
    <xdr:pic>
      <xdr:nvPicPr>
        <xdr:cNvPr id="2" name="Рисунок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stretch/>
      </xdr:blipFill>
      <xdr:spPr bwMode="auto">
        <a:xfrm>
          <a:off x="927629" y="106097"/>
          <a:ext cx="1046692" cy="648738"/>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76200</xdr:colOff>
      <xdr:row>1</xdr:row>
      <xdr:rowOff>83820</xdr:rowOff>
    </xdr:from>
    <xdr:to>
      <xdr:col>1</xdr:col>
      <xdr:colOff>472440</xdr:colOff>
      <xdr:row>3</xdr:row>
      <xdr:rowOff>114300</xdr:rowOff>
    </xdr:to>
    <xdr:sp macro="" textlink="">
      <xdr:nvSpPr>
        <xdr:cNvPr id="2" name="Прямоугольник 1">
          <a:extLst>
            <a:ext uri="{FF2B5EF4-FFF2-40B4-BE49-F238E27FC236}">
              <a16:creationId xmlns:a16="http://schemas.microsoft.com/office/drawing/2014/main" id="{00000000-0008-0000-0C00-000002000000}"/>
            </a:ext>
          </a:extLst>
        </xdr:cNvPr>
        <xdr:cNvSpPr/>
      </xdr:nvSpPr>
      <xdr:spPr bwMode="auto">
        <a:xfrm>
          <a:off x="685800" y="267970"/>
          <a:ext cx="396240" cy="398780"/>
        </a:xfrm>
        <a:prstGeom prst="rect">
          <a:avLst/>
        </a:prstGeom>
        <a:solidFill>
          <a:srgbClr val="0D776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1</xdr:col>
      <xdr:colOff>91440</xdr:colOff>
      <xdr:row>5</xdr:row>
      <xdr:rowOff>60960</xdr:rowOff>
    </xdr:from>
    <xdr:to>
      <xdr:col>1</xdr:col>
      <xdr:colOff>487680</xdr:colOff>
      <xdr:row>7</xdr:row>
      <xdr:rowOff>91440</xdr:rowOff>
    </xdr:to>
    <xdr:sp macro="" textlink="">
      <xdr:nvSpPr>
        <xdr:cNvPr id="3" name="Прямоугольник 2">
          <a:extLst>
            <a:ext uri="{FF2B5EF4-FFF2-40B4-BE49-F238E27FC236}">
              <a16:creationId xmlns:a16="http://schemas.microsoft.com/office/drawing/2014/main" id="{00000000-0008-0000-0C00-000003000000}"/>
            </a:ext>
          </a:extLst>
        </xdr:cNvPr>
        <xdr:cNvSpPr/>
      </xdr:nvSpPr>
      <xdr:spPr bwMode="auto">
        <a:xfrm>
          <a:off x="701040" y="981710"/>
          <a:ext cx="396240" cy="398780"/>
        </a:xfrm>
        <a:prstGeom prst="rect">
          <a:avLst/>
        </a:prstGeom>
        <a:solidFill>
          <a:srgbClr val="59595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1</xdr:col>
      <xdr:colOff>106680</xdr:colOff>
      <xdr:row>9</xdr:row>
      <xdr:rowOff>68580</xdr:rowOff>
    </xdr:from>
    <xdr:to>
      <xdr:col>1</xdr:col>
      <xdr:colOff>502920</xdr:colOff>
      <xdr:row>11</xdr:row>
      <xdr:rowOff>99060</xdr:rowOff>
    </xdr:to>
    <xdr:sp macro="" textlink="">
      <xdr:nvSpPr>
        <xdr:cNvPr id="4" name="Прямоугольник 3">
          <a:extLst>
            <a:ext uri="{FF2B5EF4-FFF2-40B4-BE49-F238E27FC236}">
              <a16:creationId xmlns:a16="http://schemas.microsoft.com/office/drawing/2014/main" id="{00000000-0008-0000-0C00-000004000000}"/>
            </a:ext>
          </a:extLst>
        </xdr:cNvPr>
        <xdr:cNvSpPr/>
      </xdr:nvSpPr>
      <xdr:spPr bwMode="auto">
        <a:xfrm>
          <a:off x="716280" y="1725930"/>
          <a:ext cx="396240" cy="398780"/>
        </a:xfrm>
        <a:prstGeom prst="rect">
          <a:avLst/>
        </a:prstGeom>
        <a:solidFill>
          <a:srgbClr val="5A445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twoCellAnchor>
    <xdr:from>
      <xdr:col>1</xdr:col>
      <xdr:colOff>114300</xdr:colOff>
      <xdr:row>13</xdr:row>
      <xdr:rowOff>83820</xdr:rowOff>
    </xdr:from>
    <xdr:to>
      <xdr:col>1</xdr:col>
      <xdr:colOff>510540</xdr:colOff>
      <xdr:row>15</xdr:row>
      <xdr:rowOff>114300</xdr:rowOff>
    </xdr:to>
    <xdr:sp macro="" textlink="">
      <xdr:nvSpPr>
        <xdr:cNvPr id="5" name="Прямоугольник 4">
          <a:extLst>
            <a:ext uri="{FF2B5EF4-FFF2-40B4-BE49-F238E27FC236}">
              <a16:creationId xmlns:a16="http://schemas.microsoft.com/office/drawing/2014/main" id="{00000000-0008-0000-0C00-000005000000}"/>
            </a:ext>
          </a:extLst>
        </xdr:cNvPr>
        <xdr:cNvSpPr/>
      </xdr:nvSpPr>
      <xdr:spPr bwMode="auto">
        <a:xfrm>
          <a:off x="723900" y="2477770"/>
          <a:ext cx="396240" cy="398780"/>
        </a:xfrm>
        <a:prstGeom prst="rect">
          <a:avLst/>
        </a:prstGeom>
        <a:solidFill>
          <a:srgbClr val="F4F0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ru-RU"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1400175</xdr:colOff>
      <xdr:row>25</xdr:row>
      <xdr:rowOff>114300</xdr:rowOff>
    </xdr:from>
    <xdr:to>
      <xdr:col>15</xdr:col>
      <xdr:colOff>379180</xdr:colOff>
      <xdr:row>68</xdr:row>
      <xdr:rowOff>26844</xdr:rowOff>
    </xdr:to>
    <xdr:grpSp>
      <xdr:nvGrpSpPr>
        <xdr:cNvPr id="2" name="Группа 1">
          <a:extLst>
            <a:ext uri="{FF2B5EF4-FFF2-40B4-BE49-F238E27FC236}">
              <a16:creationId xmlns:a16="http://schemas.microsoft.com/office/drawing/2014/main" id="{A3E3CBDF-17D5-4062-A112-A049D143FF03}"/>
            </a:ext>
          </a:extLst>
        </xdr:cNvPr>
        <xdr:cNvGrpSpPr/>
      </xdr:nvGrpSpPr>
      <xdr:grpSpPr>
        <a:xfrm>
          <a:off x="7475008" y="5649383"/>
          <a:ext cx="5508922" cy="8961294"/>
          <a:chOff x="4746279" y="6829225"/>
          <a:chExt cx="7001327" cy="5638676"/>
        </a:xfrm>
      </xdr:grpSpPr>
      <xdr:graphicFrame macro="">
        <xdr:nvGraphicFramePr>
          <xdr:cNvPr id="3" name="Диаграмма 2">
            <a:extLst>
              <a:ext uri="{FF2B5EF4-FFF2-40B4-BE49-F238E27FC236}">
                <a16:creationId xmlns:a16="http://schemas.microsoft.com/office/drawing/2014/main" id="{79AF43D9-B564-DC2C-D3F9-540836D341BA}"/>
              </a:ext>
            </a:extLst>
          </xdr:cNvPr>
          <xdr:cNvGraphicFramePr>
            <a:graphicFrameLocks/>
          </xdr:cNvGraphicFramePr>
        </xdr:nvGraphicFramePr>
        <xdr:xfrm>
          <a:off x="4746279" y="6829225"/>
          <a:ext cx="7001327" cy="563867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Выноска: изогнутая линия 3">
            <a:extLst>
              <a:ext uri="{FF2B5EF4-FFF2-40B4-BE49-F238E27FC236}">
                <a16:creationId xmlns:a16="http://schemas.microsoft.com/office/drawing/2014/main" id="{827B757A-0E93-05C6-3143-FFB8D2D4878C}"/>
              </a:ext>
            </a:extLst>
          </xdr:cNvPr>
          <xdr:cNvSpPr/>
        </xdr:nvSpPr>
        <xdr:spPr>
          <a:xfrm>
            <a:off x="9185239" y="7150867"/>
            <a:ext cx="1061459" cy="478812"/>
          </a:xfrm>
          <a:prstGeom prst="borderCallout2">
            <a:avLst>
              <a:gd name="adj1" fmla="val 42892"/>
              <a:gd name="adj2" fmla="val 149"/>
              <a:gd name="adj3" fmla="val 45918"/>
              <a:gd name="adj4" fmla="val -32099"/>
              <a:gd name="adj5" fmla="val 116149"/>
              <a:gd name="adj6" fmla="val -101292"/>
            </a:avLst>
          </a:prstGeom>
          <a:noFill/>
          <a:ln w="12700">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800" b="0" cap="none" spc="0" baseline="0">
                <a:ln w="0"/>
                <a:solidFill>
                  <a:schemeClr val="tx1"/>
                </a:solidFill>
                <a:effectLst>
                  <a:outerShdw blurRad="38100" dist="19050" dir="2700000" algn="tl" rotWithShape="0">
                    <a:schemeClr val="dk1">
                      <a:alpha val="40000"/>
                    </a:schemeClr>
                  </a:outerShdw>
                </a:effectLst>
              </a:rPr>
              <a:t>Рабочая точка насоса: </a:t>
            </a:r>
            <a:r>
              <a:rPr lang="ru-RU" sz="800" b="0" cap="none" spc="0" baseline="0">
                <a:ln w="0"/>
                <a:solidFill>
                  <a:srgbClr val="FF0000"/>
                </a:solidFill>
                <a:effectLst>
                  <a:outerShdw blurRad="38100" dist="19050" dir="2700000" algn="tl" rotWithShape="0">
                    <a:schemeClr val="dk1">
                      <a:alpha val="40000"/>
                    </a:schemeClr>
                  </a:outerShdw>
                </a:effectLst>
              </a:rPr>
              <a:t>8,19 л/с, 13,66 м (при работе 1 </a:t>
            </a:r>
            <a:r>
              <a:rPr lang="ru-RU" sz="800" b="0" cap="none" spc="0" baseline="0">
                <a:ln w="0"/>
                <a:solidFill>
                  <a:schemeClr val="tx1"/>
                </a:solidFill>
                <a:effectLst>
                  <a:outerShdw blurRad="38100" dist="19050" dir="2700000" algn="tl" rotWithShape="0">
                    <a:schemeClr val="dk1">
                      <a:alpha val="40000"/>
                    </a:schemeClr>
                  </a:outerShdw>
                </a:effectLst>
              </a:rPr>
              <a:t>насоса на 1 водовод)</a:t>
            </a:r>
            <a:endParaRPr lang="ru-RU" sz="8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20</xdr:col>
      <xdr:colOff>38101</xdr:colOff>
      <xdr:row>25</xdr:row>
      <xdr:rowOff>133349</xdr:rowOff>
    </xdr:from>
    <xdr:to>
      <xdr:col>21</xdr:col>
      <xdr:colOff>520091</xdr:colOff>
      <xdr:row>30</xdr:row>
      <xdr:rowOff>15874</xdr:rowOff>
    </xdr:to>
    <xdr:sp macro="" textlink="">
      <xdr:nvSpPr>
        <xdr:cNvPr id="5" name="Выноска: изогнутая линия 4">
          <a:extLst>
            <a:ext uri="{FF2B5EF4-FFF2-40B4-BE49-F238E27FC236}">
              <a16:creationId xmlns:a16="http://schemas.microsoft.com/office/drawing/2014/main" id="{03ADF05F-685D-4E2E-90F3-BD0224D2C40D}"/>
            </a:ext>
          </a:extLst>
        </xdr:cNvPr>
        <xdr:cNvSpPr/>
      </xdr:nvSpPr>
      <xdr:spPr>
        <a:xfrm>
          <a:off x="15659101" y="5619749"/>
          <a:ext cx="1091590" cy="1092200"/>
        </a:xfrm>
        <a:prstGeom prst="borderCallout2">
          <a:avLst>
            <a:gd name="adj1" fmla="val 46067"/>
            <a:gd name="adj2" fmla="val 98944"/>
            <a:gd name="adj3" fmla="val 45918"/>
            <a:gd name="adj4" fmla="val 134855"/>
            <a:gd name="adj5" fmla="val 131663"/>
            <a:gd name="adj6" fmla="val 136977"/>
          </a:avLst>
        </a:prstGeom>
        <a:noFill/>
        <a:ln w="127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ru-RU" sz="800" b="0" i="0" u="none" strike="noStrike" kern="0" cap="none" spc="0" normalizeH="0" baseline="0" noProof="0">
              <a:ln w="0"/>
              <a:solidFill>
                <a:sysClr val="windowText" lastClr="000000"/>
              </a:solidFill>
              <a:effectLst>
                <a:outerShdw blurRad="38100" dist="19050" dir="2700000" algn="tl" rotWithShape="0">
                  <a:sysClr val="windowText" lastClr="000000">
                    <a:alpha val="40000"/>
                  </a:sysClr>
                </a:outerShdw>
              </a:effectLst>
              <a:uLnTx/>
              <a:uFillTx/>
              <a:latin typeface="Calibri"/>
              <a:ea typeface="+mn-ea"/>
              <a:cs typeface="+mn-cs"/>
            </a:rPr>
            <a:t>Фактическая рабочая точка насоса</a:t>
          </a:r>
          <a:r>
            <a:rPr kumimoji="0" lang="ru-RU" sz="800" b="0" i="0" u="none" strike="noStrike" kern="0" cap="none" spc="0" normalizeH="0" baseline="0" noProof="0">
              <a:ln w="0"/>
              <a:solidFill>
                <a:srgbClr val="FF0000"/>
              </a:solidFill>
              <a:effectLst>
                <a:outerShdw blurRad="38100" dist="19050" dir="2700000" algn="tl" rotWithShape="0">
                  <a:sysClr val="windowText" lastClr="000000">
                    <a:alpha val="40000"/>
                  </a:sysClr>
                </a:outerShdw>
              </a:effectLst>
              <a:uLnTx/>
              <a:uFillTx/>
              <a:latin typeface="Calibri"/>
              <a:ea typeface="+mn-ea"/>
              <a:cs typeface="+mn-cs"/>
            </a:rPr>
            <a:t>: 8,52 л/с, 14,89 м (при работе 1 насоса на 1 водовод)</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123824</xdr:colOff>
      <xdr:row>2</xdr:row>
      <xdr:rowOff>104775</xdr:rowOff>
    </xdr:from>
    <xdr:to>
      <xdr:col>17</xdr:col>
      <xdr:colOff>523875</xdr:colOff>
      <xdr:row>30</xdr:row>
      <xdr:rowOff>114300</xdr:rowOff>
    </xdr:to>
    <xdr:pic>
      <xdr:nvPicPr>
        <xdr:cNvPr id="2" name="Рисунок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rcRect l="49420" t="21826" r="15524" b="13686"/>
        <a:stretch/>
      </xdr:blipFill>
      <xdr:spPr bwMode="auto">
        <a:xfrm>
          <a:off x="7381875" y="561975"/>
          <a:ext cx="5276850" cy="54292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050;&#1088;&#1080;&#1089;&#1090;&#1080;&#1085;&#1072;/Documents/&#1056;&#1072;&#1073;&#1086;&#1090;&#1072;/&#1053;&#1058;&#1058;/&#1053;&#1086;&#1074;&#1099;&#1081;%20&#1082;&#1072;&#1083;&#1100;&#1082;&#1091;&#1083;&#1103;&#1090;&#1086;&#1088;/&#1086;&#1090;%20&#1048;&#1085;&#1085;&#1099;/&#1092;&#1080;&#1085;&#1072;&#1083;&#1100;&#1085;&#1099;&#1077;%20&#1074;&#1072;&#1088;&#1080;&#1072;&#1085;&#1090;&#1099;/&#1089;%20&#1085;&#1086;&#1074;&#1099;&#1084;&#1080;%20&#1054;&#1051;%20&#1050;&#1072;&#1083;&#1100;&#1082;&#1091;&#1083;&#1103;&#1090;&#1086;&#1088;%20&#1077;&#1084;&#1082;%20&#1086;&#1073;&#1086;&#1088;&#1091;&#1076;%20&#1086;&#1090;%2009.08.21%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050;&#1088;&#1080;&#1089;&#1090;&#1080;&#1085;&#1072;/Documents/&#1056;&#1072;&#1073;&#1086;&#1090;&#1072;/&#1053;&#1058;&#1058;/&#1053;&#1086;&#1074;&#1099;&#1081;%20&#1082;&#1072;&#1083;&#1100;&#1082;&#1091;&#1083;&#1103;&#1090;&#1086;&#1088;/&#1086;&#1090;%20&#1048;&#1085;&#1085;&#1099;/&#1090;&#1077;&#1089;&#1090;/&#1055;&#1088;&#1086;&#1076;&#1086;&#1083;&#1078;&#1077;&#1085;&#1080;&#1077;%20&#1090;&#1077;&#1089;&#1090;&#1072;/&#1085;&#1086;&#1074;&#1099;&#1081;/&#1088;&#1072;&#1073;&#1086;&#1090;&#1072;&#1077;&#1084;%20&#1076;&#1072;&#1083;&#1100;&#1096;&#1077;/&#1050;&#1072;&#1083;&#1100;&#1082;&#1091;&#1083;&#1103;&#1090;&#1086;&#1088;%20&#1087;&#1086;%20&#1077;&#1084;&#1082;&#1086;&#1089;&#1090;&#1080;%20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0.0.31\&#1089;&#1085;&#1072;&#1073;&#1078;&#1077;&#1085;&#1080;&#1077;\Users\&#1050;&#1088;&#1080;&#1089;&#1090;&#1080;&#1085;&#1072;\Documents\&#1056;&#1072;&#1073;&#1086;&#1090;&#1072;\&#1053;&#1058;&#1058;\&#1053;&#1086;&#1074;&#1099;&#1081;%20&#1082;&#1072;&#1083;&#1100;&#1082;&#1091;&#1083;&#1103;&#1090;&#1086;&#1088;\&#1086;&#1090;%20&#1048;&#1085;&#1085;&#1099;\&#1092;&#1080;&#1085;&#1072;&#1083;&#1100;&#1085;&#1099;&#1077;%20&#1074;&#1072;&#1088;&#1080;&#1072;&#1085;&#1090;&#1099;\&#1089;%20&#1085;&#1086;&#1074;&#1099;&#1084;&#1080;%20&#1054;&#1051;%20&#1050;&#1072;&#1083;&#1100;&#1082;&#1091;&#1083;&#1103;&#1090;&#1086;&#1088;%20&#1077;&#1084;&#1082;%20&#1086;&#1073;&#1086;&#1088;&#1091;&#1076;%20&#1086;&#1090;%2009.08.21%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0.31\!public\Users\&#1050;&#1088;&#1080;&#1089;&#1090;&#1080;&#1085;&#1072;\Documents\&#1056;&#1072;&#1073;&#1086;&#1090;&#1072;\&#1053;&#1058;&#1058;\&#1053;&#1086;&#1074;&#1099;&#1081;%20&#1082;&#1072;&#1083;&#1100;&#1082;&#1091;&#1083;&#1103;&#1090;&#1086;&#1088;\&#1086;&#1090;%20&#1048;&#1085;&#1085;&#1099;\&#1090;&#1077;&#1089;&#1090;\&#1055;&#1088;&#1086;&#1076;&#1086;&#1083;&#1078;&#1077;&#1085;&#1080;&#1077;%20&#1090;&#1077;&#1089;&#1090;&#1072;\&#1085;&#1086;&#1074;&#1099;&#1081;\&#1088;&#1072;&#1073;&#1086;&#1090;&#1072;&#1077;&#1084;%20&#1076;&#1072;&#1083;&#1100;&#1096;&#1077;\&#1089;%20&#1082;&#1086;&#1083;&#1086;&#1076;&#1094;&#1077;&#1084;%20V1.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1057;&#1087;&#1080;&#1089;&#1086;&#1082;%20&#1076;&#1083;&#1103;%20&#1079;&#1072;&#1103;&#1074;&#1082;&#1080;"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10.0.0.31\!public\!&#1054;&#1073;&#1097;&#1072;&#1103;\&#1044;&#1077;&#1087;&#1072;&#1088;&#1090;&#1072;&#1084;&#1077;&#1085;&#1090;%20&#1080;&#1085;&#1078;&#1080;&#1085;&#1080;&#1088;&#1080;&#1085;&#1075;&#1072;\&#1055;&#1088;&#1086;&#1077;&#1082;&#1090;&#1080;&#1088;&#1086;&#1074;&#1072;&#1085;&#1080;&#1077;\2025%20&#1055;&#1048;&#1056;\309-&#1041;%20&#1050;&#1086;&#1083;&#1086;&#1084;&#1077;&#1085;&#1089;&#1082;&#1080;&#1081;%20&#1050;&#1053;&#1057;%20&#1069;&#1090;&#1072;&#1087;%202\8.%20&#1056;&#1072;&#1073;&#1086;&#1090;&#1072;\1%20&#1058;&#1061;\&#1050;&#1053;&#1057;1%20&#1055;&#1044;%20&#1088;&#1077;&#1076;.%20&#1092;&#1086;&#1088;&#1084;&#1072;&#1090;\4.%20&#1043;&#1088;&#1072;&#1092;&#1080;&#1082;%20&#1089;&#1086;&#1074;&#1084;&#1077;&#1089;&#1090;&#1085;&#1086;&#1081;%20&#1088;&#1072;&#1073;&#1086;&#1090;&#1099;%20&#1058;&#1061;1.xlsx" TargetMode="External"/><Relationship Id="rId1" Type="http://schemas.openxmlformats.org/officeDocument/2006/relationships/externalLinkPath" Target="file:///\\10.0.0.31\!public\!&#1054;&#1073;&#1097;&#1072;&#1103;\&#1044;&#1077;&#1087;&#1072;&#1088;&#1090;&#1072;&#1084;&#1077;&#1085;&#1090;%20&#1080;&#1085;&#1078;&#1080;&#1085;&#1080;&#1088;&#1080;&#1085;&#1075;&#1072;\&#1055;&#1088;&#1086;&#1077;&#1082;&#1090;&#1080;&#1088;&#1086;&#1074;&#1072;&#1085;&#1080;&#1077;\2025%20&#1055;&#1048;&#1056;\309-&#1041;%20&#1050;&#1086;&#1083;&#1086;&#1084;&#1077;&#1085;&#1089;&#1082;&#1080;&#1081;%20&#1050;&#1053;&#1057;%20&#1069;&#1090;&#1072;&#1087;%202\8.%20&#1056;&#1072;&#1073;&#1086;&#1090;&#1072;\1%20&#1058;&#1061;\&#1050;&#1053;&#1057;1%20&#1055;&#1044;%20&#1088;&#1077;&#1076;.%20&#1092;&#1086;&#1088;&#1084;&#1072;&#1090;\4.%20&#1043;&#1088;&#1072;&#1092;&#1080;&#1082;%20&#1089;&#1086;&#1074;&#1084;&#1077;&#1089;&#1090;&#1085;&#1086;&#1081;%20&#1088;&#1072;&#1073;&#1086;&#1090;&#1099;%20&#1058;&#1061;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civ\AppData\Local\Microsoft\Windows\INetCache\Content.Outlook\LAMTJ3QE\&#1050;&#1086;&#1087;&#1080;&#1103;%20&#1064;&#1072;&#1073;&#1083;&#1086;&#1085;%20&#1050;&#1053;&#1057;%20&#1076;&#1083;&#1103;%20&#1072;&#1074;&#1090;&#1086;&#1084;&#1072;&#1090;&#1080;&#1079;&#1072;&#1094;&#1080;&#1080;%201.0.1.xlsx" TargetMode="External"/><Relationship Id="rId1" Type="http://schemas.openxmlformats.org/officeDocument/2006/relationships/externalLinkPath" Target="file:///\\ntt15\!public\Users\civ\AppData\Local\Microsoft\Windows\INetCache\Content.Outlook\LAMTJ3QE\&#1050;&#1086;&#1087;&#1080;&#1103;%20&#1064;&#1072;&#1073;&#1083;&#1086;&#1085;%20&#1050;&#1053;&#1057;%20&#1076;&#1083;&#1103;%20&#1072;&#1074;&#1090;&#1086;&#1084;&#1072;&#1090;&#1080;&#1079;&#1072;&#1094;&#1080;&#1080;%20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одержание"/>
      <sheetName val="Списки"/>
      <sheetName val="Инструкции"/>
      <sheetName val="ОЛ_КОЛОДЦА"/>
      <sheetName val="Калькулятор колодца"/>
      <sheetName val="ОЛ_ЕМКОСТИ"/>
      <sheetName val="Калькулятор ЕМК"/>
      <sheetName val="ОЛ_НАСОСНАЯ_СТАНЦИЯ"/>
      <sheetName val="Опросный лист НАКОПИТЕЛЬНАЯ ЕМК"/>
      <sheetName val="Опросный лист КОЛОДЕЦ"/>
      <sheetName val="Калькулятор КНС"/>
      <sheetName val="Комменты"/>
      <sheetName val="Заявка"/>
      <sheetName val="Список для заявки"/>
      <sheetName val="Вспомогат. таблицы"/>
      <sheetName val="Цветовая библиотека"/>
      <sheetName val="Днище кнс"/>
      <sheetName val="Вес трубы, ПЭ трубы"/>
      <sheetName val="Формовка станд.элем"/>
      <sheetName val="Грузоподъем"/>
      <sheetName val="Детали труб_да ПЭ ПВХ PPR"/>
      <sheetName val="Детали трубопровода сталь"/>
      <sheetName val="Запорная арматура"/>
      <sheetName val="Металлопрокат"/>
      <sheetName val="Метизы"/>
      <sheetName val="Прочие материалы"/>
      <sheetName val="Оборудование"/>
      <sheetName val="Собственное производство"/>
      <sheetName val="Справка по подбору АШУ Омега"/>
      <sheetName val="Работы"/>
      <sheetName val="с новыми ОЛ Калькулятор емк обо"/>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ки"/>
      <sheetName val="Содержание"/>
      <sheetName val="Инструкции"/>
      <sheetName val="ОЛ НАСОС. СТ."/>
      <sheetName val="Калькулятор станции"/>
      <sheetName val="ОЛ ЕМКОСТИ"/>
      <sheetName val="Калькулятор Емк"/>
      <sheetName val="Калькулятор"/>
      <sheetName val="ОЛ КОЛОДЕЦ"/>
      <sheetName val="Комменты"/>
      <sheetName val="Заявка"/>
      <sheetName val="Список для заявки"/>
      <sheetName val="Вспомогат. таблицы"/>
      <sheetName val="Цветовая библиотека"/>
      <sheetName val="Днище кнс"/>
      <sheetName val="Вес трубы, ПЭ трубы"/>
      <sheetName val="Грузоподъем"/>
      <sheetName val="Детали труб_да ПЭ ПВХ PPR"/>
      <sheetName val="Детали трубопровода сталь"/>
      <sheetName val="Запорная арматура"/>
      <sheetName val="Металлопрокат"/>
      <sheetName val="Метизы"/>
      <sheetName val="Прочие материалы"/>
      <sheetName val="Оборудование"/>
      <sheetName val="Собственное производство"/>
      <sheetName val="Работы"/>
    </sheetNames>
    <sheetDataSet>
      <sheetData sheetId="0" refreshError="1"/>
      <sheetData sheetId="1"/>
      <sheetData sheetId="2"/>
      <sheetData sheetId="3"/>
      <sheetData sheetId="4"/>
      <sheetData sheetId="5">
        <row r="11">
          <cell r="E11" t="str">
            <v>Химстойкая</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нструкции"/>
      <sheetName val="Содержание"/>
      <sheetName val="Списки"/>
      <sheetName val="ОЛ_КОЛОДЦА"/>
      <sheetName val="Калькулятор колодца"/>
      <sheetName val="ОЛ_ЕМКОСТИ"/>
      <sheetName val="Калькулятор ЕМК"/>
      <sheetName val="ОЛ_НАСОСНАЯ_СТАНЦИЯ"/>
      <sheetName val="Опросный лист НАКОПИТЕЛЬНАЯ ЕМК"/>
      <sheetName val="Опросный лист КОЛОДЕЦ"/>
      <sheetName val="Калькулятор КНС"/>
      <sheetName val="Комменты"/>
      <sheetName val="Заявка"/>
      <sheetName val="Список для заявки"/>
      <sheetName val="Вспомогат. таблицы"/>
      <sheetName val="Цветовая библиотека"/>
      <sheetName val="Днище кнс"/>
      <sheetName val="Вес трубы, ПЭ трубы"/>
      <sheetName val="Формовка станд.элем"/>
      <sheetName val="Грузоподъем"/>
      <sheetName val="Детали труб_да ПЭ ПВХ PPR"/>
      <sheetName val="Детали трубопровода сталь"/>
      <sheetName val="Запорная арматура"/>
      <sheetName val="Металлопрокат"/>
      <sheetName val="Метизы"/>
      <sheetName val="Прочие материалы"/>
      <sheetName val="Оборудование"/>
      <sheetName val="Собственное производство"/>
      <sheetName val="Справка по подбору АШУ Омега"/>
      <sheetName val="Работы"/>
      <sheetName val="с новыми ОЛ Калькулятор емк обо"/>
    </sheetNames>
    <sheetDataSet>
      <sheetData sheetId="0"/>
      <sheetData sheetId="1"/>
      <sheetData sheetId="2">
        <row r="2">
          <cell r="U2" t="str">
            <v>л/с</v>
          </cell>
        </row>
        <row r="3">
          <cell r="U3" t="str">
            <v>м3/ч</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одержание"/>
      <sheetName val="Списки"/>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писок для заявки"/>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График"/>
      <sheetName val="теория"/>
    </sheetNames>
    <sheetDataSet>
      <sheetData sheetId="0">
        <row r="39">
          <cell r="A39">
            <v>0</v>
          </cell>
        </row>
        <row r="53">
          <cell r="B53">
            <v>22.5</v>
          </cell>
          <cell r="C53">
            <v>0</v>
          </cell>
        </row>
        <row r="54">
          <cell r="B54">
            <v>20.5</v>
          </cell>
          <cell r="C54">
            <v>2.7777777777777777</v>
          </cell>
        </row>
        <row r="55">
          <cell r="B55">
            <v>18.5</v>
          </cell>
          <cell r="C55">
            <v>5.5555555555555554</v>
          </cell>
        </row>
        <row r="56">
          <cell r="B56">
            <v>15.2</v>
          </cell>
          <cell r="C56">
            <v>8.3333333333333339</v>
          </cell>
        </row>
        <row r="57">
          <cell r="B57">
            <v>14.89</v>
          </cell>
          <cell r="C57">
            <v>8.5222222222222221</v>
          </cell>
        </row>
        <row r="58">
          <cell r="B58">
            <v>9</v>
          </cell>
          <cell r="C58">
            <v>11.111111111111111</v>
          </cell>
        </row>
      </sheetData>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Инструкции"/>
      <sheetName val="Содержание"/>
      <sheetName val="Списки"/>
      <sheetName val="ОЛ_КОЛОДЦА"/>
      <sheetName val="Калькулятор колодца"/>
      <sheetName val="ОЛ_ЕМКОСТИ"/>
      <sheetName val="Калькулятор ЕМК"/>
      <sheetName val="для шапки"/>
      <sheetName val="Инструкции1"/>
      <sheetName val="ОЛ_НАСОСНАЯ_СТАНЦИЯ"/>
      <sheetName val="Гидравл. расчет"/>
      <sheetName val="Калькулятор КНС"/>
      <sheetName val="Заявка"/>
      <sheetName val="Вспомогат. таблицы"/>
      <sheetName val="Цветовая библиотека"/>
      <sheetName val="Для расчетов"/>
      <sheetName val="Вес трубы, ПЭ трубы"/>
      <sheetName val="НН"/>
      <sheetName val="Справка по подбору АШУ Омег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5">
          <cell r="G5">
            <v>3000</v>
          </cell>
          <cell r="I5">
            <v>6200</v>
          </cell>
        </row>
      </sheetData>
      <sheetData sheetId="12" refreshError="1"/>
      <sheetData sheetId="13" refreshError="1"/>
      <sheetData sheetId="14" refreshError="1"/>
      <sheetData sheetId="15">
        <row r="39">
          <cell r="V39">
            <v>1.2</v>
          </cell>
          <cell r="W39">
            <v>3</v>
          </cell>
          <cell r="X39">
            <v>3</v>
          </cell>
          <cell r="Y39">
            <v>3</v>
          </cell>
          <cell r="Z39">
            <v>3</v>
          </cell>
          <cell r="AA39">
            <v>2.819834181818182</v>
          </cell>
          <cell r="AB39">
            <v>3.2226676363636364</v>
          </cell>
          <cell r="AC39">
            <v>3.6255010909090912</v>
          </cell>
          <cell r="AD39">
            <v>4.0283345454545456</v>
          </cell>
          <cell r="AE39">
            <v>4.4311680000000013</v>
          </cell>
          <cell r="AF39">
            <v>4.8340014545454562</v>
          </cell>
          <cell r="AG39">
            <v>5.2368349090909101</v>
          </cell>
          <cell r="AH39">
            <v>5.639668363636364</v>
          </cell>
          <cell r="AI39">
            <v>6.0425018181818189</v>
          </cell>
          <cell r="AJ39">
            <v>6.4453352727272728</v>
          </cell>
          <cell r="AK39">
            <v>6.8481687272727276</v>
          </cell>
        </row>
        <row r="40">
          <cell r="V40">
            <v>1.3</v>
          </cell>
          <cell r="W40">
            <v>3</v>
          </cell>
          <cell r="X40">
            <v>3</v>
          </cell>
          <cell r="Y40">
            <v>3</v>
          </cell>
          <cell r="Z40">
            <v>2.8366189090909097</v>
          </cell>
          <cell r="AA40">
            <v>3.3093887272727271</v>
          </cell>
          <cell r="AB40">
            <v>3.7821585454545459</v>
          </cell>
          <cell r="AC40">
            <v>4.2549283636363642</v>
          </cell>
          <cell r="AD40">
            <v>4.727698181818182</v>
          </cell>
          <cell r="AE40">
            <v>5.2004680000000008</v>
          </cell>
          <cell r="AF40">
            <v>5.6732378181818195</v>
          </cell>
          <cell r="AG40">
            <v>6.1460076363636373</v>
          </cell>
          <cell r="AH40">
            <v>6.6187774545454543</v>
          </cell>
          <cell r="AI40">
            <v>7.091547272727273</v>
          </cell>
          <cell r="AJ40">
            <v>7.5643170909090918</v>
          </cell>
          <cell r="AK40">
            <v>8.0370869090909096</v>
          </cell>
        </row>
        <row r="41">
          <cell r="V41">
            <v>1.4</v>
          </cell>
          <cell r="W41">
            <v>3</v>
          </cell>
          <cell r="X41">
            <v>3</v>
          </cell>
          <cell r="Y41">
            <v>2.7415054545454542</v>
          </cell>
          <cell r="Z41">
            <v>3.2898065454545455</v>
          </cell>
          <cell r="AA41">
            <v>3.8381076363636359</v>
          </cell>
          <cell r="AB41">
            <v>4.3864087272727268</v>
          </cell>
          <cell r="AC41">
            <v>4.9347098181818181</v>
          </cell>
          <cell r="AD41">
            <v>5.4830109090909085</v>
          </cell>
          <cell r="AE41">
            <v>6.0313120000000007</v>
          </cell>
          <cell r="AF41">
            <v>6.5796130909090911</v>
          </cell>
          <cell r="AG41">
            <v>7.1279141818181824</v>
          </cell>
          <cell r="AH41">
            <v>7.6762152727272719</v>
          </cell>
          <cell r="AI41">
            <v>8.2245163636363632</v>
          </cell>
          <cell r="AJ41">
            <v>8.7728174545454536</v>
          </cell>
          <cell r="AK41">
            <v>9.321118545454544</v>
          </cell>
        </row>
        <row r="42">
          <cell r="V42">
            <v>1.5</v>
          </cell>
          <cell r="W42">
            <v>3</v>
          </cell>
          <cell r="X42">
            <v>2.5177090909090909</v>
          </cell>
          <cell r="Y42">
            <v>3.1471363636363638</v>
          </cell>
          <cell r="Z42">
            <v>3.7765636363636368</v>
          </cell>
          <cell r="AA42">
            <v>4.4059909090909093</v>
          </cell>
          <cell r="AB42">
            <v>5.0354181818181818</v>
          </cell>
          <cell r="AC42">
            <v>5.6648454545454543</v>
          </cell>
          <cell r="AD42">
            <v>6.2942727272727277</v>
          </cell>
          <cell r="AE42">
            <v>6.9237000000000011</v>
          </cell>
          <cell r="AF42">
            <v>7.5531272727272736</v>
          </cell>
          <cell r="AG42">
            <v>8.182554545454547</v>
          </cell>
          <cell r="AH42">
            <v>8.8119818181818186</v>
          </cell>
          <cell r="AI42">
            <v>9.4414090909090902</v>
          </cell>
          <cell r="AJ42">
            <v>10.070836363636364</v>
          </cell>
          <cell r="AK42">
            <v>10.700263636363637</v>
          </cell>
        </row>
        <row r="43">
          <cell r="V43">
            <v>1.6</v>
          </cell>
          <cell r="W43">
            <v>3</v>
          </cell>
          <cell r="X43">
            <v>2.8645934545454548</v>
          </cell>
          <cell r="Y43">
            <v>3.5807418181818185</v>
          </cell>
          <cell r="Z43">
            <v>4.2968901818181831</v>
          </cell>
          <cell r="AA43">
            <v>5.0130385454545463</v>
          </cell>
          <cell r="AB43">
            <v>5.7291869090909096</v>
          </cell>
          <cell r="AC43">
            <v>6.4453352727272737</v>
          </cell>
          <cell r="AD43">
            <v>7.1614836363636369</v>
          </cell>
          <cell r="AE43">
            <v>7.877632000000002</v>
          </cell>
          <cell r="AF43">
            <v>8.5937803636363661</v>
          </cell>
          <cell r="AG43">
            <v>9.3099287272727302</v>
          </cell>
          <cell r="AH43">
            <v>10.026077090909093</v>
          </cell>
          <cell r="AI43">
            <v>10.742225454545455</v>
          </cell>
          <cell r="AJ43">
            <v>11.458373818181819</v>
          </cell>
          <cell r="AK43">
            <v>12.174522181818183</v>
          </cell>
        </row>
        <row r="44">
          <cell r="V44">
            <v>1.7</v>
          </cell>
          <cell r="W44">
            <v>3</v>
          </cell>
          <cell r="X44">
            <v>3.2338574545454546</v>
          </cell>
          <cell r="Y44">
            <v>4.0423218181818186</v>
          </cell>
          <cell r="Z44">
            <v>4.850786181818183</v>
          </cell>
          <cell r="AA44">
            <v>5.6592505454545456</v>
          </cell>
          <cell r="AB44">
            <v>6.4677149090909092</v>
          </cell>
          <cell r="AC44">
            <v>7.2761792727272727</v>
          </cell>
          <cell r="AD44">
            <v>8.0846436363636371</v>
          </cell>
          <cell r="AE44">
            <v>8.8931080000000016</v>
          </cell>
          <cell r="AF44">
            <v>9.701572363636366</v>
          </cell>
          <cell r="AG44">
            <v>10.51003672727273</v>
          </cell>
          <cell r="AH44">
            <v>11.318501090909091</v>
          </cell>
          <cell r="AI44">
            <v>12.126965454545454</v>
          </cell>
          <cell r="AJ44">
            <v>12.935429818181818</v>
          </cell>
          <cell r="AK44">
            <v>13.743894181818183</v>
          </cell>
        </row>
        <row r="45">
          <cell r="V45">
            <v>1.8</v>
          </cell>
          <cell r="W45">
            <v>2.7191258181818183</v>
          </cell>
          <cell r="X45">
            <v>3.6255010909090908</v>
          </cell>
          <cell r="Y45">
            <v>4.5318763636363641</v>
          </cell>
          <cell r="Z45">
            <v>5.4382516363636366</v>
          </cell>
          <cell r="AA45">
            <v>6.34462690909091</v>
          </cell>
          <cell r="AB45">
            <v>7.2510021818181816</v>
          </cell>
          <cell r="AC45">
            <v>8.157377454545454</v>
          </cell>
          <cell r="AD45">
            <v>9.0637527272727283</v>
          </cell>
          <cell r="AE45">
            <v>9.9701280000000025</v>
          </cell>
          <cell r="AF45">
            <v>10.876503272727273</v>
          </cell>
          <cell r="AG45">
            <v>11.782878545454547</v>
          </cell>
          <cell r="AH45">
            <v>12.68925381818182</v>
          </cell>
          <cell r="AI45">
            <v>13.595629090909091</v>
          </cell>
          <cell r="AJ45">
            <v>14.502004363636363</v>
          </cell>
          <cell r="AK45">
            <v>15.408379636363636</v>
          </cell>
        </row>
        <row r="46">
          <cell r="V46">
            <v>1.9</v>
          </cell>
          <cell r="W46">
            <v>3.0296432727272733</v>
          </cell>
          <cell r="X46">
            <v>4.0395243636363638</v>
          </cell>
          <cell r="Y46">
            <v>5.0494054545454548</v>
          </cell>
          <cell r="Z46">
            <v>6.0592865454545466</v>
          </cell>
          <cell r="AA46">
            <v>7.0691676363636358</v>
          </cell>
          <cell r="AB46">
            <v>8.0790487272727276</v>
          </cell>
          <cell r="AC46">
            <v>9.0889298181818177</v>
          </cell>
          <cell r="AD46">
            <v>10.09881090909091</v>
          </cell>
          <cell r="AE46">
            <v>11.108692000000001</v>
          </cell>
          <cell r="AF46">
            <v>12.118573090909093</v>
          </cell>
          <cell r="AG46">
            <v>13.128454181818183</v>
          </cell>
          <cell r="AH46">
            <v>14.138335272727272</v>
          </cell>
          <cell r="AI46">
            <v>15.148216363636363</v>
          </cell>
          <cell r="AJ46">
            <v>16.158097454545455</v>
          </cell>
          <cell r="AK46">
            <v>17.167978545454545</v>
          </cell>
        </row>
        <row r="47">
          <cell r="V47">
            <v>2</v>
          </cell>
          <cell r="W47">
            <v>3.3569454545454551</v>
          </cell>
          <cell r="X47">
            <v>4.4759272727272723</v>
          </cell>
          <cell r="Y47">
            <v>5.5949090909090913</v>
          </cell>
          <cell r="Z47">
            <v>6.7138909090909102</v>
          </cell>
          <cell r="AA47">
            <v>7.8328727272727274</v>
          </cell>
          <cell r="AB47">
            <v>8.9518545454545446</v>
          </cell>
          <cell r="AC47">
            <v>10.070836363636364</v>
          </cell>
          <cell r="AD47">
            <v>11.189818181818183</v>
          </cell>
          <cell r="AE47">
            <v>12.308800000000002</v>
          </cell>
          <cell r="AF47">
            <v>13.42778181818182</v>
          </cell>
          <cell r="AG47">
            <v>14.546763636363638</v>
          </cell>
          <cell r="AH47">
            <v>15.665745454545455</v>
          </cell>
          <cell r="AI47">
            <v>16.784727272727274</v>
          </cell>
          <cell r="AJ47">
            <v>17.903709090909089</v>
          </cell>
          <cell r="AK47">
            <v>19.022690909090908</v>
          </cell>
        </row>
        <row r="48">
          <cell r="V48">
            <v>2.1</v>
          </cell>
          <cell r="W48">
            <v>3.7010323636363642</v>
          </cell>
          <cell r="X48">
            <v>4.9347098181818181</v>
          </cell>
          <cell r="Y48">
            <v>6.1683872727272728</v>
          </cell>
          <cell r="Z48">
            <v>7.4020647272727285</v>
          </cell>
          <cell r="AA48">
            <v>8.6357421818181823</v>
          </cell>
          <cell r="AB48">
            <v>9.8694196363636362</v>
          </cell>
          <cell r="AC48">
            <v>11.10309709090909</v>
          </cell>
          <cell r="AD48">
            <v>12.336774545454546</v>
          </cell>
          <cell r="AE48">
            <v>13.570452000000001</v>
          </cell>
          <cell r="AF48">
            <v>14.804129454545457</v>
          </cell>
          <cell r="AG48">
            <v>16.037806909090911</v>
          </cell>
          <cell r="AH48">
            <v>17.271484363636365</v>
          </cell>
          <cell r="AI48">
            <v>18.505161818181818</v>
          </cell>
          <cell r="AJ48">
            <v>19.738839272727272</v>
          </cell>
          <cell r="AK48">
            <v>20.972516727272726</v>
          </cell>
        </row>
        <row r="49">
          <cell r="V49">
            <v>2.2000000000000002</v>
          </cell>
          <cell r="W49">
            <v>4.0619040000000011</v>
          </cell>
          <cell r="X49">
            <v>5.4158720000000011</v>
          </cell>
          <cell r="Y49">
            <v>6.7698400000000012</v>
          </cell>
          <cell r="Z49">
            <v>8.1238080000000021</v>
          </cell>
          <cell r="AA49">
            <v>9.4777760000000022</v>
          </cell>
          <cell r="AB49">
            <v>10.831744000000002</v>
          </cell>
          <cell r="AC49">
            <v>12.185712000000002</v>
          </cell>
          <cell r="AD49">
            <v>13.539680000000002</v>
          </cell>
          <cell r="AE49">
            <v>14.893648000000004</v>
          </cell>
          <cell r="AF49">
            <v>16.247616000000004</v>
          </cell>
          <cell r="AG49">
            <v>17.601584000000006</v>
          </cell>
          <cell r="AH49">
            <v>18.955552000000004</v>
          </cell>
          <cell r="AI49">
            <v>20.309520000000006</v>
          </cell>
          <cell r="AJ49">
            <v>21.663488000000005</v>
          </cell>
          <cell r="AK49">
            <v>23.017456000000006</v>
          </cell>
        </row>
        <row r="50">
          <cell r="V50">
            <v>2.2999999999999998</v>
          </cell>
          <cell r="W50">
            <v>4.4395603636363639</v>
          </cell>
          <cell r="X50">
            <v>5.919413818181817</v>
          </cell>
          <cell r="Y50">
            <v>7.3992672727272719</v>
          </cell>
          <cell r="Z50">
            <v>8.8791207272727277</v>
          </cell>
          <cell r="AA50">
            <v>10.358974181818182</v>
          </cell>
          <cell r="AB50">
            <v>11.838827636363634</v>
          </cell>
          <cell r="AC50">
            <v>13.31868109090909</v>
          </cell>
          <cell r="AD50">
            <v>14.798534545454544</v>
          </cell>
          <cell r="AE50">
            <v>16.278388</v>
          </cell>
          <cell r="AF50">
            <v>17.758241454545455</v>
          </cell>
          <cell r="AG50">
            <v>19.238094909090908</v>
          </cell>
          <cell r="AH50">
            <v>20.717948363636363</v>
          </cell>
          <cell r="AI50">
            <v>22.197801818181816</v>
          </cell>
          <cell r="AJ50">
            <v>23.677655272727268</v>
          </cell>
          <cell r="AK50">
            <v>25.157508727272724</v>
          </cell>
        </row>
        <row r="51">
          <cell r="V51">
            <v>2.4</v>
          </cell>
          <cell r="W51">
            <v>4.8340014545454562</v>
          </cell>
          <cell r="X51">
            <v>6.4453352727272728</v>
          </cell>
          <cell r="Y51">
            <v>8.0566690909090912</v>
          </cell>
          <cell r="Z51">
            <v>9.6680029090909123</v>
          </cell>
          <cell r="AA51">
            <v>11.279336727272728</v>
          </cell>
          <cell r="AB51">
            <v>12.890670545454546</v>
          </cell>
          <cell r="AC51">
            <v>14.502004363636365</v>
          </cell>
          <cell r="AD51">
            <v>16.113338181818182</v>
          </cell>
          <cell r="AE51">
            <v>17.724672000000005</v>
          </cell>
          <cell r="AF51">
            <v>19.336005818181825</v>
          </cell>
          <cell r="AG51">
            <v>20.94733963636364</v>
          </cell>
          <cell r="AH51">
            <v>22.558673454545456</v>
          </cell>
          <cell r="AI51">
            <v>24.170007272727275</v>
          </cell>
          <cell r="AJ51">
            <v>25.781341090909091</v>
          </cell>
          <cell r="AK51">
            <v>27.392674909090911</v>
          </cell>
        </row>
        <row r="52">
          <cell r="V52">
            <v>2.5</v>
          </cell>
          <cell r="W52">
            <v>5.2452272727272735</v>
          </cell>
          <cell r="X52">
            <v>6.9936363636363632</v>
          </cell>
          <cell r="Y52">
            <v>8.7420454545454547</v>
          </cell>
          <cell r="Z52">
            <v>10.490454545454547</v>
          </cell>
          <cell r="AA52">
            <v>12.238863636363636</v>
          </cell>
          <cell r="AB52">
            <v>13.987272727272726</v>
          </cell>
          <cell r="AC52">
            <v>15.735681818181819</v>
          </cell>
          <cell r="AD52">
            <v>17.484090909090909</v>
          </cell>
          <cell r="AE52">
            <v>19.232500000000005</v>
          </cell>
          <cell r="AF52">
            <v>20.980909090909094</v>
          </cell>
          <cell r="AG52">
            <v>22.729318181818186</v>
          </cell>
          <cell r="AH52">
            <v>24.477727272727272</v>
          </cell>
          <cell r="AI52">
            <v>26.226136363636364</v>
          </cell>
          <cell r="AJ52">
            <v>27.974545454545453</v>
          </cell>
          <cell r="AK52">
            <v>29.722954545454545</v>
          </cell>
        </row>
        <row r="53">
          <cell r="V53">
            <v>2.6</v>
          </cell>
          <cell r="W53">
            <v>5.6732378181818195</v>
          </cell>
          <cell r="X53">
            <v>7.5643170909090918</v>
          </cell>
          <cell r="Y53">
            <v>9.455396363636364</v>
          </cell>
          <cell r="Z53">
            <v>11.346475636363639</v>
          </cell>
          <cell r="AA53">
            <v>13.237554909090909</v>
          </cell>
          <cell r="AB53">
            <v>15.128634181818184</v>
          </cell>
          <cell r="AC53">
            <v>17.019713454545457</v>
          </cell>
          <cell r="AD53">
            <v>18.910792727272728</v>
          </cell>
          <cell r="AE53">
            <v>20.801872000000003</v>
          </cell>
          <cell r="AF53">
            <v>22.692951272727278</v>
          </cell>
          <cell r="AG53">
            <v>24.584030545454549</v>
          </cell>
          <cell r="AH53">
            <v>26.475109818181817</v>
          </cell>
          <cell r="AI53">
            <v>28.366189090909092</v>
          </cell>
          <cell r="AJ53">
            <v>30.257268363636367</v>
          </cell>
          <cell r="AK53">
            <v>32.148347636363638</v>
          </cell>
        </row>
        <row r="54">
          <cell r="V54">
            <v>2.7</v>
          </cell>
          <cell r="W54">
            <v>6.1180330909090923</v>
          </cell>
          <cell r="X54">
            <v>8.1573774545454558</v>
          </cell>
          <cell r="Y54">
            <v>10.196721818181819</v>
          </cell>
          <cell r="Z54">
            <v>12.236066181818185</v>
          </cell>
          <cell r="AA54">
            <v>14.275410545454546</v>
          </cell>
          <cell r="AB54">
            <v>16.314754909090912</v>
          </cell>
          <cell r="AC54">
            <v>18.354099272727275</v>
          </cell>
          <cell r="AD54">
            <v>20.393443636363639</v>
          </cell>
          <cell r="AE54">
            <v>22.432788000000006</v>
          </cell>
          <cell r="AF54">
            <v>24.472132363636369</v>
          </cell>
          <cell r="AG54">
            <v>26.511476727272736</v>
          </cell>
          <cell r="AH54">
            <v>28.550821090909093</v>
          </cell>
          <cell r="AI54">
            <v>30.590165454545456</v>
          </cell>
          <cell r="AJ54">
            <v>32.629509818181823</v>
          </cell>
          <cell r="AK54">
            <v>34.668854181818183</v>
          </cell>
        </row>
        <row r="55">
          <cell r="V55">
            <v>2.8</v>
          </cell>
          <cell r="W55">
            <v>6.5796130909090911</v>
          </cell>
          <cell r="X55">
            <v>8.7728174545454536</v>
          </cell>
          <cell r="Y55">
            <v>10.966021818181817</v>
          </cell>
          <cell r="Z55">
            <v>13.159226181818182</v>
          </cell>
          <cell r="AA55">
            <v>15.352430545454544</v>
          </cell>
          <cell r="AB55">
            <v>17.545634909090907</v>
          </cell>
          <cell r="AC55">
            <v>19.738839272727272</v>
          </cell>
          <cell r="AD55">
            <v>21.932043636363634</v>
          </cell>
          <cell r="AE55">
            <v>24.125248000000003</v>
          </cell>
          <cell r="AF55">
            <v>26.318452363636364</v>
          </cell>
          <cell r="AG55">
            <v>28.511656727272729</v>
          </cell>
          <cell r="AH55">
            <v>30.704861090909088</v>
          </cell>
          <cell r="AI55">
            <v>32.898065454545453</v>
          </cell>
          <cell r="AJ55">
            <v>35.091269818181814</v>
          </cell>
          <cell r="AK55">
            <v>37.284474181818176</v>
          </cell>
        </row>
        <row r="56">
          <cell r="V56">
            <v>2.9</v>
          </cell>
          <cell r="W56">
            <v>7.0579778181818194</v>
          </cell>
          <cell r="X56">
            <v>9.4106370909090913</v>
          </cell>
          <cell r="Y56">
            <v>11.763296363636364</v>
          </cell>
          <cell r="Z56">
            <v>14.115955636363639</v>
          </cell>
          <cell r="AA56">
            <v>16.46861490909091</v>
          </cell>
          <cell r="AB56">
            <v>18.821274181818183</v>
          </cell>
          <cell r="AC56">
            <v>21.173933454545455</v>
          </cell>
          <cell r="AD56">
            <v>23.526592727272728</v>
          </cell>
          <cell r="AE56">
            <v>25.879252000000005</v>
          </cell>
          <cell r="AF56">
            <v>28.231911272727277</v>
          </cell>
          <cell r="AG56">
            <v>30.58457054545455</v>
          </cell>
          <cell r="AH56">
            <v>32.937229818181819</v>
          </cell>
          <cell r="AI56">
            <v>35.289889090909092</v>
          </cell>
          <cell r="AJ56">
            <v>37.642548363636365</v>
          </cell>
          <cell r="AK56">
            <v>39.995207636363645</v>
          </cell>
        </row>
        <row r="57">
          <cell r="V57">
            <v>3</v>
          </cell>
          <cell r="W57">
            <v>7.5531272727272736</v>
          </cell>
          <cell r="X57">
            <v>10.070836363636364</v>
          </cell>
          <cell r="Y57">
            <v>12.588545454545455</v>
          </cell>
          <cell r="Z57">
            <v>15.106254545454547</v>
          </cell>
          <cell r="AA57">
            <v>17.623963636363637</v>
          </cell>
          <cell r="AB57">
            <v>20.141672727272727</v>
          </cell>
          <cell r="AC57">
            <v>22.659381818181817</v>
          </cell>
          <cell r="AD57">
            <v>25.177090909090911</v>
          </cell>
          <cell r="AE57">
            <v>27.694800000000004</v>
          </cell>
          <cell r="AF57">
            <v>30.212509090909094</v>
          </cell>
          <cell r="AG57">
            <v>32.730218181818188</v>
          </cell>
          <cell r="AH57">
            <v>35.247927272727274</v>
          </cell>
          <cell r="AI57">
            <v>37.765636363636361</v>
          </cell>
          <cell r="AJ57">
            <v>40.283345454545454</v>
          </cell>
          <cell r="AK57">
            <v>42.801054545454548</v>
          </cell>
        </row>
        <row r="66">
          <cell r="Z66">
            <v>4</v>
          </cell>
        </row>
      </sheetData>
      <sheetData sheetId="16" refreshError="1"/>
      <sheetData sheetId="17" refreshError="1"/>
      <sheetData sheetId="18" refreshError="1"/>
    </sheetDataSet>
  </externalBook>
</externalLink>
</file>

<file path=xl/persons/person.xml><?xml version="1.0" encoding="utf-8"?>
<personList xmlns="http://schemas.microsoft.com/office/spreadsheetml/2018/threadedcomments" xmlns:x="http://schemas.openxmlformats.org/spreadsheetml/2006/main">
  <person displayName="Изюмова Инна Владимировна" id="{0E35C932-6E07-48FD-B745-C544D2AC1201}" userId="S-1-5-21-2327516115-4155310124-129756902-163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2" displayName="Таблица2" ref="S1:S7">
  <autoFilter ref="S1:S7" xr:uid="{00000000-0009-0000-0100-000001000000}"/>
  <tableColumns count="1">
    <tableColumn id="1" xr3:uid="{00000000-0010-0000-0000-000001000000}" name="ЕИ"/>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Таблица4" displayName="Таблица4" ref="Q1:Q3">
  <autoFilter ref="Q1:Q3" xr:uid="{00000000-0009-0000-0100-000002000000}"/>
  <tableColumns count="1">
    <tableColumn id="1" xr3:uid="{00000000-0010-0000-0100-000001000000}" name="Материал"/>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Таблица5" displayName="Таблица5" ref="R1:R2">
  <autoFilter ref="R1:R2" xr:uid="{00000000-0009-0000-0100-000003000000}"/>
  <tableColumns count="1">
    <tableColumn id="1" xr3:uid="{00000000-0010-0000-0200-000001000000}" name="Среда"/>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Таблица6" displayName="Таблица6" ref="P1:P4">
  <autoFilter ref="P1:P4" xr:uid="{00000000-0009-0000-0100-000004000000}"/>
  <tableColumns count="1">
    <tableColumn id="1" xr3:uid="{00000000-0010-0000-0300-000001000000}" name="Наименование изделия"/>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Таблица8" displayName="Таблица8" ref="Z1:Z31">
  <autoFilter ref="Z1:Z31" xr:uid="{00000000-0009-0000-0100-000005000000}"/>
  <tableColumns count="1">
    <tableColumn id="1" xr3:uid="{00000000-0010-0000-0400-000001000000}" name="Диаметр" dataDxfId="68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Таблица11" displayName="Таблица11" ref="AB1:AB9">
  <autoFilter ref="AB1:AB9" xr:uid="{00000000-0009-0000-0100-000006000000}"/>
  <tableColumns count="1">
    <tableColumn id="1" xr3:uid="{00000000-0010-0000-0500-000001000000}" name="Давление" dataDxfId="68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Таблица13" displayName="Таблица13" ref="AE1:AE5">
  <autoFilter ref="AE1:AE5" xr:uid="{00000000-0009-0000-0100-000007000000}"/>
  <tableColumns count="1">
    <tableColumn id="1" xr3:uid="{00000000-0010-0000-0600-000001000000}" name="Жесткость" dataDxfId="68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Таблица17" displayName="Таблица17" ref="H1:I5">
  <autoFilter ref="H1:I5" xr:uid="{00000000-0009-0000-0100-000008000000}"/>
  <tableColumns count="2">
    <tableColumn id="1" xr3:uid="{00000000-0010-0000-0700-000001000000}" name="Корзина или Дробилка"/>
    <tableColumn id="2" xr3:uid="{00000000-0010-0000-0700-000002000000}" name="Тип запорной арматуры"/>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Таблица22" displayName="Таблица22" ref="G1:G4">
  <autoFilter ref="G1:G4" xr:uid="{00000000-0009-0000-0100-000009000000}"/>
  <tableColumns count="1">
    <tableColumn id="1" xr3:uid="{00000000-0010-0000-0800-000001000000}" name="Вид насосной станции"/>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Таблица23" displayName="Таблица23" ref="M1:M4">
  <autoFilter ref="M1:M4" xr:uid="{00000000-0009-0000-0100-00000A000000}"/>
  <tableColumns count="1">
    <tableColumn id="1" xr3:uid="{00000000-0010-0000-0900-000001000000}" name="Тип соединения"/>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Таблица3" displayName="Таблица3" ref="L1:L8">
  <autoFilter ref="L1:L8" xr:uid="{00000000-0009-0000-0100-00000B000000}"/>
  <tableColumns count="1">
    <tableColumn id="1" xr3:uid="{00000000-0010-0000-0A00-000001000000}" name="Материал трубы"/>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Таблица7" displayName="Таблица7" ref="U1:U4">
  <autoFilter ref="U1:U4" xr:uid="{00000000-0009-0000-0100-00000C000000}"/>
  <tableColumns count="1">
    <tableColumn id="1" xr3:uid="{00000000-0010-0000-0B00-000001000000}" name="ЕИ для ОЛ"/>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Таблица9" displayName="Таблица9" ref="Y1:Y29">
  <autoFilter ref="Y1:Y29" xr:uid="{00000000-0009-0000-0100-00000D000000}"/>
  <tableColumns count="1">
    <tableColumn id="1" xr3:uid="{00000000-0010-0000-0C00-000001000000}" name="DN подвод патрубка"/>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Таблица10" displayName="Таблица10" ref="AG1:AG17">
  <autoFilter ref="AG1:AG17" xr:uid="{00000000-0009-0000-0100-00000E000000}"/>
  <sortState xmlns:xlrd2="http://schemas.microsoft.com/office/spreadsheetml/2017/richdata2" ref="AG2:AG17">
    <sortCondition ref="AG1:AG17"/>
  </sortState>
  <tableColumns count="1">
    <tableColumn id="1" xr3:uid="{00000000-0010-0000-0D00-000001000000}" name="Категории"/>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Таблица72" displayName="Таблица72" ref="W1:W4">
  <autoFilter ref="W1:W4" xr:uid="{00000000-0009-0000-0100-00000F000000}"/>
  <tableColumns count="1">
    <tableColumn id="1" xr3:uid="{00000000-0010-0000-0E00-000001000000}" name="Валюта"/>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Таблица33" displayName="Таблица33" ref="AI1:AI3">
  <autoFilter ref="AI1:AI3" xr:uid="{00000000-0009-0000-0100-000010000000}"/>
  <tableColumns count="1">
    <tableColumn id="1" xr3:uid="{00000000-0010-0000-0F00-000001000000}" name="Труба на части" dataDxfId="686"/>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Таблица12" displayName="Таблица12" ref="AK1:AK3">
  <autoFilter ref="AK1:AK3" xr:uid="{00000000-0009-0000-0100-000011000000}"/>
  <tableColumns count="1">
    <tableColumn id="1" xr3:uid="{00000000-0010-0000-1000-000001000000}" name="Расположение"/>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Таблица36" displayName="Таблица36" ref="AM1:AM5">
  <autoFilter ref="AM1:AM5" xr:uid="{00000000-0009-0000-0100-000012000000}"/>
  <tableColumns count="1">
    <tableColumn id="1" xr3:uid="{00000000-0010-0000-1100-000001000000}" name="Установка"/>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Таблица37" displayName="Таблица37" ref="AO1:AO6">
  <autoFilter ref="AO1:AO6" xr:uid="{00000000-0009-0000-0100-000013000000}"/>
  <tableColumns count="1">
    <tableColumn id="1" xr3:uid="{00000000-0010-0000-1200-000001000000}" name="Тип емкости"/>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Таблица38" displayName="Таблица38" ref="AQ1:AQ10">
  <autoFilter ref="AQ1:AQ10" xr:uid="{00000000-0009-0000-0100-000014000000}"/>
  <tableColumns count="1">
    <tableColumn id="1" xr3:uid="{00000000-0010-0000-1300-000001000000}" name="Д шахты обслуживания"/>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Таблица39" displayName="Таблица39" ref="AS1:AS5">
  <autoFilter ref="AS1:AS5" xr:uid="{00000000-0009-0000-0100-000015000000}"/>
  <tableColumns count="1">
    <tableColumn id="1" xr3:uid="{00000000-0010-0000-1400-000001000000}" name="Класс опасности"/>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Таблица40" displayName="Таблица40" ref="AU1:AU6">
  <autoFilter ref="AU1:AU6" xr:uid="{00000000-0009-0000-0100-000016000000}"/>
  <tableColumns count="1">
    <tableColumn id="1" xr3:uid="{00000000-0010-0000-1500-000001000000}" name="Тип патрубка"/>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Таблица41" displayName="Таблица41" ref="AW1:AW3">
  <autoFilter ref="AW1:AW3" xr:uid="{00000000-0009-0000-0100-000017000000}"/>
  <tableColumns count="1">
    <tableColumn id="1" xr3:uid="{00000000-0010-0000-1600-000001000000}" name="Тип крышки"/>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Таблица43" displayName="Таблица43" ref="AC1:AC5">
  <autoFilter ref="AC1:AC5" xr:uid="{00000000-0009-0000-0100-000018000000}"/>
  <tableColumns count="1">
    <tableColumn id="1" xr3:uid="{00000000-0010-0000-1700-000001000000}" name="Давление_для_фланцев" dataDxfId="685"/>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Таблица44" displayName="Таблица44" ref="AD1:AD6">
  <autoFilter ref="AD1:AD6" xr:uid="{00000000-0009-0000-0100-000019000000}"/>
  <tableColumns count="1">
    <tableColumn id="1" xr3:uid="{00000000-0010-0000-1800-000001000000}" name="Давление_для_проч_эл" dataDxfId="684"/>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Таблица45" displayName="Таблица45" ref="AY1:AY7">
  <autoFilter ref="AY1:AY7" xr:uid="{00000000-0009-0000-0100-00001A000000}"/>
  <tableColumns count="1">
    <tableColumn id="1" xr3:uid="{00000000-0010-0000-1900-000001000000}" name="Отвод" dataDxfId="683"/>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Таблица47" displayName="Таблица47" ref="BA1:BA3">
  <autoFilter ref="BA1:BA3" xr:uid="{00000000-0009-0000-0100-00001B000000}"/>
  <tableColumns count="1">
    <tableColumn id="1" xr3:uid="{00000000-0010-0000-1A00-000001000000}" name="Фланец" dataDxfId="682"/>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Таблица48" displayName="Таблица48" ref="AZ1:AZ2">
  <autoFilter ref="AZ1:AZ2" xr:uid="{00000000-0009-0000-0100-00001C000000}"/>
  <tableColumns count="1">
    <tableColumn id="1" xr3:uid="{00000000-0010-0000-1B00-000001000000}" name="Тройник" dataDxfId="681"/>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Таблица42" displayName="Таблица42" ref="BB1:BB4">
  <autoFilter ref="BB1:BB4" xr:uid="{00000000-0009-0000-0100-00001D000000}"/>
  <tableColumns count="1">
    <tableColumn id="1" xr3:uid="{00000000-0010-0000-1C00-000001000000}" name="Тип_ОЛ"/>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Таблица301715" displayName="Таблица301715" ref="B1:K1045" headerRowDxfId="680" dataDxfId="679" totalsRowDxfId="678">
  <autoFilter ref="B1:K1045" xr:uid="{00000000-0009-0000-0100-00001E000000}"/>
  <sortState xmlns:xlrd2="http://schemas.microsoft.com/office/spreadsheetml/2017/richdata2" ref="A2:K1371">
    <sortCondition ref="B1:B1371"/>
  </sortState>
  <tableColumns count="10">
    <tableColumn id="1" xr3:uid="{00000000-0010-0000-1D00-000001000000}" name="Группа" dataDxfId="677"/>
    <tableColumn id="2" xr3:uid="{00000000-0010-0000-1D00-000002000000}" name="Столбец1" dataDxfId="676"/>
    <tableColumn id="3" xr3:uid="{00000000-0010-0000-1D00-000003000000}" name="Номенклатура" dataDxfId="675"/>
    <tableColumn id="4" xr3:uid="{00000000-0010-0000-1D00-000004000000}" name="Для фильтра2" dataDxfId="674"/>
    <tableColumn id="5" xr3:uid="{00000000-0010-0000-1D00-000005000000}" name="ЕИ" dataDxfId="673"/>
    <tableColumn id="6" xr3:uid="{00000000-0010-0000-1D00-000006000000}" name="Цена без скидки" dataDxfId="672"/>
    <tableColumn id="7" xr3:uid="{00000000-0010-0000-1D00-000007000000}" name="Валюта" dataDxfId="671"/>
    <tableColumn id="8" xr3:uid="{00000000-0010-0000-1D00-000008000000}" name="Скидка, %" dataDxfId="670"/>
    <tableColumn id="9" xr3:uid="{00000000-0010-0000-1D00-000009000000}" name="Цена, руб" dataDxfId="669"/>
    <tableColumn id="10" xr3:uid="{00000000-0010-0000-1D00-00000A000000}" name="Комментарии" dataDxfId="668"/>
  </tableColumns>
  <tableStyleInfo name="Стиль НТТ"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61" dT="2025-08-14T07:01:54.57" personId="{0E35C932-6E07-48FD-B745-C544D2AC1201}" id="{B65B74AB-305A-467A-A97C-E75A232E05BA}">
    <text>Обращать внимание  если глубина больше 14500 мм! Внимание!</text>
  </threadedComment>
</ThreadedComments>
</file>

<file path=xl/threadedComments/threadedComment2.xml><?xml version="1.0" encoding="utf-8"?>
<ThreadedComments xmlns="http://schemas.microsoft.com/office/spreadsheetml/2018/threadedcomments" xmlns:x="http://schemas.openxmlformats.org/spreadsheetml/2006/main">
  <threadedComment ref="E265" dT="2025-09-09T12:53:21.30" personId="{0E35C932-6E07-48FD-B745-C544D2AC1201}" id="{86DBC86C-E897-42AE-AF58-01A23783E540}">
    <text xml:space="preserve">Если глубина корпуса КНС больше 10 м, выбрать другую длину кабеля
</text>
  </threadedComment>
  <threadedComment ref="D273" dT="2025-09-09T12:51:04.27" personId="{0E35C932-6E07-48FD-B745-C544D2AC1201}" id="{C076DE23-D15F-4034-AF03-CD0A71865D6A}">
    <text>Поменять таль, если глубина КНС больше 6 м</text>
  </threadedComment>
</ThreadedComments>
</file>

<file path=xl/threadedComments/threadedComment3.xml><?xml version="1.0" encoding="utf-8"?>
<ThreadedComments xmlns="http://schemas.microsoft.com/office/spreadsheetml/2018/threadedcomments" xmlns:x="http://schemas.openxmlformats.org/spreadsheetml/2006/main">
  <threadedComment ref="P46" dT="2025-08-14T07:01:54.57" personId="{0E35C932-6E07-48FD-B745-C544D2AC1201}" id="{93A1DB72-17B8-4035-BD0D-922C13A56448}">
    <text>Обращать внимание  если глубина больше 14500 мм! Внимание!</text>
  </threadedComment>
</ThreadedComments>
</file>

<file path=xl/threadedComments/threadedComment4.xml><?xml version="1.0" encoding="utf-8"?>
<ThreadedComments xmlns="http://schemas.microsoft.com/office/spreadsheetml/2018/threadedcomments" xmlns:x="http://schemas.openxmlformats.org/spreadsheetml/2006/main">
  <threadedComment ref="E414" dT="2025-09-09T12:53:21.30" personId="{0E35C932-6E07-48FD-B745-C544D2AC1201}" id="{AFD27094-75B2-476B-BF9B-3B1EF2F5B3D6}">
    <text xml:space="preserve">Если глубина корпуса КНС больше 10 м, выбрать другую длину кабеля
</text>
  </threadedComment>
  <threadedComment ref="D422" dT="2025-09-09T12:51:04.27" personId="{0E35C932-6E07-48FD-B745-C544D2AC1201}" id="{273377A5-47E0-4C9F-9F62-0DD9CC3DD1CC}">
    <text>Поменять таль, если глубина КНС больше 6 м</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29" Type="http://schemas.openxmlformats.org/officeDocument/2006/relationships/table" Target="../tables/table28.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3"/>
  <dimension ref="B1:D285"/>
  <sheetViews>
    <sheetView showGridLines="0" zoomScale="90" workbookViewId="0">
      <pane ySplit="1" topLeftCell="A2" activePane="bottomLeft" state="frozen"/>
      <selection activeCell="C285" sqref="C285"/>
      <selection pane="bottomLeft"/>
    </sheetView>
  </sheetViews>
  <sheetFormatPr defaultColWidth="8.7109375" defaultRowHeight="14.45" customHeight="1"/>
  <cols>
    <col min="1" max="1" width="2.140625" customWidth="1"/>
    <col min="2" max="2" width="5.140625" customWidth="1"/>
    <col min="3" max="3" width="133.7109375" customWidth="1"/>
    <col min="4" max="4" width="12.85546875" bestFit="1" customWidth="1"/>
    <col min="5" max="7" width="8.7109375" customWidth="1"/>
  </cols>
  <sheetData>
    <row r="1" spans="2:4" ht="24.6" customHeight="1">
      <c r="B1" s="2"/>
      <c r="C1" s="3" t="s">
        <v>0</v>
      </c>
      <c r="D1" s="4" t="s">
        <v>1</v>
      </c>
    </row>
    <row r="2" spans="2:4" ht="15">
      <c r="B2" s="6"/>
      <c r="C2" s="7"/>
      <c r="D2" s="8"/>
    </row>
    <row r="3" spans="2:4" ht="24" customHeight="1">
      <c r="B3" s="9" t="s">
        <v>2</v>
      </c>
      <c r="C3" s="10"/>
      <c r="D3" s="10"/>
    </row>
    <row r="4" spans="2:4" ht="15">
      <c r="B4" s="11" t="s">
        <v>3</v>
      </c>
      <c r="C4" s="12" t="s">
        <v>4</v>
      </c>
      <c r="D4" s="12"/>
    </row>
    <row r="5" spans="2:4" ht="15">
      <c r="B5" s="11" t="s">
        <v>5</v>
      </c>
      <c r="C5" s="12" t="s">
        <v>6</v>
      </c>
      <c r="D5" s="12"/>
    </row>
    <row r="6" spans="2:4" ht="15">
      <c r="B6" s="11" t="s">
        <v>7</v>
      </c>
      <c r="C6" s="12" t="s">
        <v>8</v>
      </c>
      <c r="D6" s="12"/>
    </row>
    <row r="7" spans="2:4" ht="15">
      <c r="B7" s="11" t="s">
        <v>9</v>
      </c>
      <c r="C7" s="12" t="s">
        <v>10</v>
      </c>
      <c r="D7" s="12"/>
    </row>
    <row r="8" spans="2:4" ht="15">
      <c r="B8" s="11" t="s">
        <v>11</v>
      </c>
      <c r="C8" s="12" t="s">
        <v>12</v>
      </c>
      <c r="D8" s="12"/>
    </row>
    <row r="9" spans="2:4" ht="15">
      <c r="B9" s="6"/>
      <c r="C9" s="7"/>
      <c r="D9" s="8"/>
    </row>
    <row r="10" spans="2:4" ht="24" customHeight="1">
      <c r="B10" s="9" t="s">
        <v>13</v>
      </c>
      <c r="C10" s="10"/>
      <c r="D10" s="10"/>
    </row>
    <row r="11" spans="2:4" ht="7.35" customHeight="1">
      <c r="B11" s="11"/>
      <c r="C11" s="12"/>
      <c r="D11" s="12"/>
    </row>
    <row r="12" spans="2:4" ht="15">
      <c r="B12" s="11" t="s">
        <v>3</v>
      </c>
      <c r="C12" s="12" t="s">
        <v>14</v>
      </c>
      <c r="D12" s="12"/>
    </row>
    <row r="13" spans="2:4" ht="25.5">
      <c r="B13" s="11" t="s">
        <v>5</v>
      </c>
      <c r="C13" s="12" t="s">
        <v>15</v>
      </c>
      <c r="D13" s="12"/>
    </row>
    <row r="28" spans="2:3" ht="18.95" customHeight="1">
      <c r="B28" s="11" t="s">
        <v>7</v>
      </c>
      <c r="C28" s="12" t="s">
        <v>16</v>
      </c>
    </row>
    <row r="29" spans="2:3" ht="15">
      <c r="B29" s="6"/>
      <c r="C29" s="7"/>
    </row>
    <row r="30" spans="2:3" ht="24" customHeight="1">
      <c r="B30" s="9" t="s">
        <v>17</v>
      </c>
      <c r="C30" s="10"/>
    </row>
    <row r="31" spans="2:3" ht="6" customHeight="1">
      <c r="B31" s="11"/>
      <c r="C31" s="12"/>
    </row>
    <row r="32" spans="2:3" ht="15">
      <c r="B32" s="11" t="s">
        <v>18</v>
      </c>
      <c r="C32" s="12" t="s">
        <v>19</v>
      </c>
    </row>
    <row r="52" spans="2:3" ht="63.75">
      <c r="B52" s="11" t="s">
        <v>20</v>
      </c>
      <c r="C52" s="12" t="s">
        <v>21</v>
      </c>
    </row>
    <row r="53" spans="2:3" ht="12.75" customHeight="1">
      <c r="B53" s="11"/>
      <c r="C53" s="12" t="s">
        <v>22</v>
      </c>
    </row>
    <row r="69" spans="2:3" ht="25.5">
      <c r="B69" s="11" t="s">
        <v>23</v>
      </c>
      <c r="C69" s="12" t="s">
        <v>24</v>
      </c>
    </row>
    <row r="87" spans="2:3" ht="24" customHeight="1">
      <c r="B87" s="9" t="s">
        <v>25</v>
      </c>
      <c r="C87" s="10"/>
    </row>
    <row r="88" spans="2:3" ht="9" customHeight="1">
      <c r="B88" s="11"/>
      <c r="C88" s="13"/>
    </row>
    <row r="89" spans="2:3" ht="26.25">
      <c r="B89" s="11" t="s">
        <v>18</v>
      </c>
      <c r="C89" s="13" t="s">
        <v>26</v>
      </c>
    </row>
    <row r="101" spans="2:3" ht="26.25">
      <c r="B101" s="11" t="s">
        <v>20</v>
      </c>
      <c r="C101" s="13" t="s">
        <v>27</v>
      </c>
    </row>
    <row r="102" spans="2:3" ht="38.25">
      <c r="B102" s="11" t="s">
        <v>23</v>
      </c>
      <c r="C102" s="14" t="s">
        <v>28</v>
      </c>
    </row>
    <row r="117" spans="2:3" ht="24" customHeight="1">
      <c r="B117" s="9" t="s">
        <v>29</v>
      </c>
      <c r="C117" s="10"/>
    </row>
    <row r="118" spans="2:3" ht="15">
      <c r="B118" s="11"/>
      <c r="C118" s="13"/>
    </row>
    <row r="119" spans="2:3" ht="15">
      <c r="B119" s="11" t="s">
        <v>18</v>
      </c>
      <c r="C119" s="13" t="s">
        <v>30</v>
      </c>
    </row>
    <row r="147" spans="2:3" ht="26.25">
      <c r="B147" s="11" t="s">
        <v>20</v>
      </c>
      <c r="C147" s="13" t="s">
        <v>31</v>
      </c>
    </row>
    <row r="148" spans="2:3" ht="15">
      <c r="B148" s="11"/>
      <c r="C148" s="12"/>
    </row>
    <row r="149" spans="2:3" ht="15">
      <c r="B149" s="11"/>
      <c r="C149" s="12"/>
    </row>
    <row r="150" spans="2:3" ht="15">
      <c r="B150" s="11"/>
      <c r="C150" s="12"/>
    </row>
    <row r="151" spans="2:3" ht="15">
      <c r="B151" s="11"/>
      <c r="C151" s="12"/>
    </row>
    <row r="152" spans="2:3" ht="15">
      <c r="B152" s="11"/>
      <c r="C152" s="12"/>
    </row>
    <row r="153" spans="2:3" ht="15">
      <c r="B153" s="11"/>
      <c r="C153" s="12"/>
    </row>
    <row r="154" spans="2:3" ht="15">
      <c r="B154" s="11"/>
      <c r="C154" s="12"/>
    </row>
    <row r="155" spans="2:3" ht="15">
      <c r="B155" s="11"/>
      <c r="C155" s="12"/>
    </row>
    <row r="156" spans="2:3" ht="15">
      <c r="B156" s="11"/>
      <c r="C156" s="12"/>
    </row>
    <row r="157" spans="2:3" ht="15">
      <c r="B157" s="11"/>
      <c r="C157" s="12" t="s">
        <v>32</v>
      </c>
    </row>
    <row r="167" spans="2:3" ht="25.5">
      <c r="B167" s="11" t="s">
        <v>7</v>
      </c>
      <c r="C167" s="12" t="s">
        <v>33</v>
      </c>
    </row>
    <row r="168" spans="2:3" ht="15">
      <c r="B168" s="11"/>
      <c r="C168" s="12"/>
    </row>
    <row r="169" spans="2:3" ht="15">
      <c r="B169" s="6"/>
      <c r="C169" s="7"/>
    </row>
    <row r="170" spans="2:3" ht="24" customHeight="1">
      <c r="B170" s="9" t="s">
        <v>34</v>
      </c>
      <c r="C170" s="10"/>
    </row>
    <row r="171" spans="2:3" ht="15">
      <c r="B171" s="11"/>
      <c r="C171" s="12"/>
    </row>
    <row r="172" spans="2:3" ht="15">
      <c r="B172" s="11" t="s">
        <v>3</v>
      </c>
      <c r="C172" s="12" t="s">
        <v>35</v>
      </c>
    </row>
    <row r="173" spans="2:3" ht="15">
      <c r="B173" s="11"/>
      <c r="C173" s="12"/>
    </row>
    <row r="174" spans="2:3" ht="25.5">
      <c r="B174" s="11" t="s">
        <v>5</v>
      </c>
      <c r="C174" s="12" t="s">
        <v>36</v>
      </c>
    </row>
    <row r="196" spans="2:3" ht="25.5">
      <c r="B196" s="11" t="s">
        <v>7</v>
      </c>
      <c r="C196" s="12" t="s">
        <v>37</v>
      </c>
    </row>
    <row r="197" spans="2:3" ht="15">
      <c r="B197" s="11"/>
      <c r="C197" s="12"/>
    </row>
    <row r="198" spans="2:3" ht="15">
      <c r="B198" s="11" t="s">
        <v>38</v>
      </c>
      <c r="C198" s="12" t="s">
        <v>39</v>
      </c>
    </row>
    <row r="199" spans="2:3" ht="15">
      <c r="B199" s="11"/>
      <c r="C199" s="12"/>
    </row>
    <row r="200" spans="2:3" ht="15">
      <c r="B200" s="11" t="s">
        <v>40</v>
      </c>
      <c r="C200" s="12" t="s">
        <v>41</v>
      </c>
    </row>
    <row r="201" spans="2:3" ht="15">
      <c r="B201" s="11"/>
      <c r="C201" s="12"/>
    </row>
    <row r="202" spans="2:3" ht="15">
      <c r="B202" s="11" t="s">
        <v>42</v>
      </c>
      <c r="C202" s="12" t="s">
        <v>43</v>
      </c>
    </row>
    <row r="203" spans="2:3" ht="15">
      <c r="B203" s="11"/>
      <c r="C203" s="12"/>
    </row>
    <row r="204" spans="2:3" ht="15">
      <c r="B204" s="6"/>
      <c r="C204" s="7"/>
    </row>
    <row r="205" spans="2:3" ht="20.25">
      <c r="B205" s="9" t="s">
        <v>44</v>
      </c>
      <c r="C205" s="10"/>
    </row>
    <row r="206" spans="2:3" ht="15">
      <c r="B206" s="11"/>
      <c r="C206" s="12"/>
    </row>
    <row r="207" spans="2:3" ht="25.5">
      <c r="B207" s="11" t="s">
        <v>3</v>
      </c>
      <c r="C207" s="12" t="s">
        <v>45</v>
      </c>
    </row>
    <row r="224" spans="2:3" ht="15">
      <c r="B224" s="11" t="s">
        <v>20</v>
      </c>
      <c r="C224" s="12" t="s">
        <v>46</v>
      </c>
    </row>
    <row r="226" spans="2:3" ht="25.5">
      <c r="B226" s="11" t="s">
        <v>47</v>
      </c>
      <c r="C226" s="12" t="s">
        <v>48</v>
      </c>
    </row>
    <row r="252" spans="2:3" ht="25.5">
      <c r="B252" s="11" t="s">
        <v>49</v>
      </c>
      <c r="C252" s="12" t="s">
        <v>50</v>
      </c>
    </row>
    <row r="253" spans="2:3" ht="25.5">
      <c r="B253" s="11"/>
      <c r="C253" s="12" t="s">
        <v>51</v>
      </c>
    </row>
    <row r="285" spans="2:3" ht="15">
      <c r="B285" s="11" t="s">
        <v>52</v>
      </c>
      <c r="C285" s="12" t="s">
        <v>53</v>
      </c>
    </row>
  </sheetData>
  <hyperlinks>
    <hyperlink ref="D1" location="'Содержание'!A1" display="к содержанию" xr:uid="{00000000-0004-0000-0000-000000000000}"/>
  </hyperlink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9"/>
  <dimension ref="B1:E23"/>
  <sheetViews>
    <sheetView showGridLines="0" zoomScale="90" workbookViewId="0">
      <selection activeCell="C10" sqref="C10"/>
    </sheetView>
  </sheetViews>
  <sheetFormatPr defaultRowHeight="14.45" customHeight="1"/>
  <cols>
    <col min="1" max="1" width="2.140625" customWidth="1"/>
    <col min="2" max="2" width="5.42578125" customWidth="1"/>
    <col min="3" max="3" width="29.42578125" bestFit="1" customWidth="1"/>
    <col min="4" max="4" width="29.42578125" customWidth="1"/>
    <col min="5" max="5" width="8.7109375" customWidth="1"/>
  </cols>
  <sheetData>
    <row r="1" spans="2:5" ht="24.6" customHeight="1">
      <c r="B1" s="1"/>
      <c r="C1" s="3" t="s">
        <v>54</v>
      </c>
      <c r="D1" s="15"/>
      <c r="E1" s="15" t="str">
        <f ca="1">MID(CELL("имяфайла"),SEARCH("[",CELL("имяфайла"))+1,SEARCH("]",CELL("имяфайла"))-SEARCH("[",CELL("имяфайла"))-1)</f>
        <v>Шаблон 3.0.xlsx</v>
      </c>
    </row>
    <row r="3" spans="2:5" ht="14.45" customHeight="1">
      <c r="B3" s="16"/>
      <c r="C3" s="17" t="s">
        <v>55</v>
      </c>
      <c r="D3" s="18" t="s">
        <v>56</v>
      </c>
      <c r="E3" s="19" t="str">
        <f ca="1">IF(D3=Списки!BB2,HYPERLINK("["&amp;E1&amp;"]ОЛ_Емкости!A1","Нажмите ссылку, чтобы перейти на ОЛ"),HYPERLINK("["&amp;E1&amp;"]ОЛ_НАСОСНАЯ_СТАНЦИЯ!A1","Нажмите ссылку, чтобы перейти на ОЛ"))</f>
        <v>Нажмите ссылку, чтобы перейти на ОЛ</v>
      </c>
    </row>
    <row r="6" spans="2:5" ht="14.45" customHeight="1">
      <c r="B6" s="20" t="s">
        <v>57</v>
      </c>
      <c r="C6" s="20" t="s">
        <v>54</v>
      </c>
      <c r="D6" s="20" t="s">
        <v>58</v>
      </c>
    </row>
    <row r="7" spans="2:5" ht="14.45" customHeight="1">
      <c r="B7" s="18">
        <v>1</v>
      </c>
      <c r="C7" s="21" t="s">
        <v>0</v>
      </c>
      <c r="D7" s="18"/>
    </row>
    <row r="8" spans="2:5" ht="14.45" customHeight="1">
      <c r="B8" s="18">
        <v>2</v>
      </c>
      <c r="C8" s="21" t="s">
        <v>59</v>
      </c>
      <c r="D8" s="18"/>
    </row>
    <row r="9" spans="2:5" ht="14.45" customHeight="1">
      <c r="B9" s="18">
        <v>3</v>
      </c>
      <c r="C9" s="21" t="s">
        <v>60</v>
      </c>
      <c r="D9" s="18"/>
    </row>
    <row r="10" spans="2:5" ht="14.45" customHeight="1">
      <c r="B10" s="18">
        <v>4</v>
      </c>
      <c r="C10" s="22" t="s">
        <v>61</v>
      </c>
    </row>
    <row r="11" spans="2:5" ht="14.45" customHeight="1">
      <c r="B11" s="18">
        <v>5</v>
      </c>
      <c r="C11" s="21" t="s">
        <v>62</v>
      </c>
      <c r="D11" s="18"/>
    </row>
    <row r="12" spans="2:5" ht="14.45" customHeight="1">
      <c r="B12" s="18">
        <v>6</v>
      </c>
      <c r="C12" s="21" t="s">
        <v>63</v>
      </c>
      <c r="D12" s="18"/>
    </row>
    <row r="13" spans="2:5" ht="14.45" customHeight="1">
      <c r="B13" s="18">
        <v>7</v>
      </c>
      <c r="C13" s="21" t="s">
        <v>64</v>
      </c>
      <c r="D13" s="18"/>
    </row>
    <row r="14" spans="2:5" ht="14.45" customHeight="1">
      <c r="B14" s="18">
        <v>8</v>
      </c>
      <c r="C14" s="21" t="s">
        <v>65</v>
      </c>
      <c r="D14" s="18"/>
    </row>
    <row r="15" spans="2:5" ht="14.45" customHeight="1">
      <c r="B15" s="18">
        <v>9</v>
      </c>
      <c r="C15" s="21" t="s">
        <v>66</v>
      </c>
      <c r="D15" s="18"/>
    </row>
    <row r="16" spans="2:5" ht="14.45" customHeight="1">
      <c r="B16" s="18">
        <v>10</v>
      </c>
      <c r="C16" s="21" t="s">
        <v>67</v>
      </c>
      <c r="D16" s="18"/>
    </row>
    <row r="17" spans="2:4" ht="14.45" customHeight="1">
      <c r="B17" s="18">
        <v>11</v>
      </c>
      <c r="C17" s="21" t="s">
        <v>68</v>
      </c>
      <c r="D17" s="18"/>
    </row>
    <row r="18" spans="2:4" ht="14.45" customHeight="1">
      <c r="B18" s="18">
        <v>12</v>
      </c>
      <c r="C18" s="21" t="s">
        <v>69</v>
      </c>
      <c r="D18" s="18"/>
    </row>
    <row r="19" spans="2:4" ht="14.45" customHeight="1">
      <c r="B19" s="18">
        <v>13</v>
      </c>
      <c r="C19" s="21" t="s">
        <v>70</v>
      </c>
      <c r="D19" s="18"/>
    </row>
    <row r="20" spans="2:4" ht="14.45" customHeight="1">
      <c r="B20" s="18">
        <v>14</v>
      </c>
      <c r="C20" s="21" t="s">
        <v>71</v>
      </c>
      <c r="D20" s="18"/>
    </row>
    <row r="21" spans="2:4" ht="14.45" customHeight="1">
      <c r="B21" s="18">
        <v>15</v>
      </c>
      <c r="C21" s="21" t="s">
        <v>70</v>
      </c>
      <c r="D21" s="18"/>
    </row>
    <row r="22" spans="2:4" ht="14.45" customHeight="1">
      <c r="B22" s="18">
        <v>16</v>
      </c>
      <c r="C22" s="21" t="s">
        <v>72</v>
      </c>
      <c r="D22" s="18"/>
    </row>
    <row r="23" spans="2:4" ht="14.45" customHeight="1">
      <c r="B23" s="18">
        <v>17</v>
      </c>
      <c r="C23" s="21" t="s">
        <v>73</v>
      </c>
      <c r="D23" s="18"/>
    </row>
  </sheetData>
  <hyperlinks>
    <hyperlink ref="C7" location="'Инструкции'!A1" display="Инструкции" xr:uid="{00000000-0004-0000-0100-000000000000}"/>
    <hyperlink ref="C8" location="'ОЛ'!A1" display="Опросный лист" xr:uid="{00000000-0004-0000-0100-000001000000}"/>
    <hyperlink ref="C9" location="'Калькулятор'!A1" display="Калькулятор" xr:uid="{00000000-0004-0000-0100-000002000000}"/>
    <hyperlink ref="C10" location="'Заявка'!A1" display="Заявка на закупку" xr:uid="{00000000-0004-0000-0100-000003000000}"/>
    <hyperlink ref="C11" location="'Днище кнс'!A1" display="Днище КНС" xr:uid="{00000000-0004-0000-0100-000004000000}"/>
    <hyperlink ref="C12" location="'Вес трубы, ПЭ трубы'!A1" display="Вес и ПЭ трубы" xr:uid="{00000000-0004-0000-0100-000005000000}"/>
    <hyperlink ref="C13" location="'Грузоподъем'!A1" display="Грузоподъем" xr:uid="{00000000-0004-0000-0100-000006000000}"/>
    <hyperlink ref="C14" location="'Детали труб-да ПЭ ПВХ PPR'!A1" display="Детали трубопровода ПЭ ПВХ PP" xr:uid="{00000000-0004-0000-0100-000007000000}"/>
    <hyperlink ref="C15" location="'Детали трубопровода сталь'!A1" display="Детали трубопровода сталь" xr:uid="{00000000-0004-0000-0100-000008000000}"/>
    <hyperlink ref="C16" location="'Запорная арматура'!A1" display="Запорная арматура" xr:uid="{00000000-0004-0000-0100-000009000000}"/>
    <hyperlink ref="C17" location="'Металлопрокат'!A1" display="Металлопрокат" xr:uid="{00000000-0004-0000-0100-00000A000000}"/>
    <hyperlink ref="C18" location="'Метизы'!A1" display="Метизы" xr:uid="{00000000-0004-0000-0100-00000B000000}"/>
    <hyperlink ref="C19" location="'Оборудование'!A1" display="Оборудование" xr:uid="{00000000-0004-0000-0100-00000C000000}"/>
    <hyperlink ref="C20" location="'Прочие материалы'!A1" display="Прочие материалы" xr:uid="{00000000-0004-0000-0100-00000D000000}"/>
    <hyperlink ref="C21" location="'Оборудование'!A1" display="Оборудование" xr:uid="{00000000-0004-0000-0100-00000E000000}"/>
    <hyperlink ref="C22" location="'Собственное производство'!A1" display="Собственное производство" xr:uid="{00000000-0004-0000-0100-00000F000000}"/>
    <hyperlink ref="C23" location="'Работы'!A1" display="Работы" xr:uid="{00000000-0004-0000-0100-00001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Списки!$BB$2:$BB$4</xm:f>
          </x14:formula1>
          <xm:sqref>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
  <dimension ref="A1:BQ31"/>
  <sheetViews>
    <sheetView topLeftCell="BB1" workbookViewId="0">
      <selection activeCell="D18" sqref="D18:E18"/>
    </sheetView>
  </sheetViews>
  <sheetFormatPr defaultRowHeight="14.45" customHeight="1"/>
  <cols>
    <col min="2" max="2" width="8.7109375" customWidth="1"/>
    <col min="3" max="3" width="18.28515625" customWidth="1"/>
    <col min="4" max="4" width="21.42578125" customWidth="1"/>
    <col min="5" max="5" width="26.7109375" bestFit="1" customWidth="1"/>
    <col min="6" max="6" width="46.7109375" customWidth="1"/>
    <col min="7" max="7" width="22.28515625" customWidth="1"/>
    <col min="8" max="8" width="29.28515625" bestFit="1" customWidth="1"/>
    <col min="10" max="10" width="17.28515625" customWidth="1"/>
    <col min="11" max="11" width="16.5703125" customWidth="1"/>
    <col min="15" max="16" width="11.5703125" customWidth="1"/>
    <col min="19" max="21" width="11.5703125" customWidth="1"/>
    <col min="23" max="23" width="20.42578125" customWidth="1"/>
    <col min="26" max="26" width="11.42578125" customWidth="1"/>
    <col min="27" max="28" width="24.42578125" customWidth="1"/>
    <col min="29" max="29" width="11.7109375" customWidth="1"/>
    <col min="31" max="31" width="30.28515625" bestFit="1" customWidth="1"/>
    <col min="32" max="32" width="3" customWidth="1"/>
    <col min="33" max="33" width="25.140625" bestFit="1" customWidth="1"/>
    <col min="34" max="34" width="2.5703125" customWidth="1"/>
    <col min="35" max="35" width="15.42578125" customWidth="1"/>
    <col min="36" max="36" width="2.42578125" customWidth="1"/>
    <col min="37" max="37" width="12.5703125" bestFit="1" customWidth="1"/>
    <col min="38" max="38" width="3.85546875" customWidth="1"/>
    <col min="39" max="39" width="16" bestFit="1" customWidth="1"/>
    <col min="40" max="40" width="4.140625" customWidth="1"/>
    <col min="41" max="41" width="23" customWidth="1"/>
    <col min="42" max="42" width="4.140625" customWidth="1"/>
    <col min="43" max="43" width="17.42578125" bestFit="1" customWidth="1"/>
    <col min="44" max="44" width="5.140625" customWidth="1"/>
    <col min="45" max="45" width="21.85546875" bestFit="1" customWidth="1"/>
    <col min="47" max="47" width="13.140625" customWidth="1"/>
    <col min="49" max="49" width="67.5703125" bestFit="1" customWidth="1"/>
    <col min="50" max="50" width="10.28515625" customWidth="1"/>
    <col min="51" max="51" width="56.42578125" bestFit="1" customWidth="1"/>
    <col min="52" max="52" width="19.7109375" bestFit="1" customWidth="1"/>
    <col min="53" max="53" width="23.140625" bestFit="1" customWidth="1"/>
    <col min="54" max="54" width="11.42578125" bestFit="1" customWidth="1"/>
    <col min="62" max="62" width="49.5703125" customWidth="1"/>
    <col min="65" max="65" width="34" customWidth="1"/>
    <col min="66" max="66" width="33.28515625" customWidth="1"/>
    <col min="67" max="67" width="35.85546875" customWidth="1"/>
  </cols>
  <sheetData>
    <row r="1" spans="1:69" ht="30">
      <c r="A1" s="23" t="s">
        <v>74</v>
      </c>
      <c r="B1" s="24" t="s">
        <v>75</v>
      </c>
      <c r="C1" s="24" t="s">
        <v>76</v>
      </c>
      <c r="D1" s="24" t="s">
        <v>77</v>
      </c>
      <c r="E1" s="24" t="s">
        <v>78</v>
      </c>
      <c r="F1" s="24" t="s">
        <v>79</v>
      </c>
      <c r="G1" t="s">
        <v>80</v>
      </c>
      <c r="H1" t="s">
        <v>81</v>
      </c>
      <c r="I1" s="25" t="s">
        <v>82</v>
      </c>
      <c r="L1" t="s">
        <v>83</v>
      </c>
      <c r="M1" t="s">
        <v>84</v>
      </c>
      <c r="P1" t="s">
        <v>85</v>
      </c>
      <c r="Q1" t="s">
        <v>86</v>
      </c>
      <c r="R1" t="s">
        <v>87</v>
      </c>
      <c r="S1" t="s">
        <v>88</v>
      </c>
      <c r="U1" t="s">
        <v>89</v>
      </c>
      <c r="W1" t="s">
        <v>90</v>
      </c>
      <c r="Y1" t="s">
        <v>91</v>
      </c>
      <c r="Z1" s="26" t="s">
        <v>92</v>
      </c>
      <c r="AB1" s="26" t="s">
        <v>93</v>
      </c>
      <c r="AC1" s="26" t="s">
        <v>94</v>
      </c>
      <c r="AD1" s="26" t="s">
        <v>95</v>
      </c>
      <c r="AE1" s="26" t="s">
        <v>96</v>
      </c>
      <c r="AG1" s="27" t="s">
        <v>97</v>
      </c>
      <c r="AI1" s="26" t="s">
        <v>98</v>
      </c>
      <c r="AK1" t="s">
        <v>99</v>
      </c>
      <c r="AM1" t="s">
        <v>100</v>
      </c>
      <c r="AO1" t="s">
        <v>101</v>
      </c>
      <c r="AQ1" t="s">
        <v>102</v>
      </c>
      <c r="AS1" t="s">
        <v>103</v>
      </c>
      <c r="AU1" t="s">
        <v>104</v>
      </c>
      <c r="AW1" t="s">
        <v>105</v>
      </c>
      <c r="AY1" s="28" t="s">
        <v>106</v>
      </c>
      <c r="AZ1" s="28" t="s">
        <v>107</v>
      </c>
      <c r="BA1" s="26" t="s">
        <v>108</v>
      </c>
      <c r="BB1" t="s">
        <v>109</v>
      </c>
      <c r="BC1" s="25" t="s">
        <v>101</v>
      </c>
      <c r="BD1" s="25" t="s">
        <v>110</v>
      </c>
      <c r="BF1" s="25" t="s">
        <v>111</v>
      </c>
      <c r="BH1" s="25" t="s">
        <v>112</v>
      </c>
      <c r="BI1" s="25" t="s">
        <v>113</v>
      </c>
      <c r="BJ1" s="25" t="s">
        <v>114</v>
      </c>
      <c r="BM1" s="25" t="s">
        <v>2023</v>
      </c>
      <c r="BN1" s="1206" t="s">
        <v>657</v>
      </c>
      <c r="BO1" s="1219" t="s">
        <v>2087</v>
      </c>
      <c r="BP1" s="738">
        <v>1</v>
      </c>
      <c r="BQ1" s="1235" t="s">
        <v>2126</v>
      </c>
    </row>
    <row r="2" spans="1:69" ht="30">
      <c r="A2" s="29" t="s">
        <v>115</v>
      </c>
      <c r="B2" s="30" t="s">
        <v>116</v>
      </c>
      <c r="C2" s="30" t="s">
        <v>117</v>
      </c>
      <c r="D2" s="30" t="s">
        <v>118</v>
      </c>
      <c r="E2" s="30" t="s">
        <v>119</v>
      </c>
      <c r="F2" s="30" t="s">
        <v>120</v>
      </c>
      <c r="G2" t="s">
        <v>121</v>
      </c>
      <c r="H2" t="s">
        <v>122</v>
      </c>
      <c r="I2" t="s">
        <v>123</v>
      </c>
      <c r="L2" t="s">
        <v>124</v>
      </c>
      <c r="M2" t="s">
        <v>125</v>
      </c>
      <c r="P2" t="s">
        <v>126</v>
      </c>
      <c r="Q2" t="s">
        <v>127</v>
      </c>
      <c r="R2" t="s">
        <v>128</v>
      </c>
      <c r="S2" t="s">
        <v>129</v>
      </c>
      <c r="U2" t="s">
        <v>130</v>
      </c>
      <c r="W2" t="s">
        <v>131</v>
      </c>
      <c r="Y2">
        <v>50</v>
      </c>
      <c r="Z2" s="31">
        <v>300</v>
      </c>
      <c r="AB2" s="31">
        <v>0.1</v>
      </c>
      <c r="AC2" s="32" t="s">
        <v>132</v>
      </c>
      <c r="AD2" s="32" t="s">
        <v>133</v>
      </c>
      <c r="AE2" s="31">
        <v>1250</v>
      </c>
      <c r="AG2" t="s">
        <v>64</v>
      </c>
      <c r="AI2" s="31" t="s">
        <v>134</v>
      </c>
      <c r="AK2" t="s">
        <v>135</v>
      </c>
      <c r="AM2" t="s">
        <v>136</v>
      </c>
      <c r="AO2" t="s">
        <v>137</v>
      </c>
      <c r="AQ2">
        <v>700</v>
      </c>
      <c r="AS2" t="s">
        <v>138</v>
      </c>
      <c r="AU2" t="s">
        <v>139</v>
      </c>
      <c r="AW2" t="s">
        <v>140</v>
      </c>
      <c r="AY2" s="33" t="s">
        <v>141</v>
      </c>
      <c r="AZ2" s="34" t="s">
        <v>142</v>
      </c>
      <c r="BA2" s="34" t="s">
        <v>143</v>
      </c>
      <c r="BB2" t="s">
        <v>56</v>
      </c>
      <c r="BC2" t="s">
        <v>144</v>
      </c>
      <c r="BD2" t="s">
        <v>145</v>
      </c>
      <c r="BF2" t="s">
        <v>146</v>
      </c>
      <c r="BH2" t="s">
        <v>147</v>
      </c>
      <c r="BI2" t="s">
        <v>148</v>
      </c>
      <c r="BJ2" s="35" t="s">
        <v>149</v>
      </c>
      <c r="BM2" s="1199" t="s">
        <v>2024</v>
      </c>
      <c r="BP2" s="738">
        <v>2</v>
      </c>
      <c r="BQ2" s="1235" t="s">
        <v>2127</v>
      </c>
    </row>
    <row r="3" spans="1:69" ht="30">
      <c r="A3" s="36" t="s">
        <v>150</v>
      </c>
      <c r="B3" s="30" t="s">
        <v>151</v>
      </c>
      <c r="C3" s="37" t="s">
        <v>152</v>
      </c>
      <c r="D3" s="37" t="s">
        <v>153</v>
      </c>
      <c r="E3" s="30" t="s">
        <v>154</v>
      </c>
      <c r="F3" s="30" t="s">
        <v>155</v>
      </c>
      <c r="G3" t="s">
        <v>156</v>
      </c>
      <c r="H3" t="s">
        <v>157</v>
      </c>
      <c r="I3" t="s">
        <v>158</v>
      </c>
      <c r="L3" t="s">
        <v>159</v>
      </c>
      <c r="M3" t="s">
        <v>160</v>
      </c>
      <c r="P3" t="s">
        <v>161</v>
      </c>
      <c r="Q3" t="s">
        <v>162</v>
      </c>
      <c r="S3" t="s">
        <v>163</v>
      </c>
      <c r="U3" t="s">
        <v>164</v>
      </c>
      <c r="W3" t="s">
        <v>165</v>
      </c>
      <c r="Y3">
        <v>65</v>
      </c>
      <c r="Z3" s="31">
        <v>400</v>
      </c>
      <c r="AB3" s="31">
        <v>0.4</v>
      </c>
      <c r="AC3" s="32" t="s">
        <v>166</v>
      </c>
      <c r="AD3" s="32">
        <v>0.6</v>
      </c>
      <c r="AE3" s="31">
        <v>2500</v>
      </c>
      <c r="AG3" t="s">
        <v>167</v>
      </c>
      <c r="AI3" s="31" t="s">
        <v>168</v>
      </c>
      <c r="AK3" t="s">
        <v>169</v>
      </c>
      <c r="AM3" t="s">
        <v>170</v>
      </c>
      <c r="AO3" t="s">
        <v>171</v>
      </c>
      <c r="AQ3">
        <v>800</v>
      </c>
      <c r="AS3" t="s">
        <v>172</v>
      </c>
      <c r="AU3" t="s">
        <v>173</v>
      </c>
      <c r="AW3" t="s">
        <v>174</v>
      </c>
      <c r="AY3" s="33" t="s">
        <v>175</v>
      </c>
      <c r="BA3" s="34" t="s">
        <v>176</v>
      </c>
      <c r="BB3" t="s">
        <v>177</v>
      </c>
      <c r="BC3" t="s">
        <v>178</v>
      </c>
      <c r="BD3" t="s">
        <v>179</v>
      </c>
      <c r="BF3" t="s">
        <v>180</v>
      </c>
      <c r="BH3" t="s">
        <v>181</v>
      </c>
      <c r="BI3" t="s">
        <v>182</v>
      </c>
      <c r="BJ3" s="35" t="s">
        <v>183</v>
      </c>
      <c r="BM3" s="1199" t="s">
        <v>2025</v>
      </c>
      <c r="BQ3" s="1235" t="s">
        <v>2128</v>
      </c>
    </row>
    <row r="4" spans="1:69" ht="30">
      <c r="B4" s="30" t="s">
        <v>184</v>
      </c>
      <c r="E4" s="37" t="s">
        <v>185</v>
      </c>
      <c r="F4" s="37" t="s">
        <v>186</v>
      </c>
      <c r="G4" t="s">
        <v>187</v>
      </c>
      <c r="H4" t="s">
        <v>188</v>
      </c>
      <c r="I4" t="s">
        <v>189</v>
      </c>
      <c r="L4" t="s">
        <v>190</v>
      </c>
      <c r="M4" t="s">
        <v>191</v>
      </c>
      <c r="P4" t="s">
        <v>192</v>
      </c>
      <c r="S4" t="s">
        <v>193</v>
      </c>
      <c r="U4" t="s">
        <v>194</v>
      </c>
      <c r="W4" t="s">
        <v>195</v>
      </c>
      <c r="Y4">
        <v>80</v>
      </c>
      <c r="Z4" s="31">
        <v>500</v>
      </c>
      <c r="AB4" s="31">
        <v>0.6</v>
      </c>
      <c r="AC4" s="32" t="s">
        <v>196</v>
      </c>
      <c r="AD4" s="32">
        <v>1</v>
      </c>
      <c r="AE4" s="31">
        <v>5000</v>
      </c>
      <c r="AG4" t="s">
        <v>197</v>
      </c>
      <c r="AM4" t="s">
        <v>198</v>
      </c>
      <c r="AO4" t="s">
        <v>199</v>
      </c>
      <c r="AQ4">
        <v>900</v>
      </c>
      <c r="AS4" t="s">
        <v>200</v>
      </c>
      <c r="AU4" t="s">
        <v>176</v>
      </c>
      <c r="AY4" s="34" t="s">
        <v>201</v>
      </c>
      <c r="BB4" t="s">
        <v>202</v>
      </c>
      <c r="BF4" t="s">
        <v>203</v>
      </c>
      <c r="BH4" t="s">
        <v>204</v>
      </c>
      <c r="BI4" t="s">
        <v>205</v>
      </c>
      <c r="BJ4" s="35" t="s">
        <v>206</v>
      </c>
      <c r="BM4" s="1199" t="s">
        <v>2026</v>
      </c>
    </row>
    <row r="5" spans="1:69" ht="30">
      <c r="A5" t="s">
        <v>207</v>
      </c>
      <c r="B5" s="30" t="s">
        <v>208</v>
      </c>
      <c r="H5" t="s">
        <v>209</v>
      </c>
      <c r="I5" t="s">
        <v>210</v>
      </c>
      <c r="L5" t="s">
        <v>211</v>
      </c>
      <c r="S5" t="s">
        <v>212</v>
      </c>
      <c r="Y5">
        <v>100</v>
      </c>
      <c r="Z5" s="31">
        <v>600</v>
      </c>
      <c r="AB5" s="38">
        <v>1</v>
      </c>
      <c r="AC5" s="39" t="s">
        <v>213</v>
      </c>
      <c r="AD5" s="39">
        <v>1.6</v>
      </c>
      <c r="AE5" s="31">
        <v>10000</v>
      </c>
      <c r="AG5" t="s">
        <v>66</v>
      </c>
      <c r="AM5" t="s">
        <v>214</v>
      </c>
      <c r="AO5" t="s">
        <v>215</v>
      </c>
      <c r="AQ5">
        <v>1000</v>
      </c>
      <c r="AS5" t="s">
        <v>216</v>
      </c>
      <c r="AU5" t="s">
        <v>217</v>
      </c>
      <c r="AY5" s="34" t="s">
        <v>218</v>
      </c>
      <c r="BF5" t="s">
        <v>219</v>
      </c>
      <c r="BJ5" s="35" t="s">
        <v>220</v>
      </c>
      <c r="BM5" s="1199" t="s">
        <v>2027</v>
      </c>
    </row>
    <row r="6" spans="1:69" ht="30">
      <c r="B6" s="37" t="s">
        <v>221</v>
      </c>
      <c r="L6" t="s">
        <v>222</v>
      </c>
      <c r="S6" t="s">
        <v>223</v>
      </c>
      <c r="Y6">
        <v>150</v>
      </c>
      <c r="Z6" s="31">
        <v>700</v>
      </c>
      <c r="AB6" s="31">
        <v>1.6</v>
      </c>
      <c r="AD6" s="40">
        <v>2</v>
      </c>
      <c r="AG6" t="s">
        <v>67</v>
      </c>
      <c r="AO6" t="s">
        <v>224</v>
      </c>
      <c r="AQ6">
        <v>1100</v>
      </c>
      <c r="AU6" s="1002" t="s">
        <v>1930</v>
      </c>
      <c r="AY6" s="34" t="s">
        <v>225</v>
      </c>
      <c r="BJ6" s="35" t="s">
        <v>226</v>
      </c>
      <c r="BM6" s="1199" t="s">
        <v>2028</v>
      </c>
    </row>
    <row r="7" spans="1:69" ht="30">
      <c r="A7">
        <v>6</v>
      </c>
      <c r="L7" t="s">
        <v>227</v>
      </c>
      <c r="S7" t="s">
        <v>228</v>
      </c>
      <c r="Y7">
        <v>200</v>
      </c>
      <c r="Z7" s="31">
        <v>800</v>
      </c>
      <c r="AB7" s="38">
        <v>2</v>
      </c>
      <c r="AC7" s="41"/>
      <c r="AD7" s="41"/>
      <c r="AG7" t="s">
        <v>68</v>
      </c>
      <c r="AQ7">
        <v>1200</v>
      </c>
      <c r="AY7" s="34" t="s">
        <v>229</v>
      </c>
      <c r="BJ7" s="35" t="s">
        <v>230</v>
      </c>
      <c r="BM7" s="1199" t="s">
        <v>2029</v>
      </c>
    </row>
    <row r="8" spans="1:69" ht="15">
      <c r="A8">
        <v>12</v>
      </c>
      <c r="L8" t="s">
        <v>231</v>
      </c>
      <c r="Y8">
        <v>250</v>
      </c>
      <c r="Z8" s="31">
        <v>900</v>
      </c>
      <c r="AB8" s="31">
        <v>2.5</v>
      </c>
      <c r="AG8" t="s">
        <v>69</v>
      </c>
      <c r="AQ8">
        <v>1300</v>
      </c>
      <c r="BJ8" s="35" t="s">
        <v>232</v>
      </c>
      <c r="BM8" s="1199" t="s">
        <v>2030</v>
      </c>
    </row>
    <row r="9" spans="1:69" ht="15">
      <c r="Y9">
        <v>300</v>
      </c>
      <c r="Z9" s="31">
        <v>1000</v>
      </c>
      <c r="AB9" s="31">
        <v>3.2</v>
      </c>
      <c r="AG9" t="s">
        <v>233</v>
      </c>
      <c r="AQ9">
        <v>1400</v>
      </c>
      <c r="BM9" s="1199" t="s">
        <v>2031</v>
      </c>
    </row>
    <row r="10" spans="1:69" ht="15">
      <c r="Y10">
        <v>350</v>
      </c>
      <c r="Z10" s="31">
        <v>1100</v>
      </c>
      <c r="AG10" t="s">
        <v>234</v>
      </c>
      <c r="AQ10">
        <v>3000</v>
      </c>
      <c r="BM10" s="1199" t="s">
        <v>2032</v>
      </c>
    </row>
    <row r="11" spans="1:69" ht="15">
      <c r="E11" t="str">
        <f>IF(ISBLANK(B11),"",IF(OR(B11=Списки!AG15:AG17),"нет","да"))</f>
        <v/>
      </c>
      <c r="Y11">
        <v>400</v>
      </c>
      <c r="Z11" s="31">
        <v>1200</v>
      </c>
      <c r="AG11" t="s">
        <v>235</v>
      </c>
      <c r="BM11" s="1199" t="s">
        <v>2033</v>
      </c>
    </row>
    <row r="12" spans="1:69" ht="15">
      <c r="Y12">
        <v>450</v>
      </c>
      <c r="Z12" s="31">
        <v>1300</v>
      </c>
      <c r="AG12" t="s">
        <v>236</v>
      </c>
      <c r="BM12" s="1199" t="s">
        <v>2034</v>
      </c>
    </row>
    <row r="13" spans="1:69" ht="15">
      <c r="Y13">
        <v>500</v>
      </c>
      <c r="Z13" s="31">
        <v>1400</v>
      </c>
      <c r="AG13" t="s">
        <v>237</v>
      </c>
    </row>
    <row r="14" spans="1:69" ht="15">
      <c r="Y14">
        <v>550</v>
      </c>
      <c r="Z14" s="31">
        <v>1500</v>
      </c>
      <c r="AG14" t="s">
        <v>71</v>
      </c>
    </row>
    <row r="15" spans="1:69" ht="15">
      <c r="Y15">
        <v>600</v>
      </c>
      <c r="Z15" s="31">
        <v>1600</v>
      </c>
      <c r="AG15" t="s">
        <v>72</v>
      </c>
    </row>
    <row r="16" spans="1:69" ht="15">
      <c r="Y16">
        <v>650</v>
      </c>
      <c r="Z16" s="31">
        <v>1700</v>
      </c>
      <c r="AG16" t="s">
        <v>73</v>
      </c>
    </row>
    <row r="17" spans="25:33" ht="15">
      <c r="Y17">
        <v>700</v>
      </c>
      <c r="Z17" s="31">
        <v>1800</v>
      </c>
      <c r="AG17" t="s">
        <v>238</v>
      </c>
    </row>
    <row r="18" spans="25:33" ht="15">
      <c r="Y18">
        <v>750</v>
      </c>
      <c r="Z18" s="31">
        <v>1900</v>
      </c>
    </row>
    <row r="19" spans="25:33" ht="15">
      <c r="Y19">
        <v>800</v>
      </c>
      <c r="Z19" s="31">
        <v>2000</v>
      </c>
    </row>
    <row r="20" spans="25:33" ht="15">
      <c r="Y20">
        <v>850</v>
      </c>
      <c r="Z20" s="31">
        <v>2100</v>
      </c>
    </row>
    <row r="21" spans="25:33" ht="15">
      <c r="Y21">
        <v>900</v>
      </c>
      <c r="Z21" s="31">
        <v>2200</v>
      </c>
    </row>
    <row r="22" spans="25:33" ht="15">
      <c r="Y22">
        <v>950</v>
      </c>
      <c r="Z22" s="31">
        <v>2300</v>
      </c>
    </row>
    <row r="23" spans="25:33" ht="14.45" customHeight="1">
      <c r="Y23">
        <v>1000</v>
      </c>
      <c r="Z23" s="31">
        <v>2400</v>
      </c>
    </row>
    <row r="24" spans="25:33" ht="14.45" customHeight="1">
      <c r="Y24">
        <v>1100</v>
      </c>
      <c r="Z24" s="31">
        <v>2500</v>
      </c>
    </row>
    <row r="25" spans="25:33" ht="14.45" customHeight="1">
      <c r="Y25">
        <v>1200</v>
      </c>
      <c r="Z25" s="31">
        <v>2600</v>
      </c>
    </row>
    <row r="26" spans="25:33" ht="14.45" customHeight="1">
      <c r="Y26">
        <v>1300</v>
      </c>
      <c r="Z26" s="31">
        <v>2700</v>
      </c>
    </row>
    <row r="27" spans="25:33" ht="14.45" customHeight="1">
      <c r="Y27">
        <v>1400</v>
      </c>
      <c r="Z27" s="31">
        <v>2800</v>
      </c>
    </row>
    <row r="28" spans="25:33" ht="14.45" customHeight="1">
      <c r="Y28">
        <v>1500</v>
      </c>
      <c r="Z28" s="31">
        <v>2900</v>
      </c>
    </row>
    <row r="29" spans="25:33" ht="14.45" customHeight="1">
      <c r="Y29">
        <v>1600</v>
      </c>
      <c r="Z29" s="31">
        <v>3000</v>
      </c>
    </row>
    <row r="30" spans="25:33" ht="14.45" customHeight="1">
      <c r="Z30" s="31">
        <v>3200</v>
      </c>
    </row>
    <row r="31" spans="25:33" ht="14.45" customHeight="1">
      <c r="Z31" s="31">
        <v>3600</v>
      </c>
    </row>
  </sheetData>
  <phoneticPr fontId="169" type="noConversion"/>
  <pageMargins left="0.7" right="0.7" top="0.75" bottom="0.75" header="0.3" footer="0.3"/>
  <pageSetup paperSize="9" orientation="portrait" r:id="rId1"/>
  <tableParts count="2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F1D6-3517-4321-BDCE-42C740FC15DB}">
  <dimension ref="A1:D225"/>
  <sheetViews>
    <sheetView zoomScale="130" zoomScaleNormal="130" workbookViewId="0">
      <selection activeCell="C228" sqref="C228"/>
    </sheetView>
  </sheetViews>
  <sheetFormatPr defaultColWidth="8.7109375" defaultRowHeight="14.45" customHeight="1"/>
  <cols>
    <col min="1" max="1" width="2.140625" customWidth="1"/>
    <col min="2" max="2" width="6.7109375" customWidth="1"/>
    <col min="3" max="3" width="83.28515625" customWidth="1"/>
    <col min="4" max="4" width="34" customWidth="1"/>
  </cols>
  <sheetData>
    <row r="1" spans="1:4" ht="24.6" customHeight="1">
      <c r="A1" s="1030"/>
      <c r="B1" s="1031"/>
      <c r="C1" s="1032" t="s">
        <v>0</v>
      </c>
      <c r="D1" s="1033" t="s">
        <v>1</v>
      </c>
    </row>
    <row r="2" spans="1:4" ht="15">
      <c r="A2" s="5"/>
      <c r="B2" s="6"/>
      <c r="C2" s="7"/>
      <c r="D2" s="8"/>
    </row>
    <row r="3" spans="1:4" ht="24" customHeight="1">
      <c r="A3" s="5"/>
      <c r="B3" s="1034" t="s">
        <v>2</v>
      </c>
      <c r="C3" s="1035"/>
      <c r="D3" s="1035"/>
    </row>
    <row r="4" spans="1:4" ht="15">
      <c r="A4" s="5"/>
      <c r="B4" s="1036" t="s">
        <v>3</v>
      </c>
      <c r="C4" s="1037" t="s">
        <v>4</v>
      </c>
      <c r="D4" s="1037"/>
    </row>
    <row r="5" spans="1:4" ht="18.75" customHeight="1">
      <c r="A5" s="5"/>
      <c r="B5" s="1036" t="s">
        <v>5</v>
      </c>
      <c r="C5" s="1037" t="s">
        <v>6</v>
      </c>
      <c r="D5" s="1037"/>
    </row>
    <row r="6" spans="1:4" ht="25.5" customHeight="1">
      <c r="A6" s="5"/>
      <c r="B6" s="1036" t="s">
        <v>7</v>
      </c>
      <c r="C6" s="1037" t="s">
        <v>8</v>
      </c>
      <c r="D6" s="1037"/>
    </row>
    <row r="7" spans="1:4" ht="29.25" customHeight="1">
      <c r="A7" s="5"/>
      <c r="B7" s="1036" t="s">
        <v>9</v>
      </c>
      <c r="C7" s="1037" t="s">
        <v>10</v>
      </c>
      <c r="D7" s="1037"/>
    </row>
    <row r="8" spans="1:4" ht="21.75" customHeight="1">
      <c r="A8" s="5"/>
      <c r="B8" s="1036" t="s">
        <v>11</v>
      </c>
      <c r="C8" s="1037" t="s">
        <v>12</v>
      </c>
      <c r="D8" s="1037"/>
    </row>
    <row r="9" spans="1:4" ht="15">
      <c r="A9" s="5"/>
      <c r="B9" s="6"/>
      <c r="C9" s="7"/>
      <c r="D9" s="8"/>
    </row>
    <row r="10" spans="1:4" ht="24" customHeight="1">
      <c r="A10" s="5"/>
      <c r="B10" s="1034" t="s">
        <v>2048</v>
      </c>
      <c r="C10" s="1035"/>
      <c r="D10" s="1035"/>
    </row>
    <row r="11" spans="1:4" ht="7.35" customHeight="1">
      <c r="A11" s="5"/>
      <c r="B11" s="1036"/>
      <c r="C11" s="1037"/>
      <c r="D11" s="1037"/>
    </row>
    <row r="12" spans="1:4" ht="15">
      <c r="A12" s="5"/>
      <c r="B12" s="1036" t="s">
        <v>3</v>
      </c>
      <c r="C12" s="1037" t="s">
        <v>2049</v>
      </c>
      <c r="D12" s="1037"/>
    </row>
    <row r="13" spans="1:4" ht="15">
      <c r="A13" s="5"/>
      <c r="B13" s="1036" t="s">
        <v>2050</v>
      </c>
      <c r="C13" s="1037"/>
      <c r="D13" s="1037"/>
    </row>
    <row r="14" spans="1:4" ht="15">
      <c r="A14" s="5"/>
      <c r="B14" s="1036"/>
      <c r="C14" s="1038"/>
      <c r="D14" s="1038"/>
    </row>
    <row r="15" spans="1:4" ht="15">
      <c r="A15" s="5"/>
      <c r="B15" s="1036"/>
      <c r="C15" s="1038"/>
      <c r="D15" s="1038"/>
    </row>
    <row r="16" spans="1:4" ht="15">
      <c r="A16" s="5"/>
      <c r="B16" s="1036"/>
      <c r="C16" s="1038"/>
      <c r="D16" s="1038"/>
    </row>
    <row r="17" spans="1:4" ht="15">
      <c r="A17" s="5"/>
      <c r="B17" s="1036"/>
      <c r="C17" s="1038"/>
      <c r="D17" s="1038"/>
    </row>
    <row r="18" spans="1:4" ht="15">
      <c r="A18" s="5"/>
      <c r="B18" s="1036"/>
      <c r="C18" s="1038"/>
      <c r="D18" s="1037"/>
    </row>
    <row r="19" spans="1:4" ht="15">
      <c r="A19" s="5"/>
      <c r="B19" s="1036"/>
      <c r="C19" s="1038"/>
      <c r="D19" s="1037" t="s">
        <v>2058</v>
      </c>
    </row>
    <row r="20" spans="1:4" ht="16.5" customHeight="1">
      <c r="A20" s="5"/>
      <c r="B20" s="1036"/>
      <c r="C20" s="1038"/>
      <c r="D20" s="1037" t="s">
        <v>2059</v>
      </c>
    </row>
    <row r="21" spans="1:4" ht="15">
      <c r="A21" s="5"/>
      <c r="B21" s="1036"/>
      <c r="C21" s="1038"/>
      <c r="D21" s="1037"/>
    </row>
    <row r="22" spans="1:4" ht="15">
      <c r="A22" s="5"/>
      <c r="B22" s="1036"/>
      <c r="C22" s="1038"/>
      <c r="D22" s="1037"/>
    </row>
    <row r="23" spans="1:4" ht="15">
      <c r="A23" s="5"/>
      <c r="B23" s="1036"/>
      <c r="C23" s="1037"/>
      <c r="D23" s="1037"/>
    </row>
    <row r="24" spans="1:4" ht="15">
      <c r="A24" s="5"/>
      <c r="B24" s="1036"/>
      <c r="C24" s="1037"/>
      <c r="D24" s="1037"/>
    </row>
    <row r="25" spans="1:4" ht="20.25" customHeight="1">
      <c r="A25" s="5"/>
      <c r="B25" s="1036"/>
      <c r="C25" s="1037"/>
      <c r="D25" s="1037"/>
    </row>
    <row r="26" spans="1:4" ht="15">
      <c r="A26" s="5"/>
      <c r="B26" s="1036"/>
      <c r="C26" s="1037"/>
      <c r="D26" s="1037"/>
    </row>
    <row r="27" spans="1:4" ht="15">
      <c r="A27" s="5"/>
      <c r="B27" s="1036"/>
      <c r="C27" s="1037"/>
      <c r="D27" s="1037"/>
    </row>
    <row r="28" spans="1:4" ht="25.5">
      <c r="A28" s="5"/>
      <c r="B28" s="1036" t="s">
        <v>47</v>
      </c>
      <c r="C28" s="1037" t="s">
        <v>2056</v>
      </c>
      <c r="D28" s="1037"/>
    </row>
    <row r="29" spans="1:4" ht="15">
      <c r="A29" s="5"/>
      <c r="B29" s="1036"/>
      <c r="C29" s="1037"/>
      <c r="D29" s="1037"/>
    </row>
    <row r="30" spans="1:4" ht="15">
      <c r="A30" s="5"/>
      <c r="B30" s="1036"/>
      <c r="C30" s="1037"/>
      <c r="D30" s="1037"/>
    </row>
    <row r="31" spans="1:4" ht="15">
      <c r="A31" s="5"/>
      <c r="B31" s="1036"/>
      <c r="C31" s="1037"/>
      <c r="D31" s="1037"/>
    </row>
    <row r="32" spans="1:4" ht="15">
      <c r="A32" s="5"/>
      <c r="B32" s="1036"/>
      <c r="C32" s="1037"/>
      <c r="D32" s="1037"/>
    </row>
    <row r="33" spans="1:4" ht="15">
      <c r="A33" s="5"/>
      <c r="B33" s="1036"/>
      <c r="C33" s="1037"/>
      <c r="D33" s="1209"/>
    </row>
    <row r="34" spans="1:4" ht="15">
      <c r="A34" s="5"/>
      <c r="B34" s="1036"/>
      <c r="C34" s="1037"/>
      <c r="D34" s="1037"/>
    </row>
    <row r="35" spans="1:4" ht="76.5">
      <c r="A35" s="5"/>
      <c r="B35" s="1036"/>
      <c r="C35" s="1037"/>
      <c r="D35" s="1037" t="s">
        <v>2062</v>
      </c>
    </row>
    <row r="36" spans="1:4" ht="38.25">
      <c r="A36" s="5"/>
      <c r="B36" s="1036"/>
      <c r="C36" s="1037"/>
      <c r="D36" s="1037" t="s">
        <v>2057</v>
      </c>
    </row>
    <row r="37" spans="1:4" ht="25.5">
      <c r="A37" s="5"/>
      <c r="B37" s="1036" t="s">
        <v>49</v>
      </c>
      <c r="C37" s="1037" t="s">
        <v>2063</v>
      </c>
      <c r="D37" s="1037"/>
    </row>
    <row r="38" spans="1:4" ht="15">
      <c r="A38" s="5"/>
      <c r="B38" s="1036"/>
      <c r="C38" s="1037"/>
      <c r="D38" s="1037"/>
    </row>
    <row r="39" spans="1:4" ht="15">
      <c r="A39" s="5"/>
      <c r="B39" s="1036"/>
      <c r="C39" s="1037"/>
      <c r="D39" s="1037"/>
    </row>
    <row r="40" spans="1:4" ht="38.25">
      <c r="A40" s="5"/>
      <c r="B40" s="1036"/>
      <c r="C40" s="1037"/>
      <c r="D40" s="1037" t="s">
        <v>2064</v>
      </c>
    </row>
    <row r="41" spans="1:4" ht="15">
      <c r="A41" s="5"/>
      <c r="B41" s="1036"/>
      <c r="C41" s="1037"/>
      <c r="D41" s="1037"/>
    </row>
    <row r="42" spans="1:4" ht="15">
      <c r="A42" s="5"/>
      <c r="B42" s="1036"/>
      <c r="C42" s="1037"/>
      <c r="D42" s="1037"/>
    </row>
    <row r="43" spans="1:4" ht="15">
      <c r="A43" s="5"/>
      <c r="B43" s="1036"/>
      <c r="C43" s="1037"/>
      <c r="D43" s="1037"/>
    </row>
    <row r="44" spans="1:4" ht="15">
      <c r="A44" s="5"/>
      <c r="B44" s="1036"/>
      <c r="C44" s="1037"/>
      <c r="D44" s="1037"/>
    </row>
    <row r="45" spans="1:4" ht="15">
      <c r="A45" s="5"/>
      <c r="B45" s="1036"/>
      <c r="C45" s="1037"/>
      <c r="D45" s="1037"/>
    </row>
    <row r="46" spans="1:4" ht="15">
      <c r="A46" s="5"/>
      <c r="B46" s="1036"/>
      <c r="C46" s="1037"/>
      <c r="D46" s="1037"/>
    </row>
    <row r="47" spans="1:4" ht="15.75" customHeight="1">
      <c r="A47" s="5"/>
      <c r="B47" s="1036"/>
      <c r="C47" s="1037"/>
      <c r="D47" s="1037"/>
    </row>
    <row r="48" spans="1:4" ht="15">
      <c r="A48" s="5"/>
      <c r="B48" s="1036"/>
      <c r="C48" s="1037"/>
      <c r="D48" s="1037"/>
    </row>
    <row r="49" spans="1:4" ht="15">
      <c r="A49" s="5"/>
      <c r="B49" s="1036"/>
      <c r="C49" s="1037"/>
      <c r="D49" s="1037"/>
    </row>
    <row r="50" spans="1:4" ht="15">
      <c r="A50" s="5"/>
      <c r="B50" s="1036"/>
      <c r="C50" s="1037"/>
      <c r="D50" s="1037"/>
    </row>
    <row r="51" spans="1:4" ht="15">
      <c r="A51" s="5"/>
      <c r="B51" s="1036"/>
      <c r="C51" s="1037"/>
      <c r="D51" s="1037"/>
    </row>
    <row r="52" spans="1:4" ht="15">
      <c r="A52" s="5"/>
      <c r="B52" s="1036"/>
      <c r="C52" s="1037"/>
      <c r="D52" s="1037"/>
    </row>
    <row r="53" spans="1:4" ht="15">
      <c r="A53" s="5"/>
      <c r="B53" s="1036"/>
      <c r="C53" s="1037"/>
      <c r="D53" s="1037"/>
    </row>
    <row r="54" spans="1:4" ht="31.5" customHeight="1">
      <c r="A54" s="5"/>
      <c r="B54" s="1036" t="s">
        <v>52</v>
      </c>
      <c r="C54" s="1037" t="s">
        <v>2052</v>
      </c>
      <c r="D54" s="1037"/>
    </row>
    <row r="55" spans="1:4" ht="15">
      <c r="A55" s="5"/>
      <c r="B55" s="1036"/>
      <c r="C55" s="1037"/>
      <c r="D55" s="1037"/>
    </row>
    <row r="56" spans="1:4" ht="15">
      <c r="A56" s="5"/>
      <c r="B56" s="1036"/>
      <c r="C56" s="1037"/>
      <c r="D56" s="1037"/>
    </row>
    <row r="57" spans="1:4" ht="63.75" customHeight="1">
      <c r="A57" s="5"/>
      <c r="B57" s="1036"/>
      <c r="C57" s="1209"/>
      <c r="D57" s="1037" t="s">
        <v>2060</v>
      </c>
    </row>
    <row r="58" spans="1:4" ht="15">
      <c r="A58" s="5"/>
      <c r="B58" s="1036"/>
      <c r="C58" s="1037"/>
      <c r="D58" s="1037"/>
    </row>
    <row r="59" spans="1:4" ht="15">
      <c r="A59" s="5"/>
      <c r="B59" s="1036"/>
      <c r="C59" s="1037"/>
      <c r="D59" s="1037"/>
    </row>
    <row r="60" spans="1:4" ht="15">
      <c r="A60" s="5"/>
      <c r="B60" s="1036" t="s">
        <v>2050</v>
      </c>
      <c r="C60" s="1037"/>
      <c r="D60" s="1037"/>
    </row>
    <row r="61" spans="1:4" ht="15">
      <c r="A61" s="5"/>
      <c r="B61" s="1036"/>
      <c r="C61" s="1037"/>
      <c r="D61" s="1037"/>
    </row>
    <row r="62" spans="1:4" ht="15">
      <c r="A62" s="5"/>
      <c r="B62" s="1036"/>
      <c r="C62" s="1037"/>
      <c r="D62" s="1037"/>
    </row>
    <row r="63" spans="1:4" ht="15">
      <c r="A63" s="5"/>
      <c r="B63" s="1036"/>
      <c r="C63" s="1037"/>
      <c r="D63" s="1037"/>
    </row>
    <row r="64" spans="1:4" ht="51">
      <c r="A64" s="5"/>
      <c r="B64" s="1036" t="s">
        <v>2065</v>
      </c>
      <c r="C64" s="1037" t="s">
        <v>2054</v>
      </c>
      <c r="D64" s="1037"/>
    </row>
    <row r="65" spans="1:4" ht="15">
      <c r="A65" s="5"/>
      <c r="B65" s="1036"/>
      <c r="C65" s="1037"/>
      <c r="D65" s="1037"/>
    </row>
    <row r="66" spans="1:4" ht="15">
      <c r="A66" s="5"/>
      <c r="B66" s="1036"/>
      <c r="C66" s="1037"/>
      <c r="D66" s="1037"/>
    </row>
    <row r="67" spans="1:4" ht="63.75">
      <c r="A67" s="5"/>
      <c r="B67" s="1036"/>
      <c r="C67" s="1037"/>
      <c r="D67" s="1037" t="s">
        <v>2055</v>
      </c>
    </row>
    <row r="68" spans="1:4" ht="15">
      <c r="A68" s="5"/>
      <c r="B68" s="1036"/>
      <c r="C68" s="1037"/>
      <c r="D68" s="1037"/>
    </row>
    <row r="69" spans="1:4" ht="15">
      <c r="A69" s="5"/>
      <c r="B69" s="1036"/>
      <c r="C69" s="1037"/>
      <c r="D69" s="1037"/>
    </row>
    <row r="70" spans="1:4" ht="15">
      <c r="A70" s="5"/>
      <c r="B70" s="1036"/>
      <c r="C70" s="1037"/>
      <c r="D70" s="1037"/>
    </row>
    <row r="71" spans="1:4" ht="15">
      <c r="A71" s="5"/>
      <c r="B71" s="1036"/>
      <c r="C71" s="1037"/>
      <c r="D71" s="1037"/>
    </row>
    <row r="72" spans="1:4" ht="18.95" customHeight="1">
      <c r="A72" s="5"/>
      <c r="B72" s="1036"/>
      <c r="C72" s="1037"/>
      <c r="D72" s="1037"/>
    </row>
    <row r="73" spans="1:4" ht="41.25" customHeight="1">
      <c r="A73" s="5"/>
      <c r="B73" s="1036"/>
      <c r="C73" s="1037"/>
      <c r="D73" s="1037" t="s">
        <v>2061</v>
      </c>
    </row>
    <row r="74" spans="1:4" ht="18.95" customHeight="1">
      <c r="A74" s="5"/>
      <c r="B74" s="1036"/>
      <c r="C74" s="1037"/>
      <c r="D74" s="1037" t="s">
        <v>2051</v>
      </c>
    </row>
    <row r="75" spans="1:4" ht="18.95" customHeight="1">
      <c r="A75" s="5"/>
      <c r="B75" s="1036"/>
      <c r="C75" s="1037"/>
      <c r="D75" s="1037"/>
    </row>
    <row r="76" spans="1:4" ht="18.95" customHeight="1">
      <c r="A76" s="5"/>
      <c r="B76" s="1036"/>
      <c r="C76" s="1037"/>
      <c r="D76" s="1037"/>
    </row>
    <row r="77" spans="1:4" ht="18.95" customHeight="1">
      <c r="A77" s="5"/>
      <c r="B77" s="1036"/>
      <c r="C77" s="1037"/>
      <c r="D77" s="1037"/>
    </row>
    <row r="78" spans="1:4" ht="18.95" customHeight="1">
      <c r="A78" s="5"/>
      <c r="B78" s="1036"/>
      <c r="C78" s="1037"/>
      <c r="D78" s="1037"/>
    </row>
    <row r="79" spans="1:4" ht="18.95" customHeight="1">
      <c r="A79" s="5"/>
      <c r="B79" s="1036"/>
      <c r="C79" s="1037"/>
      <c r="D79" s="1037"/>
    </row>
    <row r="80" spans="1:4" ht="18.95" customHeight="1">
      <c r="A80" s="5"/>
      <c r="B80" s="1036"/>
      <c r="C80" s="1037"/>
      <c r="D80" s="1037"/>
    </row>
    <row r="81" spans="1:4" ht="18.95" customHeight="1">
      <c r="A81" s="5"/>
      <c r="B81" s="1036"/>
      <c r="C81" s="1037"/>
      <c r="D81" s="1037"/>
    </row>
    <row r="82" spans="1:4" ht="18.95" customHeight="1">
      <c r="A82" s="5"/>
      <c r="B82" s="1036"/>
      <c r="C82" s="1037"/>
      <c r="D82" s="1037"/>
    </row>
    <row r="83" spans="1:4" ht="18.95" customHeight="1">
      <c r="A83" s="5"/>
      <c r="B83" s="1036"/>
      <c r="C83" s="1037"/>
      <c r="D83" s="1037"/>
    </row>
    <row r="84" spans="1:4" ht="18.95" customHeight="1">
      <c r="A84" s="5"/>
      <c r="B84" s="1036"/>
      <c r="C84" s="1037"/>
      <c r="D84" s="1037"/>
    </row>
    <row r="85" spans="1:4" ht="18.95" customHeight="1">
      <c r="A85" s="5"/>
      <c r="B85" s="1036"/>
      <c r="C85" s="1037"/>
      <c r="D85" s="1037"/>
    </row>
    <row r="86" spans="1:4" ht="28.5" customHeight="1">
      <c r="A86" s="5"/>
      <c r="B86" s="1036" t="s">
        <v>2067</v>
      </c>
      <c r="C86" s="1037" t="s">
        <v>2066</v>
      </c>
      <c r="D86" s="1037"/>
    </row>
    <row r="87" spans="1:4" ht="18.95" customHeight="1">
      <c r="A87" s="5"/>
      <c r="B87" s="1036"/>
      <c r="C87" s="1037"/>
      <c r="D87" s="1037"/>
    </row>
    <row r="88" spans="1:4" ht="18.95" customHeight="1">
      <c r="A88" s="5"/>
      <c r="B88" s="1036"/>
      <c r="C88" s="1037"/>
      <c r="D88" s="1037"/>
    </row>
    <row r="89" spans="1:4" ht="18.95" customHeight="1">
      <c r="A89" s="5"/>
      <c r="B89" s="1036"/>
      <c r="C89" s="1037"/>
      <c r="D89" s="1037"/>
    </row>
    <row r="90" spans="1:4" ht="18.95" customHeight="1">
      <c r="A90" s="5"/>
      <c r="B90" s="1036"/>
      <c r="C90" s="1037"/>
      <c r="D90" s="1037"/>
    </row>
    <row r="91" spans="1:4" ht="18.95" customHeight="1">
      <c r="A91" s="5"/>
      <c r="B91" s="1036"/>
      <c r="C91" s="1037"/>
      <c r="D91" s="1037"/>
    </row>
    <row r="92" spans="1:4" ht="18.95" customHeight="1">
      <c r="A92" s="5"/>
      <c r="B92" s="1036"/>
      <c r="C92" s="1037"/>
      <c r="D92" s="1037"/>
    </row>
    <row r="93" spans="1:4" ht="18.95" customHeight="1">
      <c r="A93" s="5"/>
      <c r="B93" s="1036"/>
      <c r="C93" s="1037"/>
      <c r="D93" s="1037"/>
    </row>
    <row r="94" spans="1:4" ht="18.95" customHeight="1">
      <c r="A94" s="5"/>
      <c r="B94" s="1036"/>
      <c r="C94" s="1037"/>
      <c r="D94" s="1037"/>
    </row>
    <row r="95" spans="1:4" ht="18.95" customHeight="1">
      <c r="A95" s="5"/>
      <c r="B95" s="1036"/>
      <c r="C95" s="1037"/>
      <c r="D95" s="1037"/>
    </row>
    <row r="96" spans="1:4" ht="15">
      <c r="A96" s="5"/>
      <c r="B96" s="6"/>
      <c r="C96" s="7"/>
      <c r="D96" s="7"/>
    </row>
    <row r="97" spans="1:4" ht="24" customHeight="1">
      <c r="A97" s="5"/>
      <c r="B97" s="1034" t="s">
        <v>17</v>
      </c>
      <c r="C97" s="1035"/>
      <c r="D97" s="1035"/>
    </row>
    <row r="98" spans="1:4" ht="6" customHeight="1">
      <c r="A98" s="5"/>
      <c r="B98" s="1036"/>
      <c r="C98" s="1037"/>
      <c r="D98" s="1037"/>
    </row>
    <row r="99" spans="1:4" ht="39" customHeight="1">
      <c r="A99" s="5"/>
      <c r="B99" s="1036"/>
      <c r="C99" s="1037" t="s">
        <v>19</v>
      </c>
      <c r="D99" s="1037"/>
    </row>
    <row r="100" spans="1:4" ht="15">
      <c r="A100" s="5"/>
      <c r="B100" s="1036"/>
      <c r="C100" s="1037"/>
      <c r="D100" s="1037"/>
    </row>
    <row r="101" spans="1:4" ht="15">
      <c r="A101" s="5"/>
      <c r="B101" s="1036"/>
      <c r="C101" s="1037"/>
      <c r="D101" s="1037"/>
    </row>
    <row r="102" spans="1:4" ht="15">
      <c r="A102" s="5"/>
      <c r="B102" s="1036"/>
      <c r="C102" s="1037"/>
      <c r="D102" s="1037"/>
    </row>
    <row r="103" spans="1:4" ht="15">
      <c r="A103" s="5"/>
      <c r="B103" s="1036"/>
      <c r="C103" s="1037"/>
      <c r="D103" s="1037"/>
    </row>
    <row r="104" spans="1:4" ht="15">
      <c r="A104" s="5"/>
      <c r="B104" s="1036"/>
      <c r="C104" s="1037"/>
      <c r="D104" s="1037"/>
    </row>
    <row r="105" spans="1:4" ht="15">
      <c r="A105" s="5"/>
      <c r="B105" s="1036"/>
      <c r="C105" s="1037"/>
      <c r="D105" s="1037"/>
    </row>
    <row r="106" spans="1:4" ht="15">
      <c r="A106" s="5"/>
      <c r="B106" s="1036"/>
      <c r="C106" s="1037"/>
      <c r="D106" s="1037"/>
    </row>
    <row r="107" spans="1:4" ht="15">
      <c r="A107" s="5"/>
      <c r="B107" s="1036"/>
      <c r="C107" s="1037"/>
      <c r="D107" s="1037"/>
    </row>
    <row r="108" spans="1:4" ht="15">
      <c r="A108" s="5"/>
      <c r="B108" s="1036"/>
      <c r="C108" s="1037"/>
      <c r="D108" s="1037"/>
    </row>
    <row r="109" spans="1:4" ht="15">
      <c r="A109" s="5"/>
      <c r="B109" s="1036"/>
      <c r="C109" s="1037"/>
      <c r="D109" s="1037"/>
    </row>
    <row r="110" spans="1:4" ht="15">
      <c r="A110" s="5"/>
      <c r="B110" s="1036"/>
      <c r="C110" s="1037"/>
      <c r="D110" s="1037"/>
    </row>
    <row r="111" spans="1:4" ht="15">
      <c r="A111" s="5"/>
      <c r="B111" s="1036"/>
      <c r="C111" s="1037"/>
      <c r="D111" s="1037"/>
    </row>
    <row r="112" spans="1:4" ht="15">
      <c r="A112" s="5"/>
      <c r="B112" s="1036"/>
      <c r="C112" s="1037"/>
      <c r="D112" s="1037"/>
    </row>
    <row r="113" spans="1:4" ht="15">
      <c r="A113" s="5"/>
      <c r="B113" s="1036"/>
      <c r="C113" s="1037"/>
      <c r="D113" s="1037"/>
    </row>
    <row r="114" spans="1:4" ht="15">
      <c r="A114" s="5"/>
      <c r="B114" s="1036"/>
      <c r="C114" s="1037"/>
      <c r="D114" s="1037"/>
    </row>
    <row r="115" spans="1:4" ht="15">
      <c r="A115" s="5"/>
      <c r="B115" s="1036"/>
      <c r="C115" s="1037"/>
      <c r="D115" s="1037"/>
    </row>
    <row r="116" spans="1:4" ht="15">
      <c r="A116" s="5"/>
      <c r="B116" s="1036"/>
      <c r="C116" s="1037"/>
      <c r="D116" s="1037"/>
    </row>
    <row r="117" spans="1:4" ht="38.25">
      <c r="A117" s="5"/>
      <c r="B117" s="1036"/>
      <c r="C117" s="1037" t="s">
        <v>2068</v>
      </c>
      <c r="D117" s="1037"/>
    </row>
    <row r="118" spans="1:4" ht="15">
      <c r="A118" s="5"/>
      <c r="B118" s="1036"/>
      <c r="C118" s="1037"/>
      <c r="D118" s="1037"/>
    </row>
    <row r="119" spans="1:4" ht="15">
      <c r="A119" s="5"/>
      <c r="B119" s="1036"/>
      <c r="C119" s="1037"/>
      <c r="D119" s="1037"/>
    </row>
    <row r="120" spans="1:4" ht="15">
      <c r="A120" s="5"/>
      <c r="B120" s="1036"/>
      <c r="C120" s="1037"/>
      <c r="D120" s="1037"/>
    </row>
    <row r="121" spans="1:4" ht="15">
      <c r="A121" s="5"/>
      <c r="B121" s="1036"/>
      <c r="C121" s="1037"/>
      <c r="D121" s="1037"/>
    </row>
    <row r="122" spans="1:4" ht="15">
      <c r="A122" s="5"/>
      <c r="B122" s="1036"/>
      <c r="C122" s="1037"/>
      <c r="D122" s="1037"/>
    </row>
    <row r="123" spans="1:4" ht="15">
      <c r="A123" s="5"/>
      <c r="B123" s="1036"/>
      <c r="C123" s="1037"/>
      <c r="D123" s="1037"/>
    </row>
    <row r="124" spans="1:4" ht="15">
      <c r="A124" s="5"/>
      <c r="B124" s="1036"/>
      <c r="C124" s="1037"/>
      <c r="D124" s="1037"/>
    </row>
    <row r="125" spans="1:4" ht="15">
      <c r="A125" s="5"/>
      <c r="B125" s="1036"/>
      <c r="C125" s="1037"/>
      <c r="D125" s="1037"/>
    </row>
    <row r="126" spans="1:4" ht="15">
      <c r="A126" s="5"/>
      <c r="B126" s="1036"/>
      <c r="C126" s="1037"/>
      <c r="D126" s="1037"/>
    </row>
    <row r="127" spans="1:4" ht="15">
      <c r="A127" s="5"/>
      <c r="B127" s="1036"/>
      <c r="C127" s="1037"/>
      <c r="D127" s="1037"/>
    </row>
    <row r="128" spans="1:4" ht="15">
      <c r="A128" s="5"/>
      <c r="B128" s="1036"/>
      <c r="C128" s="1037"/>
      <c r="D128" s="1037"/>
    </row>
    <row r="129" spans="1:4" ht="15">
      <c r="A129" s="5"/>
      <c r="B129" s="1036"/>
      <c r="C129" s="1037"/>
      <c r="D129" s="1037"/>
    </row>
    <row r="130" spans="1:4" ht="15">
      <c r="A130" s="5"/>
      <c r="B130" s="1036"/>
      <c r="C130" s="1037"/>
      <c r="D130" s="1037"/>
    </row>
    <row r="131" spans="1:4" ht="15">
      <c r="A131" s="5"/>
      <c r="B131" s="6"/>
      <c r="C131" s="7"/>
      <c r="D131" s="7"/>
    </row>
    <row r="132" spans="1:4" ht="24" customHeight="1">
      <c r="A132" s="5"/>
      <c r="B132" s="1034" t="s">
        <v>25</v>
      </c>
      <c r="C132" s="1035"/>
      <c r="D132" s="1035"/>
    </row>
    <row r="133" spans="1:4" ht="9" customHeight="1">
      <c r="A133" s="5"/>
      <c r="B133" s="1036"/>
      <c r="C133" s="1039"/>
      <c r="D133" s="1039"/>
    </row>
    <row r="134" spans="1:4" ht="39">
      <c r="A134" s="5"/>
      <c r="B134" s="1036"/>
      <c r="C134" s="1039" t="s">
        <v>2069</v>
      </c>
      <c r="D134" s="1039"/>
    </row>
    <row r="135" spans="1:4" ht="15">
      <c r="A135" s="5"/>
      <c r="B135" s="1036"/>
      <c r="C135" s="1039"/>
      <c r="D135" s="1039"/>
    </row>
    <row r="136" spans="1:4" ht="51.75">
      <c r="A136" s="5"/>
      <c r="B136" s="1036"/>
      <c r="C136" s="1039"/>
      <c r="D136" s="1039" t="s">
        <v>2070</v>
      </c>
    </row>
    <row r="137" spans="1:4" ht="15">
      <c r="A137" s="5"/>
      <c r="B137" s="1036"/>
      <c r="C137" s="1039"/>
      <c r="D137" s="1039"/>
    </row>
    <row r="138" spans="1:4" ht="15">
      <c r="A138" s="5"/>
      <c r="B138" s="1036"/>
      <c r="C138" s="1039"/>
      <c r="D138" s="1210"/>
    </row>
    <row r="139" spans="1:4" ht="15">
      <c r="A139" s="5"/>
      <c r="B139" s="1036"/>
      <c r="C139" s="1039"/>
      <c r="D139" s="1039"/>
    </row>
    <row r="140" spans="1:4" ht="15">
      <c r="A140" s="5"/>
      <c r="B140" s="1036"/>
      <c r="C140" s="1039"/>
      <c r="D140" s="1039"/>
    </row>
    <row r="141" spans="1:4" ht="77.25">
      <c r="A141" s="5"/>
      <c r="B141" s="1036"/>
      <c r="C141" s="1039"/>
      <c r="D141" s="1039" t="s">
        <v>2071</v>
      </c>
    </row>
    <row r="142" spans="1:4" ht="15">
      <c r="A142" s="5"/>
      <c r="B142" s="1036"/>
      <c r="C142" s="1039"/>
      <c r="D142" s="1039"/>
    </row>
    <row r="143" spans="1:4" ht="15">
      <c r="A143" s="5"/>
      <c r="B143" s="1036"/>
      <c r="C143" s="1039"/>
      <c r="D143" s="1039"/>
    </row>
    <row r="144" spans="1:4" ht="15">
      <c r="A144" s="5"/>
      <c r="B144" s="1036"/>
      <c r="C144" s="1039"/>
      <c r="D144" s="1039"/>
    </row>
    <row r="145" spans="1:4" ht="15">
      <c r="A145" s="5"/>
      <c r="B145" s="1036"/>
      <c r="C145" s="1039"/>
      <c r="D145" s="1039"/>
    </row>
    <row r="146" spans="1:4" ht="15">
      <c r="A146" s="5"/>
      <c r="B146" s="1036"/>
      <c r="C146" s="1039"/>
      <c r="D146" s="1039"/>
    </row>
    <row r="147" spans="1:4" ht="15">
      <c r="A147" s="5"/>
      <c r="B147" s="1036"/>
      <c r="C147" s="1039"/>
      <c r="D147" s="1039"/>
    </row>
    <row r="148" spans="1:4" ht="15">
      <c r="A148" s="5"/>
      <c r="B148" s="1036"/>
      <c r="C148" s="1039"/>
      <c r="D148" s="1039"/>
    </row>
    <row r="149" spans="1:4" ht="15">
      <c r="A149" s="5"/>
      <c r="B149" s="1036"/>
      <c r="C149" s="1039"/>
      <c r="D149" s="1039"/>
    </row>
    <row r="150" spans="1:4" ht="26.25">
      <c r="A150" s="5"/>
      <c r="B150" s="1036"/>
      <c r="C150" s="1039" t="s">
        <v>2072</v>
      </c>
      <c r="D150" s="1039"/>
    </row>
    <row r="151" spans="1:4" ht="15">
      <c r="A151" s="5"/>
      <c r="B151" s="1036"/>
      <c r="C151" s="1039"/>
      <c r="D151" s="1039"/>
    </row>
    <row r="152" spans="1:4" ht="15">
      <c r="A152" s="5"/>
      <c r="B152" s="1036"/>
      <c r="C152" s="1039"/>
      <c r="D152" s="1039"/>
    </row>
    <row r="153" spans="1:4" ht="15">
      <c r="A153" s="5"/>
      <c r="B153" s="1036"/>
      <c r="C153" s="1039"/>
      <c r="D153" s="1039"/>
    </row>
    <row r="154" spans="1:4" ht="15">
      <c r="A154" s="5"/>
      <c r="B154" s="1036"/>
      <c r="C154" s="1039"/>
      <c r="D154" s="1039"/>
    </row>
    <row r="155" spans="1:4" ht="15">
      <c r="A155" s="5"/>
      <c r="B155" s="1036"/>
      <c r="C155" s="1039"/>
      <c r="D155" s="1039"/>
    </row>
    <row r="156" spans="1:4" ht="15">
      <c r="A156" s="5"/>
      <c r="B156" s="1036"/>
      <c r="C156" s="1039"/>
      <c r="D156" s="1039"/>
    </row>
    <row r="157" spans="1:4" ht="15">
      <c r="A157" s="5"/>
      <c r="B157" s="1036"/>
      <c r="C157" s="1039"/>
      <c r="D157" s="1039"/>
    </row>
    <row r="158" spans="1:4" ht="15">
      <c r="A158" s="5"/>
      <c r="B158" s="1036"/>
      <c r="C158" s="1039"/>
      <c r="D158" s="1039"/>
    </row>
    <row r="159" spans="1:4" ht="15">
      <c r="A159" s="5"/>
      <c r="B159" s="1036"/>
      <c r="C159" s="1039"/>
      <c r="D159" s="1039"/>
    </row>
    <row r="160" spans="1:4" ht="15">
      <c r="A160" s="5"/>
      <c r="B160" s="1036"/>
      <c r="C160" s="1039"/>
      <c r="D160" s="1039"/>
    </row>
    <row r="161" spans="1:4" ht="15">
      <c r="A161" s="5"/>
      <c r="B161" s="1036"/>
      <c r="C161" s="1039"/>
      <c r="D161" s="1039"/>
    </row>
    <row r="162" spans="1:4" ht="15">
      <c r="A162" s="5"/>
      <c r="B162" s="1036"/>
      <c r="C162" s="1039"/>
      <c r="D162" s="1039"/>
    </row>
    <row r="163" spans="1:4" ht="15">
      <c r="A163" s="5"/>
      <c r="B163" s="1036"/>
      <c r="C163" s="1039"/>
      <c r="D163" s="1039"/>
    </row>
    <row r="164" spans="1:4" ht="12" customHeight="1">
      <c r="A164" s="5"/>
      <c r="B164" s="1036"/>
      <c r="C164" s="1039"/>
      <c r="D164" s="1039"/>
    </row>
    <row r="165" spans="1:4" ht="15">
      <c r="A165" s="5"/>
      <c r="B165" s="1036"/>
      <c r="C165" s="1039"/>
      <c r="D165" s="1039"/>
    </row>
    <row r="166" spans="1:4" ht="15">
      <c r="A166" s="5"/>
      <c r="B166" s="1036"/>
      <c r="C166" s="1039"/>
      <c r="D166" s="1039"/>
    </row>
    <row r="167" spans="1:4" ht="15">
      <c r="A167" s="5"/>
      <c r="B167" s="1036"/>
      <c r="C167" s="1039"/>
      <c r="D167" s="1039"/>
    </row>
    <row r="168" spans="1:4" ht="15">
      <c r="A168" s="5"/>
      <c r="B168" s="1036"/>
      <c r="C168" s="1037"/>
      <c r="D168" s="1037"/>
    </row>
    <row r="169" spans="1:4" ht="15">
      <c r="A169" s="5"/>
      <c r="B169" s="6"/>
      <c r="C169" s="1040"/>
      <c r="D169" s="1040"/>
    </row>
    <row r="170" spans="1:4" ht="24" customHeight="1">
      <c r="A170" s="5"/>
      <c r="B170" s="1034" t="s">
        <v>29</v>
      </c>
      <c r="C170" s="1035"/>
      <c r="D170" s="1035"/>
    </row>
    <row r="171" spans="1:4" ht="15">
      <c r="A171" s="5"/>
      <c r="B171" s="1036"/>
      <c r="C171" s="1039"/>
      <c r="D171" s="1039"/>
    </row>
    <row r="172" spans="1:4" ht="39">
      <c r="A172" s="5"/>
      <c r="B172" s="1036" t="s">
        <v>18</v>
      </c>
      <c r="C172" s="1039" t="s">
        <v>31</v>
      </c>
      <c r="D172" s="1039"/>
    </row>
    <row r="173" spans="1:4" ht="15">
      <c r="A173" s="5"/>
      <c r="B173" s="1036"/>
      <c r="C173" s="1039"/>
      <c r="D173" s="1039"/>
    </row>
    <row r="174" spans="1:4" ht="15">
      <c r="A174" s="5"/>
      <c r="B174" s="1036"/>
      <c r="C174" s="1039"/>
      <c r="D174" s="1041"/>
    </row>
    <row r="175" spans="1:4" ht="15">
      <c r="A175" s="5"/>
      <c r="B175" s="1036"/>
      <c r="C175" s="1039"/>
      <c r="D175" s="1041"/>
    </row>
    <row r="176" spans="1:4" ht="15">
      <c r="A176" s="5"/>
      <c r="B176" s="1036"/>
      <c r="C176" s="1039"/>
      <c r="D176" s="1041"/>
    </row>
    <row r="177" spans="1:4" ht="15">
      <c r="A177" s="5"/>
      <c r="B177" s="1036"/>
      <c r="C177" s="1039"/>
      <c r="D177" s="1041"/>
    </row>
    <row r="178" spans="1:4" ht="15">
      <c r="A178" s="5"/>
      <c r="B178" s="1036"/>
      <c r="C178" s="1037"/>
      <c r="D178" s="1041"/>
    </row>
    <row r="179" spans="1:4" ht="15">
      <c r="A179" s="5"/>
      <c r="B179" s="1036"/>
      <c r="C179" s="1037" t="s">
        <v>32</v>
      </c>
      <c r="D179" s="1041"/>
    </row>
    <row r="180" spans="1:4" ht="15">
      <c r="A180" s="5"/>
      <c r="B180" s="1036"/>
      <c r="C180" s="1037"/>
      <c r="D180" s="1041"/>
    </row>
    <row r="181" spans="1:4" ht="15">
      <c r="A181" s="5"/>
      <c r="B181" s="1036"/>
      <c r="C181" s="1037"/>
      <c r="D181" s="1041"/>
    </row>
    <row r="182" spans="1:4" ht="15">
      <c r="A182" s="5"/>
      <c r="B182" s="1036"/>
      <c r="C182" s="1037"/>
      <c r="D182" s="1041"/>
    </row>
    <row r="183" spans="1:4" ht="15">
      <c r="A183" s="5"/>
      <c r="B183" s="1036"/>
      <c r="C183" s="1037"/>
      <c r="D183" s="1041"/>
    </row>
    <row r="184" spans="1:4" ht="15">
      <c r="A184" s="5"/>
      <c r="B184" s="1036"/>
      <c r="C184" s="1037"/>
      <c r="D184" s="1041"/>
    </row>
    <row r="185" spans="1:4" ht="15">
      <c r="A185" s="5"/>
      <c r="B185" s="1036"/>
      <c r="C185" s="1037"/>
      <c r="D185" s="1041"/>
    </row>
    <row r="186" spans="1:4" ht="15">
      <c r="A186" s="5"/>
      <c r="B186" s="1036"/>
      <c r="C186" s="1037"/>
      <c r="D186" s="1041"/>
    </row>
    <row r="187" spans="1:4" ht="15">
      <c r="A187" s="5"/>
      <c r="B187" s="1036"/>
      <c r="C187" s="1037"/>
      <c r="D187" s="1041"/>
    </row>
    <row r="188" spans="1:4" ht="15">
      <c r="A188" s="5"/>
      <c r="B188" s="1036"/>
      <c r="C188" s="1037"/>
      <c r="D188" s="1041"/>
    </row>
    <row r="189" spans="1:4" ht="15">
      <c r="A189" s="5"/>
      <c r="B189" s="1036"/>
      <c r="C189" s="1037"/>
      <c r="D189" s="1041"/>
    </row>
    <row r="190" spans="1:4" ht="25.5">
      <c r="A190" s="5"/>
      <c r="B190" s="1036" t="s">
        <v>7</v>
      </c>
      <c r="C190" s="1037" t="s">
        <v>33</v>
      </c>
      <c r="D190" s="1041"/>
    </row>
    <row r="191" spans="1:4" ht="15">
      <c r="A191" s="5"/>
      <c r="B191" s="1036"/>
      <c r="C191" s="1037"/>
      <c r="D191" s="1041"/>
    </row>
    <row r="192" spans="1:4" ht="15">
      <c r="A192" s="5"/>
      <c r="B192" s="6"/>
      <c r="C192" s="7"/>
      <c r="D192" s="8"/>
    </row>
    <row r="193" spans="1:4" ht="24" customHeight="1">
      <c r="A193" s="5"/>
      <c r="B193" s="1034" t="s">
        <v>34</v>
      </c>
      <c r="C193" s="1035"/>
      <c r="D193" s="1035"/>
    </row>
    <row r="194" spans="1:4" ht="15">
      <c r="A194" s="5"/>
      <c r="B194" s="1036"/>
      <c r="C194" s="1037"/>
      <c r="D194" s="1041"/>
    </row>
    <row r="195" spans="1:4" ht="15">
      <c r="A195" s="5"/>
      <c r="B195" s="1036" t="s">
        <v>3</v>
      </c>
      <c r="C195" s="1037" t="s">
        <v>2073</v>
      </c>
      <c r="D195" s="1041"/>
    </row>
    <row r="196" spans="1:4" ht="15">
      <c r="A196" s="5"/>
      <c r="B196" s="1036"/>
      <c r="C196" s="1037"/>
      <c r="D196" s="1041"/>
    </row>
    <row r="197" spans="1:4" ht="38.25">
      <c r="A197" s="5"/>
      <c r="B197" s="1036" t="s">
        <v>5</v>
      </c>
      <c r="C197" s="1037" t="s">
        <v>36</v>
      </c>
      <c r="D197" s="1041"/>
    </row>
    <row r="198" spans="1:4" ht="15">
      <c r="A198" s="5"/>
      <c r="B198" s="1036"/>
      <c r="C198" s="1037"/>
      <c r="D198" s="1041"/>
    </row>
    <row r="199" spans="1:4" ht="15">
      <c r="A199" s="5"/>
      <c r="B199" s="1036"/>
      <c r="C199" s="1037"/>
      <c r="D199" s="1041"/>
    </row>
    <row r="200" spans="1:4" ht="15">
      <c r="A200" s="5"/>
      <c r="B200" s="1036"/>
      <c r="C200" s="1037"/>
      <c r="D200" s="1041"/>
    </row>
    <row r="201" spans="1:4" ht="15">
      <c r="A201" s="5"/>
      <c r="B201" s="1036"/>
      <c r="C201" s="1037"/>
      <c r="D201" s="1041"/>
    </row>
    <row r="202" spans="1:4" ht="15">
      <c r="A202" s="5"/>
      <c r="B202" s="1036"/>
      <c r="C202" s="1037"/>
      <c r="D202" s="1041"/>
    </row>
    <row r="203" spans="1:4" ht="15">
      <c r="A203" s="5"/>
      <c r="B203" s="1036"/>
      <c r="C203" s="1037"/>
      <c r="D203" s="1041"/>
    </row>
    <row r="204" spans="1:4" ht="15">
      <c r="A204" s="5"/>
      <c r="B204" s="1036"/>
      <c r="C204" s="1037"/>
      <c r="D204" s="1041"/>
    </row>
    <row r="205" spans="1:4" ht="15">
      <c r="A205" s="5"/>
      <c r="B205" s="1036"/>
      <c r="C205" s="1037"/>
      <c r="D205" s="1041"/>
    </row>
    <row r="206" spans="1:4" ht="15">
      <c r="A206" s="5"/>
      <c r="B206" s="1036"/>
      <c r="C206" s="1037"/>
      <c r="D206" s="1041"/>
    </row>
    <row r="207" spans="1:4" ht="15">
      <c r="A207" s="5"/>
      <c r="B207" s="1036"/>
      <c r="C207" s="1037"/>
      <c r="D207" s="1041"/>
    </row>
    <row r="208" spans="1:4" ht="15">
      <c r="A208" s="5"/>
      <c r="B208" s="1036"/>
      <c r="C208" s="1037"/>
      <c r="D208" s="1041"/>
    </row>
    <row r="209" spans="1:4" ht="15">
      <c r="A209" s="5"/>
      <c r="B209" s="1036"/>
      <c r="C209" s="1037"/>
      <c r="D209" s="1041"/>
    </row>
    <row r="210" spans="1:4" ht="15">
      <c r="A210" s="5"/>
      <c r="B210" s="1036"/>
      <c r="C210" s="1037"/>
      <c r="D210" s="1041"/>
    </row>
    <row r="211" spans="1:4" ht="15">
      <c r="A211" s="5"/>
      <c r="B211" s="1036"/>
      <c r="C211" s="1037"/>
      <c r="D211" s="1041"/>
    </row>
    <row r="212" spans="1:4" ht="15">
      <c r="A212" s="5"/>
      <c r="B212" s="1036"/>
      <c r="C212" s="1037"/>
      <c r="D212" s="1041"/>
    </row>
    <row r="213" spans="1:4" ht="15">
      <c r="A213" s="5"/>
      <c r="B213" s="1036"/>
      <c r="C213" s="1037"/>
      <c r="D213" s="1041"/>
    </row>
    <row r="214" spans="1:4" ht="15">
      <c r="A214" s="5"/>
      <c r="B214" s="1036"/>
      <c r="C214" s="1037"/>
      <c r="D214" s="1041"/>
    </row>
    <row r="215" spans="1:4" ht="15">
      <c r="A215" s="5"/>
      <c r="B215" s="1036"/>
      <c r="C215" s="1037"/>
      <c r="D215" s="1041"/>
    </row>
    <row r="216" spans="1:4" ht="15">
      <c r="A216" s="5"/>
      <c r="B216" s="1036"/>
      <c r="C216" s="1037"/>
      <c r="D216" s="1041"/>
    </row>
    <row r="217" spans="1:4" ht="38.25">
      <c r="A217" s="5"/>
      <c r="B217" s="1036" t="s">
        <v>7</v>
      </c>
      <c r="C217" s="1037" t="s">
        <v>1934</v>
      </c>
      <c r="D217" s="1041"/>
    </row>
    <row r="218" spans="1:4" ht="15">
      <c r="A218" s="5"/>
      <c r="B218" s="1036"/>
      <c r="C218" s="1037"/>
      <c r="D218" s="1041"/>
    </row>
    <row r="219" spans="1:4" ht="25.5">
      <c r="A219" s="5"/>
      <c r="B219" s="1036" t="s">
        <v>38</v>
      </c>
      <c r="C219" s="1037" t="s">
        <v>39</v>
      </c>
      <c r="D219" s="1041"/>
    </row>
    <row r="220" spans="1:4" ht="15">
      <c r="A220" s="5"/>
      <c r="B220" s="1036"/>
      <c r="C220" s="1037"/>
      <c r="D220" s="1041"/>
    </row>
    <row r="221" spans="1:4" ht="15">
      <c r="A221" s="5"/>
      <c r="B221" s="1036" t="s">
        <v>40</v>
      </c>
      <c r="C221" s="1037" t="s">
        <v>41</v>
      </c>
      <c r="D221" s="1041"/>
    </row>
    <row r="222" spans="1:4" ht="15">
      <c r="A222" s="5"/>
      <c r="B222" s="1036"/>
      <c r="C222" s="1037"/>
      <c r="D222" s="1041"/>
    </row>
    <row r="223" spans="1:4" ht="15">
      <c r="A223" s="5"/>
      <c r="B223" s="1036" t="s">
        <v>42</v>
      </c>
      <c r="C223" s="1037" t="s">
        <v>43</v>
      </c>
      <c r="D223" s="1041"/>
    </row>
    <row r="224" spans="1:4" ht="15">
      <c r="A224" s="5"/>
      <c r="B224" s="1036"/>
      <c r="C224" s="1037"/>
      <c r="D224" s="1041"/>
    </row>
    <row r="225" spans="1:4" ht="15">
      <c r="A225" s="5"/>
      <c r="B225" s="6"/>
      <c r="C225" s="7"/>
      <c r="D225" s="8"/>
    </row>
  </sheetData>
  <hyperlinks>
    <hyperlink ref="D1" location="Содержание!A1" display="к содержанию" xr:uid="{7063C5E9-15DA-44E3-ADEA-C24709F8D14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J71"/>
  <sheetViews>
    <sheetView showGridLines="0" view="pageBreakPreview" topLeftCell="A35" zoomScale="90" workbookViewId="0">
      <selection activeCell="E48" sqref="E48"/>
    </sheetView>
  </sheetViews>
  <sheetFormatPr defaultColWidth="8.7109375" defaultRowHeight="14.45" customHeight="1" outlineLevelRow="2"/>
  <cols>
    <col min="1" max="2" width="2.140625" style="42" customWidth="1"/>
    <col min="3" max="3" width="30.5703125" style="42" customWidth="1"/>
    <col min="4" max="4" width="26.5703125" style="42" customWidth="1"/>
    <col min="5" max="5" width="33.5703125" style="43" customWidth="1"/>
    <col min="6" max="6" width="6.28515625" style="42" customWidth="1"/>
    <col min="7" max="7" width="28.42578125" style="42" customWidth="1"/>
    <col min="8" max="8" width="13.140625" style="42" customWidth="1"/>
    <col min="9" max="9" width="30.42578125" style="42" customWidth="1"/>
    <col min="10" max="10" width="2.140625" style="42" customWidth="1"/>
    <col min="11" max="11" width="5" style="42" customWidth="1"/>
    <col min="12" max="12" width="8.7109375" style="42" customWidth="1"/>
    <col min="13" max="13" width="8.7109375" style="42"/>
    <col min="14" max="15" width="8.7109375" style="42" customWidth="1"/>
    <col min="16" max="16384" width="8.7109375" style="42"/>
  </cols>
  <sheetData>
    <row r="1" spans="1:10" ht="66" customHeight="1">
      <c r="A1" s="44"/>
      <c r="B1" s="1342" t="s">
        <v>239</v>
      </c>
      <c r="C1" s="1342"/>
      <c r="D1" s="1342"/>
      <c r="E1" s="1342"/>
      <c r="F1" s="1342"/>
      <c r="G1" s="1342"/>
      <c r="H1" s="1342"/>
      <c r="I1" s="1342"/>
      <c r="J1" s="44"/>
    </row>
    <row r="2" spans="1:10" ht="14.45" customHeight="1">
      <c r="A2" s="45"/>
      <c r="B2" s="45"/>
    </row>
    <row r="3" spans="1:10" ht="14.45" customHeight="1">
      <c r="A3" s="45"/>
      <c r="B3" s="45"/>
    </row>
    <row r="4" spans="1:10" ht="15.75">
      <c r="A4" s="45"/>
      <c r="B4" s="45"/>
      <c r="C4" s="1343" t="s">
        <v>240</v>
      </c>
      <c r="D4" s="1343"/>
      <c r="E4" s="1343"/>
      <c r="F4" s="1343"/>
      <c r="G4" s="1343"/>
      <c r="H4" s="1343"/>
      <c r="I4" s="1343"/>
      <c r="J4" s="46"/>
    </row>
    <row r="5" spans="1:10" ht="15.75">
      <c r="A5" s="45"/>
      <c r="B5" s="45"/>
      <c r="C5" s="48"/>
      <c r="D5" s="48"/>
      <c r="E5" s="49"/>
      <c r="F5" s="47"/>
      <c r="G5" s="47"/>
      <c r="H5" s="47"/>
      <c r="I5" s="47"/>
      <c r="J5" s="47"/>
    </row>
    <row r="6" spans="1:10" ht="15.75">
      <c r="A6" s="45"/>
      <c r="B6" s="45"/>
      <c r="C6" s="49" t="s">
        <v>241</v>
      </c>
      <c r="D6" s="49"/>
      <c r="E6" s="50" t="s">
        <v>1935</v>
      </c>
      <c r="F6" s="47"/>
      <c r="G6" s="47"/>
      <c r="H6" s="47"/>
      <c r="I6" s="47"/>
      <c r="J6" s="47"/>
    </row>
    <row r="7" spans="1:10" ht="15.75">
      <c r="A7" s="45"/>
      <c r="B7" s="45"/>
      <c r="C7" s="49" t="s">
        <v>242</v>
      </c>
      <c r="D7" s="51"/>
      <c r="E7" s="52" t="s">
        <v>2090</v>
      </c>
      <c r="F7" s="53"/>
      <c r="G7" s="53"/>
      <c r="H7" s="47"/>
      <c r="I7" s="47"/>
      <c r="J7" s="47"/>
    </row>
    <row r="8" spans="1:10" ht="15.75">
      <c r="A8" s="45"/>
      <c r="B8" s="45"/>
      <c r="C8" s="49" t="s">
        <v>243</v>
      </c>
      <c r="D8" s="51" t="s">
        <v>244</v>
      </c>
      <c r="E8" s="54" t="s">
        <v>146</v>
      </c>
      <c r="F8" s="47"/>
      <c r="G8" s="47"/>
      <c r="H8" s="47"/>
      <c r="I8" s="47"/>
      <c r="J8" s="47"/>
    </row>
    <row r="9" spans="1:10" ht="22.5">
      <c r="A9" s="45"/>
      <c r="B9" s="45"/>
      <c r="C9" s="55" t="s">
        <v>245</v>
      </c>
      <c r="D9" s="51" t="s">
        <v>244</v>
      </c>
      <c r="E9" s="54"/>
      <c r="F9" s="47"/>
      <c r="G9" s="47"/>
      <c r="H9" s="47"/>
      <c r="I9" s="47"/>
      <c r="J9" s="47"/>
    </row>
    <row r="10" spans="1:10" ht="15.75">
      <c r="A10" s="45"/>
      <c r="B10" s="45"/>
      <c r="C10" s="49"/>
      <c r="D10" s="51" t="s">
        <v>244</v>
      </c>
      <c r="E10" s="52"/>
      <c r="F10" s="47"/>
      <c r="G10" s="47"/>
      <c r="H10" s="47"/>
      <c r="I10" s="47"/>
      <c r="J10" s="47"/>
    </row>
    <row r="11" spans="1:10" ht="19.5" customHeight="1">
      <c r="A11" s="45"/>
      <c r="B11" s="45"/>
      <c r="C11" s="49"/>
      <c r="D11" s="51" t="s">
        <v>244</v>
      </c>
      <c r="E11" s="54"/>
      <c r="F11" s="47"/>
      <c r="G11" s="47"/>
      <c r="H11" s="47"/>
      <c r="I11" s="47"/>
      <c r="J11" s="47"/>
    </row>
    <row r="12" spans="1:10" ht="15.75">
      <c r="A12" s="45"/>
      <c r="B12" s="45"/>
      <c r="C12" s="49" t="s">
        <v>246</v>
      </c>
      <c r="D12" s="49"/>
      <c r="E12" s="960"/>
      <c r="F12" s="47"/>
      <c r="G12" s="47"/>
      <c r="H12" s="47"/>
      <c r="I12" s="47"/>
      <c r="J12" s="47"/>
    </row>
    <row r="13" spans="1:10" ht="15.75">
      <c r="A13" s="45"/>
      <c r="B13" s="45"/>
      <c r="C13" s="49" t="s">
        <v>247</v>
      </c>
      <c r="D13" s="49"/>
      <c r="E13" s="960"/>
      <c r="F13" s="47"/>
      <c r="G13" s="47"/>
      <c r="H13" s="47"/>
      <c r="I13" s="47"/>
      <c r="J13" s="47"/>
    </row>
    <row r="14" spans="1:10" ht="15.75">
      <c r="A14" s="45"/>
      <c r="B14" s="45"/>
      <c r="C14" s="56" t="s">
        <v>248</v>
      </c>
      <c r="D14" s="56"/>
      <c r="E14" s="57"/>
      <c r="F14" s="47"/>
      <c r="G14" s="47"/>
      <c r="H14" s="47"/>
      <c r="I14" s="47"/>
      <c r="J14" s="47"/>
    </row>
    <row r="15" spans="1:10" ht="15.75">
      <c r="A15" s="45"/>
      <c r="B15" s="45"/>
      <c r="C15" s="49" t="s">
        <v>249</v>
      </c>
      <c r="E15" s="960"/>
      <c r="F15" s="47"/>
      <c r="G15" s="47"/>
      <c r="H15" s="47"/>
      <c r="I15" s="47"/>
      <c r="J15" s="47"/>
    </row>
    <row r="16" spans="1:10" ht="22.5" customHeight="1">
      <c r="A16" s="45"/>
      <c r="B16" s="45"/>
      <c r="C16" s="49" t="s">
        <v>250</v>
      </c>
      <c r="E16" s="1043"/>
      <c r="F16" s="47"/>
      <c r="G16" s="47"/>
      <c r="H16" s="47"/>
      <c r="I16" s="47"/>
      <c r="J16" s="47"/>
    </row>
    <row r="17" spans="3:10" ht="15.75">
      <c r="C17" s="58"/>
      <c r="D17" s="58"/>
      <c r="E17" s="59"/>
      <c r="F17" s="47"/>
      <c r="G17" s="47"/>
      <c r="H17" s="47"/>
      <c r="I17" s="47"/>
      <c r="J17" s="47"/>
    </row>
    <row r="18" spans="3:10" ht="15.75">
      <c r="C18" s="60" t="s">
        <v>251</v>
      </c>
      <c r="D18" s="61"/>
      <c r="E18" s="58"/>
      <c r="F18" s="47"/>
      <c r="G18" s="47"/>
      <c r="H18" s="47"/>
      <c r="I18" s="47"/>
      <c r="J18" s="47"/>
    </row>
    <row r="19" spans="3:10" ht="30">
      <c r="C19" s="56" t="s">
        <v>252</v>
      </c>
      <c r="D19" s="56"/>
      <c r="E19" s="62">
        <v>2000</v>
      </c>
      <c r="F19" s="47"/>
      <c r="G19" s="47"/>
      <c r="H19" s="47"/>
      <c r="I19" s="47"/>
      <c r="J19" s="47"/>
    </row>
    <row r="20" spans="3:10" ht="18.75" customHeight="1">
      <c r="C20" s="56" t="s">
        <v>253</v>
      </c>
      <c r="D20" s="56"/>
      <c r="E20" s="63">
        <v>0.1</v>
      </c>
      <c r="F20" s="47"/>
      <c r="G20" s="47"/>
      <c r="H20" s="47"/>
      <c r="I20" s="47"/>
      <c r="J20" s="47"/>
    </row>
    <row r="21" spans="3:10" ht="21.75" customHeight="1">
      <c r="C21" s="56" t="s">
        <v>254</v>
      </c>
      <c r="D21" s="56"/>
      <c r="E21" s="62">
        <v>5000</v>
      </c>
      <c r="F21" s="47"/>
      <c r="G21" s="47"/>
      <c r="H21" s="47"/>
      <c r="I21" s="47"/>
      <c r="J21" s="47"/>
    </row>
    <row r="22" spans="3:10" ht="15.75">
      <c r="C22" s="64" t="s">
        <v>255</v>
      </c>
      <c r="D22" s="65" t="str">
        <f>IF(C22="Производство","Общий метраж выпуска →","Номер заказа →")</f>
        <v>Номер заказа →</v>
      </c>
      <c r="E22" s="66"/>
      <c r="F22" s="47"/>
      <c r="G22" s="47"/>
      <c r="H22" s="47"/>
      <c r="I22" s="47"/>
      <c r="J22" s="47"/>
    </row>
    <row r="23" spans="3:10" ht="33" customHeight="1">
      <c r="C23" s="1344" t="s">
        <v>256</v>
      </c>
      <c r="D23" s="1345"/>
      <c r="E23" s="67">
        <v>300</v>
      </c>
      <c r="F23" s="47"/>
      <c r="G23" s="47"/>
      <c r="H23" s="47"/>
      <c r="I23" s="47"/>
      <c r="J23" s="47"/>
    </row>
    <row r="24" spans="3:10" ht="24" customHeight="1">
      <c r="C24" s="68" t="s">
        <v>257</v>
      </c>
      <c r="D24" s="69"/>
      <c r="E24" s="70" t="s">
        <v>150</v>
      </c>
      <c r="F24" s="47"/>
      <c r="G24" s="47"/>
      <c r="H24" s="47"/>
      <c r="I24" s="47"/>
      <c r="J24" s="47"/>
    </row>
    <row r="25" spans="3:10" ht="35.25" customHeight="1">
      <c r="C25" s="56" t="s">
        <v>258</v>
      </c>
      <c r="D25" s="56"/>
      <c r="E25" s="1295">
        <v>4000</v>
      </c>
      <c r="F25" s="47"/>
      <c r="G25" s="47"/>
      <c r="H25" s="47"/>
      <c r="I25" s="47"/>
      <c r="J25" s="47"/>
    </row>
    <row r="26" spans="3:10" ht="15.75">
      <c r="C26" s="60" t="s">
        <v>259</v>
      </c>
      <c r="D26" s="56"/>
      <c r="E26" s="66" t="s">
        <v>115</v>
      </c>
      <c r="F26" s="47"/>
      <c r="G26" s="47"/>
      <c r="H26" s="47"/>
      <c r="I26" s="47"/>
      <c r="J26" s="47"/>
    </row>
    <row r="27" spans="3:10" ht="22.5" customHeight="1" outlineLevel="2">
      <c r="C27" s="49" t="s">
        <v>260</v>
      </c>
      <c r="D27" s="56"/>
      <c r="E27" s="67">
        <v>1200</v>
      </c>
      <c r="F27" s="47"/>
      <c r="G27" s="47"/>
      <c r="H27" s="47"/>
      <c r="I27" s="47"/>
      <c r="J27" s="47"/>
    </row>
    <row r="28" spans="3:10" ht="45" outlineLevel="2">
      <c r="C28" s="56" t="s">
        <v>261</v>
      </c>
      <c r="D28" s="65"/>
      <c r="E28" s="66">
        <v>1800</v>
      </c>
      <c r="F28" s="47"/>
      <c r="G28" s="47"/>
      <c r="H28" s="47"/>
      <c r="I28" s="47"/>
      <c r="J28" s="47"/>
    </row>
    <row r="29" spans="3:10" ht="15.75">
      <c r="C29" s="56"/>
      <c r="D29" s="65"/>
      <c r="E29" s="47"/>
      <c r="F29" s="47"/>
      <c r="G29" s="47"/>
      <c r="H29" s="47"/>
      <c r="I29" s="47"/>
      <c r="J29" s="47"/>
    </row>
    <row r="30" spans="3:10" ht="15.75">
      <c r="C30" s="60" t="s">
        <v>262</v>
      </c>
      <c r="D30" s="56"/>
      <c r="E30" s="67" t="s">
        <v>115</v>
      </c>
      <c r="F30" s="47"/>
      <c r="G30" s="47"/>
      <c r="H30" s="47"/>
      <c r="I30" s="47"/>
      <c r="J30" s="47"/>
    </row>
    <row r="31" spans="3:10" ht="15.75">
      <c r="C31" s="56"/>
      <c r="D31" s="56"/>
      <c r="E31" s="71"/>
      <c r="F31" s="47"/>
      <c r="G31" s="47"/>
      <c r="H31" s="47"/>
      <c r="I31" s="47"/>
      <c r="J31" s="47"/>
    </row>
    <row r="32" spans="3:10" ht="15.75">
      <c r="C32" s="60" t="s">
        <v>263</v>
      </c>
      <c r="D32" s="61"/>
      <c r="E32" s="59"/>
      <c r="F32" s="47"/>
      <c r="G32" s="47"/>
      <c r="H32" s="47"/>
      <c r="I32" s="47"/>
      <c r="J32" s="47"/>
    </row>
    <row r="33" spans="3:10" ht="15.75">
      <c r="C33" s="68" t="s">
        <v>112</v>
      </c>
      <c r="D33" s="69"/>
      <c r="E33" s="72" t="s">
        <v>147</v>
      </c>
      <c r="F33" s="47"/>
      <c r="G33" s="47"/>
      <c r="H33" s="47"/>
      <c r="I33" s="47"/>
      <c r="J33" s="47"/>
    </row>
    <row r="34" spans="3:10" ht="19.5" customHeight="1">
      <c r="C34" s="68" t="s">
        <v>113</v>
      </c>
      <c r="D34" s="69"/>
      <c r="E34" s="70" t="str">
        <f>VLOOKUP(E33,Списки!$BH$1:$BI$4,2,)</f>
        <v>ИЗО</v>
      </c>
      <c r="F34" s="47"/>
      <c r="G34" s="47"/>
      <c r="H34" s="47"/>
      <c r="I34" s="47"/>
      <c r="J34" s="47"/>
    </row>
    <row r="35" spans="3:10" ht="18">
      <c r="C35" s="68" t="s">
        <v>264</v>
      </c>
      <c r="D35" s="69"/>
      <c r="E35" s="70"/>
      <c r="F35" s="47"/>
      <c r="G35" s="47"/>
      <c r="H35" s="47"/>
      <c r="I35" s="47"/>
      <c r="J35" s="47"/>
    </row>
    <row r="36" spans="3:10" ht="18.75" customHeight="1">
      <c r="C36" s="68" t="s">
        <v>265</v>
      </c>
      <c r="D36" s="69"/>
      <c r="E36" s="70" t="s">
        <v>266</v>
      </c>
      <c r="F36" s="47"/>
      <c r="G36" s="47"/>
      <c r="H36" s="47"/>
      <c r="I36" s="47"/>
      <c r="J36" s="47"/>
    </row>
    <row r="37" spans="3:10" ht="15.75">
      <c r="C37" s="68" t="s">
        <v>267</v>
      </c>
      <c r="D37" s="69"/>
      <c r="E37" s="70"/>
      <c r="F37" s="47"/>
      <c r="G37" s="47"/>
      <c r="H37" s="47"/>
      <c r="I37" s="47"/>
      <c r="J37" s="47"/>
    </row>
    <row r="38" spans="3:10" ht="15.75">
      <c r="C38" s="73"/>
      <c r="D38" s="73"/>
      <c r="E38" s="59"/>
      <c r="F38" s="47"/>
      <c r="G38" s="47"/>
      <c r="H38" s="47"/>
      <c r="I38" s="47"/>
      <c r="J38" s="47"/>
    </row>
    <row r="39" spans="3:10" ht="15.95" customHeight="1">
      <c r="C39" s="60" t="s">
        <v>268</v>
      </c>
      <c r="D39" s="61"/>
      <c r="E39" s="58"/>
      <c r="F39" s="47"/>
      <c r="G39" s="47"/>
      <c r="H39" s="47"/>
      <c r="I39" s="47"/>
      <c r="J39" s="47"/>
    </row>
    <row r="40" spans="3:10" ht="15.95" customHeight="1">
      <c r="C40" s="74" t="s">
        <v>269</v>
      </c>
      <c r="D40" s="61"/>
      <c r="E40" s="75"/>
      <c r="F40" s="47"/>
      <c r="G40" s="74" t="s">
        <v>270</v>
      </c>
      <c r="H40" s="61"/>
      <c r="I40" s="76"/>
    </row>
    <row r="41" spans="3:10" ht="15.75">
      <c r="C41" s="68" t="s">
        <v>271</v>
      </c>
      <c r="D41" s="77"/>
      <c r="E41" s="78" t="s">
        <v>124</v>
      </c>
      <c r="F41" s="47"/>
      <c r="G41" s="68" t="s">
        <v>272</v>
      </c>
      <c r="H41" s="77"/>
      <c r="I41" s="78" t="s">
        <v>124</v>
      </c>
    </row>
    <row r="42" spans="3:10" ht="15.95" customHeight="1">
      <c r="C42" s="1344" t="s">
        <v>273</v>
      </c>
      <c r="D42" s="1345"/>
      <c r="E42" s="67">
        <v>2000</v>
      </c>
      <c r="F42" s="47"/>
      <c r="G42" s="1344" t="s">
        <v>274</v>
      </c>
      <c r="H42" s="1345"/>
      <c r="I42" s="67">
        <v>2500</v>
      </c>
    </row>
    <row r="43" spans="3:10" ht="31.5" customHeight="1">
      <c r="C43" s="56" t="s">
        <v>275</v>
      </c>
      <c r="D43" s="56"/>
      <c r="E43" s="622">
        <v>300</v>
      </c>
      <c r="F43" s="47"/>
      <c r="G43" s="56" t="s">
        <v>276</v>
      </c>
      <c r="H43" s="56"/>
      <c r="I43" s="622">
        <v>300</v>
      </c>
    </row>
    <row r="44" spans="3:10" ht="14.45" customHeight="1">
      <c r="C44" s="56" t="s">
        <v>277</v>
      </c>
      <c r="E44" s="63"/>
      <c r="G44" s="56" t="s">
        <v>278</v>
      </c>
      <c r="I44" s="63"/>
    </row>
    <row r="45" spans="3:10" ht="15.75">
      <c r="C45" s="49" t="s">
        <v>279</v>
      </c>
      <c r="E45" s="63">
        <v>1</v>
      </c>
      <c r="G45" s="49" t="s">
        <v>280</v>
      </c>
      <c r="I45" s="63">
        <v>2</v>
      </c>
    </row>
    <row r="46" spans="3:10" ht="15.95" customHeight="1">
      <c r="E46" s="79"/>
      <c r="F46" s="47"/>
      <c r="G46" s="47"/>
      <c r="H46" s="47"/>
      <c r="I46" s="47"/>
      <c r="J46" s="47"/>
    </row>
    <row r="47" spans="3:10" ht="15.95" customHeight="1">
      <c r="C47" s="60" t="s">
        <v>281</v>
      </c>
      <c r="E47" s="54" t="s">
        <v>115</v>
      </c>
      <c r="F47" s="47"/>
      <c r="G47" s="47"/>
      <c r="H47" s="47"/>
      <c r="I47" s="47"/>
      <c r="J47" s="47"/>
    </row>
    <row r="48" spans="3:10" ht="36" customHeight="1" outlineLevel="1">
      <c r="C48" s="49" t="s">
        <v>282</v>
      </c>
      <c r="D48" s="56"/>
      <c r="E48" s="52" t="s">
        <v>122</v>
      </c>
      <c r="F48" s="80"/>
      <c r="G48" s="47"/>
      <c r="H48" s="47"/>
      <c r="I48" s="47"/>
      <c r="J48" s="47"/>
    </row>
    <row r="49" spans="2:10" ht="45" outlineLevel="1">
      <c r="C49" s="56" t="s">
        <v>664</v>
      </c>
      <c r="D49" s="49"/>
      <c r="E49" s="66" t="s">
        <v>115</v>
      </c>
      <c r="F49" s="81"/>
      <c r="G49" s="47"/>
      <c r="H49" s="47"/>
      <c r="I49" s="47"/>
      <c r="J49" s="47"/>
    </row>
    <row r="50" spans="2:10" ht="24" customHeight="1" outlineLevel="1">
      <c r="C50" s="56"/>
      <c r="D50" s="49"/>
      <c r="E50" s="66" t="s">
        <v>158</v>
      </c>
      <c r="F50" s="81"/>
      <c r="G50" s="47"/>
      <c r="H50" s="47"/>
      <c r="I50" s="47"/>
      <c r="J50" s="47"/>
    </row>
    <row r="51" spans="2:10" ht="15.75" outlineLevel="1">
      <c r="C51" s="56"/>
      <c r="D51" s="49"/>
      <c r="E51" s="47"/>
      <c r="F51" s="81"/>
      <c r="G51" s="47"/>
      <c r="H51" s="47"/>
      <c r="I51" s="47"/>
      <c r="J51" s="47"/>
    </row>
    <row r="52" spans="2:10" customFormat="1" ht="15.75">
      <c r="C52" s="82" t="s">
        <v>76</v>
      </c>
      <c r="D52" s="56"/>
      <c r="E52" s="66" t="s">
        <v>150</v>
      </c>
      <c r="F52" s="47"/>
      <c r="G52" s="82" t="s">
        <v>283</v>
      </c>
      <c r="H52" s="83"/>
      <c r="I52" s="66" t="s">
        <v>115</v>
      </c>
      <c r="J52" s="47"/>
    </row>
    <row r="53" spans="2:10" customFormat="1" ht="15.75">
      <c r="C53" s="84" t="s">
        <v>284</v>
      </c>
      <c r="D53" s="42"/>
      <c r="E53" s="54" t="s">
        <v>152</v>
      </c>
      <c r="F53" s="47"/>
      <c r="G53" s="85" t="s">
        <v>285</v>
      </c>
      <c r="H53" s="83"/>
      <c r="I53" s="66" t="s">
        <v>150</v>
      </c>
      <c r="J53" s="47"/>
    </row>
    <row r="54" spans="2:10" customFormat="1" ht="15.75">
      <c r="C54" s="56" t="s">
        <v>286</v>
      </c>
      <c r="D54" s="42"/>
      <c r="E54" s="54"/>
      <c r="F54" s="47"/>
      <c r="G54" s="85" t="s">
        <v>287</v>
      </c>
      <c r="H54" s="83"/>
      <c r="I54" s="66" t="s">
        <v>150</v>
      </c>
      <c r="J54" s="47"/>
    </row>
    <row r="55" spans="2:10" customFormat="1" ht="15.75">
      <c r="C55" s="85" t="s">
        <v>288</v>
      </c>
      <c r="D55" s="42"/>
      <c r="E55" s="54" t="s">
        <v>118</v>
      </c>
      <c r="F55" s="47"/>
      <c r="G55" s="85" t="s">
        <v>289</v>
      </c>
      <c r="H55" s="83"/>
      <c r="I55" s="66" t="s">
        <v>150</v>
      </c>
      <c r="J55" s="47"/>
    </row>
    <row r="56" spans="2:10" customFormat="1" ht="15.75">
      <c r="C56" s="84" t="s">
        <v>290</v>
      </c>
      <c r="D56" s="42"/>
      <c r="E56" s="54" t="s">
        <v>119</v>
      </c>
      <c r="F56" s="47"/>
      <c r="G56" s="85" t="s">
        <v>291</v>
      </c>
      <c r="H56" s="83"/>
      <c r="I56" s="66" t="s">
        <v>150</v>
      </c>
      <c r="J56" s="47"/>
    </row>
    <row r="57" spans="2:10" customFormat="1" ht="30">
      <c r="C57" s="84" t="s">
        <v>292</v>
      </c>
      <c r="D57" s="42"/>
      <c r="E57" s="54" t="s">
        <v>186</v>
      </c>
      <c r="F57" s="47"/>
      <c r="G57" s="85" t="s">
        <v>293</v>
      </c>
      <c r="H57" s="83"/>
      <c r="I57" s="66" t="s">
        <v>150</v>
      </c>
      <c r="J57" s="47"/>
    </row>
    <row r="58" spans="2:10" customFormat="1" ht="15.75">
      <c r="C58" s="84"/>
      <c r="D58" s="42"/>
      <c r="E58" s="42"/>
      <c r="F58" s="42"/>
      <c r="G58" s="85"/>
      <c r="H58" s="83"/>
      <c r="I58" s="86"/>
      <c r="J58" s="47"/>
    </row>
    <row r="59" spans="2:10" ht="21" customHeight="1">
      <c r="C59" s="58" t="s">
        <v>294</v>
      </c>
      <c r="D59" s="87"/>
      <c r="E59" s="54" t="s">
        <v>115</v>
      </c>
      <c r="F59" s="80"/>
      <c r="G59" s="47"/>
      <c r="H59" s="47"/>
      <c r="I59" s="47"/>
      <c r="J59" s="47"/>
    </row>
    <row r="60" spans="2:10" ht="21" customHeight="1">
      <c r="C60" s="49" t="s">
        <v>295</v>
      </c>
      <c r="D60" s="88"/>
      <c r="E60" s="63">
        <v>2000</v>
      </c>
      <c r="F60" s="47"/>
      <c r="G60" s="47"/>
      <c r="H60" s="47"/>
      <c r="I60" s="47"/>
      <c r="J60" s="47"/>
    </row>
    <row r="61" spans="2:10" ht="21" customHeight="1">
      <c r="C61" s="87"/>
      <c r="D61" s="87"/>
      <c r="E61" s="89"/>
      <c r="F61" s="47"/>
      <c r="G61" s="47"/>
      <c r="H61" s="47"/>
      <c r="I61" s="47"/>
      <c r="J61" s="47"/>
    </row>
    <row r="62" spans="2:10" ht="15.75">
      <c r="C62" s="61" t="s">
        <v>296</v>
      </c>
      <c r="D62" s="61"/>
      <c r="E62" s="58"/>
      <c r="F62" s="47"/>
      <c r="G62" s="47"/>
      <c r="H62" s="47"/>
      <c r="I62" s="47"/>
      <c r="J62" s="47"/>
    </row>
    <row r="63" spans="2:10" ht="45.6" customHeight="1">
      <c r="B63" s="1340"/>
      <c r="C63" s="1341"/>
      <c r="D63" s="1341"/>
      <c r="E63" s="1341"/>
      <c r="F63" s="1341"/>
      <c r="G63" s="1341"/>
      <c r="H63" s="1341"/>
      <c r="I63" s="1341"/>
      <c r="J63" s="47"/>
    </row>
    <row r="64" spans="2:10" ht="15.75">
      <c r="C64" s="49" t="s">
        <v>297</v>
      </c>
      <c r="D64" s="49"/>
      <c r="E64" s="59"/>
      <c r="F64" s="47"/>
      <c r="G64" s="47"/>
      <c r="H64" s="47"/>
      <c r="I64" s="47"/>
      <c r="J64" s="47"/>
    </row>
    <row r="65" spans="1:10" ht="14.45" customHeight="1">
      <c r="C65" s="49"/>
      <c r="D65" s="49"/>
      <c r="E65" s="59"/>
      <c r="I65" s="47"/>
      <c r="J65" s="47"/>
    </row>
    <row r="66" spans="1:10" ht="14.45" customHeight="1">
      <c r="C66" s="49" t="s">
        <v>298</v>
      </c>
      <c r="D66" s="49"/>
      <c r="E66" s="90"/>
      <c r="I66" s="47"/>
      <c r="J66" s="47"/>
    </row>
    <row r="67" spans="1:10" ht="14.45" customHeight="1">
      <c r="C67" s="49"/>
      <c r="D67" s="49"/>
      <c r="E67" s="59"/>
    </row>
    <row r="68" spans="1:10" ht="14.45" customHeight="1">
      <c r="C68" s="49"/>
      <c r="D68" s="49"/>
      <c r="E68" s="59"/>
    </row>
    <row r="69" spans="1:10" ht="14.45" customHeight="1">
      <c r="C69" s="68" t="s">
        <v>299</v>
      </c>
      <c r="D69" s="68"/>
      <c r="E69" s="59"/>
      <c r="F69" s="59" t="s">
        <v>300</v>
      </c>
      <c r="G69" s="47"/>
      <c r="H69" s="47"/>
      <c r="I69" s="47"/>
    </row>
    <row r="70" spans="1:10" ht="14.45" customHeight="1">
      <c r="A70" s="5"/>
      <c r="B70" s="5"/>
      <c r="C70" s="49"/>
      <c r="D70" s="49"/>
      <c r="E70" s="59"/>
      <c r="F70" s="59"/>
      <c r="G70" s="47"/>
      <c r="H70" s="47"/>
      <c r="I70" s="47"/>
    </row>
    <row r="71" spans="1:10" ht="14.45" customHeight="1">
      <c r="A71" s="5"/>
      <c r="B71" s="5"/>
      <c r="C71" s="68" t="s">
        <v>301</v>
      </c>
      <c r="D71" s="68"/>
      <c r="E71" s="59"/>
      <c r="F71" s="59" t="s">
        <v>300</v>
      </c>
      <c r="G71" s="47"/>
      <c r="H71" s="47"/>
      <c r="I71" s="47"/>
    </row>
  </sheetData>
  <mergeCells count="6">
    <mergeCell ref="B63:I63"/>
    <mergeCell ref="B1:I1"/>
    <mergeCell ref="C4:I4"/>
    <mergeCell ref="C23:D23"/>
    <mergeCell ref="C42:D42"/>
    <mergeCell ref="G42:H42"/>
  </mergeCells>
  <conditionalFormatting sqref="C23">
    <cfRule type="expression" dxfId="545" priority="23">
      <formula>$E$43="нет"</formula>
    </cfRule>
  </conditionalFormatting>
  <conditionalFormatting sqref="C28:C29">
    <cfRule type="expression" dxfId="543" priority="27">
      <formula>$E$42="нет"</formula>
    </cfRule>
  </conditionalFormatting>
  <conditionalFormatting sqref="C23:E23">
    <cfRule type="expression" dxfId="540" priority="25">
      <formula>#REF!="вертикальное"</formula>
    </cfRule>
  </conditionalFormatting>
  <conditionalFormatting sqref="C27:E27">
    <cfRule type="expression" dxfId="537" priority="29">
      <formula>$E$42="нет"</formula>
    </cfRule>
  </conditionalFormatting>
  <conditionalFormatting sqref="C27:E28">
    <cfRule type="expression" dxfId="536" priority="11">
      <formula>$E$26="нет"</formula>
    </cfRule>
  </conditionalFormatting>
  <conditionalFormatting sqref="C48:E51">
    <cfRule type="expression" dxfId="535" priority="1">
      <formula>$E$47="нет"</formula>
    </cfRule>
  </conditionalFormatting>
  <conditionalFormatting sqref="C53:E57">
    <cfRule type="expression" dxfId="534" priority="10">
      <formula>$E$52="нет"</formula>
    </cfRule>
  </conditionalFormatting>
  <conditionalFormatting sqref="C60:E60">
    <cfRule type="expression" dxfId="533" priority="8">
      <formula>$E$59="нет"</formula>
    </cfRule>
  </conditionalFormatting>
  <conditionalFormatting sqref="E23">
    <cfRule type="expression" dxfId="530" priority="22">
      <formula>$E$43="нет"</formula>
    </cfRule>
    <cfRule type="expression" dxfId="529" priority="26">
      <formula>$E$43="нет"</formula>
    </cfRule>
  </conditionalFormatting>
  <conditionalFormatting sqref="E50:E51">
    <cfRule type="expression" dxfId="527" priority="2">
      <formula>$E$49="нет"</formula>
    </cfRule>
  </conditionalFormatting>
  <conditionalFormatting sqref="G53:I57">
    <cfRule type="expression" dxfId="525" priority="9">
      <formula>$I$52="нет"</formula>
    </cfRule>
  </conditionalFormatting>
  <dataValidations count="12">
    <dataValidation type="list" allowBlank="1" showInputMessage="1" showErrorMessage="1" sqref="E50:E51" xr:uid="{003D00EF-0069-439D-A5D8-00C500690034}">
      <formula1>"Нет,Задвижка клиновая с обрезиненным клином,Задвижка шиберная,Задвижка шиберная с электроприводом,Задвижка клиновая с обрезиненным клином с электроприводом,Обратный клапан"</formula1>
    </dataValidation>
    <dataValidation type="list" allowBlank="1" showInputMessage="1" sqref="I41 E41" xr:uid="{00C900D1-00DF-4CEE-B67A-000200580031}">
      <formula1>Материал_трубы</formula1>
    </dataValidation>
    <dataValidation type="list" allowBlank="1" showInputMessage="1" sqref="E36" xr:uid="{00AD0089-00AB-40FF-9D91-00D9003500CA}">
      <formula1>"Хозяйственно-бытовые,Дождевые,Производственные"</formula1>
    </dataValidation>
    <dataValidation type="list" allowBlank="1" showInputMessage="1" showErrorMessage="1" sqref="C22" xr:uid="{00A300A3-0028-416F-A890-001C00EB00FC}">
      <formula1>"Склад,Производство"</formula1>
    </dataValidation>
    <dataValidation type="list" allowBlank="1" showInputMessage="1" sqref="E7" xr:uid="{0003006C-00A7-4AD2-8F27-00B800690091}">
      <formula1>"Распределительный,Колодец гашения напора,Поворотный,Перепадной,Ультрафиолетовый обеззараживатель,Пескоуловитель,Маслобензоотделитель,Сорбционный фильтр"</formula1>
    </dataValidation>
    <dataValidation type="list" allowBlank="1" showInputMessage="1" showErrorMessage="1" sqref="K41 I40:I41" xr:uid="{001800B7-00E9-474D-BE5A-0018006E0000}">
      <formula1>Материал_трубы</formula1>
    </dataValidation>
    <dataValidation type="list" allowBlank="1" showInputMessage="1" showErrorMessage="1" sqref="E31 E27 E19" xr:uid="{003800CB-0044-433C-AD6E-00BB0091001E}">
      <formula1>Диаметр</formula1>
    </dataValidation>
    <dataValidation type="list" allowBlank="1" showInputMessage="1" showErrorMessage="1" sqref="E21" xr:uid="{00A10042-0087-470F-A6F8-00E400E70030}">
      <formula1>Жесткость</formula1>
    </dataValidation>
    <dataValidation type="list" allowBlank="1" showInputMessage="1" showErrorMessage="1" sqref="E20" xr:uid="{00A200C6-003C-4CA2-806F-00D000FA00F0}">
      <formula1>Давление</formula1>
    </dataValidation>
    <dataValidation type="list" allowBlank="1" showInputMessage="1" showErrorMessage="1" sqref="E24 E26 E30 E47 E52 I52:I57 E59" xr:uid="{00E60010-0048-49C7-91DA-009000DE00AB}">
      <formula1>"Да,Нет"</formula1>
    </dataValidation>
    <dataValidation type="list" errorStyle="warning" allowBlank="1" showInputMessage="1" showErrorMessage="1" sqref="K43" xr:uid="{0040004E-00CF-4010-BA97-000400CB00D9}">
      <formula1>INDIRECT(SUBSTITUTE($E$41," ","_"))</formula1>
    </dataValidation>
    <dataValidation type="list" allowBlank="1" showInputMessage="1" sqref="E49:E51" xr:uid="{8614027B-27AB-46B5-A0A0-0E4F9708F10A}">
      <formula1>"Да,Нет"</formula1>
    </dataValidation>
  </dataValidations>
  <pageMargins left="0.7" right="0.7" top="0.75" bottom="0.75" header="0.3" footer="0.3"/>
  <pageSetup paperSize="9" scale="4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3" id="{00740067-0053-427B-9F40-007200A300CB}">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A69:I71</xm:sqref>
        </x14:conditionalFormatting>
        <x14:conditionalFormatting xmlns:xm="http://schemas.microsoft.com/office/excel/2006/main">
          <x14:cfRule type="expression" priority="34" id="{003A00E2-0099-4A3B-903A-008300D4003C}">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B1</xm:sqref>
        </x14:conditionalFormatting>
        <x14:conditionalFormatting xmlns:xm="http://schemas.microsoft.com/office/excel/2006/main">
          <x14:cfRule type="expression" priority="14" id="{00400022-00FA-4A63-9B2C-0011004400B9}">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B63</xm:sqref>
        </x14:conditionalFormatting>
        <x14:conditionalFormatting xmlns:xm="http://schemas.microsoft.com/office/excel/2006/main">
          <x14:cfRule type="expression" priority="37" id="{003400AE-0043-4A69-83DF-0087006A005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C18</xm:sqref>
        </x14:conditionalFormatting>
        <x14:conditionalFormatting xmlns:xm="http://schemas.microsoft.com/office/excel/2006/main">
          <x14:cfRule type="expression" priority="24" id="{00B000D7-00F6-4773-8082-008F002000E7}">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C23</xm:sqref>
        </x14:conditionalFormatting>
        <x14:conditionalFormatting xmlns:xm="http://schemas.microsoft.com/office/excel/2006/main">
          <x14:cfRule type="expression" priority="19" id="{00AD0040-00C4-4EF3-969B-00E2005A00CA}">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C26</xm:sqref>
        </x14:conditionalFormatting>
        <x14:conditionalFormatting xmlns:xm="http://schemas.microsoft.com/office/excel/2006/main">
          <x14:cfRule type="expression" priority="28" id="{00A400AC-0045-4C4B-A67F-00230051000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C28:C29</xm:sqref>
        </x14:conditionalFormatting>
        <x14:conditionalFormatting xmlns:xm="http://schemas.microsoft.com/office/excel/2006/main">
          <x14:cfRule type="expression" priority="17" id="{005E004D-00C6-4177-845C-0018003300B0}">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C30</xm:sqref>
        </x14:conditionalFormatting>
        <x14:conditionalFormatting xmlns:xm="http://schemas.microsoft.com/office/excel/2006/main">
          <x14:cfRule type="expression" priority="36" id="{009D000A-0097-42D2-B1FF-00C000DC00E6}">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C39</xm:sqref>
        </x14:conditionalFormatting>
        <x14:conditionalFormatting xmlns:xm="http://schemas.microsoft.com/office/excel/2006/main">
          <x14:cfRule type="expression" priority="12" id="{00B90092-00E2-4DB0-B835-00A200EC00F2}">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C47</xm:sqref>
        </x14:conditionalFormatting>
        <x14:conditionalFormatting xmlns:xm="http://schemas.microsoft.com/office/excel/2006/main">
          <x14:cfRule type="expression" priority="44" id="{00AB0023-00D1-49FB-95EA-002500B60033}">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C59</xm:sqref>
        </x14:conditionalFormatting>
        <x14:conditionalFormatting xmlns:xm="http://schemas.microsoft.com/office/excel/2006/main">
          <x14:cfRule type="expression" priority="4" id="{FF467E7B-AB3E-4315-8405-BD24691623E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C6:E11</xm:sqref>
        </x14:conditionalFormatting>
        <x14:conditionalFormatting xmlns:xm="http://schemas.microsoft.com/office/excel/2006/main">
          <x14:cfRule type="expression" priority="32" id="{0023005E-004C-4B31-A994-0042009A00E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C19:E19</xm:sqref>
        </x14:conditionalFormatting>
        <x14:conditionalFormatting xmlns:xm="http://schemas.microsoft.com/office/excel/2006/main">
          <x14:cfRule type="expression" priority="41" id="{001600A2-009B-4DE3-BC19-00090000003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C22:E22</xm:sqref>
        </x14:conditionalFormatting>
        <x14:conditionalFormatting xmlns:xm="http://schemas.microsoft.com/office/excel/2006/main">
          <x14:cfRule type="expression" priority="21" id="{009C00F8-00B8-4E98-8D45-009500C70051}">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C24:E24</xm:sqref>
        </x14:conditionalFormatting>
        <x14:conditionalFormatting xmlns:xm="http://schemas.microsoft.com/office/excel/2006/main">
          <x14:cfRule type="expression" priority="20" id="{00BD00DE-00F1-43CF-8674-001800BD00F4}">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C25:E25</xm:sqref>
        </x14:conditionalFormatting>
        <x14:conditionalFormatting xmlns:xm="http://schemas.microsoft.com/office/excel/2006/main">
          <x14:cfRule type="expression" priority="35" id="{00A600E0-00DC-466D-AB78-007E0021008B}">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C27:E27 E23 E47</xm:sqref>
        </x14:conditionalFormatting>
        <x14:conditionalFormatting xmlns:xm="http://schemas.microsoft.com/office/excel/2006/main">
          <x14:cfRule type="expression" priority="38" id="{00D600D6-0031-4185-A20A-008F00E900DD}">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C32:E38</xm:sqref>
        </x14:conditionalFormatting>
        <x14:conditionalFormatting xmlns:xm="http://schemas.microsoft.com/office/excel/2006/main">
          <x14:cfRule type="expression" priority="3" id="{011DEF09-F437-487E-B4C2-80080F02FB44}">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C49:E51</xm:sqref>
        </x14:conditionalFormatting>
        <x14:conditionalFormatting xmlns:xm="http://schemas.microsoft.com/office/excel/2006/main">
          <x14:cfRule type="expression" priority="31" id="{0018002C-001C-4B24-8FDE-0023006C00F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D26</xm:sqref>
        </x14:conditionalFormatting>
        <x14:conditionalFormatting xmlns:xm="http://schemas.microsoft.com/office/excel/2006/main">
          <x14:cfRule type="expression" priority="46" id="{00C10065-00ED-4236-8F53-000E004400D9}">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D28:E28 D29 K43</xm:sqref>
        </x14:conditionalFormatting>
        <x14:conditionalFormatting xmlns:xm="http://schemas.microsoft.com/office/excel/2006/main">
          <x14:cfRule type="expression" priority="18" id="{009D0021-005F-4EC0-AE4F-007E00E4000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D30:E30</xm:sqref>
        </x14:conditionalFormatting>
        <x14:conditionalFormatting xmlns:xm="http://schemas.microsoft.com/office/excel/2006/main">
          <x14:cfRule type="expression" priority="30" id="{00BC00DD-0096-49E3-9D7B-006900C700A0}">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E26</xm:sqref>
        </x14:conditionalFormatting>
        <x14:conditionalFormatting xmlns:xm="http://schemas.microsoft.com/office/excel/2006/main">
          <x14:cfRule type="expression" priority="16" id="{00E600D2-00CA-49D8-93B2-006400EB00DA}">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E29</xm:sqref>
        </x14:conditionalFormatting>
        <x14:conditionalFormatting xmlns:xm="http://schemas.microsoft.com/office/excel/2006/main">
          <x14:cfRule type="expression" priority="15" id="{00F8000C-0083-46AF-8E3C-0062005000A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F59</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xr:uid="{00000000-0002-0000-0300-000000000000}">
          <x14:formula1>
            <xm:f>Списки!$C$2:$C$3</xm:f>
          </x14:formula1>
          <xm:sqref>E53</xm:sqref>
        </x14:dataValidation>
        <x14:dataValidation type="list" allowBlank="1" showInputMessage="1" xr:uid="{00000000-0002-0000-0300-000001000000}">
          <x14:formula1>
            <xm:f>Списки!$D$2:$D$3</xm:f>
          </x14:formula1>
          <xm:sqref>E55</xm:sqref>
        </x14:dataValidation>
        <x14:dataValidation type="list" allowBlank="1" showInputMessage="1" xr:uid="{00000000-0002-0000-0300-000002000000}">
          <x14:formula1>
            <xm:f>Списки!$E$2:$E$4</xm:f>
          </x14:formula1>
          <xm:sqref>E56</xm:sqref>
        </x14:dataValidation>
        <x14:dataValidation type="list" allowBlank="1" showInputMessage="1" showErrorMessage="1" xr:uid="{00000000-0002-0000-0300-000003000000}">
          <x14:formula1>
            <xm:f>Списки!$F$2:$F$4</xm:f>
          </x14:formula1>
          <xm:sqref>E57</xm:sqref>
        </x14:dataValidation>
        <x14:dataValidation type="list" allowBlank="1" showInputMessage="1" showErrorMessage="1" xr:uid="{00000000-0002-0000-0300-000004000000}">
          <x14:formula1>
            <xm:f>Списки!$BH$2:$BH$4</xm:f>
          </x14:formula1>
          <xm:sqref>E33</xm:sqref>
        </x14:dataValidation>
        <x14:dataValidation type="list" allowBlank="1" showInputMessage="1" showErrorMessage="1" xr:uid="{00000000-0002-0000-0300-000005000000}">
          <x14:formula1>
            <xm:f>Списки!$BF$2:$BF$5</xm:f>
          </x14:formula1>
          <xm:sqref>E8:E11</xm:sqref>
        </x14:dataValidation>
        <x14:dataValidation type="list" allowBlank="1" showInputMessage="1" showErrorMessage="1" xr:uid="{00000000-0002-0000-0300-000006000000}">
          <x14:formula1>
            <xm:f>Списки!$B$2:$B$6</xm:f>
          </x14:formula1>
          <xm:sqref>E14</xm:sqref>
        </x14:dataValidation>
        <x14:dataValidation type="list" allowBlank="1" showInputMessage="1" showErrorMessage="1" xr:uid="{00000000-0002-0000-0300-000007000000}">
          <x14:formula1>
            <xm:f>'C:\Users\Кристина\Documents\Работа\НТТ\Новый калькулятор\от Инны\финальные варианты\[с новыми ОЛ Калькулятор емк оборуд от 09.08.21 (1).xlsx]Списки'!#REF!</xm:f>
          </x14:formula1>
          <xm:sqref>I58</xm:sqref>
        </x14:dataValidation>
        <x14:dataValidation type="list" allowBlank="1" showInputMessage="1" showErrorMessage="1" xr:uid="{00000000-0002-0000-0300-000008000000}">
          <x14:formula1>
            <xm:f>'C:\Users\Кристина\Documents\Работа\НТТ\Новый калькулятор\от Инны\тест\Продолжение теста\новый\работаем дальше\[Калькулятор по емкости v2.xlsx]Списки'!#REF!</xm:f>
          </x14:formula1>
          <xm:sqref>E61</xm:sqref>
        </x14:dataValidation>
        <x14:dataValidation type="list" showInputMessage="1" showErrorMessage="1" xr:uid="{00000000-0002-0000-0300-000009000000}">
          <x14:formula1>
            <xm:f>Списки!$H$2:$H$5</xm:f>
          </x14:formula1>
          <xm:sqref>E48</xm:sqref>
        </x14:dataValidation>
        <x14:dataValidation type="list" errorStyle="warning" allowBlank="1" showInputMessage="1" showErrorMessage="1" xr:uid="{E0BA0CAD-4BF9-487A-89AC-603EB8D02328}">
          <x14:formula1>
            <xm:f>Списки!$Y$2:$Y$29</xm:f>
          </x14:formula1>
          <xm:sqref>E43 I43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pageSetUpPr fitToPage="1"/>
  </sheetPr>
  <dimension ref="A1:Q271"/>
  <sheetViews>
    <sheetView showGridLines="0" zoomScaleNormal="100" workbookViewId="0">
      <pane ySplit="10" topLeftCell="A252" activePane="bottomLeft" state="frozen"/>
      <selection activeCell="E49" sqref="E49"/>
      <selection pane="bottomLeft" activeCell="O251" sqref="O251"/>
    </sheetView>
  </sheetViews>
  <sheetFormatPr defaultColWidth="18.7109375" defaultRowHeight="14.45" customHeight="1" outlineLevelRow="2"/>
  <cols>
    <col min="1" max="1" width="1.28515625" style="91" customWidth="1"/>
    <col min="2" max="2" width="4.140625" style="91" customWidth="1"/>
    <col min="3" max="3" width="29.7109375" style="91" customWidth="1"/>
    <col min="4" max="4" width="47.140625" style="91" customWidth="1"/>
    <col min="5" max="5" width="21.85546875" style="91" customWidth="1"/>
    <col min="6" max="6" width="8.42578125" style="91" customWidth="1"/>
    <col min="7" max="7" width="13.7109375" style="91" customWidth="1"/>
    <col min="8" max="8" width="12.5703125" style="91" customWidth="1"/>
    <col min="9" max="9" width="16.42578125" style="91" bestFit="1" customWidth="1"/>
    <col min="10" max="10" width="16" style="91" customWidth="1"/>
    <col min="11" max="11" width="16.140625" style="91" customWidth="1"/>
    <col min="12" max="12" width="10.5703125" style="91" customWidth="1"/>
    <col min="13" max="13" width="17.5703125" style="91" customWidth="1"/>
    <col min="14" max="14" width="21.140625" style="91" customWidth="1"/>
    <col min="15" max="15" width="43.85546875" style="91" customWidth="1"/>
    <col min="16" max="16" width="36.28515625" style="91" customWidth="1"/>
    <col min="17" max="17" width="30" style="91" customWidth="1"/>
    <col min="18" max="16384" width="18.7109375" style="91"/>
  </cols>
  <sheetData>
    <row r="1" spans="2:17" ht="24.6" customHeight="1">
      <c r="B1" s="93"/>
      <c r="C1" s="94" t="s">
        <v>146</v>
      </c>
      <c r="D1" s="95"/>
      <c r="E1" s="96"/>
      <c r="F1" s="97"/>
      <c r="G1" s="97"/>
      <c r="H1" s="98"/>
      <c r="I1" s="96"/>
      <c r="J1" s="97"/>
      <c r="K1" s="99"/>
      <c r="L1" s="96"/>
      <c r="M1" s="100" t="s">
        <v>1</v>
      </c>
      <c r="N1" s="92"/>
      <c r="O1" s="101"/>
      <c r="P1" s="102"/>
      <c r="Q1" s="102"/>
    </row>
    <row r="2" spans="2:17" ht="6.6" customHeight="1">
      <c r="B2" s="103"/>
      <c r="C2" s="103"/>
      <c r="D2" s="104"/>
      <c r="E2" s="104"/>
      <c r="F2" s="105"/>
      <c r="G2" s="105"/>
      <c r="H2" s="106"/>
      <c r="I2" s="104"/>
      <c r="J2" s="105"/>
      <c r="K2" s="107"/>
      <c r="L2" s="104"/>
      <c r="M2" s="104"/>
      <c r="N2" s="108"/>
      <c r="O2" s="109"/>
      <c r="P2" s="110"/>
      <c r="Q2" s="110"/>
    </row>
    <row r="3" spans="2:17" ht="48" customHeight="1">
      <c r="B3" s="111"/>
      <c r="C3" s="112" t="s">
        <v>302</v>
      </c>
      <c r="D3" s="113" t="s">
        <v>303</v>
      </c>
      <c r="E3" s="114"/>
      <c r="F3" s="115"/>
      <c r="G3" s="116" t="s">
        <v>304</v>
      </c>
      <c r="H3" s="116" t="s">
        <v>305</v>
      </c>
      <c r="I3" s="116" t="s">
        <v>256</v>
      </c>
      <c r="J3" s="116" t="s">
        <v>306</v>
      </c>
      <c r="K3" s="116" t="s">
        <v>307</v>
      </c>
      <c r="L3" s="116" t="s">
        <v>308</v>
      </c>
      <c r="M3" s="116" t="s">
        <v>309</v>
      </c>
      <c r="N3" s="117" t="s">
        <v>310</v>
      </c>
      <c r="O3" s="118"/>
      <c r="P3" s="119"/>
      <c r="Q3" s="119"/>
    </row>
    <row r="4" spans="2:17" ht="9" hidden="1" customHeight="1">
      <c r="B4" s="120"/>
      <c r="C4" s="121"/>
      <c r="G4" s="122"/>
      <c r="H4" s="123">
        <f>IF(H5&lt;3000,3000,IF(AND(H5&gt;7000),12000,CEILING(H5,500)))</f>
        <v>4000</v>
      </c>
      <c r="I4" s="124" t="str">
        <f>CONCATENATE(G5,"-b")</f>
        <v>2000-b</v>
      </c>
      <c r="J4" s="125"/>
      <c r="K4" s="125"/>
      <c r="L4" s="125"/>
      <c r="M4" s="122"/>
      <c r="O4" s="118"/>
      <c r="P4" s="119"/>
      <c r="Q4" s="119"/>
    </row>
    <row r="5" spans="2:17" ht="48.75" customHeight="1">
      <c r="B5" s="126"/>
      <c r="C5" s="127"/>
      <c r="D5" s="128" t="str">
        <f>"Заявка № "&amp;ОЛ_КОЛОДЦА!E6&amp;" "&amp;ОЛ_КОЛОДЦА!E13&amp;" "&amp;ОЛ_КОЛОДЦА!E15&amp;" "&amp;ОЛ_КОЛОДЦА!E16&amp;" "&amp;G5&amp;"х"&amp;H5&amp;"мм"</f>
        <v>Заявка № ОЛ/    2000х4000мм</v>
      </c>
      <c r="E5" s="129"/>
      <c r="F5" s="129"/>
      <c r="G5" s="130">
        <f>ОЛ_КОЛОДЦА!E19</f>
        <v>2000</v>
      </c>
      <c r="H5" s="131">
        <f>IF(ОЛ_КОЛОДЦА!E26="да",ОЛ_КОЛОДЦА!E25,ОЛ_КОЛОДЦА!E25+I5)</f>
        <v>4000</v>
      </c>
      <c r="I5" s="131">
        <f>ОЛ_КОЛОДЦА!E23</f>
        <v>300</v>
      </c>
      <c r="J5" s="130">
        <f>ОЛ_КОЛОДЦА!E43</f>
        <v>300</v>
      </c>
      <c r="K5" s="130">
        <f>ОЛ_КОЛОДЦА!E45</f>
        <v>1</v>
      </c>
      <c r="L5" s="130">
        <f>ОЛ_КОЛОДЦА!I43</f>
        <v>300</v>
      </c>
      <c r="M5" s="130">
        <f>ОЛ_КОЛОДЦА!I45</f>
        <v>2</v>
      </c>
      <c r="N5" s="132">
        <f>IF(ОЛ_КОЛОДЦА!E26="да",ОЛ_КОЛОДЦА!E28+I5,0)</f>
        <v>2100</v>
      </c>
      <c r="O5" s="133"/>
      <c r="P5" s="119"/>
      <c r="Q5" s="119"/>
    </row>
    <row r="6" spans="2:17" ht="19.5">
      <c r="B6" s="134"/>
      <c r="C6" s="135" t="s">
        <v>85</v>
      </c>
      <c r="D6" s="116" t="s">
        <v>311</v>
      </c>
      <c r="E6" s="116" t="s">
        <v>312</v>
      </c>
      <c r="F6" s="136" t="s">
        <v>313</v>
      </c>
      <c r="G6" s="137"/>
      <c r="H6" s="136" t="s">
        <v>314</v>
      </c>
      <c r="I6" s="137"/>
      <c r="J6" s="136" t="s">
        <v>315</v>
      </c>
      <c r="K6" s="137"/>
      <c r="L6" s="136" t="s">
        <v>316</v>
      </c>
      <c r="M6" s="137"/>
      <c r="N6" s="137" t="s">
        <v>317</v>
      </c>
      <c r="O6" s="118"/>
      <c r="P6" s="119"/>
      <c r="Q6" s="138"/>
    </row>
    <row r="7" spans="2:17" ht="15" hidden="1">
      <c r="B7" s="134"/>
      <c r="C7" s="139"/>
      <c r="D7" s="122"/>
      <c r="E7" s="122"/>
      <c r="F7" s="125">
        <f>IF(AND('Калькулятор колодца'!G8&gt;0.6,OR(CONCATENATE('Калькулятор колодца'!G5,'Калькулятор колодца'!I8)=CONCATENATE('Вес трубы, ПЭ трубы'!B51,'Вес трубы, ПЭ трубы'!C51),CONCATENATE('Калькулятор колодца'!G5,'Калькулятор колодца'!I8)=CONCATENATE('Вес трубы, ПЭ трубы'!B55,'Вес трубы, ПЭ трубы'!C55),CONCATENATE('Калькулятор колодца'!G5,'Калькулятор колодца'!I8)=CONCATENATE('Вес трубы, ПЭ трубы'!B57,'Вес трубы, ПЭ трубы'!C57))),1.6,IF(AND(G5=1300,OR(I8=5000,I8=10000),'Калькулятор колодца'!G8&lt;=0.4),0.4,IF(G8&lt;=0.6,0.6,1)))</f>
        <v>0.6</v>
      </c>
      <c r="G7" s="126"/>
      <c r="H7" s="125"/>
      <c r="I7" s="126"/>
      <c r="J7" s="140" t="s">
        <v>318</v>
      </c>
      <c r="K7" s="141" t="s">
        <v>319</v>
      </c>
      <c r="L7" s="140" t="s">
        <v>318</v>
      </c>
      <c r="M7" s="141" t="s">
        <v>319</v>
      </c>
      <c r="O7" s="118"/>
      <c r="P7" s="119"/>
      <c r="Q7" s="138"/>
    </row>
    <row r="8" spans="2:17" ht="15">
      <c r="B8" s="134"/>
      <c r="C8" s="142" t="s">
        <v>126</v>
      </c>
      <c r="D8" s="142" t="s">
        <v>127</v>
      </c>
      <c r="E8" s="143" t="s">
        <v>128</v>
      </c>
      <c r="F8" s="143"/>
      <c r="G8" s="144">
        <f>ОЛ_КОЛОДЦА!E20</f>
        <v>0.1</v>
      </c>
      <c r="H8" s="145"/>
      <c r="I8" s="130">
        <f>ОЛ_КОЛОДЦА!E21</f>
        <v>5000</v>
      </c>
      <c r="J8" s="145"/>
      <c r="K8" s="130">
        <f>IF(J5&gt;=200,_xlfn.CEILING.MATH(IF(J5&lt;100,J5,J5+100),100),_xlfn.CEILING.MATH(IF(J5&lt;100,J5,J5+100),50))</f>
        <v>400</v>
      </c>
      <c r="L8" s="145"/>
      <c r="M8" s="130">
        <f>IF(L5&gt;=200,_xlfn.CEILING.MATH(IF(L5&lt;100,L5,L5+100),100),_xlfn.CEILING.MATH(IF(L5&lt;100,L5,L5+100),50))</f>
        <v>400</v>
      </c>
      <c r="N8" s="131">
        <f>IF(ОЛ_КОЛОДЦА!E26="нет","0",ОЛ_КОЛОДЦА!E27)</f>
        <v>1200</v>
      </c>
      <c r="O8" s="118"/>
      <c r="P8" s="119"/>
      <c r="Q8" s="138"/>
    </row>
    <row r="9" spans="2:17" ht="14.1" customHeight="1">
      <c r="B9" s="146" t="s">
        <v>57</v>
      </c>
      <c r="C9" s="147" t="s">
        <v>320</v>
      </c>
      <c r="D9" s="148" t="s">
        <v>321</v>
      </c>
      <c r="E9" s="149"/>
      <c r="F9" s="150" t="s">
        <v>322</v>
      </c>
      <c r="G9" s="146" t="s">
        <v>323</v>
      </c>
      <c r="H9" s="148" t="s">
        <v>324</v>
      </c>
      <c r="I9" s="149"/>
      <c r="J9" s="146" t="s">
        <v>325</v>
      </c>
      <c r="K9" s="146" t="s">
        <v>88</v>
      </c>
      <c r="L9" s="148" t="s">
        <v>326</v>
      </c>
      <c r="M9" s="149"/>
      <c r="N9" s="147" t="s">
        <v>327</v>
      </c>
      <c r="O9" s="151" t="s">
        <v>328</v>
      </c>
      <c r="P9" s="151" t="s">
        <v>329</v>
      </c>
      <c r="Q9" s="151" t="s">
        <v>330</v>
      </c>
    </row>
    <row r="10" spans="2:17" ht="8.4499999999999993" customHeight="1">
      <c r="B10" s="152"/>
      <c r="C10" s="153"/>
      <c r="D10" s="154"/>
      <c r="E10" s="154"/>
      <c r="F10" s="155"/>
      <c r="G10" s="155"/>
      <c r="H10" s="156"/>
      <c r="I10" s="156"/>
      <c r="J10" s="155"/>
      <c r="K10" s="155"/>
      <c r="L10" s="156"/>
      <c r="M10" s="156"/>
      <c r="N10" s="155"/>
      <c r="O10" s="157"/>
      <c r="P10" s="158"/>
      <c r="Q10" s="158"/>
    </row>
    <row r="11" spans="2:17" ht="27.6" customHeight="1">
      <c r="B11" s="159">
        <v>1</v>
      </c>
      <c r="C11" s="160"/>
      <c r="D11" s="161" t="str">
        <f>CONCATENATE("Корпус колодца ",G5,"х",H5,"мм"," ","(где ",I5,"мм"," - подземная часть), в т.ч.:")</f>
        <v>Корпус колодца 2000х4000мм (где 300мм - подземная часть), в т.ч.:</v>
      </c>
      <c r="E11" s="162"/>
      <c r="F11" s="163"/>
      <c r="G11" s="164"/>
      <c r="H11" s="163"/>
      <c r="I11" s="165"/>
      <c r="J11" s="165"/>
      <c r="K11" s="166"/>
      <c r="L11" s="165"/>
      <c r="M11" s="165"/>
      <c r="N11" s="165"/>
      <c r="O11" s="167"/>
      <c r="P11" s="168"/>
      <c r="Q11" s="168"/>
    </row>
    <row r="12" spans="2:17" ht="15">
      <c r="B12" s="169" t="s">
        <v>331</v>
      </c>
      <c r="C12" s="170"/>
      <c r="D12" s="171" t="s">
        <v>332</v>
      </c>
      <c r="E12" s="171"/>
      <c r="F12" s="172"/>
      <c r="G12" s="173"/>
      <c r="H12" s="172"/>
      <c r="I12" s="174"/>
      <c r="J12" s="174"/>
      <c r="K12" s="175"/>
      <c r="L12" s="174"/>
      <c r="M12" s="174"/>
      <c r="N12" s="174"/>
      <c r="O12" s="167"/>
      <c r="P12" s="168"/>
      <c r="Q12" s="168"/>
    </row>
    <row r="13" spans="2:17" ht="19.5" customHeight="1">
      <c r="B13" s="169"/>
      <c r="C13" s="170"/>
      <c r="D13" s="171"/>
      <c r="E13" s="171"/>
      <c r="F13" s="172"/>
      <c r="G13" s="173"/>
      <c r="H13" s="172"/>
      <c r="I13" s="176" t="s">
        <v>333</v>
      </c>
      <c r="J13" s="177">
        <v>1</v>
      </c>
      <c r="K13" s="178" t="s">
        <v>129</v>
      </c>
      <c r="L13" s="174"/>
      <c r="M13" s="174"/>
      <c r="N13" s="174"/>
      <c r="O13" s="167"/>
      <c r="P13" s="168"/>
      <c r="Q13" s="168"/>
    </row>
    <row r="14" spans="2:17" ht="25.5" customHeight="1">
      <c r="B14" s="179"/>
      <c r="C14" s="180" t="s">
        <v>72</v>
      </c>
      <c r="D14" s="160" t="str">
        <f>IF(C8="","",CONCATENATE(C8," ",D8,"-",E8," ",G5,"-",G8,"-",I8))</f>
        <v>Труба СК/НПС-К 2000-0,1-5000</v>
      </c>
      <c r="E14" s="181" t="s">
        <v>134</v>
      </c>
      <c r="F14" s="182" t="str">
        <f>IF(E14=Списки!AI3,"Справочно","")</f>
        <v/>
      </c>
      <c r="G14" s="183">
        <f>IFERROR(I14*INDEX('Вес трубы, ПЭ трубы'!E:G,MATCH(CONCATENATE(G5&amp;";"&amp;F7&amp;";"&amp;I8),'Вес трубы, ПЭ трубы'!E:E,),3),"")</f>
        <v>1585.2</v>
      </c>
      <c r="H14" s="184"/>
      <c r="I14" s="185">
        <f>H5/1000</f>
        <v>4</v>
      </c>
      <c r="J14" s="186">
        <f>IF(H14="",I14,H14)</f>
        <v>4</v>
      </c>
      <c r="K14" s="178" t="s">
        <v>163</v>
      </c>
      <c r="L14" s="187">
        <v>1</v>
      </c>
      <c r="M14" s="188" t="str">
        <f>IFERROR(IF(L14&lt;&gt;"","",VLOOKUP(C14&amp;D14&amp;K14,НН!A:J,10,)),"")</f>
        <v/>
      </c>
      <c r="N14" s="189">
        <f t="shared" ref="N14:N15" si="0">IFERROR(IF(L14="",M14*J14,J14*L14),"")</f>
        <v>4</v>
      </c>
      <c r="O14" s="190"/>
      <c r="P14" s="168"/>
      <c r="Q14" s="168"/>
    </row>
    <row r="15" spans="2:17" ht="22.5" customHeight="1" collapsed="1">
      <c r="B15" s="179"/>
      <c r="C15" s="180" t="s">
        <v>72</v>
      </c>
      <c r="D15" s="180" t="s">
        <v>334</v>
      </c>
      <c r="E15" s="181"/>
      <c r="F15" s="191" t="str">
        <f t="array" ref="F15">IF(C15="","",IF(OR(C15=Списки!$AG$15:$AG$17),"нет","да"))</f>
        <v>нет</v>
      </c>
      <c r="G15" s="192"/>
      <c r="H15" s="184"/>
      <c r="I15" s="193">
        <f>$G$5/1300*J14</f>
        <v>6.1538461538461542</v>
      </c>
      <c r="J15" s="194">
        <f>ROUNDUP(IF($E$14=Списки!$AI$2,IF(H15="",I15,H15),0),1)</f>
        <v>6.1999999999999993</v>
      </c>
      <c r="K15" s="195" t="s">
        <v>212</v>
      </c>
      <c r="L15" s="196"/>
      <c r="M15" s="197">
        <f>IFERROR(IF(L15&lt;&gt;"","",VLOOKUP(C15&amp;D15&amp;K15,НН!A:J,10,)),"")</f>
        <v>1207.8</v>
      </c>
      <c r="N15" s="189">
        <f t="shared" si="0"/>
        <v>7488.3599999999988</v>
      </c>
      <c r="O15" s="190"/>
      <c r="P15" s="168"/>
      <c r="Q15" s="168"/>
    </row>
    <row r="16" spans="2:17" ht="23.25" hidden="1" customHeight="1" outlineLevel="1">
      <c r="B16" s="179"/>
      <c r="C16" s="180" t="s">
        <v>72</v>
      </c>
      <c r="D16" s="198" t="str">
        <f>IF(C8="","",CONCATENATE(C8," ",D8,"-",E8," ",G5,"-",G8,"-",I8))</f>
        <v>Труба СК/НПС-К 2000-0,1-5000</v>
      </c>
      <c r="E16" s="199"/>
      <c r="F16" s="191" t="s">
        <v>209</v>
      </c>
      <c r="G16" s="192" t="str">
        <f>IFERROR(I16*INDEX('Вес трубы, ПЭ трубы'!E:G,MATCH(CONCATENATE(#REF!&amp;";"&amp;F8&amp;";"&amp;#REF!),'Вес трубы, ПЭ трубы'!E:E,),3),"")</f>
        <v/>
      </c>
      <c r="H16" s="200"/>
      <c r="I16" s="193"/>
      <c r="J16" s="186">
        <f>IF($E$14=Списки!$AI$2,0,IF(H16="",I16,H16))</f>
        <v>0</v>
      </c>
      <c r="K16" s="195" t="s">
        <v>163</v>
      </c>
      <c r="L16" s="201"/>
      <c r="M16" s="197" t="str">
        <f>IFERROR(IF(L16&lt;&gt;"","",VLOOKUP(C16&amp;D16&amp;K16,НН!A:J,10,)),"")</f>
        <v/>
      </c>
      <c r="N16" s="202">
        <f>IFERROR(IF(L16="",SUM(#REF!),J16*L16),0)</f>
        <v>0</v>
      </c>
      <c r="O16" s="167"/>
      <c r="P16" s="168"/>
      <c r="Q16" s="168"/>
    </row>
    <row r="17" spans="2:15" ht="23.25" hidden="1" customHeight="1" outlineLevel="1">
      <c r="B17" s="179"/>
      <c r="C17" s="180" t="s">
        <v>72</v>
      </c>
      <c r="D17" s="198" t="s">
        <v>334</v>
      </c>
      <c r="E17" s="199"/>
      <c r="F17" s="191" t="str">
        <f t="array" ref="F17">IF(C17="","",IF(OR(C17=Списки!$AG$15:$AG$17),"нет","да"))</f>
        <v>нет</v>
      </c>
      <c r="G17" s="192"/>
      <c r="H17" s="200"/>
      <c r="I17" s="193">
        <f>$G$5/1300*J16</f>
        <v>0</v>
      </c>
      <c r="J17" s="194">
        <f>ROUNDUP(IF(H17="",I17,H17),1)</f>
        <v>0</v>
      </c>
      <c r="K17" s="195" t="s">
        <v>212</v>
      </c>
      <c r="L17" s="196"/>
      <c r="M17" s="197">
        <f>IFERROR(IF(L17&lt;&gt;"","",VLOOKUP(C17&amp;D17&amp;K17,НН!A:J,10,)),"")</f>
        <v>1207.8</v>
      </c>
      <c r="N17" s="202">
        <f>IFERROR(IF(L17="",M17*J17,J17*L17),"")</f>
        <v>0</v>
      </c>
      <c r="O17" s="167"/>
    </row>
    <row r="18" spans="2:15" ht="19.5" hidden="1" customHeight="1" outlineLevel="1">
      <c r="B18" s="179"/>
      <c r="C18" s="180" t="s">
        <v>72</v>
      </c>
      <c r="D18" s="198" t="str">
        <f>IF(C8="","",CONCATENATE(C8," ",D8,"-",E8," ",G5,"-",G8,"-",I8))</f>
        <v>Труба СК/НПС-К 2000-0,1-5000</v>
      </c>
      <c r="E18" s="199"/>
      <c r="F18" s="191" t="s">
        <v>209</v>
      </c>
      <c r="G18" s="192"/>
      <c r="H18" s="200"/>
      <c r="I18" s="193"/>
      <c r="J18" s="186">
        <f>IF($E$14=Списки!$AI$2,0,IF(H18="",I18,H18))</f>
        <v>0</v>
      </c>
      <c r="K18" s="195" t="s">
        <v>163</v>
      </c>
      <c r="L18" s="201"/>
      <c r="M18" s="197" t="str">
        <f>IFERROR(IF(L18&lt;&gt;"","",VLOOKUP(C18&amp;D18&amp;K18,НН!A:J,10,)),"")</f>
        <v/>
      </c>
      <c r="N18" s="202">
        <f>IFERROR(IF(L18="",SUM(#REF!),J18*L18),0)</f>
        <v>0</v>
      </c>
      <c r="O18" s="167"/>
    </row>
    <row r="19" spans="2:15" ht="19.5" hidden="1" customHeight="1" outlineLevel="1">
      <c r="B19" s="179"/>
      <c r="C19" s="180" t="s">
        <v>72</v>
      </c>
      <c r="D19" s="198" t="s">
        <v>334</v>
      </c>
      <c r="E19" s="199"/>
      <c r="F19" s="191" t="str">
        <f t="array" ref="F19">IF(C19="","",IF(OR(C19=Списки!$AG$15:$AG$17),"нет","да"))</f>
        <v>нет</v>
      </c>
      <c r="G19" s="192"/>
      <c r="H19" s="200"/>
      <c r="I19" s="193">
        <f>$G$5/1300*J18</f>
        <v>0</v>
      </c>
      <c r="J19" s="194">
        <f>ROUNDUP(IF(H19="",I19,H19),1)</f>
        <v>0</v>
      </c>
      <c r="K19" s="195" t="s">
        <v>212</v>
      </c>
      <c r="L19" s="196"/>
      <c r="M19" s="197">
        <f>IFERROR(IF(L19&lt;&gt;"","",VLOOKUP(C19&amp;D19&amp;K19,НН!A:J,10,)),"")</f>
        <v>1207.8</v>
      </c>
      <c r="N19" s="202">
        <f>IFERROR(IF(L19="",M19*J19,J19*L19),"")</f>
        <v>0</v>
      </c>
      <c r="O19" s="167"/>
    </row>
    <row r="20" spans="2:15" ht="21.75" hidden="1" customHeight="1" outlineLevel="1">
      <c r="B20" s="179"/>
      <c r="C20" s="180" t="s">
        <v>72</v>
      </c>
      <c r="D20" s="198" t="str">
        <f>IF(C8="","",CONCATENATE("Муфта-1 ",D8,"-",E8," ",G5,"-",1))</f>
        <v>Муфта-1 СК/НПС-К 2000-1</v>
      </c>
      <c r="E20" s="199"/>
      <c r="F20" s="191" t="s">
        <v>209</v>
      </c>
      <c r="G20" s="192"/>
      <c r="H20" s="203">
        <v>1</v>
      </c>
      <c r="I20" s="193"/>
      <c r="J20" s="186">
        <f>IF($E$14=Списки!$AI$2,0,IF(H20="",I20,H20))</f>
        <v>0</v>
      </c>
      <c r="K20" s="195" t="s">
        <v>129</v>
      </c>
      <c r="L20" s="201"/>
      <c r="M20" s="197" t="str">
        <f>IFERROR(IF(L20&lt;&gt;"","",VLOOKUP(C20&amp;D20&amp;K20,НН!A:J,10,)),"")</f>
        <v/>
      </c>
      <c r="N20" s="202">
        <f>IFERROR(IF(L20="",M20*J20,J20*L20),0)</f>
        <v>0</v>
      </c>
      <c r="O20" s="167"/>
    </row>
    <row r="21" spans="2:15" ht="15">
      <c r="B21" s="179"/>
      <c r="C21" s="180" t="s">
        <v>72</v>
      </c>
      <c r="D21" s="180" t="str">
        <f>IF(C43="да","Механическое формованное дно","Механическая формовка плоского днища")</f>
        <v>Механическое формованное дно</v>
      </c>
      <c r="E21" s="199"/>
      <c r="F21" s="191" t="str">
        <f t="array" ref="F21">IF(C21="","",IF(OR(C21=Списки!$AG$15:$AG$17),"нет","да"))</f>
        <v>нет</v>
      </c>
      <c r="G21" s="204"/>
      <c r="H21" s="205"/>
      <c r="I21" s="206">
        <f>((PI()*(($G$5+300)/(1000*2))^2)*0.01*1850)+(((G5/1000)^2*PI()*0.008*1850)/4)</f>
        <v>123.35856253402019</v>
      </c>
      <c r="J21" s="186">
        <f>IF(H21="",I21,H21)</f>
        <v>123.35856253402019</v>
      </c>
      <c r="K21" s="178" t="s">
        <v>193</v>
      </c>
      <c r="L21" s="207"/>
      <c r="M21" s="188">
        <f>IFERROR(IF(L21&lt;&gt;"","",VLOOKUP(C21&amp;D21&amp;K21,НН!A:J,10,)),"")</f>
        <v>214.4</v>
      </c>
      <c r="N21" s="202">
        <f t="shared" ref="N21:N24" si="1">IFERROR(IF(L21="",M21*J21,J21*L21),"")</f>
        <v>26448.075807293932</v>
      </c>
      <c r="O21" s="167"/>
    </row>
    <row r="22" spans="2:15" ht="15">
      <c r="B22" s="179"/>
      <c r="C22" s="180" t="s">
        <v>238</v>
      </c>
      <c r="D22" s="208" t="s">
        <v>238</v>
      </c>
      <c r="E22" s="209"/>
      <c r="F22" s="191" t="str">
        <f t="array" ref="F22">IF(C22="","",IF(OR(C22=Списки!$AG$15:$AG$17),"нет","да"))</f>
        <v>нет</v>
      </c>
      <c r="G22" s="204"/>
      <c r="H22" s="210"/>
      <c r="I22" s="206">
        <f>IF(COUNTIF(D21,"*мех*")=1,0.28,IF(COUNTIF(D21,"*ламин*")=1,0.56,1))</f>
        <v>0.28000000000000003</v>
      </c>
      <c r="J22" s="194">
        <f>ROUNDUP(IF(H22="",IFERROR(J21*I22,""),H22),1)</f>
        <v>34.6</v>
      </c>
      <c r="K22" s="178" t="s">
        <v>212</v>
      </c>
      <c r="L22" s="196"/>
      <c r="M22" s="188">
        <f>IFERROR(IF(L22&lt;&gt;"","",VLOOKUP(C22&amp;D22&amp;K22,НН!A:J,10,)),"")</f>
        <v>1207.8</v>
      </c>
      <c r="N22" s="202">
        <f t="shared" si="1"/>
        <v>41789.879999999997</v>
      </c>
      <c r="O22" s="167"/>
    </row>
    <row r="23" spans="2:15" ht="15">
      <c r="B23" s="179"/>
      <c r="C23" s="180" t="s">
        <v>72</v>
      </c>
      <c r="D23" s="208" t="str">
        <f>IF(C43="да","Ламинирование дна к фальшполу","Ламинирование плоского днища")</f>
        <v>Ламинирование дна к фальшполу</v>
      </c>
      <c r="E23" s="211"/>
      <c r="F23" s="212" t="str">
        <f t="array" ref="F23">IF(C23="","",IF(OR(C23=Списки!$AG$15:$AG$17),"нет","да"))</f>
        <v>нет</v>
      </c>
      <c r="G23" s="204"/>
      <c r="H23" s="210"/>
      <c r="I23" s="213">
        <f>IF(H23="",IFERROR(IF(H21="",J21,H21)*3/10,""),"")</f>
        <v>37.007568760206063</v>
      </c>
      <c r="J23" s="186">
        <f>IF(H23="",I23,H23)</f>
        <v>37.007568760206063</v>
      </c>
      <c r="K23" s="178" t="s">
        <v>193</v>
      </c>
      <c r="L23" s="196"/>
      <c r="M23" s="188">
        <f>IFERROR(IF(L23&lt;&gt;"","",VLOOKUP(C23&amp;D23&amp;K23,НН!A:J,10,)),"")</f>
        <v>310.2</v>
      </c>
      <c r="N23" s="202">
        <f t="shared" si="1"/>
        <v>11479.747829415921</v>
      </c>
      <c r="O23" s="214"/>
    </row>
    <row r="24" spans="2:15" ht="15">
      <c r="B24" s="179"/>
      <c r="C24" s="180" t="s">
        <v>238</v>
      </c>
      <c r="D24" s="208" t="s">
        <v>238</v>
      </c>
      <c r="E24" s="211"/>
      <c r="F24" s="212" t="str">
        <f t="array" ref="F24">IF(C24="","",IF(OR(C24=Списки!$AG$15:$AG$17),"нет","да"))</f>
        <v>нет</v>
      </c>
      <c r="G24" s="204"/>
      <c r="H24" s="210"/>
      <c r="I24" s="193">
        <f>IF(COUNTIF(D23,"*мех*")=1,0.28,IF(COUNTIF(D23,"*ламин*")=1,0.56,1))</f>
        <v>0.56000000000000005</v>
      </c>
      <c r="J24" s="194">
        <f>ROUNDUP(IF(H24="",IFERROR(J23*I24,""),H24),1)</f>
        <v>20.8</v>
      </c>
      <c r="K24" s="178" t="s">
        <v>212</v>
      </c>
      <c r="L24" s="196"/>
      <c r="M24" s="188">
        <f>IFERROR(IF(L24&lt;&gt;"","",VLOOKUP(C24&amp;D24&amp;K24,НН!A:J,10,)),"")</f>
        <v>1207.8</v>
      </c>
      <c r="N24" s="202">
        <f t="shared" si="1"/>
        <v>25122.240000000002</v>
      </c>
      <c r="O24" s="167"/>
    </row>
    <row r="25" spans="2:15" ht="21.75" customHeight="1">
      <c r="B25" s="179"/>
      <c r="C25" s="180"/>
      <c r="D25" s="161" t="s">
        <v>335</v>
      </c>
      <c r="E25" s="211"/>
      <c r="F25" s="215"/>
      <c r="G25" s="216"/>
      <c r="H25" s="217"/>
      <c r="I25" s="218"/>
      <c r="J25" s="219"/>
      <c r="K25" s="220"/>
      <c r="L25" s="221"/>
      <c r="M25" s="222"/>
      <c r="N25" s="223"/>
      <c r="O25" s="167"/>
    </row>
    <row r="26" spans="2:15" ht="27" customHeight="1" outlineLevel="1">
      <c r="B26" s="179"/>
      <c r="C26" s="180" t="s">
        <v>72</v>
      </c>
      <c r="D26" s="180" t="str">
        <f>IF('Калькулятор колодца'!E41="Труба стеклокомпозитная","Муфта-2 СК/НПС-К "&amp;J$5&amp;"-1",IF(ОЛ_КОЛОДЦА!E41=Списки!L$8,IF(J$5&gt;=300,"Труба СК/НПС-К "&amp;K$8&amp;"-0,1-2500","Ручная формовка патрубка"),IF(J$5&gt;=200,"Труба СК/НПС-К "&amp;_xlfn.CEILING.MATH(IF(J$8="",K$8,J$8),50)&amp;"-0,1-2500","Ручная формовка патрубка")))</f>
        <v>Труба СК/НПС-К 400-0,1-2500</v>
      </c>
      <c r="E26" s="224" t="str">
        <f>IF('Калькулятор колодца'!E41="Труба стеклокомпозитная","Муфта-2 СК/НПС-К "&amp;J$5&amp;"-1","Стеклокомпозитная гильза Ø"&amp;K$8)</f>
        <v>Стеклокомпозитная гильза Ø400</v>
      </c>
      <c r="F26" s="212" t="str">
        <f t="array" ref="F26">IF(C26="","",IF(OR(C26=Списки!$AG$15:$AG$17),"нет","да"))</f>
        <v>нет</v>
      </c>
      <c r="G26" s="204"/>
      <c r="H26" s="184"/>
      <c r="I26" s="225"/>
      <c r="J26" s="186">
        <f>IFERROR(IF(SEARCH("*гильза*",E26)=1,0.5*$K$5),VLOOKUP(IF(J8="",K8,J8),'Для расчетов'!$A$36:$F$60,4,)*$K$5)</f>
        <v>0.5</v>
      </c>
      <c r="K26" s="178" t="str">
        <f>IFERROR(IF(SEARCH("*труба*",D26)=1,"м"),"кг")</f>
        <v>м</v>
      </c>
      <c r="L26" s="1218" t="str">
        <f>IFERROR(IF(SEARCH("м",K26)=1,"1.00"),"")</f>
        <v>1.00</v>
      </c>
      <c r="M26" s="188" t="str">
        <f>IFERROR(IF(L26&lt;&gt;"","",VLOOKUP(C26&amp;D26&amp;K26,НН!A:J,10,)),"")</f>
        <v/>
      </c>
      <c r="N26" s="202">
        <f>IFERROR(IF(L26="",M26*J26,J26*L26),0)</f>
        <v>0</v>
      </c>
      <c r="O26" s="214"/>
    </row>
    <row r="27" spans="2:15" ht="18" customHeight="1" outlineLevel="1">
      <c r="B27" s="957"/>
      <c r="C27" s="180" t="s">
        <v>72</v>
      </c>
      <c r="D27" s="208" t="s">
        <v>334</v>
      </c>
      <c r="E27" s="224"/>
      <c r="F27" s="1022"/>
      <c r="G27" s="1023"/>
      <c r="H27" s="184"/>
      <c r="I27" s="225">
        <f>K8/1300*J26</f>
        <v>0.15384615384615385</v>
      </c>
      <c r="J27" s="1291">
        <f>IF(COUNTIF(D26,"*труба*")=1,K8/1300*J26,0)</f>
        <v>0.15384615384615385</v>
      </c>
      <c r="K27" s="178" t="s">
        <v>212</v>
      </c>
      <c r="L27" s="1319"/>
      <c r="M27" s="1011">
        <f>IFERROR(IF(L27&lt;&gt;"","",VLOOKUP(C27&amp;D27&amp;K27,НН!A:J,10,)),"")</f>
        <v>1207.8</v>
      </c>
      <c r="N27" s="202">
        <f>IFERROR(IF(L27="",M27*J27,J27*L27),"")</f>
        <v>185.81538461538463</v>
      </c>
      <c r="O27" s="214"/>
    </row>
    <row r="28" spans="2:15" ht="15" outlineLevel="1">
      <c r="B28" s="179"/>
      <c r="C28" s="180" t="s">
        <v>72</v>
      </c>
      <c r="D28" s="180" t="str">
        <f>IFERROR(IF(SEARCH("*муфта*",E26)=1,"Ламинирование проходной муфты к корпусу"),"Ламинирование патрубка к корпусу")</f>
        <v>Ламинирование патрубка к корпусу</v>
      </c>
      <c r="E28" s="224"/>
      <c r="F28" s="212" t="str">
        <f t="array" ref="F28">IF(C28="","",IF(OR(C28=Списки!$AG$15:$AG$17),"нет","да"))</f>
        <v>нет</v>
      </c>
      <c r="G28" s="204"/>
      <c r="H28" s="184"/>
      <c r="I28" s="225"/>
      <c r="J28" s="186">
        <f>IF(OR(ОЛ_КОЛОДЦА!$E$43="",ОЛ_КОЛОДЦА!$E$45=""),0,IFERROR(IF(SEARCH("*муфта*",E26)=1,VLOOKUP(IF(J8="",K8,J8),'Для расчетов'!$A$36:$F$60,4,)*3/10*$K$5),VLOOKUP(IF(J8="",K8,J8),'Для расчетов'!$A$36:$F$60,4,)*$K$5*3/10))</f>
        <v>0.33</v>
      </c>
      <c r="K28" s="178" t="s">
        <v>193</v>
      </c>
      <c r="L28" s="196"/>
      <c r="M28" s="188">
        <f>IFERROR(IF(L28&lt;&gt;"","",VLOOKUP(C28&amp;D28&amp;K28,НН!A:J,10,)),"")</f>
        <v>310.2</v>
      </c>
      <c r="N28" s="202">
        <f t="shared" ref="N28:N29" si="2">IFERROR(IF(L28="",M28*J28,J28*L28),"")</f>
        <v>102.366</v>
      </c>
      <c r="O28" s="167"/>
    </row>
    <row r="29" spans="2:15" ht="24" outlineLevel="1">
      <c r="B29" s="179"/>
      <c r="C29" s="180" t="s">
        <v>238</v>
      </c>
      <c r="D29" s="208" t="s">
        <v>238</v>
      </c>
      <c r="E29" s="211"/>
      <c r="F29" s="212" t="str">
        <f t="array" ref="F29">IF(C29="","",IF(OR(C29=Списки!$AG$15:$AG$17),"нет","да"))</f>
        <v>нет</v>
      </c>
      <c r="G29" s="204"/>
      <c r="H29" s="210"/>
      <c r="I29" s="193">
        <f>IF(COUNTIF(D28,"*мех*")=1,0.28,IF(COUNTIF(D28,"*ламин*")=1,1))</f>
        <v>1</v>
      </c>
      <c r="J29" s="194">
        <f>ROUNDUP(IF(OR(ОЛ_КОЛОДЦА!$E$43="",ОЛ_КОЛОДЦА!$E$45=""),0,IF(H29="",IFERROR(J28*I29,""),H29)),1)</f>
        <v>0.4</v>
      </c>
      <c r="K29" s="178" t="s">
        <v>212</v>
      </c>
      <c r="L29" s="196"/>
      <c r="M29" s="188">
        <f>IFERROR(IF(L29&lt;&gt;"","",VLOOKUP(C29&amp;D29&amp;K29,НН!A:J,10,)),"")</f>
        <v>1207.8</v>
      </c>
      <c r="N29" s="202">
        <f t="shared" si="2"/>
        <v>483.12</v>
      </c>
      <c r="O29" s="167" t="s">
        <v>336</v>
      </c>
    </row>
    <row r="30" spans="2:15" ht="21.75" customHeight="1">
      <c r="B30" s="179"/>
      <c r="C30" s="180"/>
      <c r="D30" s="161" t="s">
        <v>337</v>
      </c>
      <c r="E30" s="211"/>
      <c r="F30" s="215"/>
      <c r="G30" s="216"/>
      <c r="H30" s="227"/>
      <c r="I30" s="218"/>
      <c r="J30" s="219"/>
      <c r="K30" s="220"/>
      <c r="L30" s="221"/>
      <c r="M30" s="222"/>
      <c r="N30" s="223"/>
      <c r="O30" s="167"/>
    </row>
    <row r="31" spans="2:15" ht="36" customHeight="1" outlineLevel="1">
      <c r="B31" s="179"/>
      <c r="C31" s="180" t="s">
        <v>72</v>
      </c>
      <c r="D31" s="180" t="str">
        <f>IF(ОЛ_КОЛОДЦА!I41=Списки!L$8,IF(L$5&gt;=300,"Труба СК/НПС-К "&amp;M$8&amp;"-0,1-2500","Ручная формовка патрубка"),IF(L$5&gt;=200,"Труба СК/НПС-К "&amp;_xlfn.CEILING.MATH(IF(L$8="",M$8,L$8),50)&amp;"-0,1-2500","Ручная формовка патрубка"))</f>
        <v>Труба СК/НПС-К 400-0,1-2500</v>
      </c>
      <c r="E31" s="224" t="str">
        <f>IF(ОЛ_КОЛОДЦА!I41="Труба стеклокомпозитная","Муфта-2 СК/НПС-К "&amp;L$5&amp;"-1","Стеклокомпозитная гильза Ø"&amp;M$8)</f>
        <v>Стеклокомпозитная гильза Ø400</v>
      </c>
      <c r="F31" s="212" t="str">
        <f t="array" ref="F31">IF(C31="","",IF(OR(C31=Списки!$AG$15:$AG$17),"нет","да"))</f>
        <v>нет</v>
      </c>
      <c r="G31" s="204"/>
      <c r="H31" s="184"/>
      <c r="I31" s="225"/>
      <c r="J31" s="186">
        <f>IFERROR(IF(SEARCH("*гильза*",E31)=1,0.5*$M$5),VLOOKUP(IF(L8="",M8,L8),'Для расчетов'!$A$36:$F$60,4,)*$M$5)</f>
        <v>1</v>
      </c>
      <c r="K31" s="178" t="str">
        <f>IFERROR(IF(SEARCH("*труба*",D31)=1,"м"),"кг")</f>
        <v>м</v>
      </c>
      <c r="L31" s="1218" t="str">
        <f>IFERROR(IF(SEARCH("м",K31)=1,"1.00"),"")</f>
        <v>1.00</v>
      </c>
      <c r="M31" s="188" t="str">
        <f>IFERROR(IF(L31&lt;&gt;"","",VLOOKUP(C31&amp;D31&amp;K31,НН!A:J,10,)),"")</f>
        <v/>
      </c>
      <c r="N31" s="202">
        <f>IFERROR(IF(L31="",M31*J31,J31*L31),0)</f>
        <v>0</v>
      </c>
      <c r="O31" s="167"/>
    </row>
    <row r="32" spans="2:15" ht="16.5" customHeight="1" outlineLevel="1">
      <c r="B32" s="179"/>
      <c r="C32" s="180" t="s">
        <v>72</v>
      </c>
      <c r="D32" s="180" t="s">
        <v>334</v>
      </c>
      <c r="E32" s="224"/>
      <c r="F32" s="212" t="str">
        <f t="array" ref="F32">IF(C32="","",IF(OR(C32=Списки!$AG$15:$AG$17),"нет","да"))</f>
        <v>нет</v>
      </c>
      <c r="G32" s="204"/>
      <c r="H32" s="184"/>
      <c r="I32" s="225">
        <f>M8/1300*J31</f>
        <v>0.30769230769230771</v>
      </c>
      <c r="J32" s="194">
        <f>IF(COUNTIF(D31,"*труба*")=1,M8/1300*J31,0)</f>
        <v>0.30769230769230771</v>
      </c>
      <c r="K32" s="178" t="s">
        <v>212</v>
      </c>
      <c r="L32" s="196"/>
      <c r="M32" s="188">
        <f>IFERROR(IF(L32&lt;&gt;"","",VLOOKUP(C32&amp;D32&amp;K32,НН!A:J,10,)),"")</f>
        <v>1207.8</v>
      </c>
      <c r="N32" s="202">
        <f t="shared" ref="N32:N34" si="3">IFERROR(IF(L32="",M32*J32,J32*L32),"")</f>
        <v>371.63076923076926</v>
      </c>
      <c r="O32" s="167"/>
    </row>
    <row r="33" spans="2:15" ht="21" customHeight="1" outlineLevel="1">
      <c r="B33" s="179"/>
      <c r="C33" s="180" t="s">
        <v>72</v>
      </c>
      <c r="D33" s="180" t="str">
        <f>IFERROR(IF(SEARCH("*муфта*",E31)=1,"Ламинирование проходной муфты к корпусу"),"Ламинирование патрубка к корпусу")</f>
        <v>Ламинирование патрубка к корпусу</v>
      </c>
      <c r="E33" s="224"/>
      <c r="F33" s="212" t="str">
        <f t="array" ref="F33">IF(C33="","",IF(OR(C33=Списки!$AG$15:$AG$17),"нет","да"))</f>
        <v>нет</v>
      </c>
      <c r="G33" s="204"/>
      <c r="H33" s="184"/>
      <c r="I33" s="225"/>
      <c r="J33" s="186">
        <f>IF(OR(ОЛ_КОЛОДЦА!$I$43="",ОЛ_КОЛОДЦА!$I$45=""),0,IFERROR(IF(SEARCH("*муфта*",E31)=1,VLOOKUP(IF(J8="",K8,J8),'Для расчетов'!$A$36:$F$60,4,)*3/10*$M$5),VLOOKUP(IF(J8="",K8,J8),'Для расчетов'!$A$36:$F$60,4,)*$M$5*3/10))</f>
        <v>0.66</v>
      </c>
      <c r="K33" s="178" t="s">
        <v>193</v>
      </c>
      <c r="L33" s="196"/>
      <c r="M33" s="188">
        <f>IFERROR(IF(L33&lt;&gt;"","",VLOOKUP(C33&amp;D33&amp;K33,НН!A:J,10,)),"")</f>
        <v>310.2</v>
      </c>
      <c r="N33" s="202">
        <f t="shared" si="3"/>
        <v>204.732</v>
      </c>
      <c r="O33" s="167"/>
    </row>
    <row r="34" spans="2:15" ht="24" outlineLevel="1">
      <c r="B34" s="179"/>
      <c r="C34" s="180" t="s">
        <v>238</v>
      </c>
      <c r="D34" s="208" t="s">
        <v>238</v>
      </c>
      <c r="E34" s="211"/>
      <c r="F34" s="212" t="str">
        <f t="array" ref="F34">IF(C34="","",IF(OR(C34=Списки!$AG$15:$AG$17),"нет","да"))</f>
        <v>нет</v>
      </c>
      <c r="G34" s="204"/>
      <c r="H34" s="184"/>
      <c r="I34" s="193">
        <f>IF(COUNTIF(D33,"*мех*")=1,0.28,IF(COUNTIF(D33,"*ламин*")=1,1))</f>
        <v>1</v>
      </c>
      <c r="J34" s="194">
        <f>ROUNDUP(IF(OR(ОЛ_КОЛОДЦА!$I$43="",ОЛ_КОЛОДЦА!$I$45=""),0,IF(H34="",IFERROR(J33*I34,""),H34)),1)</f>
        <v>0.7</v>
      </c>
      <c r="K34" s="178" t="s">
        <v>212</v>
      </c>
      <c r="L34" s="196"/>
      <c r="M34" s="188">
        <f>IFERROR(IF(L34&lt;&gt;"","",VLOOKUP(C34&amp;D34&amp;K34,НН!A:J,10,)),"")</f>
        <v>1207.8</v>
      </c>
      <c r="N34" s="202">
        <f t="shared" si="3"/>
        <v>845.45999999999992</v>
      </c>
      <c r="O34" s="167" t="s">
        <v>336</v>
      </c>
    </row>
    <row r="35" spans="2:15" ht="18.75" customHeight="1">
      <c r="B35" s="179"/>
      <c r="C35" s="180"/>
      <c r="D35" s="208"/>
      <c r="E35" s="211"/>
      <c r="F35" s="191"/>
      <c r="G35" s="204"/>
      <c r="H35" s="184"/>
      <c r="I35" s="193"/>
      <c r="J35" s="186"/>
      <c r="K35" s="178"/>
      <c r="L35" s="196"/>
      <c r="M35" s="188"/>
      <c r="N35" s="189"/>
      <c r="O35" s="167"/>
    </row>
    <row r="36" spans="2:15" ht="18.75" customHeight="1">
      <c r="B36" s="179"/>
      <c r="C36" s="403" t="str">
        <f>ОЛ_КОЛОДЦА!E26</f>
        <v>Да</v>
      </c>
      <c r="D36" s="229" t="s">
        <v>338</v>
      </c>
      <c r="E36" s="230" t="s">
        <v>339</v>
      </c>
      <c r="F36" s="1296">
        <f>N8</f>
        <v>1200</v>
      </c>
      <c r="G36" s="232" t="s">
        <v>340</v>
      </c>
      <c r="H36" s="1298">
        <v>2500</v>
      </c>
      <c r="I36" s="234" t="s">
        <v>341</v>
      </c>
      <c r="J36" s="1298">
        <v>0.1</v>
      </c>
      <c r="K36" s="234" t="s">
        <v>342</v>
      </c>
      <c r="L36" s="1320">
        <v>1</v>
      </c>
      <c r="M36" s="443" t="s">
        <v>2198</v>
      </c>
      <c r="N36" s="235"/>
      <c r="O36" s="214"/>
    </row>
    <row r="37" spans="2:15" ht="24" outlineLevel="1">
      <c r="B37" s="179"/>
      <c r="C37" s="180" t="s">
        <v>72</v>
      </c>
      <c r="D37" s="680" t="str">
        <f>"Труба СК/НПС-К "&amp;F36&amp;"-"&amp;J36&amp;"-"&amp;H36</f>
        <v>Труба СК/НПС-К 1200-0,1-2500</v>
      </c>
      <c r="E37" s="224" t="s">
        <v>343</v>
      </c>
      <c r="F37" s="212" t="str">
        <f t="array" ref="F37">IF(C37="","",IF(OR(C37=Списки!$AG$15:$AG$17),"нет","да"))</f>
        <v>нет</v>
      </c>
      <c r="G37" s="236"/>
      <c r="H37" s="184"/>
      <c r="I37" s="225">
        <f>N5/1000</f>
        <v>2.1</v>
      </c>
      <c r="J37" s="186">
        <f>IF(ОЛ_КОЛОДЦА!E26="нет",0,IF(H37="",I37,H37)*L36)</f>
        <v>2.1</v>
      </c>
      <c r="K37" s="178" t="s">
        <v>163</v>
      </c>
      <c r="L37" s="1289">
        <v>1</v>
      </c>
      <c r="M37" s="188" t="str">
        <f>IFERROR(IF(L37&lt;&gt;"","",VLOOKUP(C37&amp;D37&amp;K37,НН!A:J,10,)),"")</f>
        <v/>
      </c>
      <c r="N37" s="237">
        <f>IFERROR(IF(L37="",SUM(#REF!),J37*L37),0)</f>
        <v>2.1</v>
      </c>
      <c r="O37" s="167"/>
    </row>
    <row r="38" spans="2:15" ht="15" outlineLevel="1">
      <c r="B38" s="179"/>
      <c r="C38" s="180" t="s">
        <v>72</v>
      </c>
      <c r="D38" s="238" t="s">
        <v>334</v>
      </c>
      <c r="E38" s="224"/>
      <c r="F38" s="212" t="str">
        <f t="array" ref="F38">IF(C38="","",IF(OR(C38=Списки!$AG$15:$AG$17),"нет","да"))</f>
        <v>нет</v>
      </c>
      <c r="G38" s="236"/>
      <c r="H38" s="184"/>
      <c r="I38" s="225">
        <f>$F$36/1300*J37</f>
        <v>1.9384615384615387</v>
      </c>
      <c r="J38" s="239">
        <f>ROUNDUP(IF(H38="",I38,H38),1)</f>
        <v>2</v>
      </c>
      <c r="K38" s="178" t="s">
        <v>212</v>
      </c>
      <c r="L38" s="196"/>
      <c r="M38" s="188">
        <f>IFERROR(IF(L38&lt;&gt;"","",VLOOKUP(C38&amp;D38&amp;K38,НН!A:J,10,)),"")</f>
        <v>1207.8</v>
      </c>
      <c r="N38" s="237">
        <f t="shared" ref="N38:N85" si="4">IFERROR(IF(L38="",M38*J38,J38*L38),"")</f>
        <v>2415.6</v>
      </c>
      <c r="O38" s="167"/>
    </row>
    <row r="39" spans="2:15" ht="20.25" customHeight="1" outlineLevel="1">
      <c r="B39" s="240"/>
      <c r="C39" s="241" t="s">
        <v>72</v>
      </c>
      <c r="D39" s="241" t="str">
        <f>"Муфта соединительная Муфта-1 "&amp;F36&amp;"-1"</f>
        <v>Муфта соединительная Муфта-1 1200-1</v>
      </c>
      <c r="E39" s="1297" t="s">
        <v>115</v>
      </c>
      <c r="F39" s="242" t="str">
        <f t="array" ref="F39">IF(C39="","",IF(OR(C39=Списки!$AG$15:$AG$17),"нет","да"))</f>
        <v>нет</v>
      </c>
      <c r="G39" s="243"/>
      <c r="H39" s="244"/>
      <c r="I39" s="213">
        <v>1</v>
      </c>
      <c r="J39" s="213">
        <f>IF(E39="нет",0,IF(C36="нет",0,IF(H39="",I39,H39)))*L36</f>
        <v>1</v>
      </c>
      <c r="K39" s="246" t="s">
        <v>129</v>
      </c>
      <c r="L39" s="1321">
        <v>1</v>
      </c>
      <c r="M39" s="247" t="str">
        <f>IFERROR(IF(L39&lt;&gt;"","",VLOOKUP(C39&amp;D39&amp;K39,НН!A:J,10,)),"")</f>
        <v/>
      </c>
      <c r="N39" s="237">
        <f t="shared" si="4"/>
        <v>1</v>
      </c>
      <c r="O39" s="214"/>
    </row>
    <row r="40" spans="2:15" ht="15" outlineLevel="1">
      <c r="B40" s="179"/>
      <c r="C40" s="180" t="s">
        <v>72</v>
      </c>
      <c r="D40" s="208" t="s">
        <v>345</v>
      </c>
      <c r="E40" s="238"/>
      <c r="F40" s="212" t="str">
        <f t="array" ref="F40">IF(C40="","",IF(OR(C40=Списки!$AG$15:$AG$17),"нет","да"))</f>
        <v>нет</v>
      </c>
      <c r="G40" s="248"/>
      <c r="H40" s="236"/>
      <c r="I40" s="244">
        <f>IF(ОЛ_КОЛОДЦА!E26="нет",0,VLOOKUP(F36,'Для расчетов'!$A$36:$F$72,4,))</f>
        <v>10.3</v>
      </c>
      <c r="J40" s="225">
        <f>IF($C$36="нет",0,IF(H40="",I40,H40))*L36</f>
        <v>10.3</v>
      </c>
      <c r="K40" s="178" t="s">
        <v>193</v>
      </c>
      <c r="L40" s="196"/>
      <c r="M40" s="188">
        <f>IFERROR(IF(L40&lt;&gt;"","",VLOOKUP(C40&amp;D40&amp;K40,НН!A:J,10,)),"")</f>
        <v>310.2</v>
      </c>
      <c r="N40" s="247">
        <f t="shared" si="4"/>
        <v>3195.06</v>
      </c>
      <c r="O40" s="167"/>
    </row>
    <row r="41" spans="2:15" ht="15" outlineLevel="1">
      <c r="B41" s="179"/>
      <c r="C41" s="180" t="s">
        <v>238</v>
      </c>
      <c r="D41" s="208" t="s">
        <v>238</v>
      </c>
      <c r="E41" s="238"/>
      <c r="F41" s="212" t="str">
        <f t="array" ref="F41">IF(C41="","",IF(OR(C41=Списки!$AG$15:$AG$17),"нет","да"))</f>
        <v>нет</v>
      </c>
      <c r="G41" s="248"/>
      <c r="H41" s="236"/>
      <c r="I41" s="184">
        <f>IF(COUNTIF(D40,"*мех*")=1,0.28,IF(COUNTIF(D40,"*ламин*")=1,0.56,1))</f>
        <v>0.56000000000000005</v>
      </c>
      <c r="J41" s="249">
        <f>ROUNDUP(IF($C$36="нет",0,IFERROR(IF(H41="",J40*I41,H41),"")),1)</f>
        <v>5.8</v>
      </c>
      <c r="K41" s="178" t="s">
        <v>212</v>
      </c>
      <c r="L41" s="196"/>
      <c r="M41" s="188">
        <f>IFERROR(IF(L41&lt;&gt;"","",VLOOKUP(C41&amp;D41&amp;K41,НН!A:J,10,)),"")</f>
        <v>1207.8</v>
      </c>
      <c r="N41" s="247">
        <f t="shared" si="4"/>
        <v>7005.24</v>
      </c>
      <c r="O41" s="167"/>
    </row>
    <row r="42" spans="2:15" ht="15">
      <c r="B42" s="179"/>
      <c r="C42" s="180"/>
      <c r="D42" s="180"/>
      <c r="E42" s="211"/>
      <c r="F42" s="212" t="str">
        <f t="array" ref="F42">IF(ISBLANK(C42),"",IF(OR(C42=Списки!$AG$15:$AG$17),"нет","да"))</f>
        <v/>
      </c>
      <c r="G42" s="204"/>
      <c r="H42" s="210"/>
      <c r="I42" s="193"/>
      <c r="J42" s="186" t="str">
        <f>IF(ISBLANK(D42),"",IF(H42="",I42,H42))</f>
        <v/>
      </c>
      <c r="K42" s="178"/>
      <c r="L42" s="196"/>
      <c r="M42" s="188" t="str">
        <f>IFERROR(IF(L42&lt;&gt;"","",VLOOKUP(C42&amp;D42&amp;K42,НН!A:J,10,)),"")</f>
        <v/>
      </c>
      <c r="N42" s="189" t="str">
        <f t="shared" si="4"/>
        <v/>
      </c>
      <c r="O42" s="167"/>
    </row>
    <row r="43" spans="2:15" ht="15">
      <c r="B43" s="179"/>
      <c r="C43" s="250" t="s">
        <v>115</v>
      </c>
      <c r="D43" s="251" t="s">
        <v>346</v>
      </c>
      <c r="E43" s="92"/>
      <c r="F43" s="252"/>
      <c r="G43" s="216"/>
      <c r="H43" s="253"/>
      <c r="I43" s="254"/>
      <c r="J43" s="219"/>
      <c r="K43" s="220"/>
      <c r="L43" s="255"/>
      <c r="M43" s="256"/>
      <c r="N43" s="223"/>
      <c r="O43" s="167"/>
    </row>
    <row r="44" spans="2:15" ht="24" outlineLevel="1">
      <c r="B44" s="179"/>
      <c r="C44" s="180" t="s">
        <v>197</v>
      </c>
      <c r="D44" s="180" t="s">
        <v>347</v>
      </c>
      <c r="E44" s="224" t="s">
        <v>348</v>
      </c>
      <c r="F44" s="212" t="str">
        <f t="array" ref="F44">IF(C44="","",IF(OR(C44=Списки!$AG$15:$AG$17),"нет","да"))</f>
        <v>да</v>
      </c>
      <c r="G44" s="204"/>
      <c r="H44" s="184"/>
      <c r="I44" s="193">
        <v>1</v>
      </c>
      <c r="J44" s="186">
        <f>IF(C43="НЕТ",0,I44)</f>
        <v>1</v>
      </c>
      <c r="K44" s="178" t="s">
        <v>163</v>
      </c>
      <c r="L44" s="196"/>
      <c r="M44" s="188">
        <f>IFERROR(IF(L44&lt;&gt;"","",VLOOKUP(C44&amp;D44&amp;K44,НН!A:J,10,)),"")</f>
        <v>2901</v>
      </c>
      <c r="N44" s="202">
        <f t="shared" si="4"/>
        <v>2901</v>
      </c>
      <c r="O44" s="167"/>
    </row>
    <row r="45" spans="2:15" ht="26.25" customHeight="1" outlineLevel="1">
      <c r="B45" s="179"/>
      <c r="C45" s="180" t="s">
        <v>72</v>
      </c>
      <c r="D45" s="180" t="s">
        <v>349</v>
      </c>
      <c r="E45" s="257"/>
      <c r="F45" s="212" t="str">
        <f t="array" ref="F45">IF(C45="","",IF($C$43="нет","-",IF(OR(C45=Списки!$AG$15:$AG$17),"нет","да")))</f>
        <v>нет</v>
      </c>
      <c r="G45" s="204"/>
      <c r="H45" s="210">
        <f>4*0.01*1850</f>
        <v>74</v>
      </c>
      <c r="I45" s="225"/>
      <c r="J45" s="258">
        <f>IF($C$43="нет",0,IF(H45="",I45,H45))</f>
        <v>74</v>
      </c>
      <c r="K45" s="178" t="s">
        <v>193</v>
      </c>
      <c r="L45" s="196"/>
      <c r="M45" s="188">
        <f>IFERROR(IF(L45&lt;&gt;"","",VLOOKUP(C45&amp;D45&amp;K45,НН!A:J,10,)),"")</f>
        <v>214.4</v>
      </c>
      <c r="N45" s="202">
        <f t="shared" si="4"/>
        <v>15865.6</v>
      </c>
      <c r="O45" s="167"/>
    </row>
    <row r="46" spans="2:15" ht="13.15" customHeight="1" outlineLevel="1">
      <c r="B46" s="179"/>
      <c r="C46" s="180" t="s">
        <v>238</v>
      </c>
      <c r="D46" s="180" t="s">
        <v>238</v>
      </c>
      <c r="E46" s="259"/>
      <c r="F46" s="212" t="str">
        <f t="array" ref="F46">IF(C46="","",IF($C$43="нет","-",IF(OR(C46=Списки!$AG$15:$AG$17),"нет","да")))</f>
        <v>нет</v>
      </c>
      <c r="G46" s="204"/>
      <c r="H46" s="210"/>
      <c r="I46" s="225">
        <f>IF(COUNTIF(D45,"*мех*")=1,0.28,IF(COUNTIF(D45,"*ламин*")=1,0.56,1))</f>
        <v>0.28000000000000003</v>
      </c>
      <c r="J46" s="260">
        <f>ROUNDUP(IF(H46="",IFERROR(J45*I46,""),H46),1)</f>
        <v>20.8</v>
      </c>
      <c r="K46" s="178" t="s">
        <v>212</v>
      </c>
      <c r="L46" s="196"/>
      <c r="M46" s="188">
        <f>IFERROR(IF(L46&lt;&gt;"","",VLOOKUP(C46&amp;D46&amp;K46,НН!A:J,10,)),"")</f>
        <v>1207.8</v>
      </c>
      <c r="N46" s="202">
        <f t="shared" si="4"/>
        <v>25122.240000000002</v>
      </c>
      <c r="O46" s="167"/>
    </row>
    <row r="47" spans="2:15" ht="25.5" customHeight="1" outlineLevel="1">
      <c r="B47" s="179"/>
      <c r="C47" s="180" t="s">
        <v>72</v>
      </c>
      <c r="D47" s="180" t="s">
        <v>350</v>
      </c>
      <c r="E47" s="259"/>
      <c r="F47" s="212" t="str">
        <f t="array" ref="F47">IF(C47="","",IF($C$43="нет","-",IF(OR(C47=Списки!$AG$15:$AG$17),"нет","да")))</f>
        <v>нет</v>
      </c>
      <c r="G47" s="204"/>
      <c r="H47" s="210"/>
      <c r="I47" s="225">
        <f>IF(H47="",3*J45/10,"")</f>
        <v>22.2</v>
      </c>
      <c r="J47" s="258">
        <f>IF($C$43="нет",0,IF(H47="",I47,H47))</f>
        <v>22.2</v>
      </c>
      <c r="K47" s="178" t="s">
        <v>193</v>
      </c>
      <c r="L47" s="196"/>
      <c r="M47" s="188">
        <f>IFERROR(IF(L47&lt;&gt;"","",VLOOKUP(C47&amp;D47&amp;K47,НН!A:J,10,)),"")</f>
        <v>310.2</v>
      </c>
      <c r="N47" s="202">
        <f t="shared" si="4"/>
        <v>6886.44</v>
      </c>
      <c r="O47" s="167"/>
    </row>
    <row r="48" spans="2:15" ht="13.15" customHeight="1" outlineLevel="1">
      <c r="B48" s="179"/>
      <c r="C48" s="180" t="s">
        <v>238</v>
      </c>
      <c r="D48" s="180" t="s">
        <v>238</v>
      </c>
      <c r="E48" s="259"/>
      <c r="F48" s="212" t="str">
        <f t="array" ref="F48">IF(C48="","",IF($C$43="нет","-",IF(OR(C48=Списки!$AG$15:$AG$17),"нет","да")))</f>
        <v>нет</v>
      </c>
      <c r="G48" s="204"/>
      <c r="H48" s="210"/>
      <c r="I48" s="225">
        <f>IF(COUNTIF(D47,"*мех*")=1,0.28,IF(COUNTIF(D47,"*ламин*")=1,0.56,1))</f>
        <v>0.56000000000000005</v>
      </c>
      <c r="J48" s="194">
        <f>ROUNDUP(IF(H48="",IFERROR(J47*I48,""),H48),1)</f>
        <v>12.5</v>
      </c>
      <c r="K48" s="178" t="s">
        <v>212</v>
      </c>
      <c r="L48" s="196"/>
      <c r="M48" s="188">
        <f>IFERROR(IF(L48&lt;&gt;"","",VLOOKUP(C48&amp;D48&amp;K48,НН!A:J,10,)),"")</f>
        <v>1207.8</v>
      </c>
      <c r="N48" s="202">
        <f t="shared" si="4"/>
        <v>15097.5</v>
      </c>
      <c r="O48" s="167"/>
    </row>
    <row r="49" spans="2:16" ht="13.15" customHeight="1">
      <c r="B49" s="179"/>
      <c r="C49" s="208"/>
      <c r="D49" s="180"/>
      <c r="E49" s="259"/>
      <c r="F49" s="212" t="str">
        <f t="array" ref="F49">IF(ISBLANK(C49),"",IF($C$43="нет","-",IF(OR(C49=Списки!$AG$15:$AG$17),"нет","да")))</f>
        <v/>
      </c>
      <c r="G49" s="204"/>
      <c r="H49" s="210"/>
      <c r="I49" s="225"/>
      <c r="J49" s="186" t="str">
        <f>IF(ISBLANK(D49),"",IF(H49="",I49,H49))</f>
        <v/>
      </c>
      <c r="K49" s="178"/>
      <c r="L49" s="196"/>
      <c r="M49" s="188" t="str">
        <f>IFERROR(IF(L49&lt;&gt;"","",VLOOKUP(C49&amp;D49&amp;K49,НН!A:J,10,)),"")</f>
        <v/>
      </c>
      <c r="N49" s="189" t="str">
        <f t="shared" si="4"/>
        <v/>
      </c>
      <c r="O49" s="167"/>
    </row>
    <row r="50" spans="2:16" ht="13.5" customHeight="1">
      <c r="B50" s="179"/>
      <c r="C50" s="180"/>
      <c r="D50" s="251" t="s">
        <v>351</v>
      </c>
      <c r="E50" s="259"/>
      <c r="F50" s="215" t="str">
        <f t="array" ref="F50">IF(ISBLANK(C50),"",IF(OR(C50=Списки!$AG$15:$AG$17),"нет","да"))</f>
        <v/>
      </c>
      <c r="G50" s="216"/>
      <c r="H50" s="227"/>
      <c r="I50" s="261"/>
      <c r="J50" s="219"/>
      <c r="K50" s="220"/>
      <c r="L50" s="221"/>
      <c r="M50" s="222" t="str">
        <f t="array" aca="1" ref="M50" ca="1">IF(D50="ФОТ",I50*#REF!,IFERROR(IF(L50&lt;&gt;"","",IF((VLOOKUP(D50&amp;K50,INDIRECT("'"&amp;INDEX(Списки!$AG$2:$AG$17,MATCH(TRUE,COUNTIF(INDIRECT("'"&amp;Списки!$AG$2:$AG$17 &amp;"'!A1:A20000"),D50&amp;K50)&gt;0,0))&amp;"'!A:h"),7,0))=0,"",VLOOKUP(D50&amp;K50,INDIRECT("'"&amp;INDEX(Списки!$AG$2:$AG$17,MATCH(TRUE,COUNTIF(INDIRECT("'"&amp;Списки!$AG$2:$AG$17 &amp;"'!A1:A20000"),D50&amp;K50)&gt;0,0))&amp;"'!A:h"),7,0))),""))</f>
        <v/>
      </c>
      <c r="N50" s="223" t="str">
        <f t="shared" ca="1" si="4"/>
        <v/>
      </c>
      <c r="O50" s="167"/>
    </row>
    <row r="51" spans="2:16" ht="24.75" outlineLevel="1">
      <c r="B51" s="179"/>
      <c r="C51" s="180" t="s">
        <v>71</v>
      </c>
      <c r="D51" s="180" t="s">
        <v>352</v>
      </c>
      <c r="E51" s="259" t="s">
        <v>353</v>
      </c>
      <c r="F51" s="212" t="str">
        <f t="array" ref="F51">IF(C51="","",IF(ОЛ_КОЛОДЦА!E59="нет","-",IF(OR(C51=Списки!$AG$15:$AG$17),"нет","да")))</f>
        <v>да</v>
      </c>
      <c r="G51" s="204"/>
      <c r="H51" s="262"/>
      <c r="I51" s="206">
        <f>PI()*($G$5/(1000*2))^2*ОЛ_КОЛОДЦА!$E$60/1000</f>
        <v>6.2831853071795862</v>
      </c>
      <c r="J51" s="186">
        <f>IF(ОЛ_КОЛОДЦА!$E$59="нет",0,IF(ISBLANK(D51),"",IF(H51="",I51,H51)))</f>
        <v>6.2831853071795862</v>
      </c>
      <c r="K51" s="178" t="s">
        <v>223</v>
      </c>
      <c r="L51" s="226"/>
      <c r="M51" s="188">
        <f>IFERROR(IF(L51&lt;&gt;"","",VLOOKUP(C51&amp;D51&amp;K51,НН!A:J,10,)),"")</f>
        <v>750</v>
      </c>
      <c r="N51" s="202">
        <f t="shared" si="4"/>
        <v>4712.3889803846896</v>
      </c>
      <c r="O51" s="214"/>
    </row>
    <row r="52" spans="2:16" ht="15" outlineLevel="1">
      <c r="B52" s="179"/>
      <c r="C52" s="180" t="s">
        <v>71</v>
      </c>
      <c r="D52" s="180" t="s">
        <v>352</v>
      </c>
      <c r="E52" s="257" t="s">
        <v>354</v>
      </c>
      <c r="F52" s="212" t="str">
        <f t="array" ref="F52">IF(C52="","",IF(ОЛ_КОЛОДЦА!E59="нет","-",IF(OR(C52=Списки!$AG$15:$AG$17),"нет","да")))</f>
        <v>да</v>
      </c>
      <c r="G52" s="204"/>
      <c r="H52" s="262"/>
      <c r="I52" s="206">
        <f>PI()*($G$5/(1000*2))^2</f>
        <v>3.1415926535897931</v>
      </c>
      <c r="J52" s="186">
        <f>IF(ОЛ_КОЛОДЦА!$E$59="нет",0,IF(ISBLANK(D52),"",IF(H52="",I52,H52)))</f>
        <v>3.1415926535897931</v>
      </c>
      <c r="K52" s="178" t="s">
        <v>223</v>
      </c>
      <c r="L52" s="226"/>
      <c r="M52" s="188">
        <f>IFERROR(IF(L52&lt;&gt;"","",VLOOKUP(C52&amp;D52&amp;K52,НН!A:J,10,)),"")</f>
        <v>750</v>
      </c>
      <c r="N52" s="202">
        <f t="shared" si="4"/>
        <v>2356.1944901923448</v>
      </c>
      <c r="O52" s="167"/>
    </row>
    <row r="53" spans="2:16" ht="29.25" customHeight="1" outlineLevel="1">
      <c r="B53" s="179"/>
      <c r="C53" s="180" t="s">
        <v>72</v>
      </c>
      <c r="D53" s="180" t="s">
        <v>355</v>
      </c>
      <c r="E53" s="259"/>
      <c r="F53" s="212" t="str">
        <f t="array" ref="F53">IF(C53="","",IF(ОЛ_КОЛОДЦА!E59="нет","-",IF(OR(C53=Списки!$AG$15:$AG$17),"нет","да")))</f>
        <v>нет</v>
      </c>
      <c r="G53" s="204"/>
      <c r="H53" s="262"/>
      <c r="I53" s="206">
        <f>(I51+I52)*0.004*1850</f>
        <v>69.743356909693404</v>
      </c>
      <c r="J53" s="186">
        <f>IF(ОЛ_КОЛОДЦА!$E$59="нет",0,IF(ISBLANK(D53),"",IF(H53="",I53,H53)))</f>
        <v>69.743356909693404</v>
      </c>
      <c r="K53" s="178" t="s">
        <v>193</v>
      </c>
      <c r="L53" s="226"/>
      <c r="M53" s="188">
        <f>IFERROR(IF(L53&lt;&gt;"","",VLOOKUP(C53&amp;D53&amp;K53,НН!A:J,10,)),"")</f>
        <v>310.2</v>
      </c>
      <c r="N53" s="202">
        <f t="shared" si="4"/>
        <v>21634.389313386891</v>
      </c>
      <c r="O53" s="167"/>
    </row>
    <row r="54" spans="2:16" ht="13.15" customHeight="1" outlineLevel="1">
      <c r="B54" s="179"/>
      <c r="C54" s="180" t="s">
        <v>238</v>
      </c>
      <c r="D54" s="180" t="s">
        <v>238</v>
      </c>
      <c r="E54" s="259"/>
      <c r="F54" s="215" t="str">
        <f t="array" ref="F54">IF(C54="","",IF(ОЛ_КОЛОДЦА!E59="нет","-",IF(OR(C54=Списки!$AG$15:$AG$17),"нет","да")))</f>
        <v>нет</v>
      </c>
      <c r="G54" s="204"/>
      <c r="H54" s="262"/>
      <c r="I54" s="225">
        <f>IF(COUNTIF(D53,"*мех*")=1,0.28,IF(COUNTIF(D53,"*ламин*")=1,0.56,1))</f>
        <v>0.56000000000000005</v>
      </c>
      <c r="J54" s="194">
        <f>ROUNDUP(IF(ОЛ_КОЛОДЦА!$E$59="нет",0,IF(H54="",IFERROR(J53*I54,""),H54)),1)</f>
        <v>39.1</v>
      </c>
      <c r="K54" s="178" t="s">
        <v>212</v>
      </c>
      <c r="L54" s="226"/>
      <c r="M54" s="188">
        <f>IFERROR(IF(L54&lt;&gt;"","",VLOOKUP(C54&amp;D54&amp;K54,НН!A:J,10,)),"")</f>
        <v>1207.8</v>
      </c>
      <c r="N54" s="202">
        <f t="shared" si="4"/>
        <v>47224.98</v>
      </c>
      <c r="O54" s="167"/>
    </row>
    <row r="55" spans="2:16" ht="19.5" customHeight="1">
      <c r="B55" s="179"/>
      <c r="C55" s="180"/>
      <c r="D55" s="180"/>
      <c r="E55" s="259"/>
      <c r="F55" s="215"/>
      <c r="G55" s="204"/>
      <c r="H55" s="263"/>
      <c r="I55" s="225"/>
      <c r="J55" s="186"/>
      <c r="K55" s="178"/>
      <c r="L55" s="965"/>
      <c r="M55" s="188" t="str">
        <f>IFERROR(IF(L55&lt;&gt;"","",VLOOKUP(C55&amp;D55&amp;K55,НН!A:J,10,)),"")</f>
        <v/>
      </c>
      <c r="N55" s="189"/>
      <c r="O55" s="167"/>
    </row>
    <row r="56" spans="2:16" ht="22.5" customHeight="1">
      <c r="B56" s="179"/>
      <c r="C56" s="264" t="s">
        <v>115</v>
      </c>
      <c r="D56" s="265" t="str">
        <f>IF(G5&lt;2000,"Петли монтажные по чертежу НТТ 648, в т.ч.:","Петли монтажные усиленные по чертежу НТТ 1959, в т.ч.:")</f>
        <v>Петли монтажные усиленные по чертежу НТТ 1959, в т.ч.:</v>
      </c>
      <c r="E56" s="266"/>
      <c r="F56" s="250">
        <v>4</v>
      </c>
      <c r="G56" s="178" t="s">
        <v>129</v>
      </c>
      <c r="H56" s="1350"/>
      <c r="I56" s="1351"/>
      <c r="J56" s="1351"/>
      <c r="K56" s="1351"/>
      <c r="L56" s="1351"/>
      <c r="M56" s="1351"/>
      <c r="N56" s="1352"/>
      <c r="O56" s="214"/>
    </row>
    <row r="57" spans="2:16" ht="15" outlineLevel="1">
      <c r="B57" s="179"/>
      <c r="C57" s="241" t="str">
        <f>IF(D57="","","Метизы")</f>
        <v>Метизы</v>
      </c>
      <c r="D57" s="241" t="str">
        <f>_xlfn.IFNA(IF(ОЛ_КОЛОДЦА!$E$19&lt;2000,'Вспомогат. таблицы'!$A$14,'Вспомогат. таблицы'!$A$2),"")</f>
        <v>Болт М24-6ɡх100.21.Ст20 ГОСТ 7798-70</v>
      </c>
      <c r="E57" s="271" t="str">
        <f>IFERROR(IF(SEARCH("*петель*",D57)=1,IF(#REF!&lt;2000,"Прим. - Петля простая","Прим. - Петля усиленная"),""),"")</f>
        <v/>
      </c>
      <c r="F57" s="212" t="str">
        <f t="array" ref="F57">IF(C57="","",IF(OR(C57=Списки!$AG$15:$AG$17),"нет","да"))</f>
        <v>да</v>
      </c>
      <c r="G57" s="272">
        <f>IFERROR(3.56*0.14*J57,"")</f>
        <v>3.9872000000000005</v>
      </c>
      <c r="H57" s="210"/>
      <c r="I57" s="213">
        <f>IFERROR(IF(H57="",IF($G$5&gt;=2000,VLOOKUP(D57,'Вспомогат. таблицы'!$A$2:$B$11,2,),VLOOKUP(D57,'Вспомогат. таблицы'!$A$15:$B$24,2,)),""),"")</f>
        <v>2</v>
      </c>
      <c r="J57" s="245">
        <f>IF(C56="нет",0,IF(C57="","",IFERROR(IF(H57="",I57,H57)*$F$56,"")))</f>
        <v>8</v>
      </c>
      <c r="K57" s="246" t="str">
        <f>IF(C57="","","шт")</f>
        <v>шт</v>
      </c>
      <c r="L57" s="965"/>
      <c r="M57" s="188">
        <f>IFERROR(IF(L57&lt;&gt;"","",VLOOKUP(C57&amp;D57&amp;K57,НН!A:J,10,)),"")</f>
        <v>105</v>
      </c>
      <c r="N57" s="202">
        <f t="shared" si="4"/>
        <v>840</v>
      </c>
      <c r="O57" s="167"/>
    </row>
    <row r="58" spans="2:16" ht="15" outlineLevel="1">
      <c r="B58" s="179"/>
      <c r="C58" s="241" t="s">
        <v>69</v>
      </c>
      <c r="D58" s="241" t="str">
        <f>IF(ОЛ_КОЛОДЦА!$E$19&lt;2000,'Вспомогат. таблицы'!$A$15,'Вспомогат. таблицы'!$A$3)</f>
        <v>Шайба 24.21.Ст20 ГОСТ 11371-78</v>
      </c>
      <c r="E58" s="271" t="str">
        <f>IFERROR(IF(SEARCH("*петель*",D58)=1,IF(#REF!&lt;2000,"Прим. - Петля простая","Прим. - Петля усиленная"),""),"")</f>
        <v/>
      </c>
      <c r="F58" s="212" t="str">
        <f t="array" ref="F58">IF(C58="","",IF(OR(C58=Списки!$AG$15:$AG$17),"нет","да"))</f>
        <v>да</v>
      </c>
      <c r="G58" s="272">
        <f>32.3*J58/1000</f>
        <v>0.25839999999999996</v>
      </c>
      <c r="H58" s="210"/>
      <c r="I58" s="213">
        <f>IF(H58="",IF($G$5&gt;=2000,VLOOKUP(D58,'Вспомогат. таблицы'!$A$2:$B$11,2,),VLOOKUP(D58,'Вспомогат. таблицы'!$A$15:$B$24,2,)),"")</f>
        <v>2</v>
      </c>
      <c r="J58" s="245">
        <f>IF(C56="нет",0,IF(H58="",I58,H58)*$F$56)</f>
        <v>8</v>
      </c>
      <c r="K58" s="246" t="s">
        <v>129</v>
      </c>
      <c r="L58" s="226"/>
      <c r="M58" s="188">
        <f>IFERROR(IF(L58&lt;&gt;"","",VLOOKUP(C58&amp;D58&amp;K58,НН!A:J,10,)),"")</f>
        <v>6</v>
      </c>
      <c r="N58" s="202">
        <f t="shared" si="4"/>
        <v>48</v>
      </c>
      <c r="O58" s="167"/>
    </row>
    <row r="59" spans="2:16" ht="15" outlineLevel="1">
      <c r="B59" s="179"/>
      <c r="C59" s="241" t="s">
        <v>69</v>
      </c>
      <c r="D59" s="241" t="str">
        <f>IF(ОЛ_КОЛОДЦА!$E$19&lt;2000,'Вспомогат. таблицы'!$A$16,'Вспомогат. таблицы'!$A$4)</f>
        <v xml:space="preserve">Шайба 24.30х13 Ст20 ГОСТ 6402-70 </v>
      </c>
      <c r="E59" s="271" t="str">
        <f>IFERROR(IF(SEARCH("*петель*",D59)=1,IF(#REF!&lt;2000,"Прим. - Петля простая","Прим. - Петля усиленная"),""),"")</f>
        <v/>
      </c>
      <c r="F59" s="212" t="str">
        <f t="array" ref="F59">IF(C59="","",IF(OR(C59=Списки!$AG$15:$AG$17),"нет","да"))</f>
        <v>да</v>
      </c>
      <c r="G59" s="272"/>
      <c r="H59" s="210"/>
      <c r="I59" s="213">
        <f>IF(H59="",IF($G$5&gt;=2000,VLOOKUP(D59,'Вспомогат. таблицы'!$A$2:$B$11,2,),VLOOKUP(D59,'Вспомогат. таблицы'!$A$15:$B$24,2,)),"")</f>
        <v>2</v>
      </c>
      <c r="J59" s="245">
        <f>IF(C56="нет",0,IF(H59="",I59,H59)*$F$56)</f>
        <v>8</v>
      </c>
      <c r="K59" s="246" t="s">
        <v>129</v>
      </c>
      <c r="L59" s="226"/>
      <c r="M59" s="188">
        <f>IFERROR(IF(L59&lt;&gt;"","",VLOOKUP(C59&amp;D59&amp;K59,НН!A:J,10,)),"")</f>
        <v>5.91</v>
      </c>
      <c r="N59" s="202">
        <f t="shared" si="4"/>
        <v>47.28</v>
      </c>
      <c r="O59" s="167"/>
    </row>
    <row r="60" spans="2:16" ht="15" outlineLevel="1">
      <c r="B60" s="179"/>
      <c r="C60" s="241" t="s">
        <v>69</v>
      </c>
      <c r="D60" s="241" t="str">
        <f>IF(ОЛ_КОЛОДЦА!$E$19&lt;2000,'Вспомогат. таблицы'!$A$17,'Вспомогат. таблицы'!$A$5)</f>
        <v>Гайка М24-7Н.Ст20 ГОСТ 5915-70</v>
      </c>
      <c r="E60" s="271" t="str">
        <f>IFERROR(IF(SEARCH("*петель*",D60)=1,IF(#REF!&lt;2000,"Прим. - Петля простая","Прим. - Петля усиленная"),""),"")</f>
        <v/>
      </c>
      <c r="F60" s="212" t="str">
        <f t="array" ref="F60">IF(C60="","",IF(OR(C60=Списки!$AG$15:$AG$17),"нет","да"))</f>
        <v>да</v>
      </c>
      <c r="G60" s="272">
        <f>27.12*J60/1000</f>
        <v>0.21696000000000001</v>
      </c>
      <c r="H60" s="210"/>
      <c r="I60" s="213">
        <f>IF(H60="",IF($G$5&gt;=2000,VLOOKUP(D60,'Вспомогат. таблицы'!$A$2:$B$11,2,),VLOOKUP(D60,'Вспомогат. таблицы'!$A$15:$B$24,2,)),"")</f>
        <v>2</v>
      </c>
      <c r="J60" s="245">
        <f>IF(C56="нет",0,IF(H60="",I60,H60)*$F$56)</f>
        <v>8</v>
      </c>
      <c r="K60" s="246" t="s">
        <v>129</v>
      </c>
      <c r="L60" s="226"/>
      <c r="M60" s="188">
        <f>IFERROR(IF(L60&lt;&gt;"","",VLOOKUP(C60&amp;D60&amp;K60,НН!A:J,10,)),"")</f>
        <v>28</v>
      </c>
      <c r="N60" s="202">
        <f t="shared" si="4"/>
        <v>224</v>
      </c>
      <c r="O60" s="167"/>
    </row>
    <row r="61" spans="2:16" ht="24" outlineLevel="1">
      <c r="B61" s="179"/>
      <c r="C61" s="241" t="s">
        <v>68</v>
      </c>
      <c r="D61" s="241" t="str">
        <f>IF(ОЛ_КОЛОДЦА!$E$19&lt;2000,'Вспомогат. таблицы'!$A$18,'Вспомогат. таблицы'!$A$6)</f>
        <v>Лист г/к Б-ПН-О-6,0х1500х3000 ГОСТ 19903-74 // Ст3пс ГОСТ 14637-89</v>
      </c>
      <c r="E61" s="271" t="str">
        <f>IFERROR(IF(SEARCH("*петель*",D61)=1,IF(#REF!&lt;2000,"Прим. - Петля простая","Прим. - Петля усиленная"),""),"")</f>
        <v/>
      </c>
      <c r="F61" s="212" t="str">
        <f t="array" ref="F61">IF(C61="","",IF(OR(C61=Списки!$AG$15:$AG$17),"нет","да"))</f>
        <v>да</v>
      </c>
      <c r="G61" s="272">
        <f>107*J61/1000</f>
        <v>3.424E-2</v>
      </c>
      <c r="H61" s="210"/>
      <c r="I61" s="275">
        <f>IF(H61="",IF($G$5&gt;=2000,VLOOKUP(D61,'Вспомогат. таблицы'!$A$2:$B$11,2,),VLOOKUP(D61,'Вспомогат. таблицы'!$A$15:$B$24,2,)),"")</f>
        <v>0.08</v>
      </c>
      <c r="J61" s="245">
        <f>IF(C56="нет",0,IF(H61="",I61,H61)*$F$56)</f>
        <v>0.32</v>
      </c>
      <c r="K61" s="246" t="s">
        <v>223</v>
      </c>
      <c r="L61" s="226"/>
      <c r="M61" s="188">
        <f>IFERROR(IF(L61&lt;&gt;"","",VLOOKUP(C61&amp;D61&amp;K61,НН!A:J,10,)),"")</f>
        <v>5833.33</v>
      </c>
      <c r="N61" s="202">
        <f t="shared" si="4"/>
        <v>1866.6656</v>
      </c>
      <c r="O61" s="167"/>
    </row>
    <row r="62" spans="2:16" ht="24" outlineLevel="1">
      <c r="B62" s="179"/>
      <c r="C62" s="241" t="s">
        <v>68</v>
      </c>
      <c r="D62" s="241" t="str">
        <f>IF(ОЛ_КОЛОДЦА!$E$19&lt;2000,'Вспомогат. таблицы'!$A$19,'Вспомогат. таблицы'!$A$7)</f>
        <v>Лист г/к Б-ПН-О-12,0х1500х3000 ГОСТ 19903-74 // Ст3пс ГОСТ 14637-89</v>
      </c>
      <c r="E62" s="271" t="str">
        <f>IFERROR(IF(SEARCH("*петель*",D62)=1,IF(#REF!&lt;2000,"Прим. - Петля простая","Прим. - Петля усиленная"),""),"")</f>
        <v/>
      </c>
      <c r="F62" s="212" t="str">
        <f t="array" ref="F62">IF(C62="","",IF(OR(C62=Списки!$AG$15:$AG$17),"нет","да"))</f>
        <v>да</v>
      </c>
      <c r="G62" s="272">
        <f>F56*0.785</f>
        <v>3.14</v>
      </c>
      <c r="H62" s="210"/>
      <c r="I62" s="275">
        <f>IF(H62="",IF($G$5&gt;=2000,VLOOKUP(D62,'Вспомогат. таблицы'!$A$2:$B$11,2,),VLOOKUP(D62,'Вспомогат. таблицы'!$A$15:$B$24,2,)),"")</f>
        <v>0.05</v>
      </c>
      <c r="J62" s="245">
        <f>IF(C56="нет",0,IF(H62="",I62,H62)*$F$56)</f>
        <v>0.2</v>
      </c>
      <c r="K62" s="246" t="s">
        <v>223</v>
      </c>
      <c r="L62" s="226"/>
      <c r="M62" s="188">
        <f>IFERROR(IF(L62&lt;&gt;"","",VLOOKUP(C62&amp;D62&amp;K62,НН!A:J,10,)),"")</f>
        <v>11222.22</v>
      </c>
      <c r="N62" s="202">
        <f t="shared" si="4"/>
        <v>2244.444</v>
      </c>
      <c r="O62" s="167"/>
    </row>
    <row r="63" spans="2:16" ht="15" outlineLevel="1">
      <c r="B63" s="179"/>
      <c r="C63" s="241" t="s">
        <v>68</v>
      </c>
      <c r="D63" s="241" t="str">
        <f>IF(ОЛ_КОЛОДЦА!$E$19&lt;2000,'Вспомогат. таблицы'!$A$20,'Вспомогат. таблицы'!$A$8)</f>
        <v>Арматура 20-А-I Ст3пс ГОСТ 5781-82 гладкая (А240)</v>
      </c>
      <c r="E63" s="271" t="str">
        <f>IFERROR(IF(SEARCH("*петель*",D63)=1,IF(#REF!&lt;2000,"Прим. - Петля простая","Прим. - Петля усиленная"),""),"")</f>
        <v/>
      </c>
      <c r="F63" s="212" t="str">
        <f t="array" ref="F63">IF(C63="","",IF(OR(C63=Списки!$AG$15:$AG$17),"нет","да"))</f>
        <v>да</v>
      </c>
      <c r="G63" s="272">
        <f>F56*2.26</f>
        <v>9.0399999999999991</v>
      </c>
      <c r="H63" s="210"/>
      <c r="I63" s="213">
        <f>IF(H63="",IF($G$5&gt;=2000,VLOOKUP(D63,'Вспомогат. таблицы'!$A$2:$B$11,2,),VLOOKUP(D63,'Вспомогат. таблицы'!$A$15:$B$24,2,)),"")</f>
        <v>0.9</v>
      </c>
      <c r="J63" s="245">
        <f>IF(C56="нет",0,IF(H63="",I63,H63)*$F$56)</f>
        <v>3.6</v>
      </c>
      <c r="K63" s="246" t="s">
        <v>163</v>
      </c>
      <c r="L63" s="226"/>
      <c r="M63" s="188">
        <f>IFERROR(IF(L63&lt;&gt;"","",VLOOKUP(C63&amp;D63&amp;K63,НН!A:J,10,)),"")</f>
        <v>190</v>
      </c>
      <c r="N63" s="202">
        <f t="shared" si="4"/>
        <v>684</v>
      </c>
      <c r="O63" s="167"/>
      <c r="P63" s="273"/>
    </row>
    <row r="64" spans="2:16" ht="24" outlineLevel="1">
      <c r="B64" s="179"/>
      <c r="C64" s="241" t="s">
        <v>72</v>
      </c>
      <c r="D64" s="241" t="str">
        <f>IF(ОЛ_КОЛОДЦА!$E$19&lt;2000,'Вспомогат. таблицы'!$A$21,'Вспомогат. таблицы'!$A$9)</f>
        <v>Ламинирование петель к корпусу</v>
      </c>
      <c r="E64" s="276"/>
      <c r="F64" s="212" t="str">
        <f t="array" ref="F64">IF(C64="","",IF(OR(C64=Списки!$AG$15:$AG$17),"нет","да"))</f>
        <v>нет</v>
      </c>
      <c r="G64" s="272"/>
      <c r="H64" s="210"/>
      <c r="I64" s="213">
        <f>IF(H64="",IF($G$5&gt;=2000,VLOOKUP(D64,'Вспомогат. таблицы'!$A$2:$B$11,2,),VLOOKUP(D64,'Вспомогат. таблицы'!$A$15:$B$24,2,)),"")</f>
        <v>0.6</v>
      </c>
      <c r="J64" s="245">
        <f>IF(C56="нет",0,IF(H64="",I64,H64)*$F$56)</f>
        <v>2.4</v>
      </c>
      <c r="K64" s="246" t="s">
        <v>193</v>
      </c>
      <c r="L64" s="226"/>
      <c r="M64" s="188">
        <f>IFERROR(IF(L64&lt;&gt;"","",VLOOKUP(C64&amp;D64&amp;K64,НН!A:J,10,)),"")</f>
        <v>310.2</v>
      </c>
      <c r="N64" s="202">
        <f t="shared" si="4"/>
        <v>744.4799999999999</v>
      </c>
      <c r="O64" s="167" t="s">
        <v>356</v>
      </c>
      <c r="P64" s="273"/>
    </row>
    <row r="65" spans="2:16" ht="15" outlineLevel="1">
      <c r="B65" s="179"/>
      <c r="C65" s="241" t="s">
        <v>238</v>
      </c>
      <c r="D65" s="241" t="str">
        <f>IF(ОЛ_КОЛОДЦА!$E$19&lt;2000,'Вспомогат. таблицы'!$A$22,'Вспомогат. таблицы'!$A$10)</f>
        <v>ФОТ</v>
      </c>
      <c r="E65" s="271" t="str">
        <f>IFERROR(IF(SEARCH("*петель*",D65)=1,IF(#REF!&lt;2000,"Прим. - Петля простая","Прим. - Петля усиленная"),""),"")</f>
        <v/>
      </c>
      <c r="F65" s="212" t="str">
        <f t="array" ref="F65">IF(C65="","",IF(OR(C65=Списки!$AG$15:$AG$17),"нет","да"))</f>
        <v>нет</v>
      </c>
      <c r="G65" s="272"/>
      <c r="H65" s="210"/>
      <c r="I65" s="213">
        <f>IF(COUNTIF(D64,"*мех*")=1,0.28,IF(COUNTIF(D64,"*ламин*")=1,0.56,1))</f>
        <v>0.56000000000000005</v>
      </c>
      <c r="J65" s="277">
        <f>IF(C56="нет",0,ROUNDUP(IF(H65="",IFERROR(J64*I65,""),H65),1))</f>
        <v>1.4000000000000001</v>
      </c>
      <c r="K65" s="246" t="s">
        <v>212</v>
      </c>
      <c r="L65" s="226"/>
      <c r="M65" s="188">
        <f>IFERROR(IF(L65&lt;&gt;"","",VLOOKUP(C65&amp;D65&amp;K65,НН!A:J,10,)),"")</f>
        <v>1207.8</v>
      </c>
      <c r="N65" s="202">
        <f t="shared" si="4"/>
        <v>1690.92</v>
      </c>
      <c r="O65" s="167"/>
      <c r="P65" s="273"/>
    </row>
    <row r="66" spans="2:16" ht="13.15" customHeight="1">
      <c r="B66" s="179"/>
      <c r="C66" s="208"/>
      <c r="D66" s="180"/>
      <c r="E66" s="259"/>
      <c r="F66" s="215" t="str">
        <f t="array" ref="F66">IF(ISBLANK(C66),"",IF(OR(C66=Списки!$AG$15:$AG$17),"нет","да"))</f>
        <v/>
      </c>
      <c r="G66" s="204"/>
      <c r="H66" s="210"/>
      <c r="I66" s="193"/>
      <c r="J66" s="186" t="str">
        <f>IF(ISBLANK(D66),"",IF(H66="",I66,H66))</f>
        <v/>
      </c>
      <c r="K66" s="178"/>
      <c r="L66" s="965"/>
      <c r="M66" s="188" t="str">
        <f>IFERROR(IF(L66&lt;&gt;"","",VLOOKUP(C66&amp;D66&amp;K66,НН!A:J,10,)),"")</f>
        <v/>
      </c>
      <c r="N66" s="189" t="str">
        <f t="shared" si="4"/>
        <v/>
      </c>
      <c r="O66" s="167"/>
      <c r="P66" s="168"/>
    </row>
    <row r="67" spans="2:16" ht="15" collapsed="1">
      <c r="B67" s="179"/>
      <c r="C67" s="180"/>
      <c r="D67" s="278" t="s">
        <v>357</v>
      </c>
      <c r="E67" s="279"/>
      <c r="F67" s="280" t="str">
        <f t="array" ref="F67">IF(ISBLANK(C67),"",IF(OR(C67=Списки!$AG$15:$AG$17),"нет","да"))</f>
        <v/>
      </c>
      <c r="G67" s="216"/>
      <c r="H67" s="281"/>
      <c r="I67" s="261"/>
      <c r="J67" s="219"/>
      <c r="K67" s="220"/>
      <c r="L67" s="255"/>
      <c r="M67" s="256" t="str">
        <f t="array" aca="1" ref="M67" ca="1">IFERROR(IF(L67&lt;&gt;"","",IF((VLOOKUP(D67&amp;K67,INDIRECT("'"&amp;INDEX(Списки!$AG$2:$AG$17,MATCH(TRUE,COUNTIF(INDIRECT("'"&amp;Списки!$AG$2:$AG$17 &amp;"'!A1:A300000"),D67&amp;K67)&gt;0,0))&amp;"'!A:h"),7,0))=0,"",VLOOKUP(D67&amp;K67,INDIRECT("'"&amp;INDEX(Списки!$AG$2:$AG$17,MATCH(TRUE,COUNTIF(INDIRECT("'"&amp;Списки!$AG$2:$AG$17 &amp;"'!A1:A300000"),D67&amp;K67)&gt;0,0))&amp;"'!A:h"),7,0))),"")</f>
        <v/>
      </c>
      <c r="N67" s="189"/>
      <c r="O67" s="167"/>
      <c r="P67" s="168"/>
    </row>
    <row r="68" spans="2:16" ht="24" hidden="1" customHeight="1" outlineLevel="1">
      <c r="B68" s="179"/>
      <c r="C68" s="180" t="s">
        <v>72</v>
      </c>
      <c r="D68" s="180" t="s">
        <v>358</v>
      </c>
      <c r="E68" s="259"/>
      <c r="F68" s="212" t="str">
        <f t="array" ref="F68">IF(C68="","",IF(OR(ОЛ_КОЛОДЦА!$E$48=Списки!$H$2,ОЛ_КОЛОДЦА!$E$48=Списки!$H$5),"-",IF(OR(C68=Списки!$AG$15:$AG$17),"нет","да")))</f>
        <v>-</v>
      </c>
      <c r="G68" s="204"/>
      <c r="H68" s="282">
        <f>4.7*0.007*1850</f>
        <v>60.864999999999995</v>
      </c>
      <c r="I68" s="225"/>
      <c r="J68" s="186">
        <f>IF(OR(ОЛ_КОЛОДЦА!$E$48=Списки!$H$2,ОЛ_КОЛОДЦА!$E$48=Списки!$H$5),0,IF(H68="",I68,H68))</f>
        <v>0</v>
      </c>
      <c r="K68" s="178" t="s">
        <v>193</v>
      </c>
      <c r="L68" s="187"/>
      <c r="M68" s="188">
        <f>IFERROR(IF(L68&lt;&gt;"","",VLOOKUP(C68&amp;D68&amp;K68,НН!A:J,10,)),"")</f>
        <v>214.4</v>
      </c>
      <c r="N68" s="202">
        <f t="shared" si="4"/>
        <v>0</v>
      </c>
      <c r="O68" s="167"/>
      <c r="P68" s="168"/>
    </row>
    <row r="69" spans="2:16" ht="13.15" hidden="1" customHeight="1" outlineLevel="1">
      <c r="B69" s="179"/>
      <c r="C69" s="180" t="s">
        <v>238</v>
      </c>
      <c r="D69" s="180" t="s">
        <v>238</v>
      </c>
      <c r="E69" s="283"/>
      <c r="F69" s="212" t="str">
        <f t="array" ref="F69">IF(C69="","",IF(OR(ОЛ_КОЛОДЦА!$E$48=Списки!$H$2,ОЛ_КОЛОДЦА!$E$48=Списки!$H$5),"-",IF(OR(C69=Списки!$AG$15:$AG$17),"нет","да")))</f>
        <v>-</v>
      </c>
      <c r="G69" s="204"/>
      <c r="H69" s="284"/>
      <c r="I69" s="285">
        <f>IF(COUNTIF(D68,"*мех*")=1,0.28,IF(COUNTIF(D68,"*ламин*")=1,0.56,1))</f>
        <v>0.28000000000000003</v>
      </c>
      <c r="J69" s="194">
        <f>ROUNDUP(IF(H69="",IFERROR(J68*I69,""),H69),1)</f>
        <v>0</v>
      </c>
      <c r="K69" s="178" t="s">
        <v>212</v>
      </c>
      <c r="L69" s="226"/>
      <c r="M69" s="188">
        <f>IFERROR(IF(L69&lt;&gt;"","",VLOOKUP(C69&amp;D69&amp;K69,НН!A:J,10,)),"")</f>
        <v>1207.8</v>
      </c>
      <c r="N69" s="202">
        <f t="shared" si="4"/>
        <v>0</v>
      </c>
      <c r="O69" s="167"/>
      <c r="P69" s="168"/>
    </row>
    <row r="70" spans="2:16" ht="24" hidden="1" outlineLevel="1">
      <c r="B70" s="179"/>
      <c r="C70" s="180" t="s">
        <v>72</v>
      </c>
      <c r="D70" s="180" t="s">
        <v>359</v>
      </c>
      <c r="E70" s="259"/>
      <c r="F70" s="212" t="str">
        <f t="array" ref="F70">IF(C70="","",IF(OR(ОЛ_КОЛОДЦА!$E$48=Списки!$H$2,ОЛ_КОЛОДЦА!$E$48=Списки!$H$5),"-",IF(OR(C70=Списки!$AG$15:$AG$17),"нет","да")))</f>
        <v>-</v>
      </c>
      <c r="G70" s="204"/>
      <c r="H70" s="210"/>
      <c r="I70" s="225">
        <f>IF(H70="",IFERROR(IF(H68="",I68,H68)*3/10,""),"")</f>
        <v>18.259499999999996</v>
      </c>
      <c r="J70" s="186">
        <f>IF(OR(ОЛ_КОЛОДЦА!$E$48=Списки!$H$2,ОЛ_КОЛОДЦА!$E$48=Списки!$H$5),0,IF(H70="",I70,H70))</f>
        <v>0</v>
      </c>
      <c r="K70" s="178" t="s">
        <v>193</v>
      </c>
      <c r="L70" s="187"/>
      <c r="M70" s="188">
        <f>IFERROR(IF(L70&lt;&gt;"","",VLOOKUP(C70&amp;D70&amp;K70,НН!A:J,10,)),"")</f>
        <v>310.2</v>
      </c>
      <c r="N70" s="202">
        <f t="shared" si="4"/>
        <v>0</v>
      </c>
      <c r="O70" s="167"/>
      <c r="P70" s="168"/>
    </row>
    <row r="71" spans="2:16" ht="13.15" hidden="1" customHeight="1" outlineLevel="1">
      <c r="B71" s="179"/>
      <c r="C71" s="180" t="s">
        <v>238</v>
      </c>
      <c r="D71" s="180" t="s">
        <v>238</v>
      </c>
      <c r="E71" s="283"/>
      <c r="F71" s="212" t="str">
        <f t="array" ref="F71">IF(C71="","",IF(OR(ОЛ_КОЛОДЦА!$E$48=Списки!$H$2,ОЛ_КОЛОДЦА!$E$48=Списки!$H$5),"-",IF(OR(C71=Списки!$AG$15:$AG$17),"нет","да")))</f>
        <v>-</v>
      </c>
      <c r="G71" s="204"/>
      <c r="H71" s="284"/>
      <c r="I71" s="286">
        <f>IF(COUNTIF(D70,"*мех*")=1,0.28,IF(COUNTIF(D70,"*ламин*")=1,IF(D70="Ламинирование деталей площадки под дробилку в сборке",1,0.56),1))</f>
        <v>1</v>
      </c>
      <c r="J71" s="194">
        <f>ROUNDUP(IF(H71="",IFERROR(J70*I71,""),H71),1)</f>
        <v>0</v>
      </c>
      <c r="K71" s="178" t="s">
        <v>212</v>
      </c>
      <c r="L71" s="226"/>
      <c r="M71" s="188">
        <f>IFERROR(IF(L71&lt;&gt;"","",VLOOKUP(C71&amp;D71&amp;K71,НН!A:J,10,)),"")</f>
        <v>1207.8</v>
      </c>
      <c r="N71" s="202">
        <f t="shared" si="4"/>
        <v>0</v>
      </c>
      <c r="O71" s="167" t="s">
        <v>360</v>
      </c>
      <c r="P71" s="168"/>
    </row>
    <row r="72" spans="2:16" ht="15" hidden="1" outlineLevel="1">
      <c r="B72" s="179"/>
      <c r="C72" s="180" t="s">
        <v>68</v>
      </c>
      <c r="D72" s="180" t="s">
        <v>361</v>
      </c>
      <c r="E72" s="287"/>
      <c r="F72" s="212" t="str">
        <f t="array" ref="F72">IF(C72="","",IF(OR(ОЛ_КОЛОДЦА!$E$48=Списки!$H$2,ОЛ_КОЛОДЦА!$E$48=Списки!$H$5),"-",IF(OR(C72=Списки!$AG$15:$AG$17),"нет","да")))</f>
        <v>-</v>
      </c>
      <c r="G72" s="204"/>
      <c r="H72" s="210"/>
      <c r="I72" s="193">
        <f>IF(H72="",ROUNDUP(2*(ОЛ_КОЛОДЦА!E42/1000),),"")</f>
        <v>4</v>
      </c>
      <c r="J72" s="186">
        <f>IF(OR(ОЛ_КОЛОДЦА!$E$48=Списки!$H$2,ОЛ_КОЛОДЦА!$E$48=Списки!$H$5),0,IF(ISBLANK(D72),"",IF(H72="",I72,H72)))</f>
        <v>0</v>
      </c>
      <c r="K72" s="178" t="s">
        <v>163</v>
      </c>
      <c r="L72" s="226"/>
      <c r="M72" s="188">
        <f>IFERROR(IF(L72&lt;&gt;"","",VLOOKUP(C72&amp;D72&amp;K72,НН!A:J,10,)),"")</f>
        <v>1500</v>
      </c>
      <c r="N72" s="202">
        <f t="shared" si="4"/>
        <v>0</v>
      </c>
      <c r="O72" s="167"/>
      <c r="P72" s="168"/>
    </row>
    <row r="73" spans="2:16" ht="15" hidden="1" outlineLevel="1">
      <c r="B73" s="179"/>
      <c r="C73" s="180" t="s">
        <v>68</v>
      </c>
      <c r="D73" s="180" t="s">
        <v>362</v>
      </c>
      <c r="E73" s="287"/>
      <c r="F73" s="212" t="str">
        <f t="array" ref="F73">IF(C73="","",IF(OR(ОЛ_КОЛОДЦА!$E$48=Списки!$H$2,ОЛ_КОЛОДЦА!$E$48=Списки!$H$5),"-",IF(OR(C73=Списки!$AG$15:$AG$17),"нет","да")))</f>
        <v>-</v>
      </c>
      <c r="G73" s="204"/>
      <c r="H73" s="184"/>
      <c r="I73" s="272">
        <f>I74*(3.14*0.05)</f>
        <v>0.47100000000000009</v>
      </c>
      <c r="J73" s="186">
        <f>IF(OR(ОЛ_КОЛОДЦА!$E$48=Списки!$H$2,ОЛ_КОЛОДЦА!$E$48=Списки!$H$5),0,IF(ISBLANK(D73),"",IF(H73="",I73,H73)))</f>
        <v>0</v>
      </c>
      <c r="K73" s="178" t="s">
        <v>163</v>
      </c>
      <c r="L73" s="226"/>
      <c r="M73" s="188">
        <f>IFERROR(IF(L73&lt;&gt;"","",VLOOKUP(C73&amp;D73&amp;K73,НН!A:J,10,)),"")</f>
        <v>125</v>
      </c>
      <c r="N73" s="202">
        <f t="shared" si="4"/>
        <v>0</v>
      </c>
      <c r="O73" s="167"/>
      <c r="P73" s="168"/>
    </row>
    <row r="74" spans="2:16" ht="24" hidden="1" outlineLevel="1">
      <c r="B74" s="179"/>
      <c r="C74" s="180" t="s">
        <v>64</v>
      </c>
      <c r="D74" s="208" t="s">
        <v>363</v>
      </c>
      <c r="E74" s="224" t="str">
        <f>"Для подъема и спуска дробилки L= "&amp;ROUNDUP((ОЛ_КОЛОДЦА!E42/1000+1),0)&amp;" м"</f>
        <v>Для подъема и спуска дробилки L= 3 м</v>
      </c>
      <c r="F74" s="212" t="str">
        <f t="array" ref="F74">IF(C74="","",IF(OR(ОЛ_КОЛОДЦА!$E$48=Списки!$H$2,ОЛ_КОЛОДЦА!$E$48=Списки!$H$5),"-",IF(OR(C74=Списки!$AG$15:$AG$17),"нет","да")))</f>
        <v>-</v>
      </c>
      <c r="G74" s="204"/>
      <c r="H74" s="184"/>
      <c r="I74" s="213">
        <f>IF(H74="",ROUNDUP((ОЛ_КОЛОДЦА!E42/1000+1),),"")</f>
        <v>3</v>
      </c>
      <c r="J74" s="186">
        <f>IF(OR(ОЛ_КОЛОДЦА!$E$48=Списки!$H$2,ОЛ_КОЛОДЦА!$E$48=Списки!$H$5),0,IF(ISBLANK(D74),"",IF(H74="",I74,H74)))</f>
        <v>0</v>
      </c>
      <c r="K74" s="178" t="s">
        <v>163</v>
      </c>
      <c r="L74" s="226"/>
      <c r="M74" s="188">
        <f>IFERROR(IF(L74&lt;&gt;"","",VLOOKUP(C74&amp;D74&amp;K74,НН!A:J,10,)),"")</f>
        <v>450</v>
      </c>
      <c r="N74" s="202">
        <f t="shared" si="4"/>
        <v>0</v>
      </c>
      <c r="O74" s="167"/>
      <c r="P74" s="168"/>
    </row>
    <row r="75" spans="2:16" ht="15" hidden="1" outlineLevel="1">
      <c r="B75" s="179"/>
      <c r="C75" s="180" t="s">
        <v>64</v>
      </c>
      <c r="D75" s="241" t="s">
        <v>364</v>
      </c>
      <c r="E75" s="255"/>
      <c r="F75" s="212" t="str">
        <f t="array" ref="F75">IF(C75="","",IF(OR(ОЛ_КОЛОДЦА!$E$48=Списки!$H$2,ОЛ_КОЛОДЦА!$E$48=Списки!$H$5),"-",IF(OR(C75=Списки!$AG$15:$AG$17),"нет","да")))</f>
        <v>-</v>
      </c>
      <c r="G75" s="204"/>
      <c r="H75" s="184"/>
      <c r="I75" s="213">
        <f>IF(H75="",ROUNDUP(I74/2,),"")</f>
        <v>2</v>
      </c>
      <c r="J75" s="186">
        <f>IF(OR(ОЛ_КОЛОДЦА!$E$48=Списки!$H$2,ОЛ_КОЛОДЦА!$E$48=Списки!$H$5),0,IF(ISBLANK(D75),"",IF(H75="",I75,H75)))</f>
        <v>0</v>
      </c>
      <c r="K75" s="178" t="s">
        <v>129</v>
      </c>
      <c r="L75" s="226"/>
      <c r="M75" s="188">
        <f>IFERROR(IF(L75&lt;&gt;"","",VLOOKUP(C75&amp;D75&amp;K75,НН!A:J,10,)),"")</f>
        <v>320</v>
      </c>
      <c r="N75" s="202">
        <f t="shared" si="4"/>
        <v>0</v>
      </c>
      <c r="O75" s="167"/>
      <c r="P75" s="168"/>
    </row>
    <row r="76" spans="2:16" ht="15" hidden="1" outlineLevel="1">
      <c r="B76" s="179"/>
      <c r="C76" s="180"/>
      <c r="D76" s="241"/>
      <c r="E76" s="255"/>
      <c r="F76" s="215"/>
      <c r="G76" s="216"/>
      <c r="H76" s="227"/>
      <c r="I76" s="288"/>
      <c r="J76" s="219"/>
      <c r="K76" s="220"/>
      <c r="L76" s="221"/>
      <c r="M76" s="222"/>
      <c r="N76" s="289"/>
      <c r="O76" s="167"/>
      <c r="P76" s="168"/>
    </row>
    <row r="77" spans="2:16" ht="15">
      <c r="B77" s="169" t="s">
        <v>365</v>
      </c>
      <c r="C77" s="290"/>
      <c r="D77" s="291" t="s">
        <v>366</v>
      </c>
      <c r="E77" s="292"/>
      <c r="F77" s="293"/>
      <c r="G77" s="216"/>
      <c r="H77" s="230"/>
      <c r="I77" s="294"/>
      <c r="J77" s="295"/>
      <c r="K77" s="220"/>
      <c r="L77" s="255"/>
      <c r="M77" s="256"/>
      <c r="N77" s="235"/>
      <c r="O77" s="167"/>
      <c r="P77" s="168"/>
    </row>
    <row r="78" spans="2:16" ht="24" outlineLevel="1">
      <c r="B78" s="179"/>
      <c r="C78" s="180" t="s">
        <v>72</v>
      </c>
      <c r="D78" s="180" t="s">
        <v>367</v>
      </c>
      <c r="E78" s="276" t="str">
        <f>D14</f>
        <v>Труба СК/НПС-К 2000-0,1-5000</v>
      </c>
      <c r="F78" s="212" t="str">
        <f t="array" ref="F78">IF(C78="","",IF(OR(C78=Списки!$AG$15:$AG$17),"нет","да"))</f>
        <v>нет</v>
      </c>
      <c r="G78" s="204"/>
      <c r="H78" s="210"/>
      <c r="I78" s="296">
        <f>($G$5/(200*6))*J14</f>
        <v>6.666666666666667</v>
      </c>
      <c r="J78" s="260">
        <f t="shared" ref="J78:J81" si="5">ROUNDUP(IF(H78="",I78,H78),1)</f>
        <v>6.6999999999999993</v>
      </c>
      <c r="K78" s="178" t="s">
        <v>212</v>
      </c>
      <c r="L78" s="226"/>
      <c r="M78" s="188">
        <f>IFERROR(IF(L78&lt;&gt;"","",VLOOKUP(C78&amp;D78&amp;K78,НН!A:J,10,)),"")</f>
        <v>1207.8</v>
      </c>
      <c r="N78" s="202">
        <f t="shared" si="4"/>
        <v>8092.2599999999984</v>
      </c>
      <c r="O78" s="297" t="s">
        <v>368</v>
      </c>
      <c r="P78" s="168"/>
    </row>
    <row r="79" spans="2:16" ht="24" outlineLevel="1">
      <c r="B79" s="179"/>
      <c r="C79" s="180" t="s">
        <v>72</v>
      </c>
      <c r="D79" s="180" t="s">
        <v>367</v>
      </c>
      <c r="E79" s="238" t="str">
        <f>D37</f>
        <v>Труба СК/НПС-К 1200-0,1-2500</v>
      </c>
      <c r="F79" s="212" t="str">
        <f t="array" ref="F79">IF(C79="","",IF(OR(C79=Списки!$AG$15:$AG$17),"нет","да"))</f>
        <v>нет</v>
      </c>
      <c r="G79" s="204"/>
      <c r="H79" s="184"/>
      <c r="I79" s="296">
        <f>($F$36/(200*6))*J37</f>
        <v>2.1</v>
      </c>
      <c r="J79" s="260">
        <f>IF(C36="нет",0,ROUNDUP(IF(H79="",I79,H79),1))</f>
        <v>2.1</v>
      </c>
      <c r="K79" s="178" t="s">
        <v>212</v>
      </c>
      <c r="L79" s="196"/>
      <c r="M79" s="188">
        <f>IFERROR(IF(L79&lt;&gt;"","",VLOOKUP(C79&amp;D79&amp;K79,НН!A:J,10,)),"")</f>
        <v>1207.8</v>
      </c>
      <c r="N79" s="202">
        <f t="shared" si="4"/>
        <v>2536.38</v>
      </c>
      <c r="O79" s="297" t="s">
        <v>368</v>
      </c>
      <c r="P79" s="298"/>
    </row>
    <row r="80" spans="2:16" ht="36" outlineLevel="1">
      <c r="B80" s="179"/>
      <c r="C80" s="180" t="s">
        <v>72</v>
      </c>
      <c r="D80" s="180" t="s">
        <v>369</v>
      </c>
      <c r="E80" s="276" t="str">
        <f>E26</f>
        <v>Стеклокомпозитная гильза Ø400</v>
      </c>
      <c r="F80" s="212" t="str">
        <f t="array" ref="F80">IF(C80="","",IF(OR(C80=Списки!$AG$15:$AG$17),"нет","да"))</f>
        <v>нет</v>
      </c>
      <c r="G80" s="204"/>
      <c r="H80" s="210"/>
      <c r="I80" s="193">
        <f>(K8*3.14*0.5*K5)/1000</f>
        <v>0.628</v>
      </c>
      <c r="J80" s="260">
        <f t="shared" si="5"/>
        <v>0.7</v>
      </c>
      <c r="K80" s="178" t="s">
        <v>212</v>
      </c>
      <c r="L80" s="965"/>
      <c r="M80" s="188">
        <f>IFERROR(IF(L80&lt;&gt;"","",VLOOKUP(C80&amp;D80&amp;K80,НН!A:J,10,)),"")</f>
        <v>1207.8</v>
      </c>
      <c r="N80" s="202">
        <f t="shared" si="4"/>
        <v>845.45999999999992</v>
      </c>
      <c r="O80" s="167" t="s">
        <v>370</v>
      </c>
      <c r="P80" s="298"/>
    </row>
    <row r="81" spans="2:16" ht="27.75" customHeight="1" outlineLevel="1">
      <c r="B81" s="179"/>
      <c r="C81" s="180" t="s">
        <v>72</v>
      </c>
      <c r="D81" s="180" t="s">
        <v>369</v>
      </c>
      <c r="E81" s="276" t="str">
        <f>E31</f>
        <v>Стеклокомпозитная гильза Ø400</v>
      </c>
      <c r="F81" s="212" t="str">
        <f t="array" ref="F81">IF(C81="","",IF(OR(C81=Списки!$AG$15:$AG$17),"нет","да"))</f>
        <v>нет</v>
      </c>
      <c r="G81" s="204"/>
      <c r="H81" s="184"/>
      <c r="I81" s="193">
        <f>(M8*3.14*0.5*M5)/1000</f>
        <v>1.256</v>
      </c>
      <c r="J81" s="260">
        <f t="shared" si="5"/>
        <v>1.3</v>
      </c>
      <c r="K81" s="178" t="s">
        <v>212</v>
      </c>
      <c r="L81" s="196"/>
      <c r="M81" s="188">
        <f>IFERROR(IF(L81&lt;&gt;"","",VLOOKUP(C81&amp;D81&amp;K81,НН!A:J,10,)),"")</f>
        <v>1207.8</v>
      </c>
      <c r="N81" s="202">
        <f t="shared" si="4"/>
        <v>1570.14</v>
      </c>
      <c r="O81" s="167"/>
      <c r="P81" s="299"/>
    </row>
    <row r="82" spans="2:16" ht="24.75" customHeight="1" outlineLevel="1">
      <c r="B82" s="179"/>
      <c r="C82" s="241" t="s">
        <v>72</v>
      </c>
      <c r="D82" s="241" t="s">
        <v>371</v>
      </c>
      <c r="E82" s="300">
        <f>F36</f>
        <v>1200</v>
      </c>
      <c r="F82" s="242" t="str">
        <f t="array" ref="F82">IF(C82="","",IF(OR(C82=Списки!$AG$15:$AG$17),"нет","да"))</f>
        <v>нет</v>
      </c>
      <c r="G82" s="301"/>
      <c r="H82" s="244"/>
      <c r="I82" s="296">
        <f>(E82*3.14*0.5*L36)/1000</f>
        <v>1.8839999999999999</v>
      </c>
      <c r="J82" s="302">
        <f>IF($C$36="нет",0,ROUNDUP(IF(H82="",I82,H82),1))</f>
        <v>1.9000000000000001</v>
      </c>
      <c r="K82" s="246" t="s">
        <v>212</v>
      </c>
      <c r="L82" s="1265"/>
      <c r="M82" s="247">
        <f>IFERROR(IF(L82&lt;&gt;"","",VLOOKUP(C82&amp;D82&amp;K82,НН!A:J,10,)),"")</f>
        <v>1207.8</v>
      </c>
      <c r="N82" s="237">
        <f t="shared" si="4"/>
        <v>2294.8200000000002</v>
      </c>
      <c r="O82" s="214"/>
      <c r="P82" s="304"/>
    </row>
    <row r="83" spans="2:16" ht="15" outlineLevel="1">
      <c r="B83" s="179"/>
      <c r="C83" s="180" t="s">
        <v>72</v>
      </c>
      <c r="D83" s="180" t="s">
        <v>372</v>
      </c>
      <c r="E83" s="276"/>
      <c r="F83" s="212" t="str">
        <f t="array" ref="F83">IF(C83="","",IF(OR(C83=Списки!$AG$15:$AG$17),"нет","да"))</f>
        <v>нет</v>
      </c>
      <c r="G83" s="204"/>
      <c r="H83" s="210"/>
      <c r="I83" s="193">
        <f>ROUNDUP(0.5*F56,)</f>
        <v>2</v>
      </c>
      <c r="J83" s="260">
        <f>IF(C56="нет",0,ROUNDUP(IF(H83="",I83,H83),1))</f>
        <v>2</v>
      </c>
      <c r="K83" s="178" t="s">
        <v>212</v>
      </c>
      <c r="L83" s="965"/>
      <c r="M83" s="188">
        <f>IFERROR(IF(L83&lt;&gt;"","",VLOOKUP(C83&amp;D83&amp;K83,НН!A:J,10,)),"")</f>
        <v>1207.8</v>
      </c>
      <c r="N83" s="202">
        <f t="shared" si="4"/>
        <v>2415.6</v>
      </c>
      <c r="O83" s="167" t="s">
        <v>373</v>
      </c>
      <c r="P83" s="214"/>
    </row>
    <row r="84" spans="2:16" ht="15" outlineLevel="1">
      <c r="B84" s="179"/>
      <c r="C84" s="180" t="s">
        <v>72</v>
      </c>
      <c r="D84" s="180" t="s">
        <v>374</v>
      </c>
      <c r="E84" s="276"/>
      <c r="F84" s="212" t="str">
        <f t="array" ref="F84">IF(C84="","",IF(OR(C84=Списки!$AG$15:$AG$17),"нет","да"))</f>
        <v>нет</v>
      </c>
      <c r="G84" s="204"/>
      <c r="H84" s="210"/>
      <c r="I84" s="193">
        <f>ROUNDUP(0.5*F56,)</f>
        <v>2</v>
      </c>
      <c r="J84" s="260">
        <f>IF(C56="нет",0,ROUNDUP(IF(H84="",I84,H84),1))</f>
        <v>2</v>
      </c>
      <c r="K84" s="178" t="s">
        <v>212</v>
      </c>
      <c r="L84" s="965"/>
      <c r="M84" s="188">
        <f>IFERROR(IF(L84&lt;&gt;"","",VLOOKUP(C84&amp;D84&amp;K84,НН!A:J,10,)),"")</f>
        <v>1207.8</v>
      </c>
      <c r="N84" s="202">
        <f t="shared" si="4"/>
        <v>2415.6</v>
      </c>
      <c r="O84" s="167" t="s">
        <v>373</v>
      </c>
      <c r="P84" s="214"/>
    </row>
    <row r="85" spans="2:16" ht="24" outlineLevel="1">
      <c r="B85" s="179"/>
      <c r="C85" s="180" t="s">
        <v>72</v>
      </c>
      <c r="D85" s="241" t="s">
        <v>375</v>
      </c>
      <c r="E85" s="276"/>
      <c r="F85" s="212" t="str">
        <f t="array" ref="F85">IF(C85="","",IF(OR(C85=Списки!$AG$15:$AG$17),"нет","да"))</f>
        <v>нет</v>
      </c>
      <c r="G85" s="204"/>
      <c r="H85" s="184"/>
      <c r="I85" s="193">
        <f>J51*1+J52*1</f>
        <v>9.4247779607693793</v>
      </c>
      <c r="J85" s="260">
        <f>ROUNDUP(IF(ОЛ_КОЛОДЦА!$E$59="нет",0,IF(H85="",I85,H85)),1)</f>
        <v>9.5</v>
      </c>
      <c r="K85" s="178" t="s">
        <v>212</v>
      </c>
      <c r="L85" s="965"/>
      <c r="M85" s="188">
        <f>IFERROR(IF(L85&lt;&gt;"","",VLOOKUP(C85&amp;D85&amp;K85,НН!A:J,10,)),"")</f>
        <v>1207.8</v>
      </c>
      <c r="N85" s="202">
        <f t="shared" si="4"/>
        <v>11474.1</v>
      </c>
      <c r="O85" s="167" t="s">
        <v>376</v>
      </c>
      <c r="P85" s="214"/>
    </row>
    <row r="86" spans="2:16" ht="11.45" customHeight="1">
      <c r="B86" s="179"/>
      <c r="C86" s="306"/>
      <c r="D86" s="307" t="s">
        <v>377</v>
      </c>
      <c r="E86" s="308"/>
      <c r="F86" s="309"/>
      <c r="G86" s="310"/>
      <c r="H86" s="311"/>
      <c r="I86" s="312"/>
      <c r="J86" s="313"/>
      <c r="K86" s="314"/>
      <c r="L86" s="315"/>
      <c r="M86" s="316"/>
      <c r="N86" s="317"/>
      <c r="O86" s="167"/>
      <c r="P86" s="168"/>
    </row>
    <row r="87" spans="2:16" ht="18">
      <c r="B87" s="179"/>
      <c r="C87" s="319"/>
      <c r="D87" s="320"/>
      <c r="E87" s="321" t="s">
        <v>378</v>
      </c>
      <c r="F87" s="322"/>
      <c r="G87" s="323">
        <f>SUM(G14:G86)</f>
        <v>1601.8768</v>
      </c>
      <c r="H87" s="320"/>
      <c r="I87" s="320"/>
      <c r="J87" s="324"/>
      <c r="K87" s="325"/>
      <c r="L87" s="326"/>
      <c r="M87" s="327"/>
      <c r="N87" s="328">
        <f ca="1">IF($E$14=Списки!$AI$3,SUM($N$16:$N$86),SUM($N$14:$N$86))</f>
        <v>308979.31017451995</v>
      </c>
      <c r="O87" s="329"/>
      <c r="P87" s="330"/>
    </row>
    <row r="88" spans="2:16" ht="15.75">
      <c r="B88" s="179"/>
      <c r="C88" s="319"/>
      <c r="D88" s="332"/>
      <c r="E88" s="333" t="s">
        <v>379</v>
      </c>
      <c r="F88" s="334"/>
      <c r="G88" s="335"/>
      <c r="H88" s="336"/>
      <c r="I88" s="336"/>
      <c r="J88" s="337"/>
      <c r="K88" s="338"/>
      <c r="L88" s="339"/>
      <c r="M88" s="340"/>
      <c r="N88" s="341">
        <f t="array" ref="N88">SUM(SUMIF($C$16:$C$86,Списки!$AG$2:$AG$14,$N$16:$N$86))</f>
        <v>15923.973070577034</v>
      </c>
      <c r="O88" s="329"/>
      <c r="P88" s="331"/>
    </row>
    <row r="89" spans="2:16" ht="24">
      <c r="B89" s="179"/>
      <c r="C89" s="319"/>
      <c r="D89" s="342"/>
      <c r="E89" s="343" t="s">
        <v>380</v>
      </c>
      <c r="F89" s="344"/>
      <c r="G89" s="345"/>
      <c r="H89" s="346"/>
      <c r="I89" s="347"/>
      <c r="J89" s="348"/>
      <c r="K89" s="349"/>
      <c r="L89" s="350"/>
      <c r="M89" s="351"/>
      <c r="N89" s="352">
        <f>IF($E$14=Списки!$AI$3,SUMIFS(N16:N77,D16:D77,"муфта*",F16:F77,"нет")+SUMIFS(N16:N77,D16:D77,"Труба*",F16:F77,"нет"),N14+SUMIFS(N16:N77,D16:D77,"муфта*",F16:F77,"нет")+SUMIFS(N16:N77,D16:D77,"Труба*",F16:F77,"нет"))+SUMIFS(N16:N77,E16:E77,"муфта*",F16:F77,"нет")</f>
        <v>7.1</v>
      </c>
      <c r="O89" s="214"/>
      <c r="P89" s="353" t="s">
        <v>381</v>
      </c>
    </row>
    <row r="90" spans="2:16" ht="15.75">
      <c r="B90" s="179"/>
      <c r="C90" s="319"/>
      <c r="D90" s="332"/>
      <c r="E90" s="333" t="s">
        <v>382</v>
      </c>
      <c r="F90" s="334"/>
      <c r="G90" s="335"/>
      <c r="H90" s="336"/>
      <c r="I90" s="336"/>
      <c r="J90" s="354">
        <f>ROUNDUP(SUMIFS($J$14:$J$86,$K$14:$K$86,Списки!$S$5)-SUMIFS($J$14:$J$86,$K$14:$K$86,Списки!$S$5,$D$14:$D$86,"*изготов*"),1)</f>
        <v>169</v>
      </c>
      <c r="K90" s="338" t="s">
        <v>212</v>
      </c>
      <c r="L90" s="339"/>
      <c r="M90" s="340"/>
      <c r="N90" s="341">
        <f>SUMIF($K$14:$K$86,Списки!$S$5,$N$14:$N$86)-SUMIFS($N$14:$N$86,$K$14:$K$86,Списки!$S$5,$D$14:$D$86,"*изготов*")</f>
        <v>204071.74615384624</v>
      </c>
      <c r="O90" s="329"/>
      <c r="P90" s="331"/>
    </row>
    <row r="91" spans="2:16" ht="15.75">
      <c r="B91" s="179"/>
      <c r="C91" s="319"/>
      <c r="D91" s="332"/>
      <c r="E91" s="333" t="s">
        <v>383</v>
      </c>
      <c r="F91" s="334"/>
      <c r="G91" s="335"/>
      <c r="H91" s="336"/>
      <c r="I91" s="336"/>
      <c r="J91" s="354">
        <f>ROUNDUP(SUMIFS($J$14:$J$86,$K$14:$K$86,Списки!$S$5,$D$14:$D$86,"*изготов*"),1)</f>
        <v>2</v>
      </c>
      <c r="K91" s="338" t="s">
        <v>212</v>
      </c>
      <c r="L91" s="339"/>
      <c r="M91" s="340"/>
      <c r="N91" s="341">
        <f>SUMIFS($N$14:$N$86,$K$14:$K$86,Списки!$S$5,$D$14:$D$86,"*изготов*")</f>
        <v>2415.6</v>
      </c>
      <c r="O91" s="355"/>
      <c r="P91" s="331"/>
    </row>
    <row r="92" spans="2:16" ht="15.75">
      <c r="B92" s="179"/>
      <c r="C92" s="319"/>
      <c r="D92" s="332"/>
      <c r="E92" s="333" t="s">
        <v>384</v>
      </c>
      <c r="F92" s="334"/>
      <c r="G92" s="335"/>
      <c r="H92" s="336"/>
      <c r="I92" s="336"/>
      <c r="J92" s="354">
        <f>SUMIFS($J$14:$J$86,$K$14:$K$86,Списки!$S$4)</f>
        <v>339.99948820391967</v>
      </c>
      <c r="K92" s="338" t="s">
        <v>193</v>
      </c>
      <c r="L92" s="339"/>
      <c r="M92" s="340"/>
      <c r="N92" s="341">
        <f>SUMIF($K$14:$K$86,Списки!$S$4,$N$14:$N$86)</f>
        <v>86560.890950096742</v>
      </c>
      <c r="O92" s="355"/>
      <c r="P92" s="331"/>
    </row>
    <row r="93" spans="2:16" ht="17.45" customHeight="1">
      <c r="B93" s="386">
        <v>2</v>
      </c>
      <c r="C93" s="208"/>
      <c r="D93" s="278" t="s">
        <v>385</v>
      </c>
      <c r="E93" s="279"/>
      <c r="F93" s="280" t="str">
        <f t="array" ref="F93">IF(ISBLANK(C93),"",IF(OR(C93=Списки!$AG$15:$AG$17),"нет","да"))</f>
        <v/>
      </c>
      <c r="G93" s="216"/>
      <c r="H93" s="281"/>
      <c r="I93" s="261"/>
      <c r="J93" s="219"/>
      <c r="K93" s="220"/>
      <c r="L93" s="255"/>
      <c r="M93" s="256" t="str">
        <f t="array" aca="1" ref="M93" ca="1">IF(D93="ФОТ",I93*#REF!,IFERROR(IF(L93&lt;&gt;"","",IF((VLOOKUP(D93&amp;K93,INDIRECT("'"&amp;INDEX(Списки!$AG$2:$AG$17,MATCH(TRUE,COUNTIF(INDIRECT("'"&amp;Списки!$AG$2:$AG$17 &amp;"'!A1:A300000"),D93&amp;K93)&gt;0,0))&amp;"'!A:h"),7,0))=0,"",VLOOKUP(D93&amp;K93,INDIRECT("'"&amp;INDEX(Списки!$AG$2:$AG$17,MATCH(TRUE,COUNTIF(INDIRECT("'"&amp;Списки!$AG$2:$AG$17 &amp;"'!A1:A300000"),D93&amp;K93)&gt;0,0))&amp;"'!A:h"),7,0))),""))</f>
        <v/>
      </c>
      <c r="N93" s="356"/>
      <c r="O93" s="167"/>
      <c r="P93" s="168"/>
    </row>
    <row r="94" spans="2:16" ht="17.45" customHeight="1">
      <c r="B94" s="169" t="s">
        <v>398</v>
      </c>
      <c r="C94" s="208"/>
      <c r="D94" s="357" t="s">
        <v>386</v>
      </c>
      <c r="E94" s="279"/>
      <c r="F94" s="280"/>
      <c r="G94" s="216"/>
      <c r="H94" s="281"/>
      <c r="I94" s="261"/>
      <c r="J94" s="358">
        <v>1</v>
      </c>
      <c r="K94" s="178" t="s">
        <v>129</v>
      </c>
      <c r="L94" s="255"/>
      <c r="M94" s="256" t="str">
        <f t="array" aca="1" ref="M94" ca="1">IFERROR(IF(L94&lt;&gt;"","",IF((VLOOKUP(D94&amp;K94,INDIRECT("'"&amp;INDEX(Списки!$AG$2:$AG$17,MATCH(TRUE,COUNTIF(INDIRECT("'"&amp;Списки!$AG$2:$AG$17 &amp;"'!A1:A300000"),D94&amp;K94)&gt;0,0))&amp;"'!A:h"),7,0))=0,"",VLOOKUP(D94&amp;K94,INDIRECT("'"&amp;INDEX(Списки!$AG$2:$AG$17,MATCH(TRUE,COUNTIF(INDIRECT("'"&amp;Списки!$AG$2:$AG$17 &amp;"'!A1:A300000"),D94&amp;K94)&gt;0,0))&amp;"'!A:h"),7,0))),"")</f>
        <v/>
      </c>
      <c r="N94" s="356"/>
      <c r="O94" s="167"/>
      <c r="P94" s="168"/>
    </row>
    <row r="95" spans="2:16" ht="15" outlineLevel="1">
      <c r="B95" s="179"/>
      <c r="C95" s="180" t="s">
        <v>68</v>
      </c>
      <c r="D95" s="208" t="s">
        <v>387</v>
      </c>
      <c r="E95" s="287"/>
      <c r="F95" s="212" t="str">
        <f t="array" ref="F95">IF(C95="","",IF(OR(C95=Списки!$AG$15:$AG$17),"нет","да"))</f>
        <v>да</v>
      </c>
      <c r="G95" s="204"/>
      <c r="H95" s="210"/>
      <c r="I95" s="193">
        <v>10</v>
      </c>
      <c r="J95" s="186">
        <f>IF(OR(ОЛ_КОЛОДЦА!$E$48=Списки!$H$3,ОЛ_КОЛОДЦА!$E$48=Списки!$H$5),0,IF(H95="",I95,H95))*J94</f>
        <v>10</v>
      </c>
      <c r="K95" s="178" t="s">
        <v>163</v>
      </c>
      <c r="L95" s="226"/>
      <c r="M95" s="188">
        <f>IFERROR(IF(L95&lt;&gt;"","",VLOOKUP(C95&amp;D95&amp;K95,НН!A:J,10,)),"")</f>
        <v>850</v>
      </c>
      <c r="N95" s="202">
        <f t="shared" ref="N95:N97" si="6">IFERROR(IF(L95="",M95*J95,J95*L95),"")</f>
        <v>8500</v>
      </c>
      <c r="O95" s="167"/>
      <c r="P95" s="168"/>
    </row>
    <row r="96" spans="2:16" ht="24" outlineLevel="1">
      <c r="B96" s="179"/>
      <c r="C96" s="180" t="s">
        <v>68</v>
      </c>
      <c r="D96" s="180" t="s">
        <v>388</v>
      </c>
      <c r="E96" s="287"/>
      <c r="F96" s="212" t="str">
        <f t="array" ref="F96">IF(C96="","",IF(OR(C96=Списки!$AG$15:$AG$17),"нет","да"))</f>
        <v>да</v>
      </c>
      <c r="G96" s="204"/>
      <c r="H96" s="210"/>
      <c r="I96" s="193">
        <f>IF(H96="",2,"")</f>
        <v>2</v>
      </c>
      <c r="J96" s="186">
        <f>IF(OR(ОЛ_КОЛОДЦА!$E$48=Списки!$H$3,ОЛ_КОЛОДЦА!$E$48=Списки!$H$5),0,IF(H96="",I96,H96))*J94</f>
        <v>2</v>
      </c>
      <c r="K96" s="178" t="s">
        <v>223</v>
      </c>
      <c r="L96" s="226"/>
      <c r="M96" s="188">
        <f>IFERROR(IF(L96&lt;&gt;"","",VLOOKUP(C96&amp;D96&amp;K96,НН!A:J,10,)),"")</f>
        <v>8750</v>
      </c>
      <c r="N96" s="202">
        <f t="shared" si="6"/>
        <v>17500</v>
      </c>
      <c r="O96" s="167"/>
      <c r="P96" s="168"/>
    </row>
    <row r="97" spans="2:16" ht="24" outlineLevel="1">
      <c r="B97" s="179"/>
      <c r="C97" s="180" t="s">
        <v>68</v>
      </c>
      <c r="D97" s="180" t="s">
        <v>389</v>
      </c>
      <c r="E97" s="287"/>
      <c r="F97" s="212" t="str">
        <f t="array" ref="F97">IF(C97="","",IF(OR(C97=Списки!$AG$15:$AG$17),"нет","да"))</f>
        <v>да</v>
      </c>
      <c r="G97" s="204"/>
      <c r="H97" s="210"/>
      <c r="I97" s="193">
        <f>IF(H97="",ROUNDUP(2*(ОЛ_КОЛОДЦА!E42/1000),),"")</f>
        <v>4</v>
      </c>
      <c r="J97" s="186">
        <f>IF(OR(ОЛ_КОЛОДЦА!$E$48=Списки!$H$3,ОЛ_КОЛОДЦА!$E$48=Списки!$H$5),0,IF(H97="",I97,H97))*J94</f>
        <v>4</v>
      </c>
      <c r="K97" s="178" t="s">
        <v>163</v>
      </c>
      <c r="L97" s="226"/>
      <c r="M97" s="188">
        <f>IFERROR(IF(L97&lt;&gt;"","",VLOOKUP(C97&amp;D97&amp;K97,НН!A:J,10,)),"")</f>
        <v>3900</v>
      </c>
      <c r="N97" s="202">
        <f t="shared" si="6"/>
        <v>15600</v>
      </c>
      <c r="O97" s="167"/>
      <c r="P97" s="168"/>
    </row>
    <row r="98" spans="2:16" ht="15" outlineLevel="1">
      <c r="B98" s="179"/>
      <c r="C98" s="180" t="s">
        <v>68</v>
      </c>
      <c r="D98" s="180" t="s">
        <v>362</v>
      </c>
      <c r="E98" s="287"/>
      <c r="F98" s="212" t="str">
        <f t="array" ref="F98">IF(C98="","",IF(OR(C98=Списки!$AG$15:$AG$17),"нет","да"))</f>
        <v>да</v>
      </c>
      <c r="G98" s="204"/>
      <c r="H98" s="184"/>
      <c r="I98" s="272">
        <f>I99*(3.14*0.05)</f>
        <v>0.47100000000000009</v>
      </c>
      <c r="J98" s="234">
        <f>IF(OR(ОЛ_КОЛОДЦА!$E$48=Списки!$H$3,ОЛ_КОЛОДЦА!$E$48=Списки!$H$5),0,IF(H98="",I98,H98))*J94</f>
        <v>0.47100000000000009</v>
      </c>
      <c r="K98" s="178" t="s">
        <v>163</v>
      </c>
      <c r="L98" s="226"/>
      <c r="M98" s="188">
        <f>IFERROR(IF(L98&lt;&gt;"","",VLOOKUP(C98&amp;D98&amp;K98,НН!A:J,10,)),"")</f>
        <v>125</v>
      </c>
      <c r="N98" s="202">
        <f t="shared" ref="N98:N105" si="7">IFERROR(IF(L98="",M98*J98,J98*L98),"")</f>
        <v>58.875000000000014</v>
      </c>
      <c r="O98" s="167"/>
      <c r="P98" s="168"/>
    </row>
    <row r="99" spans="2:16" ht="24" outlineLevel="1">
      <c r="B99" s="179"/>
      <c r="C99" s="180" t="s">
        <v>64</v>
      </c>
      <c r="D99" s="208" t="s">
        <v>390</v>
      </c>
      <c r="E99" s="224" t="str">
        <f>"Для подъема и спуска корзины L= "&amp;ROUNDUP((ОЛ_КОЛОДЦА!E42/1000+1),0)&amp;" м"</f>
        <v>Для подъема и спуска корзины L= 3 м</v>
      </c>
      <c r="F99" s="212" t="str">
        <f t="array" ref="F99">IF(C99="","",IF(OR(C99=Списки!$AG$15:$AG$17),"нет","да"))</f>
        <v>да</v>
      </c>
      <c r="G99" s="204"/>
      <c r="H99" s="184"/>
      <c r="I99" s="213">
        <f>IF(H99="",ROUNDUP((ОЛ_КОЛОДЦА!E42/1000+1),),"")</f>
        <v>3</v>
      </c>
      <c r="J99" s="234">
        <f>IF(OR(ОЛ_КОЛОДЦА!$E$48=Списки!$H$3,ОЛ_КОЛОДЦА!$E$48=Списки!$H$5),0,IF(H99="",I99,H99))*J94</f>
        <v>3</v>
      </c>
      <c r="K99" s="178" t="s">
        <v>163</v>
      </c>
      <c r="L99" s="226"/>
      <c r="M99" s="188">
        <f>IFERROR(IF(L99&lt;&gt;"","",VLOOKUP(C99&amp;D99&amp;K99,НН!A:J,10,)),"")</f>
        <v>180</v>
      </c>
      <c r="N99" s="202">
        <f t="shared" si="7"/>
        <v>540</v>
      </c>
      <c r="O99" s="167"/>
      <c r="P99" s="168"/>
    </row>
    <row r="100" spans="2:16" ht="15" outlineLevel="1">
      <c r="B100" s="179"/>
      <c r="C100" s="180" t="s">
        <v>64</v>
      </c>
      <c r="D100" s="241" t="s">
        <v>364</v>
      </c>
      <c r="E100" s="255"/>
      <c r="F100" s="212" t="str">
        <f t="array" ref="F100">IF(C100="","",IF(OR(C100=Списки!$AG$15:$AG$17),"нет","да"))</f>
        <v>да</v>
      </c>
      <c r="G100" s="204"/>
      <c r="H100" s="184"/>
      <c r="I100" s="213">
        <f>IF(H100="",ROUNDUP(I99/2,),"")</f>
        <v>2</v>
      </c>
      <c r="J100" s="234">
        <f>IF(OR(ОЛ_КОЛОДЦА!$E$48=Списки!$H$3,ОЛ_КОЛОДЦА!$E$48=Списки!$H$5),0,I100)*J94</f>
        <v>2</v>
      </c>
      <c r="K100" s="178" t="s">
        <v>129</v>
      </c>
      <c r="L100" s="226"/>
      <c r="M100" s="188">
        <f>IFERROR(IF(L100&lt;&gt;"","",VLOOKUP(C100&amp;D100&amp;K100,НН!A:J,10,)),"")</f>
        <v>320</v>
      </c>
      <c r="N100" s="202">
        <f t="shared" si="7"/>
        <v>640</v>
      </c>
      <c r="O100" s="167"/>
      <c r="P100" s="168"/>
    </row>
    <row r="101" spans="2:16" ht="15">
      <c r="B101" s="169" t="s">
        <v>404</v>
      </c>
      <c r="C101" s="180"/>
      <c r="D101" s="278" t="s">
        <v>391</v>
      </c>
      <c r="E101" s="229"/>
      <c r="F101" s="293" t="str">
        <f t="array" ref="F101">IF(ISBLANK(C101),"",IF(OR(C101=Списки!$AG$15:$AG$17),"нет","да"))</f>
        <v/>
      </c>
      <c r="G101" s="216"/>
      <c r="H101" s="230"/>
      <c r="I101" s="261"/>
      <c r="J101" s="219"/>
      <c r="K101" s="220"/>
      <c r="L101" s="255"/>
      <c r="M101" s="256" t="str">
        <f t="array" aca="1" ref="M101" ca="1">IF(D101="ФОТ",I101*#REF!,IFERROR(IF(L101&lt;&gt;"","",IF((VLOOKUP(D101&amp;K101,INDIRECT("'"&amp;INDEX(Списки!$AG$2:$AG$17,MATCH(TRUE,COUNTIF(INDIRECT("'"&amp;Списки!$AG$2:$AG$17 &amp;"'!A1:A300000"),D101&amp;K101)&gt;0,0))&amp;"'!A:h"),7,0))=0,"",VLOOKUP(D101&amp;K101,INDIRECT("'"&amp;INDEX(Списки!$AG$2:$AG$17,MATCH(TRUE,COUNTIF(INDIRECT("'"&amp;Списки!$AG$2:$AG$17 &amp;"'!A1:A300000"),D101&amp;K101)&gt;0,0))&amp;"'!A:h"),7,0))),""))</f>
        <v/>
      </c>
      <c r="N101" s="202"/>
      <c r="O101" s="167"/>
      <c r="P101" s="168"/>
    </row>
    <row r="102" spans="2:16" ht="15" outlineLevel="1">
      <c r="B102" s="179"/>
      <c r="C102" s="180" t="s">
        <v>72</v>
      </c>
      <c r="D102" s="180" t="s">
        <v>392</v>
      </c>
      <c r="E102" s="359"/>
      <c r="F102" s="212" t="str">
        <f t="array" ref="F102">IF(C102="","",IF(OR(C102=Списки!$AG$15:$AG$17),"нет","да"))</f>
        <v>нет</v>
      </c>
      <c r="G102" s="204"/>
      <c r="H102" s="210"/>
      <c r="I102" s="193">
        <f>IF(G1&lt;2500,6,7)*J94</f>
        <v>6</v>
      </c>
      <c r="J102" s="194">
        <f>ROUNDUP(IF(OR(ОЛ_КОЛОДЦА!$E$48=Списки!$H$3,ОЛ_КОЛОДЦА!$E$48=Списки!$H$5),0,IF(H102="",I102,H102)),1)</f>
        <v>6</v>
      </c>
      <c r="K102" s="178" t="s">
        <v>212</v>
      </c>
      <c r="L102" s="187"/>
      <c r="M102" s="188">
        <f>IFERROR(IF(L102&lt;&gt;"","",VLOOKUP(C102&amp;D102&amp;K102,НН!A:J,10,)),"")</f>
        <v>1207.8</v>
      </c>
      <c r="N102" s="202">
        <f t="shared" si="7"/>
        <v>7246.7999999999993</v>
      </c>
      <c r="O102" s="167"/>
      <c r="P102" s="168"/>
    </row>
    <row r="103" spans="2:16" ht="15" outlineLevel="1">
      <c r="B103" s="179"/>
      <c r="C103" s="180" t="s">
        <v>72</v>
      </c>
      <c r="D103" s="180" t="s">
        <v>393</v>
      </c>
      <c r="E103" s="359"/>
      <c r="F103" s="212" t="str">
        <f t="array" ref="F103">IF(C103="","",IF(OR(C103=Списки!$AG$15:$AG$17),"нет","да"))</f>
        <v>нет</v>
      </c>
      <c r="G103" s="204"/>
      <c r="H103" s="210"/>
      <c r="I103" s="193">
        <f>IF(G1&lt;2500,5,6)*J94</f>
        <v>5</v>
      </c>
      <c r="J103" s="194">
        <f>ROUNDUP(IF(OR(ОЛ_КОЛОДЦА!$E$48=Списки!$H$3,ОЛ_КОЛОДЦА!$E$48=Списки!$H$5),0,IF(H103="",I103,H103)),1)</f>
        <v>5</v>
      </c>
      <c r="K103" s="178" t="s">
        <v>212</v>
      </c>
      <c r="L103" s="187"/>
      <c r="M103" s="188">
        <f>IFERROR(IF(L103&lt;&gt;"","",VLOOKUP(C103&amp;D103&amp;K103,НН!A:J,10,)),"")</f>
        <v>1207.8</v>
      </c>
      <c r="N103" s="202">
        <f t="shared" si="7"/>
        <v>6039</v>
      </c>
      <c r="O103" s="167"/>
      <c r="P103" s="168"/>
    </row>
    <row r="104" spans="2:16" ht="24" outlineLevel="1">
      <c r="B104" s="360"/>
      <c r="C104" s="180" t="s">
        <v>72</v>
      </c>
      <c r="D104" s="180" t="s">
        <v>394</v>
      </c>
      <c r="E104" s="359"/>
      <c r="F104" s="212" t="str">
        <f t="array" ref="F104">IF(C104="","",IF(OR(C104=Списки!$AG$15:$AG$17),"нет","да"))</f>
        <v>нет</v>
      </c>
      <c r="G104" s="204"/>
      <c r="H104" s="210"/>
      <c r="I104" s="193">
        <f>2*J94</f>
        <v>2</v>
      </c>
      <c r="J104" s="194">
        <f>ROUNDUP(IF(OR(ОЛ_КОЛОДЦА!$E$48=Списки!$H$3,ОЛ_КОЛОДЦА!$E$48=Списки!$H$5),0,IF(H104="",I104,H104)),1)</f>
        <v>2</v>
      </c>
      <c r="K104" s="178" t="s">
        <v>212</v>
      </c>
      <c r="L104" s="187"/>
      <c r="M104" s="188">
        <f>IFERROR(IF(L104&lt;&gt;"","",VLOOKUP(C104&amp;D104&amp;K104,НН!A:J,10,)),"")</f>
        <v>1207.8</v>
      </c>
      <c r="N104" s="202">
        <f t="shared" si="7"/>
        <v>2415.6</v>
      </c>
      <c r="O104" s="167" t="s">
        <v>395</v>
      </c>
      <c r="P104" s="168"/>
    </row>
    <row r="105" spans="2:16" ht="15" outlineLevel="1">
      <c r="B105" s="360"/>
      <c r="C105" s="180" t="s">
        <v>72</v>
      </c>
      <c r="D105" s="180" t="s">
        <v>396</v>
      </c>
      <c r="E105" s="359"/>
      <c r="F105" s="212" t="str">
        <f t="array" ref="F105">IF(C105="","",IF(OR(C105=Списки!$AG$15:$AG$17),"нет","да"))</f>
        <v>нет</v>
      </c>
      <c r="G105" s="204"/>
      <c r="H105" s="210"/>
      <c r="I105" s="193">
        <f>2*J94</f>
        <v>2</v>
      </c>
      <c r="J105" s="194">
        <f>ROUNDUP(IF(OR(ОЛ_КОЛОДЦА!$E$48=Списки!$H$3,ОЛ_КОЛОДЦА!$E$48=Списки!$H$5),0,IF(H105="",I105,H105)),1)</f>
        <v>2</v>
      </c>
      <c r="K105" s="178" t="s">
        <v>212</v>
      </c>
      <c r="L105" s="187"/>
      <c r="M105" s="188">
        <f>IFERROR(IF(L105&lt;&gt;"","",VLOOKUP(C105&amp;D105&amp;K105,НН!A:J,10,)),"")</f>
        <v>1207.8</v>
      </c>
      <c r="N105" s="202">
        <f t="shared" si="7"/>
        <v>2415.6</v>
      </c>
      <c r="O105" s="167"/>
      <c r="P105" s="168"/>
    </row>
    <row r="106" spans="2:16" ht="15" outlineLevel="1">
      <c r="B106" s="360"/>
      <c r="C106" s="306"/>
      <c r="D106" s="307" t="s">
        <v>377</v>
      </c>
      <c r="E106" s="362"/>
      <c r="F106" s="309"/>
      <c r="G106" s="310"/>
      <c r="H106" s="311"/>
      <c r="I106" s="363"/>
      <c r="J106" s="364"/>
      <c r="K106" s="314"/>
      <c r="L106" s="315"/>
      <c r="M106" s="316" t="str">
        <f t="array" aca="1" ref="M106" ca="1">IFERROR(IF(L106&lt;&gt;"","",IF((VLOOKUP(D106&amp;K106,INDIRECT("'"&amp;INDEX(Списки!$AG$2:$AG$17,MATCH(TRUE,COUNTIF(INDIRECT("'"&amp;Списки!$AG$2:$AG$17 &amp;"'!A1:A300000"),D106&amp;K106)&gt;0,0))&amp;"'!A:h"),7,0))=0,"",VLOOKUP(D106&amp;K106,INDIRECT("'"&amp;INDEX(Списки!$AG$2:$AG$17,MATCH(TRUE,COUNTIF(INDIRECT("'"&amp;Списки!$AG$2:$AG$17 &amp;"'!A1:A300000"),D106&amp;K106)&gt;0,0))&amp;"'!A:h"),7,0))),"")</f>
        <v/>
      </c>
      <c r="N106" s="317"/>
      <c r="O106" s="365"/>
      <c r="P106" s="298"/>
    </row>
    <row r="107" spans="2:16" ht="18">
      <c r="B107" s="360"/>
      <c r="C107" s="319"/>
      <c r="D107" s="320"/>
      <c r="E107" s="366" t="s">
        <v>397</v>
      </c>
      <c r="F107" s="322"/>
      <c r="G107" s="367">
        <f>SUM(G95:G106)</f>
        <v>0</v>
      </c>
      <c r="H107" s="320"/>
      <c r="I107" s="320"/>
      <c r="J107" s="368"/>
      <c r="K107" s="368"/>
      <c r="L107" s="369"/>
      <c r="M107" s="370" t="str">
        <f t="array" aca="1" ref="M107" ca="1">IFERROR(IF(L107&lt;&gt;"","",IF((VLOOKUP(D107&amp;K107,INDIRECT("'"&amp;INDEX(Списки!$AG$2:$AG$17,MATCH(TRUE,COUNTIF(INDIRECT("'"&amp;Списки!$AG$2:$AG$17 &amp;"'!A1:A300000"),D107&amp;K107)&gt;0,0))&amp;"'!A:h"),7,0))=0,"",VLOOKUP(D107&amp;K107,INDIRECT("'"&amp;INDEX(Списки!$AG$2:$AG$17,MATCH(TRUE,COUNTIF(INDIRECT("'"&amp;Списки!$AG$2:$AG$17 &amp;"'!A1:A300000"),D107&amp;K107)&gt;0,0))&amp;"'!A:h"),7,0))),"")</f>
        <v/>
      </c>
      <c r="N107" s="328">
        <f>IF(OR(ОЛ_КОЛОДЦА!$E$48=Списки!$H$3,ОЛ_КОЛОДЦА!$E$48=Списки!$H$5),0,SUM(N95:N106))</f>
        <v>60955.875</v>
      </c>
      <c r="O107" s="371"/>
      <c r="P107" s="331"/>
    </row>
    <row r="108" spans="2:16" ht="15.75">
      <c r="B108" s="360"/>
      <c r="C108" s="319"/>
      <c r="D108" s="320"/>
      <c r="E108" s="333" t="s">
        <v>379</v>
      </c>
      <c r="F108" s="372"/>
      <c r="G108" s="373"/>
      <c r="H108" s="374"/>
      <c r="I108" s="374"/>
      <c r="J108" s="375"/>
      <c r="K108" s="376"/>
      <c r="L108" s="377"/>
      <c r="M108" s="378"/>
      <c r="N108" s="341">
        <f t="array" ref="N108">IF(OR(ОЛ_КОЛОДЦА!$E$48=Списки!$H$3,ОЛ_КОЛОДЦА!$E$48=Списки!$H$5),0,SUM(SUMIF(C95:C106,Списки!$AG$2:$AG$14,N95:N106)))</f>
        <v>42838.875</v>
      </c>
      <c r="O108" s="379"/>
      <c r="P108" s="331"/>
    </row>
    <row r="109" spans="2:16" ht="15.75">
      <c r="B109" s="360"/>
      <c r="C109" s="319"/>
      <c r="D109" s="380"/>
      <c r="E109" s="333" t="s">
        <v>382</v>
      </c>
      <c r="F109" s="372"/>
      <c r="G109" s="381"/>
      <c r="H109" s="374"/>
      <c r="I109" s="374"/>
      <c r="J109" s="382">
        <f>ROUNDUP(SUMIFS($J$94:$J$105,$K$94:$K$105,Списки!$S$5)-SUMIFS($J$94:$J$105,$K$94:$K$105,Списки!$S$5,$D$94:$D$105,"*изготов*"),1)</f>
        <v>7</v>
      </c>
      <c r="K109" s="376" t="s">
        <v>212</v>
      </c>
      <c r="L109" s="383"/>
      <c r="M109" s="384" t="str">
        <f t="array" aca="1" ref="M109" ca="1">IFERROR(IF(L109&lt;&gt;"","",IF((VLOOKUP(D109&amp;K109,INDIRECT("'"&amp;INDEX(Списки!$AG$2:$AG$17,MATCH(TRUE,COUNTIF(INDIRECT("'"&amp;Списки!$AG$2:$AG$17 &amp;"'!A1:A300000"),D109&amp;K109)&gt;0,0))&amp;"'!A:h"),7,0))=0,"",VLOOKUP(D109&amp;K109,INDIRECT("'"&amp;INDEX(Списки!$AG$2:$AG$17,MATCH(TRUE,COUNTIF(INDIRECT("'"&amp;Списки!$AG$2:$AG$17 &amp;"'!A1:A300000"),D109&amp;K109)&gt;0,0))&amp;"'!A:h"),7,0))),"")</f>
        <v/>
      </c>
      <c r="N109" s="385">
        <f>SUMIF($K$95:$K$106,Списки!$S$5,$N$95:$N$106)-SUMIFS($N$95:$N$106,$K$95:$K$106,Списки!$S$5,$D$95:$D$106,"*изготов*")</f>
        <v>8454.6</v>
      </c>
      <c r="O109" s="379"/>
      <c r="P109" s="331"/>
    </row>
    <row r="110" spans="2:16" ht="15.75">
      <c r="B110" s="360"/>
      <c r="C110" s="319"/>
      <c r="D110" s="380"/>
      <c r="E110" s="333" t="s">
        <v>383</v>
      </c>
      <c r="F110" s="372"/>
      <c r="G110" s="381"/>
      <c r="H110" s="374"/>
      <c r="I110" s="374"/>
      <c r="J110" s="382">
        <f>ROUNDUP(SUMIFS($J$99:$J$110,$K$99:$K$110,Списки!$S$5,$D$99:$D$110,"*изготов*"),1)</f>
        <v>8</v>
      </c>
      <c r="K110" s="376" t="s">
        <v>212</v>
      </c>
      <c r="L110" s="383"/>
      <c r="M110" s="384" t="str">
        <f t="array" aca="1" ref="M110" ca="1">IFERROR(IF(L110&lt;&gt;"","",IF((VLOOKUP(D110&amp;K110,INDIRECT("'"&amp;INDEX(Списки!$AG$2:$AG$17,MATCH(TRUE,COUNTIF(INDIRECT("'"&amp;Списки!$AG$2:$AG$17 &amp;"'!A1:A300000"),D110&amp;K110)&gt;0,0))&amp;"'!A:h"),7,0))=0,"",VLOOKUP(D110&amp;K110,INDIRECT("'"&amp;INDEX(Списки!$AG$2:$AG$17,MATCH(TRUE,COUNTIF(INDIRECT("'"&amp;Списки!$AG$2:$AG$17 &amp;"'!A1:A300000"),D110&amp;K110)&gt;0,0))&amp;"'!A:h"),7,0))),"")</f>
        <v/>
      </c>
      <c r="N110" s="385">
        <f>SUMIFS($N$99:$N$110,$K$99:$K$110,Списки!$S$5,$D$99:$D$110,"*изготов*")</f>
        <v>9662.4</v>
      </c>
      <c r="O110" s="379"/>
      <c r="P110" s="331"/>
    </row>
    <row r="111" spans="2:16" ht="21.75" customHeight="1">
      <c r="B111" s="386">
        <v>3</v>
      </c>
      <c r="C111" s="387" t="s">
        <v>115</v>
      </c>
      <c r="D111" s="388" t="s">
        <v>262</v>
      </c>
      <c r="E111" s="389"/>
      <c r="F111" s="390"/>
      <c r="G111" s="391"/>
      <c r="H111" s="389"/>
      <c r="I111" s="392"/>
      <c r="J111" s="392"/>
      <c r="K111" s="393"/>
      <c r="L111" s="394"/>
      <c r="M111" s="395"/>
      <c r="N111" s="390"/>
      <c r="O111" s="214"/>
      <c r="P111" s="168"/>
    </row>
    <row r="112" spans="2:16" ht="15">
      <c r="B112" s="169" t="s">
        <v>411</v>
      </c>
      <c r="C112" s="170"/>
      <c r="D112" s="291" t="s">
        <v>399</v>
      </c>
      <c r="E112" s="292"/>
      <c r="F112" s="293" t="str">
        <f t="array" ref="F112">IF(ISBLANK(C112),"",IF(OR(C112=Списки!$AG$15:$AG$17),"нет","да"))</f>
        <v/>
      </c>
      <c r="G112" s="216"/>
      <c r="H112" s="230"/>
      <c r="I112" s="294"/>
      <c r="J112" s="219"/>
      <c r="K112" s="220"/>
      <c r="L112" s="255"/>
      <c r="M112" s="256"/>
      <c r="N112" s="356"/>
      <c r="O112" s="167"/>
      <c r="P112" s="168"/>
    </row>
    <row r="113" spans="2:16" ht="15" outlineLevel="1">
      <c r="B113" s="169"/>
      <c r="C113" s="683" t="s">
        <v>700</v>
      </c>
      <c r="D113" s="180" t="s">
        <v>400</v>
      </c>
      <c r="E113" s="396"/>
      <c r="F113" s="1361"/>
      <c r="G113" s="1362"/>
      <c r="H113" s="1363"/>
      <c r="I113" s="295">
        <f>IF(H113="",H5/1000+N5/1000,"")</f>
        <v>6.1</v>
      </c>
      <c r="J113" s="178" t="s">
        <v>163</v>
      </c>
      <c r="K113" s="1358"/>
      <c r="L113" s="1359"/>
      <c r="M113" s="1359"/>
      <c r="N113" s="1360"/>
      <c r="O113" s="167"/>
      <c r="P113" s="168"/>
    </row>
    <row r="114" spans="2:16" ht="19.5" customHeight="1" outlineLevel="1">
      <c r="B114" s="179"/>
      <c r="C114" s="180"/>
      <c r="D114" s="180" t="s">
        <v>401</v>
      </c>
      <c r="E114" s="224"/>
      <c r="F114" s="1361"/>
      <c r="G114" s="1362"/>
      <c r="H114" s="1363"/>
      <c r="I114" s="186"/>
      <c r="J114" s="178" t="s">
        <v>163</v>
      </c>
      <c r="K114" s="1364"/>
      <c r="L114" s="1365"/>
      <c r="M114" s="1365"/>
      <c r="N114" s="1366"/>
      <c r="O114" s="167"/>
      <c r="P114" s="168"/>
    </row>
    <row r="115" spans="2:16" ht="15" outlineLevel="2">
      <c r="B115" s="179"/>
      <c r="C115" s="180" t="s">
        <v>68</v>
      </c>
      <c r="D115" s="180" t="s">
        <v>402</v>
      </c>
      <c r="E115" s="396"/>
      <c r="F115" s="212" t="str">
        <f t="array" ref="F115">IF(C115="","",IF(OR(C115=Списки!$AG$15:$AG$17),"нет","да"))</f>
        <v>да</v>
      </c>
      <c r="G115" s="1294">
        <f>1.5*I115</f>
        <v>18.299999999999997</v>
      </c>
      <c r="H115" s="210"/>
      <c r="I115" s="225">
        <f>IF(H115="",(I113+I114)*2,H115)</f>
        <v>12.2</v>
      </c>
      <c r="J115" s="186">
        <f>IF(C111="нет",0,IF(ISBLANK(D115),"",IF(H115="",I115,H115)))</f>
        <v>12.2</v>
      </c>
      <c r="K115" s="178" t="s">
        <v>163</v>
      </c>
      <c r="L115" s="226"/>
      <c r="M115" s="188">
        <f>IF(C113="Алюминиевая",0,IFERROR(IF(L115&lt;&gt;"","",VLOOKUP(C115&amp;D115&amp;K115,НН!A:J,10,)),""))</f>
        <v>1000</v>
      </c>
      <c r="N115" s="202">
        <f>IFERROR(IF(L115="",M115*J115,J115*L115),"")</f>
        <v>12200</v>
      </c>
      <c r="O115" s="167"/>
      <c r="P115" s="168"/>
    </row>
    <row r="116" spans="2:16" ht="15" outlineLevel="2">
      <c r="B116" s="179"/>
      <c r="C116" s="180" t="s">
        <v>68</v>
      </c>
      <c r="D116" s="180" t="s">
        <v>403</v>
      </c>
      <c r="E116" s="255"/>
      <c r="F116" s="212" t="str">
        <f t="array" ref="F116">IF(C116="","",IF(OR(C116=Списки!$AG$15:$AG$17),"нет","да"))</f>
        <v>да</v>
      </c>
      <c r="G116" s="1294">
        <f>1.142*J116</f>
        <v>8.7575085714285699</v>
      </c>
      <c r="H116" s="210"/>
      <c r="I116" s="225">
        <f>IF(H116="",IF(H116="",(I114+I113)*0.44/0.35,H116),"")</f>
        <v>7.6685714285714282</v>
      </c>
      <c r="J116" s="186">
        <f>IF(C111="нет",0,IF(H116="",I116,H116))</f>
        <v>7.6685714285714282</v>
      </c>
      <c r="K116" s="178" t="s">
        <v>163</v>
      </c>
      <c r="L116" s="226"/>
      <c r="M116" s="188">
        <f>IF(C113="Алюминиевая",0,IFERROR(IF(L116&lt;&gt;"","",VLOOKUP(C116&amp;D116&amp;K116,НН!A:J,10,)),""))</f>
        <v>1000</v>
      </c>
      <c r="N116" s="202">
        <f t="shared" ref="N116:N121" si="8">IFERROR(IF(L116="",M116*J116,J116*L116),"")</f>
        <v>7668.5714285714284</v>
      </c>
      <c r="O116" s="167"/>
      <c r="P116" s="168"/>
    </row>
    <row r="117" spans="2:16" ht="15" outlineLevel="1">
      <c r="B117" s="957"/>
      <c r="C117" s="1353"/>
      <c r="D117" s="1354"/>
      <c r="E117" s="1354"/>
      <c r="F117" s="1354"/>
      <c r="G117" s="1354"/>
      <c r="H117" s="1354"/>
      <c r="I117" s="1354"/>
      <c r="J117" s="1354"/>
      <c r="K117" s="1354"/>
      <c r="L117" s="1354"/>
      <c r="M117" s="1354"/>
      <c r="N117" s="1355"/>
      <c r="O117" s="167"/>
      <c r="P117" s="168"/>
    </row>
    <row r="118" spans="2:16" ht="24" outlineLevel="1">
      <c r="B118" s="957"/>
      <c r="C118" s="180" t="s">
        <v>71</v>
      </c>
      <c r="D118" s="180" t="s">
        <v>684</v>
      </c>
      <c r="E118" s="255"/>
      <c r="F118" s="212" t="str">
        <f t="array" ref="F118">IF(C118="","",IF(OR(C118=Списки!$AG$15:$AG$17),"нет","да"))</f>
        <v>да</v>
      </c>
      <c r="G118" s="1294">
        <f>1.142*J118</f>
        <v>1.1419999999999999</v>
      </c>
      <c r="H118" s="210"/>
      <c r="I118" s="225">
        <v>1</v>
      </c>
      <c r="J118" s="186">
        <f>IF(C111="нет",0,IF(ISBLANK(D118),"",IF(H118="",I118,H118)))</f>
        <v>1</v>
      </c>
      <c r="K118" s="178" t="s">
        <v>129</v>
      </c>
      <c r="L118" s="226"/>
      <c r="M118" s="188">
        <f>IF(C113="Нержавеющая сталь",0,IFERROR(IF(L118&lt;&gt;"","",VLOOKUP(C118&amp;D118&amp;K118,НН!A:J,10,)),""))</f>
        <v>0</v>
      </c>
      <c r="N118" s="202">
        <f t="shared" ref="N118" si="9">IFERROR(IF(L118="",M118*J118,J118*L118),"")</f>
        <v>0</v>
      </c>
      <c r="O118" s="167"/>
      <c r="P118" s="168"/>
    </row>
    <row r="119" spans="2:16" ht="15" outlineLevel="1">
      <c r="B119" s="169" t="s">
        <v>444</v>
      </c>
      <c r="C119" s="170"/>
      <c r="D119" s="291" t="s">
        <v>2190</v>
      </c>
      <c r="E119" s="292"/>
      <c r="F119" s="293"/>
      <c r="G119" s="216"/>
      <c r="H119" s="403"/>
      <c r="I119" s="294"/>
      <c r="J119" s="219"/>
      <c r="K119" s="220"/>
      <c r="L119" s="255"/>
      <c r="M119" s="256" t="str">
        <f t="array" aca="1" ref="M119" ca="1">IFERROR(IF((VLOOKUP(D119,INDIRECT("'"&amp;INDEX(Списки!$AG$2:$AG$17,MATCH(TRUE,COUNTIF(INDIRECT("'"&amp;Списки!$AG$2:$AG$17 &amp;"'!A1:A20000"),D119)&gt;0,0))&amp;"'!A:C"),3,0))=0,"",VLOOKUP(D119,INDIRECT("'"&amp;INDEX(Списки!$AG$2:$AG$17,MATCH(TRUE,COUNTIF(INDIRECT("'"&amp;Списки!$AG$2:$AG$17 &amp;"'!A1:A20000"),D119)&gt;0,0))&amp;"'!A:C"),3,0)),"")</f>
        <v/>
      </c>
      <c r="N119" s="202"/>
      <c r="O119" s="167"/>
      <c r="P119" s="168"/>
    </row>
    <row r="120" spans="2:16" ht="15" outlineLevel="1">
      <c r="B120" s="179"/>
      <c r="C120" s="180" t="s">
        <v>72</v>
      </c>
      <c r="D120" s="180" t="s">
        <v>406</v>
      </c>
      <c r="E120" s="224" t="str">
        <f>IFERROR(IF(SEARCH("*Лестницы*",D120)=1,IF($I$114=0,"Длина лестницы "&amp;#REF!&amp;"м","Длина лестниц "&amp;#REF!&amp;"м и "&amp;$I$114&amp;"м")),"")</f>
        <v/>
      </c>
      <c r="F120" s="212" t="str">
        <f t="array" ref="F120">IF(C120="","",IF(OR(C120=Списки!$AG$15:$AG$17),"нет","да"))</f>
        <v>нет</v>
      </c>
      <c r="G120" s="204"/>
      <c r="H120" s="966"/>
      <c r="I120" s="404">
        <f>1.25*(I113+I114)</f>
        <v>7.625</v>
      </c>
      <c r="J120" s="194">
        <f>IF(C111="нет",0,ROUNDUP(IF(ISBLANK(D120),"",IF(H120="",I120,H120)),1))</f>
        <v>7.6999999999999993</v>
      </c>
      <c r="K120" s="178" t="s">
        <v>212</v>
      </c>
      <c r="L120" s="226"/>
      <c r="M120" s="188">
        <f>IF(C113="Алюминиевая",0,IFERROR(IF(L120&lt;&gt;"","",VLOOKUP(C120&amp;D120&amp;K120,НН!A:J,10,)),""))</f>
        <v>1207.8</v>
      </c>
      <c r="N120" s="202">
        <f t="shared" si="8"/>
        <v>9300.06</v>
      </c>
      <c r="O120" s="167" t="s">
        <v>407</v>
      </c>
      <c r="P120" s="168"/>
    </row>
    <row r="121" spans="2:16" ht="15" outlineLevel="1">
      <c r="B121" s="179"/>
      <c r="C121" s="180" t="s">
        <v>72</v>
      </c>
      <c r="D121" s="180" t="s">
        <v>408</v>
      </c>
      <c r="E121" s="224" t="str">
        <f>IFERROR(IF(SEARCH("*Лестницы*",D121)=1,IF($I$114=0,"Длина лестницы "&amp;#REF!&amp;"м","Длина лестниц "&amp;#REF!&amp;"м и "&amp;$I$114&amp;"м")),"")</f>
        <v/>
      </c>
      <c r="F121" s="212" t="str">
        <f t="array" ref="F121">IF(C121="","",IF(OR(C121=Списки!$AG$15:$AG$17),"нет","да"))</f>
        <v>нет</v>
      </c>
      <c r="G121" s="204"/>
      <c r="H121" s="966"/>
      <c r="I121" s="404">
        <f>I120/2</f>
        <v>3.8125</v>
      </c>
      <c r="J121" s="194">
        <f>IF(C111="нет",0,ROUNDUP(IF(ISBLANK(D121),"",IF(H121="",I121,H121)),1))</f>
        <v>3.9</v>
      </c>
      <c r="K121" s="178" t="s">
        <v>212</v>
      </c>
      <c r="L121" s="226"/>
      <c r="M121" s="188">
        <f>IF(C113="Алюминиевая",0,IFERROR(IF(L121&lt;&gt;"","",VLOOKUP(C121&amp;D121&amp;K121,НН!A:J,10,)),""))</f>
        <v>1207.8</v>
      </c>
      <c r="N121" s="202">
        <f t="shared" si="8"/>
        <v>4710.42</v>
      </c>
      <c r="O121" s="167"/>
      <c r="P121" s="168"/>
    </row>
    <row r="122" spans="2:16" ht="15" outlineLevel="1">
      <c r="B122" s="179"/>
      <c r="C122" s="180" t="s">
        <v>72</v>
      </c>
      <c r="D122" s="180" t="s">
        <v>408</v>
      </c>
      <c r="E122" s="224" t="str">
        <f>IFERROR(IF(SEARCH("*Лестницы*",D122)=1,IF($I$114=0,"Длина лестницы "&amp;#REF!&amp;"м","Длина лестниц "&amp;#REF!&amp;"м и "&amp;$I$114&amp;"м")),"")</f>
        <v/>
      </c>
      <c r="F122" s="212" t="str">
        <f t="array" ref="F122">IF(C122="","",IF(OR(C122=Списки!$AG$15:$AG$17),"нет","да"))</f>
        <v>нет</v>
      </c>
      <c r="G122" s="204"/>
      <c r="H122" s="966"/>
      <c r="I122" s="404">
        <f>I118*2</f>
        <v>2</v>
      </c>
      <c r="J122" s="194">
        <f>IF(C112="нет",0,ROUNDUP(IF(ISBLANK(D122),"",IF(H122="",I122,H122)),1))</f>
        <v>2</v>
      </c>
      <c r="K122" s="178" t="s">
        <v>212</v>
      </c>
      <c r="L122" s="226"/>
      <c r="M122" s="188">
        <f>IF(C113="Нержавеющая сталь",0,IFERROR(IF(L122&lt;&gt;"","",VLOOKUP(C122&amp;D122&amp;K122,НН!A:J,10,)),""))</f>
        <v>0</v>
      </c>
      <c r="N122" s="202">
        <f t="shared" ref="N122" si="10">IFERROR(IF(L122="",M122*J122,J122*L122),"")</f>
        <v>0</v>
      </c>
      <c r="O122" s="167"/>
      <c r="P122" s="168"/>
    </row>
    <row r="123" spans="2:16" ht="15" outlineLevel="1">
      <c r="B123" s="179"/>
      <c r="C123" s="306"/>
      <c r="D123" s="307" t="s">
        <v>377</v>
      </c>
      <c r="E123" s="308"/>
      <c r="F123" s="309"/>
      <c r="G123" s="310"/>
      <c r="H123" s="311"/>
      <c r="I123" s="312"/>
      <c r="J123" s="313"/>
      <c r="K123" s="314"/>
      <c r="L123" s="315"/>
      <c r="M123" s="316"/>
      <c r="N123" s="317"/>
      <c r="O123" s="167"/>
      <c r="P123" s="168"/>
    </row>
    <row r="124" spans="2:16" ht="18">
      <c r="B124" s="179"/>
      <c r="C124" s="319"/>
      <c r="D124" s="332"/>
      <c r="E124" s="405" t="s">
        <v>409</v>
      </c>
      <c r="F124" s="406"/>
      <c r="G124" s="407">
        <f>SUM(G115:G121)</f>
        <v>28.199508571428566</v>
      </c>
      <c r="H124" s="332"/>
      <c r="I124" s="332"/>
      <c r="J124" s="408"/>
      <c r="K124" s="408"/>
      <c r="L124" s="409"/>
      <c r="M124" s="410"/>
      <c r="N124" s="411">
        <f>SUM(N115:N123)</f>
        <v>33879.051428571423</v>
      </c>
      <c r="O124" s="214"/>
      <c r="P124" s="331"/>
    </row>
    <row r="125" spans="2:16" ht="15.75">
      <c r="B125" s="179"/>
      <c r="C125" s="319"/>
      <c r="D125" s="320"/>
      <c r="E125" s="333" t="s">
        <v>379</v>
      </c>
      <c r="F125" s="372"/>
      <c r="G125" s="373"/>
      <c r="H125" s="374"/>
      <c r="I125" s="374"/>
      <c r="J125" s="375"/>
      <c r="K125" s="376"/>
      <c r="L125" s="377"/>
      <c r="M125" s="378"/>
      <c r="N125" s="341">
        <f t="array" ref="N125">SUM(SUMIF(C115:C121,Списки!$AG$2:$AG$14,N115:N121))</f>
        <v>19868.571428571428</v>
      </c>
      <c r="O125" s="379"/>
      <c r="P125" s="331"/>
    </row>
    <row r="126" spans="2:16" ht="15.75">
      <c r="B126" s="179"/>
      <c r="C126" s="319"/>
      <c r="D126" s="320"/>
      <c r="E126" s="412" t="s">
        <v>382</v>
      </c>
      <c r="F126" s="372"/>
      <c r="G126" s="373"/>
      <c r="H126" s="374"/>
      <c r="I126" s="374"/>
      <c r="J126" s="382">
        <f>ROUNDUP(SUMIFS($J$113:$J$123,$K$113:$K$123,Списки!$S$5)-SUMIFS($J$113:$J$123,$K$113:$K$123,Списки!$S$5,$D$113:$D$123,"*изготов*"),1)</f>
        <v>5.9</v>
      </c>
      <c r="K126" s="376" t="s">
        <v>212</v>
      </c>
      <c r="L126" s="377"/>
      <c r="M126" s="378"/>
      <c r="N126" s="413">
        <f>SUMIF($K$115:$K$123,Списки!$S$5,$N$115:$N$123)-SUMIFS($N$115:$N$123,$K$115:$K$123,Списки!$S$5,$D$115:$D$123,"*изготов*")</f>
        <v>4710.42</v>
      </c>
      <c r="O126" s="379"/>
      <c r="P126" s="331"/>
    </row>
    <row r="127" spans="2:16" ht="15.75">
      <c r="B127" s="179"/>
      <c r="C127" s="319"/>
      <c r="D127" s="320"/>
      <c r="E127" s="412" t="s">
        <v>383</v>
      </c>
      <c r="F127" s="372"/>
      <c r="G127" s="373"/>
      <c r="H127" s="374"/>
      <c r="I127" s="374"/>
      <c r="J127" s="382">
        <f>ROUNDUP(SUMIFS($J$113:$J$123,$K$113:$K$123,Списки!$S$5,$D$113:$D$123,"*изготов*"),1)</f>
        <v>7.7</v>
      </c>
      <c r="K127" s="414" t="s">
        <v>212</v>
      </c>
      <c r="L127" s="377"/>
      <c r="M127" s="378"/>
      <c r="N127" s="413">
        <f>SUMIFS($N$115:$N$123,$K$115:$K$123,Списки!$S$5,$D$115:$D$123,"*изготов*")</f>
        <v>9300.06</v>
      </c>
      <c r="O127" s="379"/>
      <c r="P127" s="331"/>
    </row>
    <row r="128" spans="2:16" ht="27.75" customHeight="1">
      <c r="B128" s="386">
        <v>4</v>
      </c>
      <c r="C128" s="415"/>
      <c r="D128" s="388" t="s">
        <v>410</v>
      </c>
      <c r="E128" s="389"/>
      <c r="F128" s="390" t="str">
        <f t="array" ref="F128">IF(ISBLANK(C128),"",IF(OR(C128=Списки!$AG$15:$AG$17),"нет","да"))</f>
        <v/>
      </c>
      <c r="G128" s="391"/>
      <c r="H128" s="389"/>
      <c r="I128" s="392"/>
      <c r="J128" s="392"/>
      <c r="K128" s="393"/>
      <c r="L128" s="394"/>
      <c r="M128" s="395"/>
      <c r="N128" s="390"/>
      <c r="O128" s="167"/>
      <c r="P128" s="168"/>
    </row>
    <row r="129" spans="2:16" ht="15">
      <c r="B129" s="169" t="s">
        <v>468</v>
      </c>
      <c r="C129" s="170"/>
      <c r="D129" s="291" t="s">
        <v>412</v>
      </c>
      <c r="E129" s="292"/>
      <c r="F129" s="293" t="str">
        <f t="array" ref="F129">IF(ISBLANK(C129),"",IF(OR(C129=Списки!$AG$15:$AG$17),"нет","да"))</f>
        <v/>
      </c>
      <c r="G129" s="216"/>
      <c r="H129" s="230"/>
      <c r="I129" s="294"/>
      <c r="J129" s="219"/>
      <c r="K129" s="220"/>
      <c r="L129" s="255"/>
      <c r="M129" s="256"/>
      <c r="N129" s="356"/>
      <c r="O129" s="167"/>
      <c r="P129" s="168"/>
    </row>
    <row r="130" spans="2:16" ht="24.75" customHeight="1">
      <c r="B130" s="416"/>
      <c r="C130" s="417"/>
      <c r="D130" s="418" t="s">
        <v>413</v>
      </c>
      <c r="E130" s="419" t="s">
        <v>174</v>
      </c>
      <c r="F130" s="420"/>
      <c r="G130" s="1367"/>
      <c r="H130" s="1367"/>
      <c r="I130" s="1367"/>
      <c r="J130" s="1367"/>
      <c r="K130" s="1367"/>
      <c r="L130" s="1367"/>
      <c r="M130" s="1367"/>
      <c r="N130" s="1368"/>
      <c r="O130" s="167"/>
      <c r="P130" s="168"/>
    </row>
    <row r="131" spans="2:16" ht="15">
      <c r="B131" s="416"/>
      <c r="C131" s="264" t="s">
        <v>115</v>
      </c>
      <c r="D131" s="426" t="s">
        <v>415</v>
      </c>
      <c r="E131" s="230" t="s">
        <v>339</v>
      </c>
      <c r="F131" s="1296">
        <f>G5</f>
        <v>2000</v>
      </c>
      <c r="G131" s="232" t="s">
        <v>340</v>
      </c>
      <c r="H131" s="233">
        <v>5000</v>
      </c>
      <c r="I131" s="234" t="s">
        <v>341</v>
      </c>
      <c r="J131" s="233">
        <v>0.1</v>
      </c>
      <c r="K131" s="220"/>
      <c r="L131" s="255"/>
      <c r="M131" s="256"/>
      <c r="N131" s="427"/>
      <c r="O131" s="167"/>
      <c r="P131" s="428"/>
    </row>
    <row r="132" spans="2:16" ht="15" outlineLevel="1">
      <c r="B132" s="179"/>
      <c r="C132" s="180" t="s">
        <v>72</v>
      </c>
      <c r="D132" s="180" t="s">
        <v>416</v>
      </c>
      <c r="E132" s="429" t="s">
        <v>417</v>
      </c>
      <c r="F132" s="212" t="str">
        <f t="array" ref="F132">IF(C132="","",IF(OR(C132=Списки!$AG$15:$AG$17),"нет","да"))</f>
        <v>нет</v>
      </c>
      <c r="G132" s="204"/>
      <c r="H132" s="1115"/>
      <c r="I132" s="431">
        <f>((PI()*(($F$131+300)/(1000*2))^2)*0.01*1850)-H140*J139</f>
        <v>54.66299126089126</v>
      </c>
      <c r="J132" s="432">
        <f>IF(C131="нет",0,IF(E130=Списки!$AW$2,0,IF(H132="",I132,H132)))</f>
        <v>54.66299126089126</v>
      </c>
      <c r="K132" s="178" t="s">
        <v>193</v>
      </c>
      <c r="L132" s="965"/>
      <c r="M132" s="188">
        <f>IFERROR(IF(L132&lt;&gt;"","",VLOOKUP(C132&amp;D132&amp;K132,НН!A:J,10,)),"")</f>
        <v>214.4</v>
      </c>
      <c r="N132" s="202">
        <f t="shared" ref="N132:N192" si="11">IFERROR(IF(L132="",M132*J132,J132*L132),"")</f>
        <v>11719.745326335087</v>
      </c>
      <c r="O132" s="167"/>
      <c r="P132" s="428"/>
    </row>
    <row r="133" spans="2:16" ht="15" outlineLevel="1">
      <c r="B133" s="179"/>
      <c r="C133" s="180" t="s">
        <v>238</v>
      </c>
      <c r="D133" s="180" t="s">
        <v>238</v>
      </c>
      <c r="E133" s="255"/>
      <c r="F133" s="212" t="str">
        <f t="array" ref="F133">IF(C133="","",IF(OR(C133=Списки!$AG$15:$AG$17),"нет","да"))</f>
        <v>нет</v>
      </c>
      <c r="G133" s="204"/>
      <c r="H133" s="184"/>
      <c r="I133" s="213">
        <f>IF(COUNTIF(D132,"*мех*")=1,0.28,IF(COUNTIF(D132,"*ламин*")=1,0.56,1))</f>
        <v>0.28000000000000003</v>
      </c>
      <c r="J133" s="260">
        <f>ROUNDUP(IF(E130=Списки!$AW$2,0,IF(H133="",IFERROR(J132*I133,""),H133)),1)</f>
        <v>15.4</v>
      </c>
      <c r="K133" s="178" t="s">
        <v>212</v>
      </c>
      <c r="L133" s="965"/>
      <c r="M133" s="188">
        <f>IFERROR(IF(L133&lt;&gt;"","",VLOOKUP(C133&amp;D133&amp;K133,НН!A:J,10,)),"")</f>
        <v>1207.8</v>
      </c>
      <c r="N133" s="202">
        <f t="shared" si="11"/>
        <v>18600.12</v>
      </c>
      <c r="O133" s="167"/>
      <c r="P133" s="428"/>
    </row>
    <row r="134" spans="2:16" ht="15" outlineLevel="1">
      <c r="B134" s="179"/>
      <c r="C134" s="180" t="s">
        <v>72</v>
      </c>
      <c r="D134" s="180" t="s">
        <v>418</v>
      </c>
      <c r="E134" s="255"/>
      <c r="F134" s="212" t="str">
        <f t="array" ref="F134">IF(C134="","",IF(OR(C134=Списки!$AG$15:$AG$17),"нет","да"))</f>
        <v>нет</v>
      </c>
      <c r="G134" s="204"/>
      <c r="H134" s="184"/>
      <c r="I134" s="225">
        <f>IF(H134="",3*J132/10,"")</f>
        <v>16.398897378267378</v>
      </c>
      <c r="J134" s="258">
        <f>IF(E130=Списки!$AW$2,0,IF(C131="нет",0,IF(H134="",I134,H134)))</f>
        <v>16.398897378267378</v>
      </c>
      <c r="K134" s="178" t="s">
        <v>193</v>
      </c>
      <c r="L134" s="965"/>
      <c r="M134" s="188">
        <f>IFERROR(IF(L134&lt;&gt;"","",VLOOKUP(C134&amp;D134&amp;K134,НН!A:J,10,)),"")</f>
        <v>310.2</v>
      </c>
      <c r="N134" s="202">
        <f t="shared" si="11"/>
        <v>5086.9379667385401</v>
      </c>
      <c r="O134" s="167"/>
      <c r="P134" s="428"/>
    </row>
    <row r="135" spans="2:16" ht="15" outlineLevel="1">
      <c r="B135" s="179"/>
      <c r="C135" s="180" t="s">
        <v>238</v>
      </c>
      <c r="D135" s="180" t="s">
        <v>238</v>
      </c>
      <c r="E135" s="255"/>
      <c r="F135" s="212" t="str">
        <f t="array" ref="F135">IF(C135="","",IF(OR(C135=Списки!$AG$15:$AG$17),"нет","да"))</f>
        <v>нет</v>
      </c>
      <c r="G135" s="204"/>
      <c r="H135" s="433"/>
      <c r="I135" s="225">
        <f>IF(COUNTIF(D134,"*мех*")=1,0.28,IF(COUNTIF(D134,"*ламин*")=1,0.56,1))</f>
        <v>0.56000000000000005</v>
      </c>
      <c r="J135" s="194">
        <f>ROUNDUP(IF(E130=Списки!$AW$2,0,IF(H135="",IFERROR(J134*I135,""),H135)),1)</f>
        <v>9.1999999999999993</v>
      </c>
      <c r="K135" s="178" t="s">
        <v>212</v>
      </c>
      <c r="L135" s="965"/>
      <c r="M135" s="188">
        <f>IFERROR(IF(L135&lt;&gt;"","",VLOOKUP(C135&amp;D135&amp;K135,НН!A:J,10,)),"")</f>
        <v>1207.8</v>
      </c>
      <c r="N135" s="202">
        <f t="shared" si="11"/>
        <v>11111.759999999998</v>
      </c>
      <c r="O135" s="167"/>
      <c r="P135" s="428"/>
    </row>
    <row r="136" spans="2:16" ht="15" outlineLevel="1">
      <c r="B136" s="179"/>
      <c r="C136" s="180" t="s">
        <v>68</v>
      </c>
      <c r="D136" s="180" t="s">
        <v>686</v>
      </c>
      <c r="E136" s="434" t="s">
        <v>150</v>
      </c>
      <c r="F136" s="212" t="str">
        <f t="array" ref="F136">IF(C136="","",IF(OR(C136=Списки!$AG$15:$AG$17),"нет","да"))</f>
        <v>да</v>
      </c>
      <c r="G136" s="204"/>
      <c r="H136" s="435">
        <v>8</v>
      </c>
      <c r="I136" s="213"/>
      <c r="J136" s="432">
        <f>IF(E136="нет",0,IF(C131="нет",0,IF(E130=Списки!$AW$2,0,IF(H136="",I136,H136))))</f>
        <v>0</v>
      </c>
      <c r="K136" s="178" t="s">
        <v>163</v>
      </c>
      <c r="L136" s="965"/>
      <c r="M136" s="188">
        <f>IFERROR(IF(L136&lt;&gt;"","",VLOOKUP(C136&amp;D136&amp;K136,НН!A:J,10,)),"")</f>
        <v>2000</v>
      </c>
      <c r="N136" s="202">
        <f t="shared" si="11"/>
        <v>0</v>
      </c>
      <c r="O136" s="214"/>
      <c r="P136" s="428"/>
    </row>
    <row r="137" spans="2:16" ht="15">
      <c r="B137" s="179"/>
      <c r="C137" s="180"/>
      <c r="D137" s="180"/>
      <c r="E137" s="255"/>
      <c r="F137" s="248"/>
      <c r="G137" s="204"/>
      <c r="H137" s="184"/>
      <c r="I137" s="213"/>
      <c r="J137" s="234"/>
      <c r="K137" s="178"/>
      <c r="L137" s="196"/>
      <c r="M137" s="188" t="str">
        <f>IFERROR(IF(L137&lt;&gt;"","",VLOOKUP(C137&amp;D137&amp;K137,НН!A:J,10,)),"")</f>
        <v/>
      </c>
      <c r="N137" s="189"/>
      <c r="O137" s="167"/>
      <c r="P137" s="428"/>
    </row>
    <row r="138" spans="2:16" ht="15">
      <c r="B138" s="179"/>
      <c r="C138" s="264" t="s">
        <v>115</v>
      </c>
      <c r="D138" s="426" t="s">
        <v>420</v>
      </c>
      <c r="E138" s="230" t="s">
        <v>339</v>
      </c>
      <c r="F138" s="1296">
        <f>N8</f>
        <v>1200</v>
      </c>
      <c r="G138" s="232" t="s">
        <v>340</v>
      </c>
      <c r="H138" s="233">
        <v>2500</v>
      </c>
      <c r="I138" s="234" t="s">
        <v>341</v>
      </c>
      <c r="J138" s="233">
        <v>0.1</v>
      </c>
      <c r="K138" s="234" t="s">
        <v>421</v>
      </c>
      <c r="L138" s="436" t="s">
        <v>422</v>
      </c>
      <c r="N138" s="437"/>
      <c r="O138" s="214"/>
      <c r="P138" s="428"/>
    </row>
    <row r="139" spans="2:16" ht="15" collapsed="1">
      <c r="B139" s="179"/>
      <c r="C139" s="438"/>
      <c r="D139" s="439" t="s">
        <v>423</v>
      </c>
      <c r="E139" s="230"/>
      <c r="F139" s="440"/>
      <c r="G139" s="230"/>
      <c r="H139" s="281"/>
      <c r="I139" s="234"/>
      <c r="J139" s="441">
        <v>2</v>
      </c>
      <c r="K139" s="234" t="s">
        <v>129</v>
      </c>
      <c r="L139" s="442"/>
      <c r="M139" s="443"/>
      <c r="N139" s="444"/>
      <c r="O139" s="214"/>
      <c r="P139" s="428"/>
    </row>
    <row r="140" spans="2:16" ht="17.25" hidden="1" customHeight="1" outlineLevel="1">
      <c r="B140" s="179"/>
      <c r="C140" s="180" t="s">
        <v>72</v>
      </c>
      <c r="D140" s="445" t="s">
        <v>424</v>
      </c>
      <c r="E140" s="429" t="s">
        <v>417</v>
      </c>
      <c r="F140" s="212" t="str">
        <f t="array" ref="F140">IF(C140="","",IF(OR(C140=Списки!$AG$15:$AG$17),"нет","да"))</f>
        <v>нет</v>
      </c>
      <c r="G140" s="204"/>
      <c r="H140" s="446">
        <f>1*1*0.006*1850</f>
        <v>11.1</v>
      </c>
      <c r="I140" s="431"/>
      <c r="J140" s="432">
        <f>IF(C138="нет",0,IF(E130=Списки!$AW$2,0,IF(H140="",I140,H140)))*J139</f>
        <v>22.2</v>
      </c>
      <c r="K140" s="178" t="s">
        <v>193</v>
      </c>
      <c r="L140" s="965"/>
      <c r="M140" s="188">
        <f>IFERROR(IF(L140&lt;&gt;"","",VLOOKUP(C140&amp;D140&amp;K140,НН!A:J,10,)),"")</f>
        <v>214.4</v>
      </c>
      <c r="N140" s="202">
        <f t="shared" si="11"/>
        <v>4759.68</v>
      </c>
      <c r="O140" s="214"/>
      <c r="P140" s="428"/>
    </row>
    <row r="141" spans="2:16" ht="15" hidden="1" outlineLevel="1">
      <c r="B141" s="179"/>
      <c r="C141" s="180" t="s">
        <v>238</v>
      </c>
      <c r="D141" s="445" t="s">
        <v>238</v>
      </c>
      <c r="E141" s="255"/>
      <c r="F141" s="212" t="str">
        <f t="array" ref="F141">IF(C141="","",IF(OR(C141=Списки!$AG$15:$AG$17),"нет","да"))</f>
        <v>нет</v>
      </c>
      <c r="G141" s="204"/>
      <c r="H141" s="184"/>
      <c r="I141" s="213">
        <f>IF(COUNTIF(D140,"*мех*")=1,0.28,IF(COUNTIF(D140,"*ламин*")=1,0.56,1))</f>
        <v>0.28000000000000003</v>
      </c>
      <c r="J141" s="260">
        <f>ROUNDUP(IF(E130=Списки!$AW$2,0,IF(H141="",IFERROR(J140*I141,""),H141)),1)</f>
        <v>6.3</v>
      </c>
      <c r="K141" s="178" t="s">
        <v>212</v>
      </c>
      <c r="L141" s="965"/>
      <c r="M141" s="188">
        <f>IFERROR(IF(L141&lt;&gt;"","",VLOOKUP(C141&amp;D141&amp;K141,НН!A:J,10,)),"")</f>
        <v>1207.8</v>
      </c>
      <c r="N141" s="202">
        <f t="shared" si="11"/>
        <v>7609.1399999999994</v>
      </c>
      <c r="O141" s="214"/>
      <c r="P141" s="428"/>
    </row>
    <row r="142" spans="2:16" ht="15" hidden="1" outlineLevel="1">
      <c r="B142" s="179"/>
      <c r="C142" s="180" t="s">
        <v>72</v>
      </c>
      <c r="D142" s="445" t="s">
        <v>425</v>
      </c>
      <c r="E142" s="255"/>
      <c r="F142" s="212" t="str">
        <f t="array" ref="F142">IF(C142="","",IF(OR(C142=Списки!$AG$15:$AG$17),"нет","да"))</f>
        <v>нет</v>
      </c>
      <c r="G142" s="204"/>
      <c r="H142" s="184"/>
      <c r="I142" s="225">
        <f>IF(H142="",3*J140/10,"")</f>
        <v>6.6599999999999993</v>
      </c>
      <c r="J142" s="258">
        <f>IF(E130=Списки!$AW$2,0,IF(C138="нет",0,IF(H142="",I142,H142)))</f>
        <v>6.6599999999999993</v>
      </c>
      <c r="K142" s="178" t="s">
        <v>193</v>
      </c>
      <c r="L142" s="965"/>
      <c r="M142" s="188">
        <f>IFERROR(IF(L142&lt;&gt;"","",VLOOKUP(C142&amp;D142&amp;K142,НН!A:J,10,)),"")</f>
        <v>310.2</v>
      </c>
      <c r="N142" s="202">
        <f t="shared" si="11"/>
        <v>2065.9319999999998</v>
      </c>
      <c r="O142" s="214"/>
      <c r="P142" s="428"/>
    </row>
    <row r="143" spans="2:16" ht="15" hidden="1" outlineLevel="1">
      <c r="B143" s="179"/>
      <c r="C143" s="180" t="s">
        <v>238</v>
      </c>
      <c r="D143" s="445" t="s">
        <v>238</v>
      </c>
      <c r="E143" s="255"/>
      <c r="F143" s="212" t="str">
        <f t="array" ref="F143">IF(C143="","",IF(OR(C143=Списки!$AG$15:$AG$17),"нет","да"))</f>
        <v>нет</v>
      </c>
      <c r="G143" s="447"/>
      <c r="H143" s="448"/>
      <c r="I143" s="225">
        <f>IF(COUNTIF(D142,"*мех*")=1,0.28,IF(COUNTIF(D142,"*ламин*")=1,0.56,1))</f>
        <v>0.56000000000000005</v>
      </c>
      <c r="J143" s="194">
        <f>ROUNDUP(IF(E130=Списки!$AW$2,0,IF(H143="",IFERROR(J142*I143,""),H143)),1)</f>
        <v>3.8000000000000003</v>
      </c>
      <c r="K143" s="178" t="s">
        <v>212</v>
      </c>
      <c r="L143" s="965"/>
      <c r="M143" s="188">
        <f>IFERROR(IF(L143&lt;&gt;"","",VLOOKUP(C143&amp;D143&amp;K143,НН!A:J,10,)),"")</f>
        <v>1207.8</v>
      </c>
      <c r="N143" s="202">
        <f t="shared" si="11"/>
        <v>4589.6400000000003</v>
      </c>
      <c r="O143" s="214"/>
      <c r="P143" s="428"/>
    </row>
    <row r="144" spans="2:16" ht="15" hidden="1" outlineLevel="1">
      <c r="B144" s="179"/>
      <c r="C144" s="449" t="s">
        <v>71</v>
      </c>
      <c r="D144" s="450" t="s">
        <v>426</v>
      </c>
      <c r="E144" s="255"/>
      <c r="F144" s="212" t="str">
        <f t="array" ref="F144">IF(C144="","",IF(OR(C144=Списки!$AG$15:$AG$17),"нет","да"))</f>
        <v>да</v>
      </c>
      <c r="G144" s="447"/>
      <c r="H144" s="448"/>
      <c r="I144" s="451">
        <v>1</v>
      </c>
      <c r="J144" s="186">
        <f>IF(E130=Списки!$AW$2,0,IF(C138="нет",0,I144*J139))</f>
        <v>2</v>
      </c>
      <c r="K144" s="178" t="s">
        <v>129</v>
      </c>
      <c r="L144" s="965"/>
      <c r="M144" s="188">
        <f>IFERROR(IF(L144&lt;&gt;"","",VLOOKUP(C144&amp;D144&amp;K144,НН!A:J,10,)),"")</f>
        <v>200</v>
      </c>
      <c r="N144" s="202">
        <f t="shared" si="11"/>
        <v>400</v>
      </c>
      <c r="O144" s="214"/>
      <c r="P144" s="428"/>
    </row>
    <row r="145" spans="2:16" ht="15" collapsed="1">
      <c r="B145" s="179"/>
      <c r="C145" s="452"/>
      <c r="D145" s="453"/>
      <c r="E145" s="255"/>
      <c r="F145" s="248"/>
      <c r="G145" s="454"/>
      <c r="H145" s="455"/>
      <c r="I145" s="456"/>
      <c r="J145" s="245"/>
      <c r="K145" s="178"/>
      <c r="L145" s="196"/>
      <c r="M145" s="188" t="str">
        <f>IFERROR(IF(L145&lt;&gt;"","",VLOOKUP(C145&amp;D145&amp;K145,НН!A:J,10,)),"")</f>
        <v/>
      </c>
      <c r="N145" s="189"/>
      <c r="O145" s="214"/>
      <c r="P145" s="428"/>
    </row>
    <row r="146" spans="2:16" ht="15" hidden="1" outlineLevel="1">
      <c r="B146" s="179"/>
      <c r="C146" s="228" t="s">
        <v>150</v>
      </c>
      <c r="D146" s="426" t="s">
        <v>427</v>
      </c>
      <c r="E146" s="255"/>
      <c r="F146" s="457"/>
      <c r="G146" s="458"/>
      <c r="H146" s="458"/>
      <c r="I146" s="458"/>
      <c r="J146" s="458"/>
      <c r="K146" s="458"/>
      <c r="L146" s="458"/>
      <c r="M146" s="459"/>
      <c r="N146" s="460"/>
      <c r="O146" s="214"/>
      <c r="P146" s="428"/>
    </row>
    <row r="147" spans="2:16" ht="15" hidden="1" outlineLevel="1">
      <c r="B147" s="179"/>
      <c r="C147" s="449" t="s">
        <v>68</v>
      </c>
      <c r="D147" s="180" t="s">
        <v>419</v>
      </c>
      <c r="E147" s="255"/>
      <c r="F147" s="212" t="str">
        <f t="array" ref="F147">IF(C147="","",IF(OR(C147=Списки!$AG$15:$AG$17),"нет","да"))</f>
        <v>да</v>
      </c>
      <c r="G147" s="454"/>
      <c r="H147" s="210">
        <v>10</v>
      </c>
      <c r="I147" s="456"/>
      <c r="J147" s="245">
        <f>IF(C146="нет",0,IF(E130=Списки!$AW$3,0,H147))*J130</f>
        <v>0</v>
      </c>
      <c r="K147" s="178" t="s">
        <v>163</v>
      </c>
      <c r="L147" s="226"/>
      <c r="M147" s="188">
        <f>IFERROR(IF(L147&lt;&gt;"","",VLOOKUP(C147&amp;D147&amp;K147,НН!A:J,10,)),"")</f>
        <v>4750</v>
      </c>
      <c r="N147" s="202">
        <f t="shared" si="11"/>
        <v>0</v>
      </c>
      <c r="O147" s="214"/>
      <c r="P147" s="428"/>
    </row>
    <row r="148" spans="2:16" ht="24" hidden="1" outlineLevel="1">
      <c r="B148" s="179"/>
      <c r="C148" s="449" t="s">
        <v>68</v>
      </c>
      <c r="D148" s="180" t="s">
        <v>428</v>
      </c>
      <c r="E148" s="255"/>
      <c r="F148" s="212" t="str">
        <f t="array" ref="F148">IF(C148="","",IF(OR(C148=Списки!$AG$15:$AG$17),"нет","да"))</f>
        <v>да</v>
      </c>
      <c r="G148" s="454"/>
      <c r="H148" s="210">
        <v>1</v>
      </c>
      <c r="I148" s="456"/>
      <c r="J148" s="245">
        <f>IF(C146="нет",0,IF(E130=Списки!$AW$3,0,H148))*J130</f>
        <v>0</v>
      </c>
      <c r="K148" s="178" t="s">
        <v>129</v>
      </c>
      <c r="L148" s="226"/>
      <c r="M148" s="188">
        <f>IFERROR(IF(L148&lt;&gt;"","",VLOOKUP(C148&amp;D148&amp;K148,НН!A:J,10,)),"")</f>
        <v>50000</v>
      </c>
      <c r="N148" s="202">
        <f t="shared" si="11"/>
        <v>0</v>
      </c>
      <c r="O148" s="214"/>
      <c r="P148" s="428"/>
    </row>
    <row r="149" spans="2:16" ht="15" hidden="1" outlineLevel="1">
      <c r="B149" s="179"/>
      <c r="C149" s="449" t="s">
        <v>68</v>
      </c>
      <c r="D149" s="180" t="s">
        <v>402</v>
      </c>
      <c r="E149" s="255"/>
      <c r="F149" s="212" t="str">
        <f t="array" ref="F149">IF(C149="","",IF(OR(C149=Списки!$AG$15:$AG$17),"нет","да"))</f>
        <v>да</v>
      </c>
      <c r="G149" s="454"/>
      <c r="H149" s="210">
        <v>6</v>
      </c>
      <c r="I149" s="456"/>
      <c r="J149" s="245">
        <f>IF(C146="нет",0,IF(E130=Списки!$AW$3,0,H149))*J130</f>
        <v>0</v>
      </c>
      <c r="K149" s="178" t="s">
        <v>163</v>
      </c>
      <c r="L149" s="226"/>
      <c r="M149" s="188">
        <f>IFERROR(IF(L149&lt;&gt;"","",VLOOKUP(C149&amp;D149&amp;K149,НН!A:J,10,)),"")</f>
        <v>1000</v>
      </c>
      <c r="N149" s="202">
        <f t="shared" si="11"/>
        <v>0</v>
      </c>
      <c r="O149" s="214"/>
      <c r="P149" s="428"/>
    </row>
    <row r="150" spans="2:16" ht="15" hidden="1" outlineLevel="1">
      <c r="B150" s="179"/>
      <c r="C150" s="461"/>
      <c r="D150" s="357" t="s">
        <v>423</v>
      </c>
      <c r="E150" s="255"/>
      <c r="F150" s="212" t="str">
        <f t="array" ref="F150">IF(C150="","",IF(OR(C150=Списки!$AG$15:$AG$17),"нет","да"))</f>
        <v/>
      </c>
      <c r="G150" s="462"/>
      <c r="H150" s="463">
        <v>4</v>
      </c>
      <c r="I150" s="213"/>
      <c r="J150" s="234">
        <f>IF(C146="нет",0,IF(E130=Списки!$AW$3,0,IF(H150="",I150,H150)))*J130</f>
        <v>0</v>
      </c>
      <c r="K150" s="178" t="s">
        <v>129</v>
      </c>
      <c r="L150" s="1353" t="str">
        <f>IFERROR(IF(#REF!&lt;&gt;"","",VLOOKUP(C150&amp;D150&amp;K150,НН!A:J,10,)),"")</f>
        <v/>
      </c>
      <c r="M150" s="1354"/>
      <c r="N150" s="1355"/>
      <c r="O150" s="214"/>
      <c r="P150" s="428"/>
    </row>
    <row r="151" spans="2:16" ht="24" hidden="1" outlineLevel="1">
      <c r="B151" s="179"/>
      <c r="C151" s="464" t="s">
        <v>71</v>
      </c>
      <c r="D151" s="180" t="s">
        <v>429</v>
      </c>
      <c r="E151" s="255"/>
      <c r="F151" s="212" t="str">
        <f t="array" ref="F151">IF(C151="","",IF(OR(C151=Списки!$AG$15:$AG$17),"нет","да"))</f>
        <v>да</v>
      </c>
      <c r="G151" s="462"/>
      <c r="H151" s="433"/>
      <c r="I151" s="213">
        <v>2</v>
      </c>
      <c r="J151" s="234">
        <f>IF(C146="нет",0,IF(E130=Списки!$AW$3,0,J150*I151))</f>
        <v>0</v>
      </c>
      <c r="K151" s="178" t="s">
        <v>129</v>
      </c>
      <c r="L151" s="226"/>
      <c r="M151" s="188">
        <f>IFERROR(IF(L151&lt;&gt;"","",VLOOKUP(C151&amp;D151&amp;K151,НН!A:J,10,)),"")</f>
        <v>1015</v>
      </c>
      <c r="N151" s="202">
        <f t="shared" si="11"/>
        <v>0</v>
      </c>
      <c r="O151" s="214"/>
      <c r="P151" s="428"/>
    </row>
    <row r="152" spans="2:16" ht="15" hidden="1" outlineLevel="1">
      <c r="B152" s="179"/>
      <c r="C152" s="449" t="s">
        <v>71</v>
      </c>
      <c r="D152" s="180" t="s">
        <v>426</v>
      </c>
      <c r="E152" s="255"/>
      <c r="F152" s="212" t="str">
        <f t="array" ref="F152">IF(C152="","",IF(OR(C152=Списки!$AG$15:$AG$17),"нет","да"))</f>
        <v>да</v>
      </c>
      <c r="G152" s="462"/>
      <c r="H152" s="433"/>
      <c r="I152" s="213">
        <v>1</v>
      </c>
      <c r="J152" s="234">
        <f>IF(C146="нет",0,IF(E130=Списки!$AW$3,0,I152*J150))</f>
        <v>0</v>
      </c>
      <c r="K152" s="178" t="s">
        <v>129</v>
      </c>
      <c r="L152" s="226"/>
      <c r="M152" s="188">
        <f>IFERROR(IF(L152&lt;&gt;"","",VLOOKUP(C152&amp;D152&amp;K152,НН!A:J,10,)),"")</f>
        <v>200</v>
      </c>
      <c r="N152" s="202">
        <f t="shared" si="11"/>
        <v>0</v>
      </c>
      <c r="O152" s="214"/>
      <c r="P152" s="428"/>
    </row>
    <row r="153" spans="2:16" ht="15">
      <c r="B153" s="179"/>
      <c r="C153" s="180"/>
      <c r="D153" s="180"/>
      <c r="E153" s="255"/>
      <c r="F153" s="248"/>
      <c r="G153" s="204"/>
      <c r="H153" s="433"/>
      <c r="I153" s="213"/>
      <c r="J153" s="234"/>
      <c r="K153" s="178"/>
      <c r="L153" s="196"/>
      <c r="M153" s="188" t="str">
        <f t="array" aca="1" ref="M153" ca="1">IFERROR(IF(L153&lt;&gt;"","",IF((VLOOKUP(D153&amp;K153,INDIRECT("'"&amp;INDEX(Списки!$AG$2:$AG$17,MATCH(TRUE,COUNTIF(INDIRECT("'"&amp;Списки!$AG$2:$AG$17 &amp;"'!A1:A20000"),D153&amp;K153)&gt;0,0))&amp;"'!A:h"),7,0))=0,"",VLOOKUP(D153&amp;K153,INDIRECT("'"&amp;INDEX(Списки!$AG$2:$AG$17,MATCH(TRUE,COUNTIF(INDIRECT("'"&amp;Списки!$AG$2:$AG$17 &amp;"'!A1:A20000"),D153&amp;K153)&gt;0,0))&amp;"'!A:h"),7,0))),"")</f>
        <v/>
      </c>
      <c r="N153" s="202"/>
      <c r="O153" s="167"/>
      <c r="P153" s="168"/>
    </row>
    <row r="154" spans="2:16" ht="15" collapsed="1">
      <c r="B154" s="179"/>
      <c r="C154" s="264" t="s">
        <v>150</v>
      </c>
      <c r="D154" s="426" t="s">
        <v>430</v>
      </c>
      <c r="E154" s="255"/>
      <c r="F154" s="457"/>
      <c r="G154" s="458"/>
      <c r="H154" s="465">
        <v>1</v>
      </c>
      <c r="I154" s="178" t="s">
        <v>129</v>
      </c>
      <c r="J154" s="458"/>
      <c r="K154" s="458"/>
      <c r="L154" s="458"/>
      <c r="M154" s="459"/>
      <c r="N154" s="460"/>
      <c r="O154" s="214"/>
      <c r="P154" s="168"/>
    </row>
    <row r="155" spans="2:16" ht="15" hidden="1" outlineLevel="1">
      <c r="B155" s="179"/>
      <c r="C155" s="180" t="s">
        <v>71</v>
      </c>
      <c r="D155" s="180" t="s">
        <v>431</v>
      </c>
      <c r="E155" s="1356" t="s">
        <v>417</v>
      </c>
      <c r="F155" s="212" t="str">
        <f t="array" ref="F155">IF(C155="","",IF(OR(C155=Списки!$AG$15:$AG$17),"нет","да"))</f>
        <v>да</v>
      </c>
      <c r="G155" s="454"/>
      <c r="H155" s="210">
        <v>1</v>
      </c>
      <c r="I155" s="456"/>
      <c r="J155" s="245">
        <f>IF(C154="нет",0,H155)*H154</f>
        <v>0</v>
      </c>
      <c r="K155" s="178" t="s">
        <v>129</v>
      </c>
      <c r="L155" s="965"/>
      <c r="M155" s="188">
        <f>IFERROR(IF(L155&lt;&gt;"","",VLOOKUP(C155&amp;D155&amp;K155,НН!A:J,10,)),"")</f>
        <v>16500</v>
      </c>
      <c r="N155" s="202">
        <f t="shared" si="11"/>
        <v>0</v>
      </c>
      <c r="O155" s="214"/>
      <c r="P155" s="168"/>
    </row>
    <row r="156" spans="2:16" ht="15" hidden="1" outlineLevel="1">
      <c r="B156" s="179"/>
      <c r="C156" s="180" t="s">
        <v>68</v>
      </c>
      <c r="D156" s="180" t="s">
        <v>419</v>
      </c>
      <c r="E156" s="1357"/>
      <c r="F156" s="212" t="str">
        <f t="array" ref="F156">IF(C156="","",IF(OR(C156=Списки!$AG$15:$AG$17),"нет","да"))</f>
        <v>да</v>
      </c>
      <c r="G156" s="466"/>
      <c r="H156" s="210">
        <v>6</v>
      </c>
      <c r="I156" s="456"/>
      <c r="J156" s="245">
        <f>IF(C154="нет",0,H156)*H154</f>
        <v>0</v>
      </c>
      <c r="K156" s="178" t="s">
        <v>163</v>
      </c>
      <c r="L156" s="965"/>
      <c r="M156" s="188">
        <f>IFERROR(IF(L156&lt;&gt;"","",VLOOKUP(C156&amp;D156&amp;K156,НН!A:J,10,)),"")</f>
        <v>4750</v>
      </c>
      <c r="N156" s="202">
        <f t="shared" si="11"/>
        <v>0</v>
      </c>
      <c r="O156" s="167"/>
      <c r="P156" s="168"/>
    </row>
    <row r="157" spans="2:16" ht="15">
      <c r="B157" s="179"/>
      <c r="C157" s="180"/>
      <c r="D157" s="180"/>
      <c r="E157" s="255"/>
      <c r="F157" s="248"/>
      <c r="G157" s="454"/>
      <c r="H157" s="184"/>
      <c r="I157" s="213"/>
      <c r="J157" s="234"/>
      <c r="K157" s="178"/>
      <c r="L157" s="196"/>
      <c r="M157" s="188" t="str">
        <f>IFERROR(IF(L157&lt;&gt;"","",VLOOKUP(C157&amp;D157&amp;K157,НН!A:J,10,)),"")</f>
        <v/>
      </c>
      <c r="N157" s="189"/>
      <c r="O157" s="167"/>
      <c r="P157" s="168"/>
    </row>
    <row r="158" spans="2:16" ht="15" collapsed="1">
      <c r="B158" s="179"/>
      <c r="C158" s="264" t="s">
        <v>115</v>
      </c>
      <c r="D158" s="426" t="s">
        <v>432</v>
      </c>
      <c r="E158" s="255"/>
      <c r="F158" s="457"/>
      <c r="G158" s="458"/>
      <c r="H158" s="458"/>
      <c r="I158" s="458"/>
      <c r="J158" s="458"/>
      <c r="K158" s="458"/>
      <c r="L158" s="458"/>
      <c r="M158" s="459"/>
      <c r="N158" s="460"/>
      <c r="O158" s="467"/>
      <c r="P158" s="168"/>
    </row>
    <row r="159" spans="2:16" ht="15" hidden="1" outlineLevel="1">
      <c r="B159" s="179"/>
      <c r="C159" s="180"/>
      <c r="D159" s="357" t="s">
        <v>433</v>
      </c>
      <c r="E159" s="429" t="s">
        <v>417</v>
      </c>
      <c r="F159" s="248" t="str">
        <f t="array" ref="F159">IF(C159="","",IF(OR(C159=Списки!$AG$15:$AG$17),"нет","да"))</f>
        <v/>
      </c>
      <c r="G159" s="454"/>
      <c r="H159" s="210">
        <v>16</v>
      </c>
      <c r="I159" s="456"/>
      <c r="J159" s="245">
        <f>IF($C$158="нет",0,H159)</f>
        <v>16</v>
      </c>
      <c r="K159" s="178" t="s">
        <v>129</v>
      </c>
      <c r="L159" s="397"/>
      <c r="M159" s="398"/>
      <c r="N159" s="399"/>
      <c r="P159" s="168"/>
    </row>
    <row r="160" spans="2:16" ht="15" hidden="1" outlineLevel="1">
      <c r="B160" s="179"/>
      <c r="C160" s="180"/>
      <c r="D160" s="357" t="s">
        <v>434</v>
      </c>
      <c r="E160" s="255"/>
      <c r="F160" s="248" t="str">
        <f t="array" ref="F160">IF(C160="","",IF(OR(C160=Списки!$AG$15:$AG$17),"нет","да"))</f>
        <v/>
      </c>
      <c r="G160" s="454"/>
      <c r="H160" s="184"/>
      <c r="I160" s="213">
        <f>IF(H160="",0.15,"")</f>
        <v>0.15</v>
      </c>
      <c r="J160" s="234">
        <f>IF($C$158="нет",0,IF(H160="",I160,H160))</f>
        <v>0.15</v>
      </c>
      <c r="K160" s="178" t="s">
        <v>163</v>
      </c>
      <c r="L160" s="400"/>
      <c r="M160" s="401" t="str">
        <f t="array" aca="1" ref="M160" ca="1">IF(D160="ФОТ",I160*#REF!,IFERROR(IF(L160&lt;&gt;"","",IF((VLOOKUP(D160&amp;K160,INDIRECT("'"&amp;INDEX(Списки!$AG$2:$AG$17,MATCH(TRUE,COUNTIF(INDIRECT("'"&amp;Списки!$AG$2:$AG$17 &amp;"'!A1:A20000"),D160&amp;K160)&gt;0,0))&amp;"'!A:h"),7,0))=0,"",VLOOKUP(D160&amp;K160,INDIRECT("'"&amp;INDEX(Списки!$AG$2:$AG$17,MATCH(TRUE,COUNTIF(INDIRECT("'"&amp;Списки!$AG$2:$AG$17 &amp;"'!A1:A20000"),D160&amp;K160)&gt;0,0))&amp;"'!A:h"),7,0))),""))</f>
        <v/>
      </c>
      <c r="N160" s="402" t="str">
        <f t="shared" ca="1" si="11"/>
        <v/>
      </c>
      <c r="O160" s="167"/>
      <c r="P160" s="168"/>
    </row>
    <row r="161" spans="2:16" ht="24" hidden="1" outlineLevel="1">
      <c r="B161" s="179"/>
      <c r="C161" s="180" t="s">
        <v>68</v>
      </c>
      <c r="D161" s="180" t="s">
        <v>435</v>
      </c>
      <c r="E161" s="255"/>
      <c r="F161" s="212" t="str">
        <f t="array" ref="F161">IF(C161="","",IF(OR(C161=Списки!$AG$15:$AG$17),"нет","да"))</f>
        <v>да</v>
      </c>
      <c r="G161" s="204"/>
      <c r="H161" s="184"/>
      <c r="I161" s="213"/>
      <c r="J161" s="234">
        <f>IF($C$158="нет",0,IF(H161="",J160*J159,H161))</f>
        <v>2.4</v>
      </c>
      <c r="K161" s="178" t="s">
        <v>163</v>
      </c>
      <c r="L161" s="965"/>
      <c r="M161" s="188">
        <f>IFERROR(IF(L161&lt;&gt;"","",VLOOKUP(C161&amp;D161&amp;K161,НН!A:J,10,)),"")</f>
        <v>3700</v>
      </c>
      <c r="N161" s="202">
        <f t="shared" si="11"/>
        <v>8880</v>
      </c>
      <c r="O161" s="167"/>
      <c r="P161" s="168"/>
    </row>
    <row r="162" spans="2:16" ht="15" hidden="1" outlineLevel="1">
      <c r="B162" s="179"/>
      <c r="C162" s="180" t="s">
        <v>72</v>
      </c>
      <c r="D162" s="180" t="s">
        <v>436</v>
      </c>
      <c r="E162" s="255"/>
      <c r="F162" s="212" t="str">
        <f t="array" ref="F162">IF(C162="","",IF(OR(C162=Списки!$AG$15:$AG$17),"нет","да"))</f>
        <v>нет</v>
      </c>
      <c r="G162" s="204"/>
      <c r="H162" s="455"/>
      <c r="I162" s="272">
        <f>2*0.15*H159</f>
        <v>4.8</v>
      </c>
      <c r="J162" s="245">
        <f>IF($C$158="нет",0,IF(H162="",I162,H162))</f>
        <v>4.8</v>
      </c>
      <c r="K162" s="178" t="s">
        <v>193</v>
      </c>
      <c r="L162" s="965"/>
      <c r="M162" s="188">
        <f>IFERROR(IF(L162&lt;&gt;"","",VLOOKUP(C162&amp;D162&amp;K162,НН!A:J,10,)),"")</f>
        <v>310.2</v>
      </c>
      <c r="N162" s="468">
        <f t="shared" si="11"/>
        <v>1488.9599999999998</v>
      </c>
      <c r="O162" s="167"/>
      <c r="P162" s="168"/>
    </row>
    <row r="163" spans="2:16" ht="15" hidden="1" outlineLevel="1">
      <c r="B163" s="179"/>
      <c r="C163" s="180" t="s">
        <v>238</v>
      </c>
      <c r="D163" s="180" t="s">
        <v>238</v>
      </c>
      <c r="E163" s="255"/>
      <c r="F163" s="212" t="str">
        <f t="array" ref="F163">IF(C163="","",IF(OR(C163=Списки!$AG$15:$AG$17),"нет","да"))</f>
        <v>нет</v>
      </c>
      <c r="G163" s="204"/>
      <c r="H163" s="455"/>
      <c r="I163" s="272">
        <f>IF(COUNTIF(D162,"*мех*")=1,0.28,IF(COUNTIF(D162,"*ламин*")=1,0.56,1))</f>
        <v>0.56000000000000005</v>
      </c>
      <c r="J163" s="277">
        <f>ROUNDUP(IF(H163="",IFERROR(J162*I163,""),H163),1)</f>
        <v>2.7</v>
      </c>
      <c r="K163" s="178" t="s">
        <v>212</v>
      </c>
      <c r="L163" s="965"/>
      <c r="M163" s="188">
        <f>IFERROR(IF(L163&lt;&gt;"","",VLOOKUP(C163&amp;D163&amp;K163,НН!A:J,10,)),"")</f>
        <v>1207.8</v>
      </c>
      <c r="N163" s="468">
        <f t="shared" si="11"/>
        <v>3261.06</v>
      </c>
      <c r="O163" s="167"/>
      <c r="P163" s="168"/>
    </row>
    <row r="164" spans="2:16" ht="15" collapsed="1">
      <c r="B164" s="179"/>
      <c r="C164" s="180"/>
      <c r="D164" s="180"/>
      <c r="E164" s="255"/>
      <c r="F164" s="469"/>
      <c r="G164" s="216"/>
      <c r="H164" s="263"/>
      <c r="I164" s="288"/>
      <c r="J164" s="470"/>
      <c r="K164" s="220"/>
      <c r="L164" s="965"/>
      <c r="M164" s="188" t="str">
        <f>IFERROR(IF(L164&lt;&gt;"","",VLOOKUP(C164&amp;D164&amp;K164,НН!A:J,10,)),"")</f>
        <v/>
      </c>
      <c r="N164" s="189"/>
      <c r="O164" s="167"/>
      <c r="P164" s="168"/>
    </row>
    <row r="165" spans="2:16" ht="15" hidden="1" outlineLevel="1">
      <c r="B165" s="179"/>
      <c r="C165" s="264" t="s">
        <v>150</v>
      </c>
      <c r="D165" s="426" t="s">
        <v>437</v>
      </c>
      <c r="E165" s="471"/>
      <c r="F165" s="469"/>
      <c r="G165" s="216"/>
      <c r="H165" s="227"/>
      <c r="I165" s="288"/>
      <c r="J165" s="470"/>
      <c r="K165" s="220"/>
      <c r="L165" s="221"/>
      <c r="M165" s="222" t="str">
        <f t="array" aca="1" ref="M165" ca="1">IFERROR(IF(L165&lt;&gt;"","",IF((VLOOKUP(D165&amp;K165,INDIRECT("'"&amp;INDEX(Списки!$AG$2:$AG$17,MATCH(TRUE,COUNTIF(INDIRECT("'"&amp;Списки!$AG$2:$AG$17 &amp;"'!A1:A20000"),D165&amp;K165)&gt;0,0))&amp;"'!A:h"),7,0))=0,"",VLOOKUP(D165&amp;K165,INDIRECT("'"&amp;INDEX(Списки!$AG$2:$AG$17,MATCH(TRUE,COUNTIF(INDIRECT("'"&amp;Списки!$AG$2:$AG$17 &amp;"'!A1:A20000"),D165&amp;K165)&gt;0,0))&amp;"'!A:h"),7,0))),"")</f>
        <v/>
      </c>
      <c r="N165" s="223"/>
      <c r="O165" s="167"/>
      <c r="P165" s="168"/>
    </row>
    <row r="166" spans="2:16" ht="24" hidden="1" outlineLevel="1">
      <c r="B166" s="179"/>
      <c r="C166" s="180" t="s">
        <v>68</v>
      </c>
      <c r="D166" s="180" t="s">
        <v>435</v>
      </c>
      <c r="E166" s="255"/>
      <c r="F166" s="248" t="str">
        <f t="array" ref="F166">IF(C166="","",IF(OR(C166=Списки!$AG$15:$AG$17),"нет","да"))</f>
        <v>да</v>
      </c>
      <c r="G166" s="204"/>
      <c r="H166" s="210">
        <v>2</v>
      </c>
      <c r="I166" s="213"/>
      <c r="J166" s="234">
        <f>IF(C165="нет",0,IF(H166="",I166,H166))</f>
        <v>0</v>
      </c>
      <c r="K166" s="178" t="s">
        <v>163</v>
      </c>
      <c r="L166" s="965"/>
      <c r="M166" s="188">
        <f>IFERROR(IF(L166&lt;&gt;"","",VLOOKUP(C166&amp;D166&amp;K166,НН!A:J,10,)),"")</f>
        <v>3700</v>
      </c>
      <c r="N166" s="189">
        <f t="shared" si="11"/>
        <v>0</v>
      </c>
      <c r="O166" s="214"/>
      <c r="P166" s="168"/>
    </row>
    <row r="167" spans="2:16" ht="15" collapsed="1">
      <c r="B167" s="179"/>
      <c r="C167" s="180"/>
      <c r="D167" s="180"/>
      <c r="E167" s="255"/>
      <c r="F167" s="469"/>
      <c r="G167" s="216"/>
      <c r="H167" s="227"/>
      <c r="I167" s="288"/>
      <c r="J167" s="470"/>
      <c r="K167" s="220"/>
      <c r="L167" s="965"/>
      <c r="M167" s="188" t="str">
        <f>IFERROR(IF(L167&lt;&gt;"","",VLOOKUP(C167&amp;D167&amp;K167,НН!A:J,10,)),"")</f>
        <v/>
      </c>
      <c r="N167" s="189"/>
      <c r="O167" s="167"/>
      <c r="P167" s="168"/>
    </row>
    <row r="168" spans="2:16" ht="15" hidden="1" outlineLevel="1">
      <c r="B168" s="179"/>
      <c r="C168" s="264" t="s">
        <v>150</v>
      </c>
      <c r="D168" s="426" t="s">
        <v>64</v>
      </c>
      <c r="E168" s="255"/>
      <c r="F168" s="469"/>
      <c r="G168" s="216"/>
      <c r="H168" s="227"/>
      <c r="I168" s="288"/>
      <c r="J168" s="470"/>
      <c r="K168" s="220"/>
      <c r="L168" s="221"/>
      <c r="M168" s="222"/>
      <c r="N168" s="223"/>
      <c r="O168" s="167"/>
      <c r="P168" s="168"/>
    </row>
    <row r="169" spans="2:16" ht="15" hidden="1" outlineLevel="1">
      <c r="B169" s="179"/>
      <c r="C169" s="180" t="s">
        <v>64</v>
      </c>
      <c r="D169" s="180" t="s">
        <v>438</v>
      </c>
      <c r="E169" s="472"/>
      <c r="F169" s="248" t="str">
        <f t="array" ref="F169">IF(C169="","",IF(OR(C169=Списки!$AG$15:$AG$17),"нет","да"))</f>
        <v>да</v>
      </c>
      <c r="G169" s="454"/>
      <c r="H169" s="262">
        <v>6</v>
      </c>
      <c r="I169" s="272"/>
      <c r="J169" s="245">
        <f>IF(C168="нет",0,IF(H169="",I169,H169))</f>
        <v>0</v>
      </c>
      <c r="K169" s="178" t="s">
        <v>163</v>
      </c>
      <c r="L169" s="965"/>
      <c r="M169" s="188">
        <f>IFERROR(IF(L169&lt;&gt;"","",VLOOKUP(C169&amp;D169&amp;K169,НН!A:J,10,)),"")</f>
        <v>600</v>
      </c>
      <c r="N169" s="468">
        <f t="shared" si="11"/>
        <v>0</v>
      </c>
      <c r="O169" s="167"/>
      <c r="P169" s="168"/>
    </row>
    <row r="170" spans="2:16" ht="15" hidden="1" outlineLevel="1">
      <c r="B170" s="179"/>
      <c r="C170" s="180" t="s">
        <v>64</v>
      </c>
      <c r="D170" s="180" t="s">
        <v>439</v>
      </c>
      <c r="E170" s="473"/>
      <c r="F170" s="248" t="str">
        <f t="array" ref="F170">IF(C170="","",IF(OR(C170=Списки!$AG$15:$AG$17),"нет","да"))</f>
        <v>да</v>
      </c>
      <c r="G170" s="454"/>
      <c r="H170" s="1207"/>
      <c r="I170" s="245">
        <f>IF(H170="",ROUNDUP(H169/2,),"")</f>
        <v>3</v>
      </c>
      <c r="J170" s="245">
        <f>IF(C168="нет",0,I170)</f>
        <v>0</v>
      </c>
      <c r="K170" s="178" t="s">
        <v>129</v>
      </c>
      <c r="L170" s="965"/>
      <c r="M170" s="188">
        <f>IFERROR(IF(L170&lt;&gt;"","",VLOOKUP(C170&amp;D170&amp;K170,НН!A:J,10,)),"")</f>
        <v>440</v>
      </c>
      <c r="N170" s="468">
        <f t="shared" si="11"/>
        <v>0</v>
      </c>
      <c r="O170" s="214"/>
      <c r="P170" s="168"/>
    </row>
    <row r="171" spans="2:16" ht="15" hidden="1" outlineLevel="1">
      <c r="B171" s="179"/>
      <c r="C171" s="180" t="s">
        <v>68</v>
      </c>
      <c r="D171" s="180" t="s">
        <v>440</v>
      </c>
      <c r="E171" s="473"/>
      <c r="F171" s="248" t="str">
        <f t="array" ref="F171">IF(C171="","",IF(OR(C171=Списки!$AG$15:$AG$17),"нет","да"))</f>
        <v>да</v>
      </c>
      <c r="G171" s="454"/>
      <c r="H171" s="1208"/>
      <c r="I171" s="245">
        <f>H169*(3.14*0.05)</f>
        <v>0.94200000000000017</v>
      </c>
      <c r="J171" s="245">
        <f>IF(C168="нет",0,IF(H171="",I171,H171))</f>
        <v>0</v>
      </c>
      <c r="K171" s="178" t="s">
        <v>163</v>
      </c>
      <c r="L171" s="965"/>
      <c r="M171" s="188">
        <f>IFERROR(IF(L171&lt;&gt;"","",VLOOKUP(C171&amp;D171&amp;K171,НН!A:J,10,)),"")</f>
        <v>132</v>
      </c>
      <c r="N171" s="468">
        <f t="shared" si="11"/>
        <v>0</v>
      </c>
      <c r="O171" s="167"/>
      <c r="P171" s="168"/>
    </row>
    <row r="172" spans="2:16" ht="15">
      <c r="B172" s="179"/>
      <c r="C172" s="180"/>
      <c r="D172" s="180"/>
      <c r="E172" s="473"/>
      <c r="F172" s="248"/>
      <c r="G172" s="454"/>
      <c r="H172" s="455"/>
      <c r="I172" s="272"/>
      <c r="J172" s="245"/>
      <c r="K172" s="178"/>
      <c r="L172" s="965"/>
      <c r="M172" s="188" t="str">
        <f>IFERROR(IF(L172&lt;&gt;"","",VLOOKUP(C172&amp;D172&amp;K172,НН!A:J,10,)),"")</f>
        <v/>
      </c>
      <c r="N172" s="474"/>
      <c r="O172" s="167"/>
      <c r="P172" s="168"/>
    </row>
    <row r="173" spans="2:16" ht="15" outlineLevel="1">
      <c r="B173" s="179"/>
      <c r="C173" s="264" t="s">
        <v>115</v>
      </c>
      <c r="D173" s="426" t="s">
        <v>441</v>
      </c>
      <c r="E173" s="255"/>
      <c r="F173" s="469"/>
      <c r="G173" s="476"/>
      <c r="H173" s="227"/>
      <c r="I173" s="288"/>
      <c r="J173" s="470"/>
      <c r="K173" s="220"/>
      <c r="L173" s="221"/>
      <c r="M173" s="222"/>
      <c r="N173" s="223"/>
      <c r="O173" s="214"/>
      <c r="P173" s="168"/>
    </row>
    <row r="174" spans="2:16" ht="16.5" customHeight="1" outlineLevel="1">
      <c r="B174" s="179"/>
      <c r="C174" s="180" t="s">
        <v>69</v>
      </c>
      <c r="D174" s="180" t="s">
        <v>1627</v>
      </c>
      <c r="E174" s="473"/>
      <c r="F174" s="212" t="str">
        <f t="array" ref="F174">IF(C174="","",IF(OR(C174=Списки!$AG$15:$AG$17),"нет","да"))</f>
        <v>да</v>
      </c>
      <c r="G174" s="454"/>
      <c r="H174" s="455"/>
      <c r="I174" s="456">
        <f>ROUND(VLOOKUP(G5/1000,'Для расчетов'!V39:AK57,MATCH(ROUND(H5,-3)/1000,'Для расчетов'!W38:AK38),FALSE),)</f>
        <v>3</v>
      </c>
      <c r="J174" s="245">
        <f>IF(C173="нет",0,IF(H174="",I174,H174))</f>
        <v>3</v>
      </c>
      <c r="K174" s="246" t="s">
        <v>129</v>
      </c>
      <c r="L174" s="1265"/>
      <c r="M174" s="247">
        <f>IFERROR(IF(L174&lt;&gt;"","",VLOOKUP(C174&amp;D174&amp;K174,НН!A:J,10,)),"")</f>
        <v>200</v>
      </c>
      <c r="N174" s="237">
        <f t="shared" si="11"/>
        <v>600</v>
      </c>
      <c r="O174" s="167"/>
      <c r="P174" s="168"/>
    </row>
    <row r="175" spans="2:16" ht="15">
      <c r="B175" s="169" t="s">
        <v>474</v>
      </c>
      <c r="C175" s="170"/>
      <c r="D175" s="291" t="s">
        <v>445</v>
      </c>
      <c r="E175" s="292"/>
      <c r="F175" s="403"/>
      <c r="G175" s="477"/>
      <c r="H175" s="403"/>
      <c r="I175" s="403" t="str">
        <f t="array" ref="I175">IF(ISBLANK(E175),"",IF(OR(E175=Списки!$AG$15:$AG$17),"нет","да"))</f>
        <v/>
      </c>
      <c r="J175" s="295"/>
      <c r="K175" s="478"/>
      <c r="L175" s="287"/>
      <c r="M175" s="479" t="str">
        <f t="array" aca="1" ref="M175" ca="1">IFERROR(IF((VLOOKUP(D175,INDIRECT("'"&amp;INDEX(Списки!$AG$2:$AG$17,MATCH(TRUE,COUNTIF(INDIRECT("'"&amp;Списки!$AG$2:$AG$17 &amp;"'!A1:A20000"),D175)&gt;0,0))&amp;"'!A:C"),3,0))=0,"",VLOOKUP(D175,INDIRECT("'"&amp;INDEX(Списки!$AG$2:$AG$17,MATCH(TRUE,COUNTIF(INDIRECT("'"&amp;Списки!$AG$2:$AG$17 &amp;"'!A1:A20000"),D175)&gt;0,0))&amp;"'!A:C"),3,0)),"")</f>
        <v/>
      </c>
      <c r="N175" s="480"/>
      <c r="O175" s="365"/>
      <c r="P175" s="168"/>
    </row>
    <row r="176" spans="2:16" ht="15" outlineLevel="1">
      <c r="B176" s="169"/>
      <c r="C176" s="481"/>
      <c r="D176" s="278" t="s">
        <v>446</v>
      </c>
      <c r="E176" s="255"/>
      <c r="F176" s="469"/>
      <c r="G176" s="216"/>
      <c r="H176" s="227"/>
      <c r="I176" s="218"/>
      <c r="J176" s="219"/>
      <c r="K176" s="220"/>
      <c r="L176" s="221"/>
      <c r="M176" s="222" t="str">
        <f t="array" aca="1" ref="M176" ca="1">IF(D176="ФОТ",I176*#REF!,IFERROR(IF(L176&lt;&gt;"","",IF((VLOOKUP(D176&amp;K176,INDIRECT("'"&amp;INDEX(Списки!$AG$2:$AG$17,MATCH(TRUE,COUNTIF(INDIRECT("'"&amp;Списки!$AG$2:$AG$17 &amp;"'!A1:A20000"),D176&amp;K176)&gt;0,0))&amp;"'!A:h"),7,0))=0,"",VLOOKUP(D176&amp;K176,INDIRECT("'"&amp;INDEX(Списки!$AG$2:$AG$17,MATCH(TRUE,COUNTIF(INDIRECT("'"&amp;Списки!$AG$2:$AG$17 &amp;"'!A1:A20000"),D176&amp;K176)&gt;0,0))&amp;"'!A:h"),7,0))),""))</f>
        <v/>
      </c>
      <c r="N176" s="223" t="str">
        <f t="shared" ca="1" si="11"/>
        <v/>
      </c>
      <c r="O176" s="365"/>
      <c r="P176" s="168"/>
    </row>
    <row r="177" spans="2:16" ht="24" outlineLevel="1">
      <c r="B177" s="169"/>
      <c r="C177" s="180" t="s">
        <v>72</v>
      </c>
      <c r="D177" s="180" t="s">
        <v>447</v>
      </c>
      <c r="E177" s="482"/>
      <c r="F177" s="212" t="str">
        <f t="array" ref="F177">IF(C177="","",IF(OR(C177=Списки!$AG$15:$AG$17),"нет","да"))</f>
        <v>нет</v>
      </c>
      <c r="G177" s="204"/>
      <c r="H177" s="184"/>
      <c r="I177" s="193">
        <f>IF(F131&lt;2500,6,7)</f>
        <v>6</v>
      </c>
      <c r="J177" s="194">
        <f>IF(AND(C131="да",E136="да"),ROUNDUP(IF($E130=Списки!$AW$2,0,IF(H177="",I177,H177)),1),0)</f>
        <v>0</v>
      </c>
      <c r="K177" s="178" t="s">
        <v>212</v>
      </c>
      <c r="L177" s="1289"/>
      <c r="M177" s="188">
        <f>IFERROR(IF(L177&lt;&gt;"","",VLOOKUP(C177&amp;D177&amp;K177,НН!A:J,10,)),"")</f>
        <v>1207.8</v>
      </c>
      <c r="N177" s="202">
        <f t="shared" si="11"/>
        <v>0</v>
      </c>
      <c r="O177" s="365" t="s">
        <v>448</v>
      </c>
      <c r="P177" s="298"/>
    </row>
    <row r="178" spans="2:16" ht="24" outlineLevel="1">
      <c r="B178" s="169"/>
      <c r="C178" s="180" t="s">
        <v>72</v>
      </c>
      <c r="D178" s="180" t="s">
        <v>449</v>
      </c>
      <c r="E178" s="482"/>
      <c r="F178" s="212" t="str">
        <f t="array" ref="F178">IF(C178="","",IF(OR(C178=Списки!$AG$15:$AG$17),"нет","да"))</f>
        <v>нет</v>
      </c>
      <c r="G178" s="204"/>
      <c r="H178" s="184"/>
      <c r="I178" s="193">
        <f>IF(F131&lt;2500,5,6)</f>
        <v>5</v>
      </c>
      <c r="J178" s="194">
        <f>IF(AND(C131="да",E136="да"),ROUNDUP(IF($E130=Списки!$AW$2,0,IF(H178="",I178,H178)),1),0)</f>
        <v>0</v>
      </c>
      <c r="K178" s="178" t="s">
        <v>212</v>
      </c>
      <c r="L178" s="1289"/>
      <c r="M178" s="188">
        <f>IFERROR(IF(L178&lt;&gt;"","",VLOOKUP(C178&amp;D178&amp;K178,НН!A:J,10,)),"")</f>
        <v>1207.8</v>
      </c>
      <c r="N178" s="202">
        <f t="shared" si="11"/>
        <v>0</v>
      </c>
      <c r="O178" s="365" t="s">
        <v>450</v>
      </c>
      <c r="P178" s="168"/>
    </row>
    <row r="179" spans="2:16" ht="20.25" customHeight="1" outlineLevel="1">
      <c r="B179" s="169"/>
      <c r="C179" s="180" t="s">
        <v>72</v>
      </c>
      <c r="D179" s="180" t="s">
        <v>451</v>
      </c>
      <c r="E179" s="255"/>
      <c r="F179" s="212" t="str">
        <f t="array" ref="F179">IF(C179="","",IF(OR(C179=Списки!$AG$15:$AG$17),"нет","да"))</f>
        <v>нет</v>
      </c>
      <c r="G179" s="204"/>
      <c r="H179" s="184"/>
      <c r="I179" s="193">
        <f>0.5*J144</f>
        <v>1</v>
      </c>
      <c r="J179" s="194">
        <f>IF(C36="нет",0,ROUNDUP(IF($E130=Списки!$AW$2,0,IF(ISBLANK(D179),"",IF(H179="",I179,H179))),1))</f>
        <v>1</v>
      </c>
      <c r="K179" s="178" t="s">
        <v>212</v>
      </c>
      <c r="L179" s="965"/>
      <c r="M179" s="188">
        <f>IFERROR(IF(L179&lt;&gt;"","",VLOOKUP(C179&amp;D179&amp;K179,НН!A:J,10,)),"")</f>
        <v>1207.8</v>
      </c>
      <c r="N179" s="202">
        <f t="shared" si="11"/>
        <v>1207.8</v>
      </c>
      <c r="O179" s="483" t="s">
        <v>452</v>
      </c>
      <c r="P179" s="484"/>
    </row>
    <row r="180" spans="2:16" ht="15" collapsed="1">
      <c r="B180" s="169"/>
      <c r="C180" s="180"/>
      <c r="D180" s="180"/>
      <c r="E180" s="255"/>
      <c r="F180" s="212" t="str">
        <f t="array" ref="F180">IF(C180="","",IF(OR(C180=Списки!$AG$15:$AG$17),"нет","да"))</f>
        <v/>
      </c>
      <c r="G180" s="204"/>
      <c r="H180" s="210"/>
      <c r="I180" s="193"/>
      <c r="J180" s="186" t="str">
        <f>IF(ISBLANK(D180),"",IF(H180="",I180,H180))</f>
        <v/>
      </c>
      <c r="K180" s="178"/>
      <c r="L180" s="196"/>
      <c r="M180" s="188" t="str">
        <f>IFERROR(IF(L180&lt;&gt;"","",VLOOKUP(C180&amp;D180&amp;K180,НН!A:J,10,)),"")</f>
        <v/>
      </c>
      <c r="N180" s="189" t="str">
        <f t="shared" si="11"/>
        <v/>
      </c>
      <c r="O180" s="365"/>
      <c r="P180" s="168"/>
    </row>
    <row r="181" spans="2:16" ht="15" hidden="1" outlineLevel="1">
      <c r="B181" s="169"/>
      <c r="C181" s="180"/>
      <c r="D181" s="426" t="s">
        <v>427</v>
      </c>
      <c r="E181" s="255"/>
      <c r="F181" s="485"/>
      <c r="G181" s="216"/>
      <c r="H181" s="227"/>
      <c r="I181" s="218"/>
      <c r="J181" s="219"/>
      <c r="K181" s="220"/>
      <c r="L181" s="221"/>
      <c r="M181" s="222" t="str">
        <f t="array" aca="1" ref="M181" ca="1">IF(D181="ФОТ",I181*#REF!,IFERROR(IF(L181&lt;&gt;"","",IF((VLOOKUP(D181&amp;K181,INDIRECT("'"&amp;INDEX(Списки!$AG$2:$AG$17,MATCH(TRUE,COUNTIF(INDIRECT("'"&amp;Списки!$AG$2:$AG$17 &amp;"'!A1:A20000"),D181&amp;K181)&gt;0,0))&amp;"'!A:h"),7,0))=0,"",VLOOKUP(D181&amp;K181,INDIRECT("'"&amp;INDEX(Списки!$AG$2:$AG$17,MATCH(TRUE,COUNTIF(INDIRECT("'"&amp;Списки!$AG$2:$AG$17 &amp;"'!A1:A20000"),D181&amp;K181)&gt;0,0))&amp;"'!A:h"),7,0))),""))</f>
        <v/>
      </c>
      <c r="N181" s="223" t="str">
        <f t="shared" ca="1" si="11"/>
        <v/>
      </c>
      <c r="O181" s="365"/>
      <c r="P181" s="168"/>
    </row>
    <row r="182" spans="2:16" ht="24" hidden="1" outlineLevel="1">
      <c r="B182" s="169"/>
      <c r="C182" s="180" t="s">
        <v>72</v>
      </c>
      <c r="D182" s="180" t="s">
        <v>447</v>
      </c>
      <c r="E182" s="255"/>
      <c r="F182" s="212" t="str">
        <f t="array" ref="F182">IF(C182="","",IF(OR(C182=Списки!$AG$15:$AG$17),"нет","да"))</f>
        <v>нет</v>
      </c>
      <c r="G182" s="204"/>
      <c r="H182" s="210"/>
      <c r="I182" s="193">
        <f>IF(G5&lt;2500,6,7)*J130</f>
        <v>0</v>
      </c>
      <c r="J182" s="194">
        <f>ROUNDUP(IF($E$130=Списки!$AW$3,0,IF(ISBLANK(D182),"",IF(H182="",I182,H182))),1)</f>
        <v>0</v>
      </c>
      <c r="K182" s="178" t="s">
        <v>212</v>
      </c>
      <c r="L182" s="226"/>
      <c r="M182" s="188">
        <f>IFERROR(IF(L182&lt;&gt;"","",VLOOKUP(C182&amp;D182&amp;K182,НН!A:J,10,)),"")</f>
        <v>1207.8</v>
      </c>
      <c r="N182" s="202">
        <f t="shared" si="11"/>
        <v>0</v>
      </c>
      <c r="O182" s="365" t="s">
        <v>448</v>
      </c>
      <c r="P182" s="168"/>
    </row>
    <row r="183" spans="2:16" ht="24" hidden="1" outlineLevel="1">
      <c r="B183" s="169"/>
      <c r="C183" s="180" t="s">
        <v>72</v>
      </c>
      <c r="D183" s="180" t="s">
        <v>453</v>
      </c>
      <c r="E183" s="255"/>
      <c r="F183" s="212" t="str">
        <f t="array" ref="F183">IF(C183="","",IF(OR(C183=Списки!$AG$15:$AG$17),"нет","да"))</f>
        <v>нет</v>
      </c>
      <c r="G183" s="204"/>
      <c r="H183" s="210"/>
      <c r="I183" s="193">
        <f>IF(G5&lt;2500,5,6)*J130</f>
        <v>0</v>
      </c>
      <c r="J183" s="194">
        <f>ROUNDUP(IF($E$130=Списки!$AW$3,0,IF(ISBLANK(D183),"",IF(H183="",I183,H183))),1)</f>
        <v>0</v>
      </c>
      <c r="K183" s="178" t="s">
        <v>212</v>
      </c>
      <c r="L183" s="226"/>
      <c r="M183" s="188">
        <f>IFERROR(IF(L183&lt;&gt;"","",VLOOKUP(C183&amp;D183&amp;K183,НН!A:J,10,)),"")</f>
        <v>1207.8</v>
      </c>
      <c r="N183" s="202">
        <f t="shared" si="11"/>
        <v>0</v>
      </c>
      <c r="O183" s="365" t="s">
        <v>450</v>
      </c>
      <c r="P183" s="168"/>
    </row>
    <row r="184" spans="2:16" ht="24" hidden="1" outlineLevel="1">
      <c r="B184" s="169"/>
      <c r="C184" s="180" t="s">
        <v>72</v>
      </c>
      <c r="D184" s="180" t="s">
        <v>454</v>
      </c>
      <c r="E184" s="255"/>
      <c r="F184" s="212" t="str">
        <f t="array" ref="F184">IF(C184="","",IF(OR(C184=Списки!$AG$15:$AG$17),"нет","да"))</f>
        <v>нет</v>
      </c>
      <c r="G184" s="204"/>
      <c r="H184" s="210"/>
      <c r="I184" s="193">
        <f>5*J130</f>
        <v>0</v>
      </c>
      <c r="J184" s="194">
        <f>ROUNDUP(IF($E$130=Списки!$AW$3,0,IF(ISBLANK(D184),"",IF(H184="",I184,H184))),1)</f>
        <v>0</v>
      </c>
      <c r="K184" s="178" t="s">
        <v>212</v>
      </c>
      <c r="L184" s="226"/>
      <c r="M184" s="188">
        <f>IFERROR(IF(L184&lt;&gt;"","",VLOOKUP(C184&amp;D184&amp;K184,НН!A:J,10,)),"")</f>
        <v>1207.8</v>
      </c>
      <c r="N184" s="202">
        <f t="shared" si="11"/>
        <v>0</v>
      </c>
      <c r="O184" s="365"/>
      <c r="P184" s="168"/>
    </row>
    <row r="185" spans="2:16" ht="24" hidden="1" outlineLevel="1">
      <c r="B185" s="169"/>
      <c r="C185" s="180" t="s">
        <v>72</v>
      </c>
      <c r="D185" s="180" t="s">
        <v>455</v>
      </c>
      <c r="E185" s="255"/>
      <c r="F185" s="212" t="str">
        <f t="array" ref="F185">IF(C185="","",IF(OR(C185=Списки!$AG$15:$AG$17),"нет","да"))</f>
        <v>нет</v>
      </c>
      <c r="G185" s="204"/>
      <c r="H185" s="210"/>
      <c r="I185" s="193">
        <f>6*J130</f>
        <v>0</v>
      </c>
      <c r="J185" s="194">
        <f>ROUNDUP(IF($E$130=Списки!$AW$3,0,IF(ISBLANK(D185),"",IF(H185="",I185,H185))),1)</f>
        <v>0</v>
      </c>
      <c r="K185" s="178" t="s">
        <v>212</v>
      </c>
      <c r="L185" s="226"/>
      <c r="M185" s="188">
        <f>IFERROR(IF(L185&lt;&gt;"","",VLOOKUP(C185&amp;D185&amp;K185,НН!A:J,10,)),"")</f>
        <v>1207.8</v>
      </c>
      <c r="N185" s="202">
        <f t="shared" si="11"/>
        <v>0</v>
      </c>
      <c r="O185" s="365"/>
      <c r="P185" s="168"/>
    </row>
    <row r="186" spans="2:16" ht="24" hidden="1" outlineLevel="1">
      <c r="B186" s="169"/>
      <c r="C186" s="180" t="s">
        <v>72</v>
      </c>
      <c r="D186" s="180" t="s">
        <v>456</v>
      </c>
      <c r="E186" s="255"/>
      <c r="F186" s="212" t="str">
        <f t="array" ref="F186">IF(C186="","",IF(OR(C186=Списки!$AG$15:$AG$17),"нет","да"))</f>
        <v>нет</v>
      </c>
      <c r="G186" s="204"/>
      <c r="H186" s="210"/>
      <c r="I186" s="193">
        <f>5*H130</f>
        <v>0</v>
      </c>
      <c r="J186" s="194">
        <f>ROUNDUP(IF($E$130=Списки!$AW$3,0,IF(ISBLANK(D186),"",IF(H186="",I186,H186))),1)</f>
        <v>0</v>
      </c>
      <c r="K186" s="178" t="s">
        <v>212</v>
      </c>
      <c r="L186" s="226"/>
      <c r="M186" s="188">
        <f>IFERROR(IF(L186&lt;&gt;"","",VLOOKUP(C186&amp;D186&amp;K186,НН!A:J,10,)),"")</f>
        <v>1207.8</v>
      </c>
      <c r="N186" s="202">
        <f t="shared" si="11"/>
        <v>0</v>
      </c>
      <c r="O186" s="365"/>
      <c r="P186" s="168"/>
    </row>
    <row r="187" spans="2:16" ht="15" hidden="1" outlineLevel="1">
      <c r="B187" s="169"/>
      <c r="C187" s="180" t="s">
        <v>72</v>
      </c>
      <c r="D187" s="180" t="s">
        <v>451</v>
      </c>
      <c r="E187" s="255"/>
      <c r="F187" s="212" t="str">
        <f t="array" ref="F187">IF(C187="","",IF(OR(C187=Списки!$AG$15:$AG$17),"нет","да"))</f>
        <v>нет</v>
      </c>
      <c r="G187" s="204"/>
      <c r="H187" s="210"/>
      <c r="I187" s="193">
        <f>0.5*J152</f>
        <v>0</v>
      </c>
      <c r="J187" s="194">
        <f>ROUNDUP(IF($E$130=Списки!$AW$3,0,IF(ISBLANK(D187),"",IF(H187="",I187,H187))),1)</f>
        <v>0</v>
      </c>
      <c r="K187" s="178" t="s">
        <v>212</v>
      </c>
      <c r="L187" s="226"/>
      <c r="M187" s="188">
        <f>IFERROR(IF(L187&lt;&gt;"","",VLOOKUP(C187&amp;D187&amp;K187,НН!A:J,10,)),"")</f>
        <v>1207.8</v>
      </c>
      <c r="N187" s="202">
        <f t="shared" si="11"/>
        <v>0</v>
      </c>
      <c r="O187" s="365" t="s">
        <v>452</v>
      </c>
      <c r="P187" s="168"/>
    </row>
    <row r="188" spans="2:16" ht="15" hidden="1" outlineLevel="1">
      <c r="B188" s="169"/>
      <c r="C188" s="180" t="s">
        <v>72</v>
      </c>
      <c r="D188" s="180" t="s">
        <v>457</v>
      </c>
      <c r="E188" s="255"/>
      <c r="F188" s="212" t="str">
        <f t="array" ref="F188">IF(C188="","",IF(OR(C188=Списки!$AG$15:$AG$17),"нет","да"))</f>
        <v>нет</v>
      </c>
      <c r="G188" s="204"/>
      <c r="H188" s="184"/>
      <c r="I188" s="193">
        <f>0.5*J151</f>
        <v>0</v>
      </c>
      <c r="J188" s="194">
        <f>ROUNDUP(IF($E$130=Списки!$AW$3,0,IF(ISBLANK(D188),"",IF(H188="",I188,H188))),1)</f>
        <v>0</v>
      </c>
      <c r="K188" s="178" t="s">
        <v>212</v>
      </c>
      <c r="L188" s="196"/>
      <c r="M188" s="188">
        <f>IFERROR(IF(L188&lt;&gt;"","",VLOOKUP(C188&amp;D188&amp;K188,НН!A:J,10,)),"")</f>
        <v>1207.8</v>
      </c>
      <c r="N188" s="202">
        <f t="shared" si="11"/>
        <v>0</v>
      </c>
      <c r="O188" s="365"/>
      <c r="P188" s="168"/>
    </row>
    <row r="189" spans="2:16" ht="15">
      <c r="B189" s="169"/>
      <c r="C189" s="180"/>
      <c r="D189" s="180"/>
      <c r="E189" s="255"/>
      <c r="F189" s="485" t="str">
        <f t="array" ref="F189">IF(C189="","",IF(OR(C189=Списки!$AG$15:$AG$17),"нет","да"))</f>
        <v/>
      </c>
      <c r="G189" s="216"/>
      <c r="H189" s="263"/>
      <c r="I189" s="218"/>
      <c r="J189" s="219" t="str">
        <f>IF(ISBLANK(D189),"",IF(H189="",I189,H189))</f>
        <v/>
      </c>
      <c r="K189" s="220"/>
      <c r="L189" s="221"/>
      <c r="M189" s="222" t="str">
        <f t="array" aca="1" ref="M189" ca="1">IF(D189="ФОТ",I189*#REF!,IFERROR(IF(L189&lt;&gt;"","",IF((VLOOKUP(D189&amp;K189,INDIRECT("'"&amp;INDEX(Списки!$AG$2:$AG$17,MATCH(TRUE,COUNTIF(INDIRECT("'"&amp;Списки!$AG$2:$AG$17 &amp;"'!A1:A20000"),D189&amp;K189)&gt;0,0))&amp;"'!A:h"),7,0))=0,"",VLOOKUP(D189&amp;K189,INDIRECT("'"&amp;INDEX(Списки!$AG$2:$AG$17,MATCH(TRUE,COUNTIF(INDIRECT("'"&amp;Списки!$AG$2:$AG$17 &amp;"'!A1:A20000"),D189&amp;K189)&gt;0,0))&amp;"'!A:h"),7,0))),""))</f>
        <v/>
      </c>
      <c r="N189" s="223" t="str">
        <f t="shared" ca="1" si="11"/>
        <v/>
      </c>
      <c r="O189" s="365"/>
      <c r="P189" s="168"/>
    </row>
    <row r="190" spans="2:16" ht="15" collapsed="1">
      <c r="B190" s="169"/>
      <c r="C190" s="481"/>
      <c r="D190" s="426" t="s">
        <v>430</v>
      </c>
      <c r="E190" s="255"/>
      <c r="F190" s="215"/>
      <c r="G190" s="216"/>
      <c r="H190" s="486"/>
      <c r="I190" s="218"/>
      <c r="J190" s="219"/>
      <c r="K190" s="220"/>
      <c r="L190" s="221"/>
      <c r="M190" s="222" t="str">
        <f t="array" aca="1" ref="M190" ca="1">IF(D190="ФОТ",I190*#REF!,IFERROR(IF(L190&lt;&gt;"","",IF((VLOOKUP(D190&amp;K190,INDIRECT("'"&amp;INDEX(Списки!$AG$2:$AG$17,MATCH(TRUE,COUNTIF(INDIRECT("'"&amp;Списки!$AG$2:$AG$17 &amp;"'!A1:A20000"),D190&amp;K190)&gt;0,0))&amp;"'!A:h"),7,0))=0,"",VLOOKUP(D190&amp;K190,INDIRECT("'"&amp;INDEX(Списки!$AG$2:$AG$17,MATCH(TRUE,COUNTIF(INDIRECT("'"&amp;Списки!$AG$2:$AG$17 &amp;"'!A1:A20000"),D190&amp;K190)&gt;0,0))&amp;"'!A:h"),7,0))),""))</f>
        <v/>
      </c>
      <c r="N190" s="223" t="str">
        <f t="shared" ca="1" si="11"/>
        <v/>
      </c>
      <c r="O190" s="365"/>
      <c r="P190" s="168"/>
    </row>
    <row r="191" spans="2:16" ht="24" hidden="1" outlineLevel="1">
      <c r="B191" s="169"/>
      <c r="C191" s="180" t="s">
        <v>72</v>
      </c>
      <c r="D191" s="180" t="s">
        <v>458</v>
      </c>
      <c r="E191" s="255"/>
      <c r="F191" s="212" t="str">
        <f t="array" ref="F191">IF(C191="","",IF(OR(C191=Списки!$AG$15:$AG$17),"нет","да"))</f>
        <v>нет</v>
      </c>
      <c r="G191" s="487"/>
      <c r="H191" s="262"/>
      <c r="I191" s="193">
        <f>6*H154</f>
        <v>6</v>
      </c>
      <c r="J191" s="194">
        <f t="shared" ref="J191:J193" si="12">ROUNDUP(IF($C$154="нет",0,IF(ISBLANK(D191),"",IF(H191="",I191,H191))),1)</f>
        <v>0</v>
      </c>
      <c r="K191" s="178" t="s">
        <v>212</v>
      </c>
      <c r="L191" s="226"/>
      <c r="M191" s="188">
        <f>IFERROR(IF(L191&lt;&gt;"","",VLOOKUP(C191&amp;D191&amp;K191,НН!A:J,10,)),"")</f>
        <v>1207.8</v>
      </c>
      <c r="N191" s="202">
        <f t="shared" si="11"/>
        <v>0</v>
      </c>
      <c r="O191" s="365"/>
      <c r="P191" s="168"/>
    </row>
    <row r="192" spans="2:16" ht="15" hidden="1" outlineLevel="1">
      <c r="B192" s="169"/>
      <c r="C192" s="180" t="s">
        <v>72</v>
      </c>
      <c r="D192" s="180" t="s">
        <v>459</v>
      </c>
      <c r="E192" s="255"/>
      <c r="F192" s="212" t="str">
        <f t="array" ref="F192">IF(C192="","",IF(OR(C192=Списки!$AG$15:$AG$17),"нет","да"))</f>
        <v>нет</v>
      </c>
      <c r="G192" s="487"/>
      <c r="H192" s="262"/>
      <c r="I192" s="193">
        <f>5*H154</f>
        <v>5</v>
      </c>
      <c r="J192" s="194">
        <f t="shared" si="12"/>
        <v>0</v>
      </c>
      <c r="K192" s="178" t="s">
        <v>212</v>
      </c>
      <c r="L192" s="226"/>
      <c r="M192" s="188">
        <f>IFERROR(IF(L192&lt;&gt;"","",VLOOKUP(C192&amp;D192&amp;K192,НН!A:J,10,)),"")</f>
        <v>1207.8</v>
      </c>
      <c r="N192" s="202">
        <f t="shared" si="11"/>
        <v>0</v>
      </c>
      <c r="O192" s="365"/>
      <c r="P192" s="168"/>
    </row>
    <row r="193" spans="2:16" ht="18.75" hidden="1" customHeight="1" outlineLevel="1">
      <c r="B193" s="169"/>
      <c r="C193" s="180" t="s">
        <v>72</v>
      </c>
      <c r="D193" s="180" t="s">
        <v>1944</v>
      </c>
      <c r="E193" s="255"/>
      <c r="F193" s="212" t="str">
        <f t="array" ref="F193">IF(C193="","",IF(OR(C193=Списки!$AG$15:$AG$17),"нет","да"))</f>
        <v>нет</v>
      </c>
      <c r="G193" s="487"/>
      <c r="H193" s="262"/>
      <c r="I193" s="193">
        <f>5*H154</f>
        <v>5</v>
      </c>
      <c r="J193" s="194">
        <f t="shared" si="12"/>
        <v>0</v>
      </c>
      <c r="K193" s="178" t="s">
        <v>212</v>
      </c>
      <c r="L193" s="965"/>
      <c r="M193" s="188">
        <f>IFERROR(IF(L193&lt;&gt;"","",VLOOKUP(C193&amp;D193&amp;K193,НН!A:J,10,)),"")</f>
        <v>1207.8</v>
      </c>
      <c r="N193" s="202">
        <f t="shared" ref="N193:N202" si="13">IFERROR(IF(L193="",M193*J193,J193*L193),"")</f>
        <v>0</v>
      </c>
      <c r="O193" s="365"/>
      <c r="P193" s="168"/>
    </row>
    <row r="194" spans="2:16" ht="15">
      <c r="B194" s="169"/>
      <c r="C194" s="180"/>
      <c r="D194" s="180"/>
      <c r="E194" s="255"/>
      <c r="F194" s="212" t="str">
        <f t="array" ref="F194">IF(C194="","",IF(OR(C194=Списки!$AG$15:$AG$17),"нет","да"))</f>
        <v/>
      </c>
      <c r="G194" s="204"/>
      <c r="H194" s="488"/>
      <c r="I194" s="193"/>
      <c r="J194" s="186" t="str">
        <f>IF(ISBLANK(D194),"",IF(H194="",I194,H194))</f>
        <v/>
      </c>
      <c r="K194" s="178"/>
      <c r="L194" s="196"/>
      <c r="M194" s="188" t="str">
        <f>IFERROR(IF(L194&lt;&gt;"","",VLOOKUP(C194&amp;D194&amp;K194,НН!A:J,10,)),"")</f>
        <v/>
      </c>
      <c r="N194" s="189" t="str">
        <f t="shared" si="13"/>
        <v/>
      </c>
      <c r="O194" s="365"/>
      <c r="P194" s="168"/>
    </row>
    <row r="195" spans="2:16" ht="15">
      <c r="B195" s="169"/>
      <c r="C195" s="481"/>
      <c r="D195" s="426" t="s">
        <v>432</v>
      </c>
      <c r="E195" s="255"/>
      <c r="F195" s="215"/>
      <c r="G195" s="216"/>
      <c r="H195" s="227"/>
      <c r="I195" s="218"/>
      <c r="J195" s="219"/>
      <c r="K195" s="220"/>
      <c r="L195" s="221"/>
      <c r="M195" s="222" t="str">
        <f t="array" aca="1" ref="M195" ca="1">IF(D195="ФОТ",I195*#REF!,IFERROR(IF(L195&lt;&gt;"","",IF((VLOOKUP(D195&amp;K195,INDIRECT("'"&amp;INDEX(Списки!$AG$2:$AG$17,MATCH(TRUE,COUNTIF(INDIRECT("'"&amp;Списки!$AG$2:$AG$17 &amp;"'!A1:A20000"),D195&amp;K195)&gt;0,0))&amp;"'!A:h"),7,0))=0,"",VLOOKUP(D195&amp;K195,INDIRECT("'"&amp;INDEX(Списки!$AG$2:$AG$17,MATCH(TRUE,COUNTIF(INDIRECT("'"&amp;Списки!$AG$2:$AG$17 &amp;"'!A1:A20000"),D195&amp;K195)&gt;0,0))&amp;"'!A:h"),7,0))),""))</f>
        <v/>
      </c>
      <c r="N195" s="223" t="str">
        <f t="shared" ca="1" si="13"/>
        <v/>
      </c>
      <c r="O195" s="365"/>
      <c r="P195" s="168"/>
    </row>
    <row r="196" spans="2:16" ht="15" outlineLevel="1">
      <c r="B196" s="169"/>
      <c r="C196" s="180" t="s">
        <v>72</v>
      </c>
      <c r="D196" s="180" t="s">
        <v>460</v>
      </c>
      <c r="E196" s="255"/>
      <c r="F196" s="212" t="str">
        <f t="array" ref="F196">IF(C196="","",IF(OR(C196=Списки!$AG$15:$AG$17),"нет","да"))</f>
        <v>нет</v>
      </c>
      <c r="G196" s="204"/>
      <c r="H196" s="210"/>
      <c r="I196" s="193">
        <f>J159*0.5</f>
        <v>8</v>
      </c>
      <c r="J196" s="194">
        <f t="shared" ref="J196:J197" si="14">ROUNDUP(IF($C$158="нет",0,IF(ISBLANK(D196),"",IF(H196="",I196,H196))),1)</f>
        <v>8</v>
      </c>
      <c r="K196" s="178" t="s">
        <v>212</v>
      </c>
      <c r="L196" s="226"/>
      <c r="M196" s="188">
        <f>IFERROR(IF(L196&lt;&gt;"","",VLOOKUP(C196&amp;D196&amp;K196,НН!A:J,10,)),"")</f>
        <v>1207.8</v>
      </c>
      <c r="N196" s="202">
        <f t="shared" si="13"/>
        <v>9662.4</v>
      </c>
      <c r="O196" s="365"/>
      <c r="P196" s="168"/>
    </row>
    <row r="197" spans="2:16" ht="15" outlineLevel="1">
      <c r="B197" s="169"/>
      <c r="C197" s="180" t="s">
        <v>72</v>
      </c>
      <c r="D197" s="180" t="s">
        <v>461</v>
      </c>
      <c r="E197" s="255"/>
      <c r="F197" s="212" t="str">
        <f t="array" ref="F197">IF(C197="","",IF(OR(C197=Списки!$AG$15:$AG$17),"нет","да"))</f>
        <v>нет</v>
      </c>
      <c r="G197" s="204"/>
      <c r="H197" s="210"/>
      <c r="I197" s="193">
        <f>J159*0.5</f>
        <v>8</v>
      </c>
      <c r="J197" s="194">
        <f t="shared" si="14"/>
        <v>8</v>
      </c>
      <c r="K197" s="178" t="s">
        <v>212</v>
      </c>
      <c r="L197" s="226"/>
      <c r="M197" s="188">
        <f>IFERROR(IF(L197&lt;&gt;"","",VLOOKUP(C197&amp;D197&amp;K197,НН!A:J,10,)),"")</f>
        <v>1207.8</v>
      </c>
      <c r="N197" s="202">
        <f t="shared" si="13"/>
        <v>9662.4</v>
      </c>
      <c r="O197" s="365"/>
      <c r="P197" s="168"/>
    </row>
    <row r="198" spans="2:16" ht="15">
      <c r="B198" s="169"/>
      <c r="C198" s="180"/>
      <c r="D198" s="180"/>
      <c r="E198" s="255"/>
      <c r="F198" s="212" t="str">
        <f t="array" ref="F198">IF(C198="","",IF(OR(C198=Списки!$AG$15:$AG$17),"нет","да"))</f>
        <v/>
      </c>
      <c r="G198" s="204"/>
      <c r="H198" s="210"/>
      <c r="I198" s="193"/>
      <c r="J198" s="186" t="str">
        <f>IF(ISBLANK(D198),"",IF(H198="",I198,H198))</f>
        <v/>
      </c>
      <c r="K198" s="178"/>
      <c r="L198" s="196"/>
      <c r="M198" s="188" t="str">
        <f>IFERROR(IF(L198&lt;&gt;"","",VLOOKUP(C198&amp;D198&amp;K198,НН!A:J,10,)),"")</f>
        <v/>
      </c>
      <c r="N198" s="189" t="str">
        <f t="shared" si="13"/>
        <v/>
      </c>
      <c r="O198" s="365"/>
      <c r="P198" s="168"/>
    </row>
    <row r="199" spans="2:16" ht="15">
      <c r="B199" s="169"/>
      <c r="C199" s="481"/>
      <c r="D199" s="426" t="s">
        <v>462</v>
      </c>
      <c r="E199" s="255"/>
      <c r="F199" s="215"/>
      <c r="G199" s="216"/>
      <c r="H199" s="227"/>
      <c r="I199" s="218"/>
      <c r="J199" s="219"/>
      <c r="K199" s="220"/>
      <c r="L199" s="221"/>
      <c r="M199" s="222" t="str">
        <f t="array" aca="1" ref="M199" ca="1">IFERROR(IF(L199&lt;&gt;"","",IF((VLOOKUP(D199&amp;K199,INDIRECT("'"&amp;INDEX(Списки!$AG$2:$AG$17,MATCH(TRUE,COUNTIF(INDIRECT("'"&amp;Списки!$AG$2:$AG$17 &amp;"'!A1:A20000"),D199&amp;K199)&gt;0,0))&amp;"'!A:h"),7,0))=0,"",VLOOKUP(D199&amp;K199,INDIRECT("'"&amp;INDEX(Списки!$AG$2:$AG$17,MATCH(TRUE,COUNTIF(INDIRECT("'"&amp;Списки!$AG$2:$AG$17 &amp;"'!A1:A20000"),D199&amp;K199)&gt;0,0))&amp;"'!A:h"),7,0))),"")</f>
        <v/>
      </c>
      <c r="N199" s="223" t="str">
        <f t="shared" ca="1" si="13"/>
        <v/>
      </c>
      <c r="O199" s="365"/>
      <c r="P199" s="168"/>
    </row>
    <row r="200" spans="2:16" ht="15">
      <c r="B200" s="169"/>
      <c r="C200" s="241" t="s">
        <v>72</v>
      </c>
      <c r="D200" s="241" t="s">
        <v>460</v>
      </c>
      <c r="E200" s="489"/>
      <c r="F200" s="242" t="str">
        <f t="array" ref="F200">IF(C200="","",IF(OR(C200=Списки!$AG$15:$AG$17),"нет","да"))</f>
        <v>нет</v>
      </c>
      <c r="G200" s="301"/>
      <c r="H200" s="1115">
        <v>5</v>
      </c>
      <c r="I200" s="296"/>
      <c r="J200" s="277">
        <f>ROUNDUP(IF($C$165="нет",0,IF(ISBLANK(D200),"",IF(H200="",I200,H200))),1)</f>
        <v>0</v>
      </c>
      <c r="K200" s="246" t="s">
        <v>212</v>
      </c>
      <c r="L200" s="303"/>
      <c r="M200" s="247">
        <f>IFERROR(IF(L200&lt;&gt;"","",VLOOKUP(C200&amp;D200&amp;K200,НН!A:J,10,)),"")</f>
        <v>1207.8</v>
      </c>
      <c r="N200" s="490">
        <f t="shared" si="13"/>
        <v>0</v>
      </c>
      <c r="O200" s="491"/>
      <c r="P200" s="168"/>
    </row>
    <row r="201" spans="2:16" ht="15">
      <c r="B201" s="169"/>
      <c r="C201" s="1215"/>
      <c r="D201" s="775" t="s">
        <v>441</v>
      </c>
      <c r="E201" s="489"/>
      <c r="F201" s="788"/>
      <c r="G201" s="789"/>
      <c r="H201" s="790"/>
      <c r="I201" s="1060"/>
      <c r="J201" s="470"/>
      <c r="K201" s="791"/>
      <c r="L201" s="1216"/>
      <c r="M201" s="1217" t="str">
        <f t="array" aca="1" ref="M201" ca="1">IF(D201="ФОТ",I201*#REF!,IFERROR(IF(L201&lt;&gt;"","",IF((VLOOKUP(D201&amp;K201,INDIRECT("'"&amp;INDEX(Списки!$AG$2:$AG$17,MATCH(TRUE,COUNTIF(INDIRECT("'"&amp;Списки!$AG$2:$AG$17 &amp;"'!A1:A20000"),D201&amp;K201)&gt;0,0))&amp;"'!A:h"),7,0))=0,"",VLOOKUP(D201&amp;K201,INDIRECT("'"&amp;INDEX(Списки!$AG$2:$AG$17,MATCH(TRUE,COUNTIF(INDIRECT("'"&amp;Списки!$AG$2:$AG$17 &amp;"'!A1:A20000"),D201&amp;K201)&gt;0,0))&amp;"'!A:h"),7,0))),""))</f>
        <v/>
      </c>
      <c r="N201" s="1061" t="str">
        <f t="shared" ca="1" si="13"/>
        <v/>
      </c>
      <c r="O201" s="365"/>
      <c r="P201" s="168"/>
    </row>
    <row r="202" spans="2:16" ht="21" customHeight="1">
      <c r="B202" s="169"/>
      <c r="C202" s="180" t="s">
        <v>72</v>
      </c>
      <c r="D202" s="241" t="s">
        <v>1945</v>
      </c>
      <c r="E202" s="489"/>
      <c r="F202" s="242" t="str">
        <f t="array" ref="F202">IF(C202="","",IF(OR(C202=Списки!$AG$15:$AG$17),"нет","да"))</f>
        <v>нет</v>
      </c>
      <c r="G202" s="301"/>
      <c r="H202" s="430"/>
      <c r="I202" s="296">
        <f>0.5*I174</f>
        <v>1.5</v>
      </c>
      <c r="J202" s="277">
        <f>ROUNDUP(IF($C$173="нет",0,IF($C$173="нет",0,IF(ISBLANK(D202),"",IF(H202="",I202,H202)))),1)</f>
        <v>1.5</v>
      </c>
      <c r="K202" s="246" t="s">
        <v>212</v>
      </c>
      <c r="L202" s="303"/>
      <c r="M202" s="247">
        <f>IFERROR(IF(L202&lt;&gt;"","",VLOOKUP(C202&amp;D202&amp;K202,НН!A:J,10,)),"")</f>
        <v>1207.8</v>
      </c>
      <c r="N202" s="237">
        <f t="shared" si="13"/>
        <v>1811.6999999999998</v>
      </c>
      <c r="O202" s="365" t="s">
        <v>464</v>
      </c>
      <c r="P202" s="492"/>
    </row>
    <row r="203" spans="2:16" ht="15">
      <c r="B203" s="169"/>
      <c r="C203" s="306"/>
      <c r="D203" s="307" t="s">
        <v>377</v>
      </c>
      <c r="E203" s="362"/>
      <c r="F203" s="309"/>
      <c r="G203" s="310"/>
      <c r="H203" s="311"/>
      <c r="I203" s="363"/>
      <c r="J203" s="364"/>
      <c r="K203" s="314"/>
      <c r="L203" s="315"/>
      <c r="M203" s="316"/>
      <c r="N203" s="317"/>
      <c r="O203" s="493"/>
      <c r="P203" s="492"/>
    </row>
    <row r="204" spans="2:16" ht="18">
      <c r="B204" s="169"/>
      <c r="C204" s="319"/>
      <c r="D204" s="332"/>
      <c r="E204" s="405" t="s">
        <v>466</v>
      </c>
      <c r="F204" s="406"/>
      <c r="G204" s="407">
        <f>SUM(G175:G202)</f>
        <v>0</v>
      </c>
      <c r="H204" s="332"/>
      <c r="I204" s="332"/>
      <c r="J204" s="408"/>
      <c r="K204" s="408"/>
      <c r="L204" s="409"/>
      <c r="M204" s="410"/>
      <c r="N204" s="411">
        <f ca="1">SUM(N132:N203)</f>
        <v>102517.27529307362</v>
      </c>
      <c r="O204" s="329"/>
      <c r="P204" s="331"/>
    </row>
    <row r="205" spans="2:16" ht="15.75">
      <c r="B205" s="169"/>
      <c r="C205" s="319"/>
      <c r="D205" s="320"/>
      <c r="E205" s="333" t="s">
        <v>379</v>
      </c>
      <c r="F205" s="372"/>
      <c r="G205" s="373"/>
      <c r="H205" s="374"/>
      <c r="I205" s="374"/>
      <c r="J205" s="375"/>
      <c r="K205" s="376"/>
      <c r="L205" s="377"/>
      <c r="M205" s="378"/>
      <c r="N205" s="341">
        <f t="array" ref="N205">SUM(SUMIF(C132:C203,Списки!$AG$2:$AG$14,N132:N203))</f>
        <v>9880</v>
      </c>
      <c r="O205" s="329"/>
      <c r="P205" s="331"/>
    </row>
    <row r="206" spans="2:16" ht="15.75">
      <c r="B206" s="169"/>
      <c r="C206" s="319"/>
      <c r="D206" s="332"/>
      <c r="E206" s="333" t="s">
        <v>380</v>
      </c>
      <c r="F206" s="334"/>
      <c r="G206" s="335"/>
      <c r="H206" s="336"/>
      <c r="I206" s="494"/>
      <c r="J206" s="495"/>
      <c r="K206" s="338"/>
      <c r="L206" s="339"/>
      <c r="M206" s="340"/>
      <c r="N206" s="496">
        <f>SUMIFS(N132:N203,D132:D203,"муфта*",F132:F203,"нет")+SUMIFS(N132:N203,D132:D203,"Труба*",F132:F203,"нет")+SUMIFS(N132:N203,E132:E203,"муфта*",F132:F203,"нет")</f>
        <v>0</v>
      </c>
      <c r="O206" s="329"/>
      <c r="P206" s="331"/>
    </row>
    <row r="207" spans="2:16" ht="15.75">
      <c r="B207" s="169"/>
      <c r="C207" s="319"/>
      <c r="D207" s="320"/>
      <c r="E207" s="412" t="s">
        <v>382</v>
      </c>
      <c r="F207" s="372"/>
      <c r="G207" s="373"/>
      <c r="H207" s="374"/>
      <c r="I207" s="374"/>
      <c r="J207" s="382">
        <f>ROUNDUP(SUMIFS($J$132:$J$203,$K$132:$K$203,Списки!$S$5)-SUMIFS($J$132:$J$203,$K$132:$K$203,Списки!$S$5,$D$132:$D$203,"*изготов*"),1)</f>
        <v>47.9</v>
      </c>
      <c r="K207" s="377" t="s">
        <v>212</v>
      </c>
      <c r="L207" s="377"/>
      <c r="M207" s="378"/>
      <c r="N207" s="413">
        <f>SUMIF($K$132:$K$203,Списки!$S$5,$N$132:$N$203)-SUMIFS($N$132:$N$203,$K$132:$K$203,Списки!$S$5,$D$132:$D$203,"*изготов*")</f>
        <v>57853.619999999988</v>
      </c>
      <c r="O207" s="379"/>
      <c r="P207" s="331"/>
    </row>
    <row r="208" spans="2:16" ht="15.75">
      <c r="B208" s="169"/>
      <c r="C208" s="319"/>
      <c r="D208" s="320"/>
      <c r="E208" s="412" t="s">
        <v>383</v>
      </c>
      <c r="F208" s="372"/>
      <c r="G208" s="373"/>
      <c r="H208" s="374"/>
      <c r="I208" s="374"/>
      <c r="J208" s="382">
        <f>ROUNDUP(SUMIFS($J$132:$J$203,$K$132:$K$203,Списки!$S$5,$D$132:$D$203,"*изготов*"),1)</f>
        <v>8</v>
      </c>
      <c r="K208" s="377" t="s">
        <v>212</v>
      </c>
      <c r="L208" s="377"/>
      <c r="M208" s="378"/>
      <c r="N208" s="413">
        <f>SUMIFS($N$132:$N$203,$K$132:$K$203,Списки!$S$5,$D$132:$D$203,"*изготов*")</f>
        <v>9662.4</v>
      </c>
      <c r="O208" s="379"/>
      <c r="P208" s="331"/>
    </row>
    <row r="209" spans="2:16" ht="15.75">
      <c r="B209" s="169"/>
      <c r="C209" s="319"/>
      <c r="D209" s="320"/>
      <c r="E209" s="333" t="s">
        <v>384</v>
      </c>
      <c r="F209" s="334"/>
      <c r="G209" s="335"/>
      <c r="H209" s="336"/>
      <c r="I209" s="336"/>
      <c r="J209" s="333">
        <f>SUMIFS($J$132:$J$203,$K$132:$K$203,Списки!$S$4)</f>
        <v>104.72188863915864</v>
      </c>
      <c r="K209" s="338" t="s">
        <v>193</v>
      </c>
      <c r="L209" s="339"/>
      <c r="M209" s="340"/>
      <c r="N209" s="341">
        <f>SUMIF($K$132:$K$203,Списки!$S$4,$N$132:$N$203)</f>
        <v>25121.255293073627</v>
      </c>
      <c r="O209" s="379"/>
      <c r="P209" s="331"/>
    </row>
    <row r="210" spans="2:16" ht="15">
      <c r="B210" s="386">
        <v>5</v>
      </c>
      <c r="C210" s="264" t="s">
        <v>115</v>
      </c>
      <c r="D210" s="388" t="s">
        <v>467</v>
      </c>
      <c r="E210" s="389"/>
      <c r="F210" s="390"/>
      <c r="G210" s="391"/>
      <c r="H210" s="389"/>
      <c r="I210" s="392"/>
      <c r="J210" s="392"/>
      <c r="K210" s="393"/>
      <c r="L210" s="394"/>
      <c r="M210" s="395"/>
      <c r="N210" s="390"/>
      <c r="O210" s="214"/>
      <c r="P210" s="168"/>
    </row>
    <row r="211" spans="2:16" ht="15" outlineLevel="1">
      <c r="B211" s="169" t="s">
        <v>597</v>
      </c>
      <c r="C211" s="170"/>
      <c r="D211" s="291" t="s">
        <v>469</v>
      </c>
      <c r="E211" s="292"/>
      <c r="F211" s="293" t="str">
        <f t="array" ref="F211">IF(ISBLANK(C211),"",IF(OR(C211=Списки!$AG$15:$AG$17),"нет","да"))</f>
        <v/>
      </c>
      <c r="G211" s="216"/>
      <c r="H211" s="230"/>
      <c r="I211" s="294"/>
      <c r="J211" s="219"/>
      <c r="K211" s="220"/>
      <c r="L211" s="255"/>
      <c r="M211" s="256"/>
      <c r="N211" s="356"/>
      <c r="O211" s="167"/>
      <c r="P211" s="168"/>
    </row>
    <row r="212" spans="2:16" ht="15" outlineLevel="1">
      <c r="B212" s="169"/>
      <c r="C212" s="170"/>
      <c r="D212" s="497" t="s">
        <v>470</v>
      </c>
      <c r="E212" s="292"/>
      <c r="F212" s="1346"/>
      <c r="G212" s="1346"/>
      <c r="H212" s="1346"/>
      <c r="I212" s="1346"/>
      <c r="J212" s="219">
        <v>1</v>
      </c>
      <c r="K212" s="178" t="s">
        <v>129</v>
      </c>
      <c r="L212" s="1347"/>
      <c r="M212" s="1348"/>
      <c r="N212" s="1349"/>
      <c r="O212" s="167"/>
      <c r="P212" s="168"/>
    </row>
    <row r="213" spans="2:16" ht="15" outlineLevel="1">
      <c r="B213" s="179"/>
      <c r="C213" s="180" t="s">
        <v>197</v>
      </c>
      <c r="D213" s="180" t="s">
        <v>471</v>
      </c>
      <c r="E213" s="255"/>
      <c r="F213" s="212" t="str">
        <f t="array" ref="F213">IF(C213="","",IF(OR(C213=Списки!$AG$15:$AG$17),"нет","да"))</f>
        <v>да</v>
      </c>
      <c r="G213" s="204"/>
      <c r="H213" s="210">
        <f>2*J212</f>
        <v>2</v>
      </c>
      <c r="I213" s="193"/>
      <c r="J213" s="186">
        <f>IF(C210="нет",0,IF(ISBLANK(D213),"",IF(H213="",I213,H213)))</f>
        <v>2</v>
      </c>
      <c r="K213" s="178" t="s">
        <v>129</v>
      </c>
      <c r="L213" s="965"/>
      <c r="M213" s="188">
        <f>IFERROR(IF(L213&lt;&gt;"","",VLOOKUP(C213&amp;D213&amp;K213,НН!A:J,10,)),"")</f>
        <v>500</v>
      </c>
      <c r="N213" s="202">
        <f t="shared" ref="N213:N218" si="15">IFERROR(IF(L213="",M213*J213,J213*L213),"")</f>
        <v>1000</v>
      </c>
      <c r="O213" s="365"/>
      <c r="P213" s="168"/>
    </row>
    <row r="214" spans="2:16" ht="15" outlineLevel="1">
      <c r="B214" s="179"/>
      <c r="C214" s="180" t="s">
        <v>197</v>
      </c>
      <c r="D214" s="180" t="s">
        <v>472</v>
      </c>
      <c r="E214" s="255"/>
      <c r="F214" s="212" t="str">
        <f t="array" ref="F214">IF(C214="","",IF(OR(C214=Списки!$AG$15:$AG$17),"нет","да"))</f>
        <v>да</v>
      </c>
      <c r="G214" s="204"/>
      <c r="H214" s="210">
        <f>1*J212</f>
        <v>1</v>
      </c>
      <c r="I214" s="193"/>
      <c r="J214" s="186">
        <f>IF(C210="нет",0,IF(ISBLANK(D214),"",IF(H214="",I214,H214)))</f>
        <v>1</v>
      </c>
      <c r="K214" s="178" t="s">
        <v>129</v>
      </c>
      <c r="L214" s="965"/>
      <c r="M214" s="188">
        <f>IFERROR(IF(L214&lt;&gt;"","",VLOOKUP(C214&amp;D214&amp;K214,НН!A:J,10,)),"")</f>
        <v>600</v>
      </c>
      <c r="N214" s="202">
        <f t="shared" si="15"/>
        <v>600</v>
      </c>
      <c r="O214" s="365"/>
      <c r="P214" s="168"/>
    </row>
    <row r="215" spans="2:16" ht="15" outlineLevel="1">
      <c r="B215" s="179"/>
      <c r="C215" s="464" t="s">
        <v>197</v>
      </c>
      <c r="D215" s="180" t="s">
        <v>473</v>
      </c>
      <c r="E215" s="473"/>
      <c r="F215" s="212" t="str">
        <f t="array" ref="F215">IF(C215="","",IF(OR(C215=Списки!$AG$15:$AG$17),"нет","да"))</f>
        <v>да</v>
      </c>
      <c r="G215" s="204"/>
      <c r="H215" s="262">
        <f>1*J212</f>
        <v>1</v>
      </c>
      <c r="I215" s="185"/>
      <c r="J215" s="186">
        <f>IF(C210="нет",0,IF(ISBLANK(D215),"",IF(H215="",I215,H215)))</f>
        <v>1</v>
      </c>
      <c r="K215" s="178" t="s">
        <v>163</v>
      </c>
      <c r="L215" s="965"/>
      <c r="M215" s="188">
        <f>IFERROR(IF(L215&lt;&gt;"","",VLOOKUP(C215&amp;D215&amp;K215,НН!A:J,10,)),"")</f>
        <v>920</v>
      </c>
      <c r="N215" s="498">
        <f t="shared" si="15"/>
        <v>920</v>
      </c>
      <c r="O215" s="499"/>
      <c r="P215" s="168"/>
    </row>
    <row r="216" spans="2:16" ht="15" outlineLevel="1">
      <c r="B216" s="169" t="s">
        <v>606</v>
      </c>
      <c r="C216" s="170"/>
      <c r="D216" s="291" t="s">
        <v>475</v>
      </c>
      <c r="E216" s="292"/>
      <c r="F216" s="293" t="str">
        <f t="array" ref="F216">IF(ISBLANK(C216),"",IF(OR(C216=Списки!$AG$15:$AG$17),"нет","да"))</f>
        <v/>
      </c>
      <c r="G216" s="216"/>
      <c r="H216" s="230"/>
      <c r="I216" s="294"/>
      <c r="J216" s="219"/>
      <c r="K216" s="220"/>
      <c r="L216" s="255"/>
      <c r="M216" s="256"/>
      <c r="N216" s="256"/>
      <c r="O216" s="167"/>
      <c r="P216" s="168"/>
    </row>
    <row r="217" spans="2:16" ht="15" outlineLevel="1">
      <c r="B217" s="179"/>
      <c r="C217" s="180" t="s">
        <v>72</v>
      </c>
      <c r="D217" s="180" t="s">
        <v>476</v>
      </c>
      <c r="E217" s="231">
        <v>100</v>
      </c>
      <c r="F217" s="212" t="str">
        <f t="array" ref="F217">IF(C217="","",IF(OR(C217=Списки!$AG$15:$AG$17),"нет","да"))</f>
        <v>нет</v>
      </c>
      <c r="G217" s="204"/>
      <c r="H217" s="210"/>
      <c r="I217" s="193">
        <f>(E217*3.14/1000)*0.5*J212</f>
        <v>0.157</v>
      </c>
      <c r="J217" s="194">
        <f>IF(C210="нет",0,ROUNDUP(IF(ISBLANK(D217),"",IF(H217="",I217,H217)),1))</f>
        <v>0.2</v>
      </c>
      <c r="K217" s="178" t="s">
        <v>212</v>
      </c>
      <c r="L217" s="965"/>
      <c r="M217" s="188">
        <f>IFERROR(IF(L217&lt;&gt;"","",VLOOKUP(C217&amp;D217&amp;K217,НН!A:J,10,)),"")</f>
        <v>1207.8</v>
      </c>
      <c r="N217" s="202">
        <f t="shared" si="15"/>
        <v>241.56</v>
      </c>
      <c r="O217" s="500"/>
      <c r="P217" s="168"/>
    </row>
    <row r="218" spans="2:16" ht="15" outlineLevel="1">
      <c r="B218" s="179"/>
      <c r="C218" s="180" t="s">
        <v>72</v>
      </c>
      <c r="D218" s="180" t="s">
        <v>477</v>
      </c>
      <c r="E218" s="255"/>
      <c r="F218" s="212" t="str">
        <f t="array" ref="F218">IF(C218="","",IF(OR(C218=Списки!$AG$15:$AG$17),"нет","да"))</f>
        <v>нет</v>
      </c>
      <c r="G218" s="204"/>
      <c r="H218" s="210"/>
      <c r="I218" s="193">
        <f>3*J212</f>
        <v>3</v>
      </c>
      <c r="J218" s="194">
        <f>IF(C210="нет",0,ROUNDUP(IF(ISBLANK(D218),"",IF(H218="",I218,H218)),1))</f>
        <v>3</v>
      </c>
      <c r="K218" s="178" t="s">
        <v>212</v>
      </c>
      <c r="L218" s="965"/>
      <c r="M218" s="188">
        <f>IFERROR(IF(L218&lt;&gt;"","",VLOOKUP(C218&amp;D218&amp;K218,НН!A:J,10,)),"")</f>
        <v>1207.8</v>
      </c>
      <c r="N218" s="202">
        <f t="shared" si="15"/>
        <v>3623.3999999999996</v>
      </c>
      <c r="O218" s="365" t="s">
        <v>478</v>
      </c>
      <c r="P218" s="168"/>
    </row>
    <row r="219" spans="2:16" ht="15" outlineLevel="1">
      <c r="B219" s="179"/>
      <c r="C219" s="306"/>
      <c r="D219" s="307" t="s">
        <v>377</v>
      </c>
      <c r="E219" s="362"/>
      <c r="F219" s="309"/>
      <c r="G219" s="310"/>
      <c r="H219" s="311"/>
      <c r="I219" s="363"/>
      <c r="J219" s="364"/>
      <c r="K219" s="314"/>
      <c r="L219" s="315"/>
      <c r="M219" s="316"/>
      <c r="N219" s="317"/>
      <c r="O219" s="214"/>
      <c r="P219" s="298"/>
    </row>
    <row r="220" spans="2:16" ht="18" outlineLevel="1">
      <c r="B220" s="179"/>
      <c r="C220" s="319"/>
      <c r="D220" s="332"/>
      <c r="E220" s="405" t="s">
        <v>479</v>
      </c>
      <c r="F220" s="406"/>
      <c r="G220" s="407">
        <f>SUM(G213:G219)</f>
        <v>0</v>
      </c>
      <c r="H220" s="332"/>
      <c r="I220" s="332"/>
      <c r="J220" s="408"/>
      <c r="K220" s="408"/>
      <c r="L220" s="409"/>
      <c r="M220" s="501"/>
      <c r="N220" s="411">
        <f>SUM(N213:N219)</f>
        <v>6384.9599999999991</v>
      </c>
      <c r="O220" s="214"/>
      <c r="P220" s="331"/>
    </row>
    <row r="221" spans="2:16" ht="15.75" outlineLevel="1">
      <c r="B221" s="179"/>
      <c r="C221" s="319"/>
      <c r="D221" s="320"/>
      <c r="E221" s="333" t="s">
        <v>379</v>
      </c>
      <c r="F221" s="372"/>
      <c r="G221" s="373"/>
      <c r="H221" s="374"/>
      <c r="I221" s="374"/>
      <c r="J221" s="375"/>
      <c r="K221" s="376"/>
      <c r="L221" s="377"/>
      <c r="M221" s="378"/>
      <c r="N221" s="341">
        <f t="array" ref="N221">SUM(SUMIF(C213:C219,Списки!$AG$2:$AG$14,N213:N219))</f>
        <v>2520</v>
      </c>
      <c r="O221" s="379"/>
      <c r="P221" s="331"/>
    </row>
    <row r="222" spans="2:16" ht="15.75" outlineLevel="1">
      <c r="B222" s="179"/>
      <c r="C222" s="319"/>
      <c r="D222" s="320"/>
      <c r="E222" s="412" t="s">
        <v>382</v>
      </c>
      <c r="F222" s="372"/>
      <c r="G222" s="373"/>
      <c r="H222" s="374"/>
      <c r="I222" s="374"/>
      <c r="J222" s="382">
        <f>ROUNDUP(SUMIFS($J$213:$J$219,$K$213:$K$219,Списки!$S$5)-SUMIFS($J$213:$J$219,$K$213:$K$219,Списки!$S$5,$D$213:$D$219,"*изготов*"),1)</f>
        <v>3.2</v>
      </c>
      <c r="K222" s="376" t="s">
        <v>212</v>
      </c>
      <c r="L222" s="377"/>
      <c r="M222" s="378"/>
      <c r="N222" s="413">
        <f>SUMIF($K$213:$K$219,Списки!$S$5,$N$213:$N$219)-SUMIFS($N$213:$N$219,$K$213:$K$219,Списки!$S$5,$D$213:$D$219,"*изготов*")</f>
        <v>3864.9599999999996</v>
      </c>
      <c r="O222" s="379"/>
      <c r="P222" s="331"/>
    </row>
    <row r="223" spans="2:16" ht="15.75" outlineLevel="1">
      <c r="B223" s="179"/>
      <c r="C223" s="319"/>
      <c r="D223" s="320"/>
      <c r="E223" s="412" t="s">
        <v>383</v>
      </c>
      <c r="F223" s="372"/>
      <c r="G223" s="373"/>
      <c r="H223" s="374"/>
      <c r="I223" s="374"/>
      <c r="J223" s="382">
        <f>ROUNDUP(SUMIFS($J$213:$J$219,$K$213:$K$219,Списки!$S$5,$D$213:$D$219,"*изготов*"),1)</f>
        <v>0</v>
      </c>
      <c r="K223" s="376" t="s">
        <v>212</v>
      </c>
      <c r="L223" s="377"/>
      <c r="M223" s="378"/>
      <c r="N223" s="413">
        <f>SUMIFS($N$213:$N$219,$K$213:$K$219,Списки!$S$5,$D$213:$D$219,"*изготов*")</f>
        <v>0</v>
      </c>
      <c r="O223" s="379"/>
      <c r="P223" s="331"/>
    </row>
    <row r="224" spans="2:16" ht="15.75" outlineLevel="1">
      <c r="B224" s="179"/>
      <c r="C224" s="319"/>
      <c r="D224" s="320"/>
      <c r="E224" s="412" t="s">
        <v>384</v>
      </c>
      <c r="F224" s="372"/>
      <c r="G224" s="373"/>
      <c r="H224" s="374"/>
      <c r="I224" s="374"/>
      <c r="J224" s="375">
        <f>SUMIFS($J$213:$J$219,$K$213:$K$219,Списки!$S$4)</f>
        <v>0</v>
      </c>
      <c r="K224" s="376" t="s">
        <v>193</v>
      </c>
      <c r="L224" s="377"/>
      <c r="M224" s="378"/>
      <c r="N224" s="413">
        <f>SUMIF($K$213:$K$219,Списки!$S$4,$N$213:$N$219)</f>
        <v>0</v>
      </c>
      <c r="O224" s="379"/>
      <c r="P224" s="331"/>
    </row>
    <row r="225" spans="1:16" ht="15">
      <c r="B225" s="386">
        <v>6</v>
      </c>
      <c r="C225" s="502"/>
      <c r="D225" s="388" t="s">
        <v>480</v>
      </c>
      <c r="E225" s="389"/>
      <c r="F225" s="390" t="str">
        <f t="array" ref="F225">IF(ISBLANK(C225),"",IF(OR(C225=Списки!$AG$15:$AG$17),"нет","да"))</f>
        <v/>
      </c>
      <c r="G225" s="391"/>
      <c r="H225" s="389"/>
      <c r="I225" s="392"/>
      <c r="J225" s="392"/>
      <c r="K225" s="393"/>
      <c r="L225" s="394"/>
      <c r="M225" s="395"/>
      <c r="N225" s="390"/>
      <c r="O225" s="167"/>
      <c r="P225" s="168"/>
    </row>
    <row r="226" spans="1:16" ht="15" outlineLevel="1">
      <c r="B226" s="169" t="s">
        <v>481</v>
      </c>
      <c r="C226" s="290"/>
      <c r="D226" s="291" t="s">
        <v>482</v>
      </c>
      <c r="E226" s="292"/>
      <c r="F226" s="293" t="str">
        <f t="array" ref="F226">IF(ISBLANK(C226),"",IF(OR(C226=Списки!$AG$15:$AG$17),"нет","да"))</f>
        <v/>
      </c>
      <c r="G226" s="216"/>
      <c r="H226" s="230"/>
      <c r="I226" s="294"/>
      <c r="J226" s="219"/>
      <c r="K226" s="220"/>
      <c r="L226" s="255"/>
      <c r="M226" s="256"/>
      <c r="N226" s="356"/>
      <c r="O226" s="167"/>
      <c r="P226" s="168"/>
    </row>
    <row r="227" spans="1:16" ht="24" outlineLevel="1">
      <c r="B227" s="179"/>
      <c r="C227" s="208" t="s">
        <v>69</v>
      </c>
      <c r="D227" s="180" t="s">
        <v>483</v>
      </c>
      <c r="E227" s="255"/>
      <c r="F227" s="212" t="str">
        <f t="array" ref="F227">IF(C227="","",IF(OR(C227=Списки!$AG$15:$AG$17),"нет","да"))</f>
        <v>да</v>
      </c>
      <c r="G227" s="204">
        <f>4.08*J227/1000</f>
        <v>0.13056000000000001</v>
      </c>
      <c r="H227" s="210">
        <f>2*H159</f>
        <v>32</v>
      </c>
      <c r="I227" s="193" t="str">
        <f>IF(H227="",#REF!*2,"")</f>
        <v/>
      </c>
      <c r="J227" s="186">
        <f t="shared" ref="J227:J230" si="16">IF(ISBLANK(D227),"",IF(H227="",I227,H227))</f>
        <v>32</v>
      </c>
      <c r="K227" s="178" t="s">
        <v>129</v>
      </c>
      <c r="L227" s="965"/>
      <c r="M227" s="188">
        <f>IFERROR(IF(L227&lt;&gt;"","",VLOOKUP(C227&amp;D227&amp;K227,НН!A:J,10,)),"")</f>
        <v>74</v>
      </c>
      <c r="N227" s="202">
        <f t="shared" ref="N227:N232" si="17">IFERROR(IF(L227="",M227*J227,J227*L227),"")</f>
        <v>2368</v>
      </c>
      <c r="O227" s="365"/>
      <c r="P227" s="168"/>
    </row>
    <row r="228" spans="1:16" ht="15" outlineLevel="1">
      <c r="B228" s="179"/>
      <c r="C228" s="208" t="s">
        <v>69</v>
      </c>
      <c r="D228" s="180" t="s">
        <v>484</v>
      </c>
      <c r="E228" s="255"/>
      <c r="F228" s="212" t="str">
        <f t="array" ref="F228">IF(C228="","",IF(OR(C228=Списки!$AG$15:$AG$17),"нет","да"))</f>
        <v>да</v>
      </c>
      <c r="G228" s="204">
        <f>11.4*J228/1000</f>
        <v>0.72960000000000003</v>
      </c>
      <c r="H228" s="210"/>
      <c r="I228" s="193">
        <f>H227*2</f>
        <v>64</v>
      </c>
      <c r="J228" s="186">
        <f t="shared" si="16"/>
        <v>64</v>
      </c>
      <c r="K228" s="178" t="s">
        <v>129</v>
      </c>
      <c r="L228" s="965"/>
      <c r="M228" s="188">
        <f>IFERROR(IF(L228&lt;&gt;"","",VLOOKUP(C228&amp;D228&amp;K228,НН!A:J,10,)),"")</f>
        <v>4.41</v>
      </c>
      <c r="N228" s="202">
        <f t="shared" si="17"/>
        <v>282.24</v>
      </c>
      <c r="O228" s="365"/>
      <c r="P228" s="168"/>
    </row>
    <row r="229" spans="1:16" ht="15" outlineLevel="1">
      <c r="B229" s="179"/>
      <c r="C229" s="208" t="s">
        <v>69</v>
      </c>
      <c r="D229" s="180" t="s">
        <v>485</v>
      </c>
      <c r="E229" s="255"/>
      <c r="F229" s="212" t="str">
        <f t="array" ref="F229">IF(C229="","",IF(OR(C229=Списки!$AG$15:$AG$17),"нет","да"))</f>
        <v>да</v>
      </c>
      <c r="G229" s="204">
        <f>0.222*0.03*J229</f>
        <v>0.21312</v>
      </c>
      <c r="H229" s="210"/>
      <c r="I229" s="193">
        <f>H227</f>
        <v>32</v>
      </c>
      <c r="J229" s="186">
        <f t="shared" si="16"/>
        <v>32</v>
      </c>
      <c r="K229" s="178" t="s">
        <v>129</v>
      </c>
      <c r="L229" s="965"/>
      <c r="M229" s="188">
        <f>IFERROR(IF(L229&lt;&gt;"","",VLOOKUP(C229&amp;D229&amp;K229,НН!A:J,10,)),"")</f>
        <v>4.24</v>
      </c>
      <c r="N229" s="202">
        <f t="shared" si="17"/>
        <v>135.68</v>
      </c>
      <c r="O229" s="365"/>
      <c r="P229" s="168"/>
    </row>
    <row r="230" spans="1:16" ht="15" outlineLevel="1">
      <c r="B230" s="179"/>
      <c r="C230" s="208" t="s">
        <v>69</v>
      </c>
      <c r="D230" s="180" t="s">
        <v>486</v>
      </c>
      <c r="E230" s="255"/>
      <c r="F230" s="212" t="str">
        <f t="array" ref="F230">IF(C230="","",IF(OR(C230=Списки!$AG$15:$AG$17),"нет","да"))</f>
        <v>да</v>
      </c>
      <c r="G230" s="204">
        <f>1.945*J230/1000</f>
        <v>6.2240000000000004E-2</v>
      </c>
      <c r="H230" s="210"/>
      <c r="I230" s="193">
        <f>H227</f>
        <v>32</v>
      </c>
      <c r="J230" s="186">
        <f t="shared" si="16"/>
        <v>32</v>
      </c>
      <c r="K230" s="178" t="s">
        <v>129</v>
      </c>
      <c r="L230" s="965"/>
      <c r="M230" s="188">
        <f>IFERROR(IF(L230&lt;&gt;"","",VLOOKUP(C230&amp;D230&amp;K230,НН!A:J,10,)),"")</f>
        <v>14.98</v>
      </c>
      <c r="N230" s="202">
        <f t="shared" si="17"/>
        <v>479.36</v>
      </c>
      <c r="O230" s="365"/>
      <c r="P230" s="168"/>
    </row>
    <row r="231" spans="1:16" ht="15" outlineLevel="1">
      <c r="B231" s="169" t="s">
        <v>487</v>
      </c>
      <c r="C231" s="290"/>
      <c r="D231" s="291" t="s">
        <v>488</v>
      </c>
      <c r="E231" s="292"/>
      <c r="F231" s="293"/>
      <c r="G231" s="216"/>
      <c r="H231" s="403"/>
      <c r="I231" s="403"/>
      <c r="J231" s="219"/>
      <c r="K231" s="220"/>
      <c r="L231" s="287"/>
      <c r="M231" s="479"/>
      <c r="N231" s="480"/>
      <c r="O231" s="365"/>
      <c r="P231" s="168"/>
    </row>
    <row r="232" spans="1:16" ht="24" outlineLevel="1">
      <c r="B232" s="179"/>
      <c r="C232" s="208"/>
      <c r="D232" s="180" t="s">
        <v>489</v>
      </c>
      <c r="E232" s="255"/>
      <c r="F232" s="212" t="str">
        <f t="array" ref="F232">IF(ISBLANK(C232),"",IF(OR(C232=Списки!$AG$15:$AG$17),"нет","да"))</f>
        <v/>
      </c>
      <c r="G232" s="204"/>
      <c r="H232" s="193"/>
      <c r="I232" s="193"/>
      <c r="J232" s="186"/>
      <c r="K232" s="178"/>
      <c r="L232" s="188"/>
      <c r="M232" s="188" t="str">
        <f>IFERROR(IF(L232&lt;&gt;"","",VLOOKUP(C232&amp;D232&amp;K232,НН!A:J,10,)),"")</f>
        <v/>
      </c>
      <c r="N232" s="189" t="str">
        <f t="shared" si="17"/>
        <v/>
      </c>
      <c r="O232" s="365"/>
      <c r="P232" s="168"/>
    </row>
    <row r="233" spans="1:16" ht="15" outlineLevel="1">
      <c r="B233" s="179"/>
      <c r="C233" s="306"/>
      <c r="D233" s="307" t="s">
        <v>377</v>
      </c>
      <c r="E233" s="362"/>
      <c r="F233" s="309"/>
      <c r="G233" s="310"/>
      <c r="H233" s="311"/>
      <c r="I233" s="363"/>
      <c r="J233" s="364"/>
      <c r="K233" s="314"/>
      <c r="L233" s="315"/>
      <c r="M233" s="316"/>
      <c r="N233" s="317"/>
      <c r="O233" s="365"/>
      <c r="P233" s="298"/>
    </row>
    <row r="234" spans="1:16" ht="18">
      <c r="A234" s="179"/>
      <c r="B234" s="179"/>
      <c r="C234" s="319"/>
      <c r="D234" s="332"/>
      <c r="E234" s="405" t="s">
        <v>490</v>
      </c>
      <c r="F234" s="406"/>
      <c r="G234" s="407">
        <f>SUM(G227:G233)</f>
        <v>1.1355200000000001</v>
      </c>
      <c r="H234" s="332"/>
      <c r="I234" s="332"/>
      <c r="J234" s="408"/>
      <c r="K234" s="503"/>
      <c r="L234" s="409"/>
      <c r="M234" s="501"/>
      <c r="N234" s="411">
        <f>SUM(N227:N233)</f>
        <v>3265.2799999999997</v>
      </c>
      <c r="O234" s="329"/>
      <c r="P234" s="331"/>
    </row>
    <row r="235" spans="1:16" ht="15.75">
      <c r="B235" s="179"/>
      <c r="C235" s="319"/>
      <c r="D235" s="320"/>
      <c r="E235" s="333" t="s">
        <v>379</v>
      </c>
      <c r="F235" s="372"/>
      <c r="G235" s="373"/>
      <c r="H235" s="374"/>
      <c r="I235" s="374"/>
      <c r="J235" s="375"/>
      <c r="K235" s="376"/>
      <c r="L235" s="377"/>
      <c r="M235" s="378"/>
      <c r="N235" s="341">
        <f t="array" ref="N235">SUM(SUMIF(C227:C233,Списки!$AG$2:$AG$14,N227:N233))</f>
        <v>3265.2799999999997</v>
      </c>
      <c r="O235" s="379"/>
      <c r="P235" s="331"/>
    </row>
    <row r="236" spans="1:16" ht="15.75">
      <c r="B236" s="179"/>
      <c r="C236" s="319"/>
      <c r="D236" s="320"/>
      <c r="E236" s="412" t="s">
        <v>382</v>
      </c>
      <c r="F236" s="372"/>
      <c r="G236" s="373"/>
      <c r="H236" s="374"/>
      <c r="I236" s="374"/>
      <c r="J236" s="382">
        <f>ROUNDUP(SUMIFS($J$227:$J$233,$K$227:$K$233,Списки!$S$5)-SUMIFS($J$227:$J$233,$K$227:$K$233,Списки!$S$5,$D$227:$D$233,"*изготов*"),1)</f>
        <v>0</v>
      </c>
      <c r="K236" s="376" t="s">
        <v>212</v>
      </c>
      <c r="L236" s="377"/>
      <c r="M236" s="378"/>
      <c r="N236" s="413">
        <f>SUMIF($K$227:$K$233,Списки!$S$5,$N$227:$N$233)-SUMIFS($N$227:$N$233,$K$227:$K$233,Списки!$S$5,$D$227:$D$233,"*изготов*")</f>
        <v>0</v>
      </c>
      <c r="O236" s="379"/>
      <c r="P236" s="331"/>
    </row>
    <row r="237" spans="1:16" ht="15.75">
      <c r="B237" s="179"/>
      <c r="C237" s="319"/>
      <c r="D237" s="320"/>
      <c r="E237" s="412" t="s">
        <v>383</v>
      </c>
      <c r="F237" s="372"/>
      <c r="G237" s="373"/>
      <c r="H237" s="374"/>
      <c r="I237" s="374"/>
      <c r="J237" s="382">
        <f>ROUNDUP(SUMIFS($J$227:$J$233,$K$227:$K$233,Списки!$S$5,$D$227:$D$233,"*изготов*"),1)</f>
        <v>0</v>
      </c>
      <c r="K237" s="376" t="s">
        <v>212</v>
      </c>
      <c r="L237" s="377"/>
      <c r="M237" s="378"/>
      <c r="N237" s="413">
        <f>SUMIFS($N$227:$N$233,$K$227:$K$233,Списки!$S$5,$D$227:$D$233,"*изготов*")</f>
        <v>0</v>
      </c>
      <c r="O237" s="379"/>
      <c r="P237" s="331"/>
    </row>
    <row r="238" spans="1:16" ht="15">
      <c r="B238" s="386">
        <v>7</v>
      </c>
      <c r="C238" s="264" t="s">
        <v>115</v>
      </c>
      <c r="D238" s="388" t="s">
        <v>491</v>
      </c>
      <c r="E238" s="92"/>
      <c r="F238" s="390"/>
      <c r="G238" s="391"/>
      <c r="H238" s="389"/>
      <c r="I238" s="392"/>
      <c r="J238" s="392"/>
      <c r="K238" s="393"/>
      <c r="L238" s="394"/>
      <c r="M238" s="395"/>
      <c r="N238" s="390"/>
      <c r="O238" s="214"/>
      <c r="P238" s="168"/>
    </row>
    <row r="239" spans="1:16" ht="15" outlineLevel="1">
      <c r="B239" s="169" t="s">
        <v>492</v>
      </c>
      <c r="C239" s="170"/>
      <c r="D239" s="291" t="s">
        <v>493</v>
      </c>
      <c r="E239" s="292"/>
      <c r="F239" s="293" t="str">
        <f t="array" ref="F239">IF(ISBLANK(C239),"",IF(OR(C239=Списки!$AG$15:$AG$17),"нет","да"))</f>
        <v/>
      </c>
      <c r="G239" s="216"/>
      <c r="H239" s="230"/>
      <c r="I239" s="294"/>
      <c r="J239" s="219"/>
      <c r="K239" s="220"/>
      <c r="L239" s="255"/>
      <c r="M239" s="256" t="str">
        <f t="array" aca="1" ref="M239" ca="1">IF(D239="ФОТ",I239*#REF!,IFERROR(IF(L239&lt;&gt;"","",IF((VLOOKUP(D239&amp;K239,INDIRECT("'"&amp;INDEX(Списки!$AG$2:$AG$17,MATCH(TRUE,COUNTIF(INDIRECT("'"&amp;Списки!$AG$2:$AG$17 &amp;"'!A1:A20000"),D239&amp;K239)&gt;0,0))&amp;"'!A:h"),7,0))=0,"",VLOOKUP(D239&amp;K239,INDIRECT("'"&amp;INDEX(Списки!$AG$2:$AG$17,MATCH(TRUE,COUNTIF(INDIRECT("'"&amp;Списки!$AG$2:$AG$17 &amp;"'!A1:A20000"),D239&amp;K239)&gt;0,0))&amp;"'!A:h"),7,0))),""))</f>
        <v/>
      </c>
      <c r="N239" s="356"/>
      <c r="O239" s="167"/>
      <c r="P239" s="168"/>
    </row>
    <row r="240" spans="1:16" ht="34.5" customHeight="1" outlineLevel="1">
      <c r="B240" s="179"/>
      <c r="C240" s="180" t="s">
        <v>67</v>
      </c>
      <c r="D240" s="180" t="s">
        <v>2146</v>
      </c>
      <c r="E240" s="227"/>
      <c r="F240" s="212" t="str">
        <f t="array" ref="F240">IF(C240="","",IF(OR(C240=Списки!$AG$15:$AG$17),"нет","да"))</f>
        <v>да</v>
      </c>
      <c r="G240" s="204"/>
      <c r="H240" s="966">
        <v>1</v>
      </c>
      <c r="I240" s="193"/>
      <c r="J240" s="186">
        <f>IF(ОЛ_КОЛОДЦА!E49="нет",0,IF(ISBLANK(D240),"",IF(H240="",I240,H240)))</f>
        <v>1</v>
      </c>
      <c r="K240" s="178" t="s">
        <v>129</v>
      </c>
      <c r="L240" s="1289"/>
      <c r="M240" s="188">
        <f>IFERROR(IF(L240&lt;&gt;"","",VLOOKUP(C240&amp;D240&amp;K240,НН!A:J,10,)),"")</f>
        <v>45000</v>
      </c>
      <c r="N240" s="188">
        <f t="shared" ref="N240:N244" si="18">IFERROR(IF(L240="",M240*J240,J240*L240),"")</f>
        <v>45000</v>
      </c>
      <c r="O240" s="167"/>
      <c r="P240" s="168"/>
    </row>
    <row r="241" spans="2:16" ht="24" customHeight="1" outlineLevel="1">
      <c r="B241" s="179"/>
      <c r="C241" s="180" t="s">
        <v>66</v>
      </c>
      <c r="D241" s="180" t="s">
        <v>716</v>
      </c>
      <c r="E241" s="216"/>
      <c r="F241" s="212" t="str">
        <f t="array" ref="F241">IF(C241="","",IF(OR(C241=Списки!$AG$15:$AG$17),"нет","да"))</f>
        <v>да</v>
      </c>
      <c r="G241" s="204"/>
      <c r="H241" s="210">
        <v>2</v>
      </c>
      <c r="I241" s="193"/>
      <c r="J241" s="186">
        <f>IF(C238="нет",0,IF(ISBLANK(D241),"",IF(H241="",I241,H241)))</f>
        <v>2</v>
      </c>
      <c r="K241" s="178" t="s">
        <v>129</v>
      </c>
      <c r="L241" s="1289"/>
      <c r="M241" s="188">
        <f>IFERROR(IF(L241&lt;&gt;"","",VLOOKUP(C241&amp;D241&amp;K241,НН!A:J,10,)),"")</f>
        <v>5800</v>
      </c>
      <c r="N241" s="188">
        <f t="shared" si="18"/>
        <v>11600</v>
      </c>
      <c r="O241" s="167"/>
      <c r="P241" s="168"/>
    </row>
    <row r="242" spans="2:16" ht="24" customHeight="1" outlineLevel="1">
      <c r="B242" s="179"/>
      <c r="C242" s="180" t="s">
        <v>66</v>
      </c>
      <c r="D242" s="180" t="s">
        <v>717</v>
      </c>
      <c r="E242" s="216"/>
      <c r="F242" s="212" t="str">
        <f t="array" ref="F242">IF(C242="","",IF(OR(C242=Списки!$AG$15:$AG$17),"нет","да"))</f>
        <v>да</v>
      </c>
      <c r="G242" s="204"/>
      <c r="H242" s="210">
        <v>2</v>
      </c>
      <c r="I242" s="193"/>
      <c r="J242" s="186">
        <f>IF(C238="нет",0,IF(ISBLANK(D242),"",IF(H242="",I242,H242)))</f>
        <v>2</v>
      </c>
      <c r="K242" s="178" t="s">
        <v>129</v>
      </c>
      <c r="L242" s="1289"/>
      <c r="M242" s="188">
        <f>IFERROR(IF(L242&lt;&gt;"","",VLOOKUP(C242&amp;D242&amp;K242,НН!A:J,10,)),"")</f>
        <v>400</v>
      </c>
      <c r="N242" s="188">
        <f t="shared" ref="N242" si="19">IFERROR(IF(L242="",M242*J242,J242*L242),"")</f>
        <v>800</v>
      </c>
      <c r="O242" s="167"/>
      <c r="P242" s="168"/>
    </row>
    <row r="243" spans="2:16" ht="15" outlineLevel="1">
      <c r="B243" s="179" t="s">
        <v>494</v>
      </c>
      <c r="C243" s="170"/>
      <c r="D243" s="291" t="s">
        <v>495</v>
      </c>
      <c r="E243" s="292"/>
      <c r="F243" s="293" t="str">
        <f t="array" ref="F243">IF(ISBLANK(C243),"",IF(OR(C243=Списки!$AG$15:$AG$17),"нет","да"))</f>
        <v/>
      </c>
      <c r="G243" s="230"/>
      <c r="H243" s="230"/>
      <c r="I243" s="230"/>
      <c r="J243" s="230"/>
      <c r="K243" s="440"/>
      <c r="L243" s="255"/>
      <c r="M243" s="256" t="str">
        <f t="array" aca="1" ref="M243" ca="1">IF(D243="ФОТ",I243*#REF!,IFERROR(IF(L243&lt;&gt;"","",IF((VLOOKUP(D243&amp;K243,INDIRECT("'"&amp;INDEX(Списки!$AG$2:$AG$17,MATCH(TRUE,COUNTIF(INDIRECT("'"&amp;Списки!$AG$2:$AG$17 &amp;"'!A1:A20000"),D243&amp;K243)&gt;0,0))&amp;"'!A:h"),7,0))=0,"",VLOOKUP(D243&amp;K243,INDIRECT("'"&amp;INDEX(Списки!$AG$2:$AG$17,MATCH(TRUE,COUNTIF(INDIRECT("'"&amp;Списки!$AG$2:$AG$17 &amp;"'!A1:A20000"),D243&amp;K243)&gt;0,0))&amp;"'!A:h"),7,0))),""))</f>
        <v/>
      </c>
      <c r="N243" s="356"/>
      <c r="O243" s="167"/>
      <c r="P243" s="168"/>
    </row>
    <row r="244" spans="2:16" ht="15" outlineLevel="1">
      <c r="B244" s="179"/>
      <c r="C244" s="180" t="s">
        <v>72</v>
      </c>
      <c r="D244" s="180" t="s">
        <v>749</v>
      </c>
      <c r="E244" s="504">
        <f>J240</f>
        <v>1</v>
      </c>
      <c r="F244" s="212" t="str">
        <f t="array" ref="F244">IF(C244="","",IF(OR(C244=Списки!$AG$15:$AG$17),"нет","да"))</f>
        <v>нет</v>
      </c>
      <c r="G244" s="204"/>
      <c r="H244" s="184"/>
      <c r="I244" s="193">
        <f>1*J240</f>
        <v>1</v>
      </c>
      <c r="J244" s="194">
        <f t="shared" ref="J244" si="20">ROUNDUP(IF(ISBLANK(D244),"",IF(H244="",I244,H244)),1)</f>
        <v>1</v>
      </c>
      <c r="K244" s="178" t="s">
        <v>212</v>
      </c>
      <c r="L244" s="505"/>
      <c r="M244" s="188">
        <f>IFERROR(IF(L244&lt;&gt;"","",VLOOKUP(C244&amp;D244&amp;K244,НН!A:J,10,)),"")</f>
        <v>1207.8</v>
      </c>
      <c r="N244" s="202">
        <f t="shared" si="18"/>
        <v>1207.8</v>
      </c>
      <c r="O244" s="365" t="s">
        <v>497</v>
      </c>
      <c r="P244" s="168"/>
    </row>
    <row r="245" spans="2:16" ht="22.5" customHeight="1" outlineLevel="1">
      <c r="B245" s="957"/>
      <c r="C245" s="180" t="s">
        <v>72</v>
      </c>
      <c r="D245" s="180" t="s">
        <v>608</v>
      </c>
      <c r="E245" s="504"/>
      <c r="F245" s="212" t="str">
        <f t="array" ref="F245">IF(C245="","",IF(OR(C245=Списки!$AG$15:$AG$17),"нет","да"))</f>
        <v>нет</v>
      </c>
      <c r="G245" s="204"/>
      <c r="H245" s="184"/>
      <c r="I245" s="193">
        <f>1*J240</f>
        <v>1</v>
      </c>
      <c r="J245" s="194">
        <f t="shared" ref="J245" si="21">ROUNDUP(IF(ISBLANK(D245),"",IF(H245="",I245,H245)),1)</f>
        <v>1</v>
      </c>
      <c r="K245" s="178" t="s">
        <v>212</v>
      </c>
      <c r="L245" s="505"/>
      <c r="M245" s="188">
        <f>IFERROR(IF(L245&lt;&gt;"","",VLOOKUP(C245&amp;D245&amp;K245,НН!A:J,10,)),"")</f>
        <v>1207.8</v>
      </c>
      <c r="N245" s="202">
        <f t="shared" ref="N245" si="22">IFERROR(IF(L245="",M245*J245,J245*L245),"")</f>
        <v>1207.8</v>
      </c>
      <c r="O245" s="365"/>
      <c r="P245" s="168"/>
    </row>
    <row r="246" spans="2:16" ht="22.5" customHeight="1" outlineLevel="1">
      <c r="B246" s="957"/>
      <c r="C246" s="180" t="s">
        <v>72</v>
      </c>
      <c r="D246" s="180" t="s">
        <v>610</v>
      </c>
      <c r="E246" s="504"/>
      <c r="F246" s="212" t="str">
        <f t="array" ref="F246">IF(C246="","",IF(OR(C246=Списки!$AG$15:$AG$17),"нет","да"))</f>
        <v>нет</v>
      </c>
      <c r="G246" s="204"/>
      <c r="H246" s="184"/>
      <c r="I246" s="193">
        <f>1*J240</f>
        <v>1</v>
      </c>
      <c r="J246" s="194">
        <f t="shared" ref="J246" si="23">ROUNDUP(IF(ISBLANK(D246),"",IF(H246="",I246,H246)),1)</f>
        <v>1</v>
      </c>
      <c r="K246" s="178" t="s">
        <v>212</v>
      </c>
      <c r="L246" s="505"/>
      <c r="M246" s="188">
        <f>IFERROR(IF(L246&lt;&gt;"","",VLOOKUP(C246&amp;D246&amp;K246,НН!A:J,10,)),"")</f>
        <v>1207.8</v>
      </c>
      <c r="N246" s="202">
        <f t="shared" ref="N246" si="24">IFERROR(IF(L246="",M246*J246,J246*L246),"")</f>
        <v>1207.8</v>
      </c>
      <c r="O246" s="365"/>
      <c r="P246" s="168"/>
    </row>
    <row r="247" spans="2:16" ht="15" outlineLevel="1">
      <c r="B247" s="957"/>
      <c r="C247" s="306"/>
      <c r="D247" s="307" t="s">
        <v>377</v>
      </c>
      <c r="E247" s="362"/>
      <c r="F247" s="309"/>
      <c r="G247" s="310"/>
      <c r="H247" s="311"/>
      <c r="I247" s="363"/>
      <c r="J247" s="364"/>
      <c r="K247" s="314"/>
      <c r="L247" s="315"/>
      <c r="M247" s="316"/>
      <c r="N247" s="317"/>
      <c r="O247" s="365"/>
      <c r="P247" s="298"/>
    </row>
    <row r="248" spans="2:16" ht="18" outlineLevel="1">
      <c r="B248" s="957"/>
      <c r="C248" s="506"/>
      <c r="D248" s="332"/>
      <c r="E248" s="405" t="s">
        <v>500</v>
      </c>
      <c r="F248" s="332"/>
      <c r="G248" s="507">
        <f>SUM(G240:G247)</f>
        <v>0</v>
      </c>
      <c r="H248" s="332"/>
      <c r="I248" s="332"/>
      <c r="J248" s="408"/>
      <c r="K248" s="503"/>
      <c r="L248" s="409"/>
      <c r="M248" s="508"/>
      <c r="N248" s="509">
        <f>SUM(N240:N247)</f>
        <v>61023.400000000009</v>
      </c>
      <c r="O248" s="510"/>
      <c r="P248" s="331"/>
    </row>
    <row r="249" spans="2:16" ht="15.75" outlineLevel="1">
      <c r="B249" s="957"/>
      <c r="C249" s="506"/>
      <c r="D249" s="332"/>
      <c r="E249" s="333" t="s">
        <v>379</v>
      </c>
      <c r="F249" s="336"/>
      <c r="G249" s="335"/>
      <c r="H249" s="336"/>
      <c r="I249" s="336"/>
      <c r="J249" s="511"/>
      <c r="K249" s="512"/>
      <c r="L249" s="335"/>
      <c r="M249" s="335"/>
      <c r="N249" s="341">
        <f t="array" ref="N249">SUM(SUMIF(C240:C247,Списки!$AG$2:$AG$14,N240:N247))</f>
        <v>57400</v>
      </c>
      <c r="O249" s="379"/>
      <c r="P249" s="331"/>
    </row>
    <row r="250" spans="2:16" ht="15.75" outlineLevel="1">
      <c r="B250" s="957"/>
      <c r="C250" s="513"/>
      <c r="D250" s="342"/>
      <c r="E250" s="343" t="s">
        <v>382</v>
      </c>
      <c r="F250" s="346"/>
      <c r="G250" s="345"/>
      <c r="H250" s="346"/>
      <c r="I250" s="346"/>
      <c r="J250" s="514">
        <f>ROUNDUP(SUMIFS($J$240:$J$247,$K$240:$K$247,Списки!$S$5)-SUMIFS($J$240:$J$247,$K$240:$K$247,Списки!$S$5,$D$240:$D$247,"*изготов*"),1)</f>
        <v>2</v>
      </c>
      <c r="K250" s="515" t="s">
        <v>212</v>
      </c>
      <c r="L250" s="345"/>
      <c r="M250" s="345"/>
      <c r="N250" s="516">
        <f>SUMIF($K$240:$K$247,Списки!$S$5,$N$240:$N$247)-SUMIFS($N$240:$N$247,$K$240:$K$247,Списки!$S$5,$D$240:$D$247,"*изготов*")</f>
        <v>2415.5999999999995</v>
      </c>
      <c r="O250" s="379"/>
      <c r="P250" s="331"/>
    </row>
    <row r="251" spans="2:16" ht="15.75" outlineLevel="1">
      <c r="B251" s="957"/>
      <c r="C251" s="513"/>
      <c r="D251" s="342"/>
      <c r="E251" s="343" t="s">
        <v>383</v>
      </c>
      <c r="F251" s="346"/>
      <c r="G251" s="345"/>
      <c r="H251" s="346"/>
      <c r="I251" s="346"/>
      <c r="J251" s="517">
        <f>ROUNDUP(SUMIFS($J$240:$J$247,$K$240:$K$247,Списки!$S$5,$D$240:$D$247,"*изготов*"),1)</f>
        <v>1</v>
      </c>
      <c r="K251" s="518" t="s">
        <v>212</v>
      </c>
      <c r="L251" s="345"/>
      <c r="M251" s="345"/>
      <c r="N251" s="516">
        <f>SUMIFS($N$240:$N$247,$K$240:$K$247,Списки!$S$5,$D$240:$D$247,"*изготов*")</f>
        <v>1207.8</v>
      </c>
      <c r="O251" s="379"/>
      <c r="P251" s="331"/>
    </row>
    <row r="252" spans="2:16" ht="14.45" customHeight="1">
      <c r="B252" s="957"/>
    </row>
    <row r="253" spans="2:16" ht="14.45" customHeight="1">
      <c r="B253" s="179"/>
    </row>
    <row r="254" spans="2:16" ht="15.75">
      <c r="B254" s="179"/>
      <c r="C254" s="539"/>
      <c r="D254" s="539"/>
      <c r="E254" s="539" t="s">
        <v>501</v>
      </c>
      <c r="F254" s="538"/>
      <c r="G254" s="540"/>
      <c r="H254" s="538"/>
      <c r="I254" s="538"/>
      <c r="J254" s="541">
        <f>ROUNDUP(SUMIF($E$13:$E$252,"в т.ч. Работы участка фитингов, ФОТ:",$J$13:$J$252),1)</f>
        <v>235</v>
      </c>
      <c r="K254" s="542" t="s">
        <v>212</v>
      </c>
      <c r="L254" s="543"/>
      <c r="M254" s="543"/>
      <c r="N254" s="544">
        <f>SUMIF($E$14:$E$252,"в т.ч. Работы участка фитингов, ФОТ:",$N$14:$N$252)</f>
        <v>281370.94615384622</v>
      </c>
      <c r="O254" s="545"/>
    </row>
    <row r="255" spans="2:16" ht="15.75">
      <c r="B255" s="179"/>
      <c r="C255" s="539"/>
      <c r="D255" s="539"/>
      <c r="E255" s="539" t="s">
        <v>502</v>
      </c>
      <c r="F255" s="538"/>
      <c r="G255" s="540"/>
      <c r="H255" s="538"/>
      <c r="I255" s="538"/>
      <c r="J255" s="541">
        <f>ROUNDUP(SUMIF($E$13:$E$252,"в т.ч. Работы участка РМУ, ФОТ:",$J$13:$J$252),1)</f>
        <v>26.7</v>
      </c>
      <c r="K255" s="542" t="s">
        <v>212</v>
      </c>
      <c r="L255" s="543"/>
      <c r="M255" s="543"/>
      <c r="N255" s="544">
        <f>SUMIF($E$14:$E$252,"в т.ч. Работы участка РМУ, ФОТ:",$N$14:$N$252)</f>
        <v>32248.26</v>
      </c>
      <c r="O255" s="545"/>
    </row>
    <row r="256" spans="2:16" ht="15.75">
      <c r="B256" s="179"/>
      <c r="C256" s="539"/>
      <c r="D256" s="539"/>
      <c r="E256" s="539" t="s">
        <v>503</v>
      </c>
      <c r="F256" s="538"/>
      <c r="G256" s="540"/>
      <c r="H256" s="538"/>
      <c r="I256" s="538"/>
      <c r="J256" s="541">
        <f>ROUNDUP(SUMIF($E$13:$E$252,"в т.ч. Работы участка фитингов, ФОТ:",$J$13:$J$252)/11,1)</f>
        <v>21.400000000000002</v>
      </c>
      <c r="K256" s="542" t="s">
        <v>212</v>
      </c>
      <c r="L256" s="962">
        <v>1207.8</v>
      </c>
      <c r="M256" s="543"/>
      <c r="N256" s="544">
        <f>J256*L256</f>
        <v>25846.920000000002</v>
      </c>
      <c r="O256" s="545"/>
    </row>
    <row r="257" spans="2:15" ht="15.75">
      <c r="B257" s="179"/>
      <c r="C257" s="539"/>
      <c r="D257" s="539"/>
      <c r="E257" s="547" t="s">
        <v>504</v>
      </c>
      <c r="F257" s="538"/>
      <c r="G257" s="540"/>
      <c r="H257" s="538"/>
      <c r="I257" s="538"/>
      <c r="J257" s="548"/>
      <c r="K257" s="549"/>
      <c r="L257" s="963"/>
      <c r="M257" s="549"/>
      <c r="N257" s="544"/>
      <c r="O257" s="535"/>
    </row>
    <row r="258" spans="2:15" ht="15.75">
      <c r="B258" s="179"/>
      <c r="C258" s="539"/>
      <c r="D258" s="539"/>
      <c r="E258" s="550" t="s">
        <v>505</v>
      </c>
      <c r="F258" s="538"/>
      <c r="G258" s="540"/>
      <c r="H258" s="538"/>
      <c r="I258" s="538"/>
      <c r="J258" s="551">
        <f>IF($J$13&lt;2,ROUNDUP(K265*0.05,1),ROUNDUP(J265*0.05,1))</f>
        <v>22.3</v>
      </c>
      <c r="K258" s="552" t="s">
        <v>193</v>
      </c>
      <c r="L258" s="964">
        <v>109.4</v>
      </c>
      <c r="M258" s="553"/>
      <c r="N258" s="544">
        <f t="shared" ref="N258:N260" si="25">J258*L258</f>
        <v>2439.6200000000003</v>
      </c>
      <c r="O258" s="535"/>
    </row>
    <row r="259" spans="2:15" ht="15.75">
      <c r="B259" s="179"/>
      <c r="C259" s="539"/>
      <c r="D259" s="539"/>
      <c r="E259" s="550" t="s">
        <v>506</v>
      </c>
      <c r="F259" s="538"/>
      <c r="G259" s="540"/>
      <c r="H259" s="538"/>
      <c r="I259" s="538"/>
      <c r="J259" s="554">
        <f>ROUNDUP(J254+J256,)</f>
        <v>257</v>
      </c>
      <c r="K259" s="552" t="s">
        <v>507</v>
      </c>
      <c r="L259" s="964">
        <v>122</v>
      </c>
      <c r="M259" s="553"/>
      <c r="N259" s="544">
        <f t="shared" si="25"/>
        <v>31354</v>
      </c>
      <c r="O259" s="555"/>
    </row>
    <row r="260" spans="2:15" ht="15.75">
      <c r="B260" s="179"/>
      <c r="C260" s="539"/>
      <c r="D260" s="539"/>
      <c r="E260" s="550" t="s">
        <v>508</v>
      </c>
      <c r="F260" s="538"/>
      <c r="G260" s="540"/>
      <c r="H260" s="538"/>
      <c r="I260" s="538"/>
      <c r="J260" s="557">
        <f>ROUNDUP(J254+J256,1)</f>
        <v>256.39999999999998</v>
      </c>
      <c r="K260" s="552" t="s">
        <v>212</v>
      </c>
      <c r="L260" s="1008">
        <v>1584.73</v>
      </c>
      <c r="M260" s="553"/>
      <c r="N260" s="544">
        <f t="shared" si="25"/>
        <v>406324.772</v>
      </c>
      <c r="O260" s="558"/>
    </row>
    <row r="261" spans="2:15" ht="15.75">
      <c r="B261" s="179"/>
      <c r="C261" s="539"/>
      <c r="D261" s="539"/>
      <c r="E261" s="550"/>
      <c r="F261" s="538"/>
      <c r="G261" s="559" t="str">
        <f>IF($J$13&lt;2,"","за 1 корп:")</f>
        <v/>
      </c>
      <c r="H261" s="560" t="str">
        <f>IF($J$13&lt;2,"","за "&amp;$J$13&amp;" корп:")</f>
        <v/>
      </c>
      <c r="I261" s="538"/>
      <c r="J261" s="559" t="str">
        <f>IF($J$13&lt;2,"","за 1 корп:")</f>
        <v/>
      </c>
      <c r="K261" s="560" t="str">
        <f>IF($J$13&lt;2,"","за "&amp;$J$13&amp;" корп:")</f>
        <v/>
      </c>
      <c r="L261" s="552"/>
      <c r="M261" s="559" t="str">
        <f>IF($J$13&lt;2,"","за 1 корп:")</f>
        <v/>
      </c>
      <c r="N261" s="561" t="str">
        <f>IF($J$13&lt;2,"","за "&amp;$J$13&amp;" корп:")</f>
        <v/>
      </c>
      <c r="O261" s="558"/>
    </row>
    <row r="262" spans="2:15" ht="18">
      <c r="B262" s="179"/>
      <c r="C262" s="539"/>
      <c r="D262" s="539"/>
      <c r="E262" s="562" t="s">
        <v>509</v>
      </c>
      <c r="F262" s="538"/>
      <c r="G262" s="563" t="str">
        <f>IF($J$13&lt;2,"",G248+G234+G220+G204+G124+G87)</f>
        <v/>
      </c>
      <c r="H262" s="564">
        <f>IF($J$13&lt;2,(G248+G234+G220+G204+G124+G87),(G248+G234+G220+G204+G124+G87)*J13)</f>
        <v>1631.2118285714287</v>
      </c>
      <c r="I262" s="565"/>
      <c r="J262" s="566"/>
      <c r="K262" s="567"/>
      <c r="L262" s="568"/>
      <c r="M262" s="569" t="str">
        <f>IF($J$13&lt;2,"",M267+M264+M265+M268+M266)</f>
        <v/>
      </c>
      <c r="N262" s="570">
        <f>N267+N264+N265+N268+N266</f>
        <v>1042970.4638961651</v>
      </c>
      <c r="O262" s="558">
        <f ca="1">SUMIF(E12:E252,"Итого:*",N12:N252)+SUM(N258:N260)+N256</f>
        <v>1042970.463896165</v>
      </c>
    </row>
    <row r="263" spans="2:15" ht="18">
      <c r="B263" s="179"/>
      <c r="C263" s="539"/>
      <c r="D263" s="539"/>
      <c r="E263" s="571" t="s">
        <v>510</v>
      </c>
      <c r="F263" s="572"/>
      <c r="G263" s="573"/>
      <c r="H263" s="574"/>
      <c r="I263" s="574"/>
      <c r="J263" s="575"/>
      <c r="K263" s="576"/>
      <c r="L263" s="577"/>
      <c r="M263" s="577"/>
      <c r="N263" s="578"/>
      <c r="O263" s="535"/>
    </row>
    <row r="264" spans="2:15" ht="15">
      <c r="B264" s="179"/>
      <c r="C264" s="539"/>
      <c r="D264" s="539"/>
      <c r="E264" s="579" t="s">
        <v>511</v>
      </c>
      <c r="F264" s="572"/>
      <c r="G264" s="573"/>
      <c r="H264" s="574"/>
      <c r="I264" s="574"/>
      <c r="J264" s="580"/>
      <c r="K264" s="581"/>
      <c r="L264" s="582"/>
      <c r="M264" s="583" t="str">
        <f>IF($J$13&lt;2,"",SUMIF($E$14:$E$252,"в т.ч. Труба, муфта:",$N$14:$N$252))</f>
        <v/>
      </c>
      <c r="N264" s="584">
        <f>IF($J$13&lt;2,SUMIF($E$14:$E$252,"в т.ч. Труба, муфта:",$N$14:$N$252),SUMIF($E$14:$E$252,"в т.ч. Труба, муфта:",$N$14:$N$252)*$J$13)</f>
        <v>7.1</v>
      </c>
      <c r="O264" s="535"/>
    </row>
    <row r="265" spans="2:15" ht="15">
      <c r="B265" s="179"/>
      <c r="C265" s="539"/>
      <c r="D265" s="539"/>
      <c r="E265" s="579" t="s">
        <v>512</v>
      </c>
      <c r="F265" s="572"/>
      <c r="G265" s="573"/>
      <c r="H265" s="574"/>
      <c r="I265" s="574"/>
      <c r="J265" s="585" t="str">
        <f>IF($J$13&lt;2,"",SUMIF($E$14:$E$252,"в т.ч. Формовка:",$J$14:$J$252))</f>
        <v/>
      </c>
      <c r="K265" s="586">
        <f>(SUMIF($E$14:$E$252,"в т.ч. Формовка:",$J$14:$J$252))*$J$13</f>
        <v>444.7213768430783</v>
      </c>
      <c r="L265" s="582"/>
      <c r="M265" s="583" t="str">
        <f>IF($J$13&lt;2,"",SUMIF($E$14:$E$252,"в т.ч. Формовка:",$N$14:$N$252))</f>
        <v/>
      </c>
      <c r="N265" s="584">
        <f>IF($J$13&lt;2,SUMIF($E$14:$E$252,"в т.ч. Формовка:",$N$14:$N$252),SUMIF($E$14:$E$252,"в т.ч. Формовка:",$N$14:$N$252)*$J$13)</f>
        <v>111682.14624317037</v>
      </c>
      <c r="O265" s="535"/>
    </row>
    <row r="266" spans="2:15" ht="15">
      <c r="B266" s="179"/>
      <c r="C266" s="539"/>
      <c r="D266" s="539"/>
      <c r="E266" s="587" t="s">
        <v>513</v>
      </c>
      <c r="F266" s="572"/>
      <c r="G266" s="573"/>
      <c r="H266" s="574"/>
      <c r="I266" s="574"/>
      <c r="J266" s="588" t="str">
        <f>IF($J$13&lt;2,"",SUMIF($E$14:$E$252,"в т.ч. Работы участка фитингов, ФОТ:",$J$14:$J$252)+SUMIF($E$14:$E$252,"в т.ч. Работы участка РМУ, ФОТ:",$J$14:$J$252)+J256)</f>
        <v/>
      </c>
      <c r="K266" s="589">
        <f>IF($J$13&lt;2,SUMIF($E$14:$E$252,"в т.ч. Работы участка фитингов, ФОТ:",$J$14:$J$252)+SUMIF($E$14:$E$252,"в т.ч. Работы участка РМУ, ФОТ:",$J$14:$J$252)+J256,$J$13*(SUMIF($E$14:$E$252,"в т.ч. Работы участка фитингов, ФОТ:",$J$14:$J$252)+SUMIF($E$14:$E$252,"в т.ч. Работы участка РМУ, ФОТ:",$J$14:$J$252)+J256))</f>
        <v>283.09999999999997</v>
      </c>
      <c r="L266" s="582"/>
      <c r="M266" s="583" t="str">
        <f>IF($J$13&lt;2,"",N254+N256+N255)</f>
        <v/>
      </c>
      <c r="N266" s="584">
        <f>IF($J$13&lt;2,N254+N256+N255,(N254+N256+N255)*$J$13)</f>
        <v>339466.12615384621</v>
      </c>
      <c r="O266" s="558"/>
    </row>
    <row r="267" spans="2:15" ht="15">
      <c r="B267" s="179"/>
      <c r="C267" s="539"/>
      <c r="D267" s="539"/>
      <c r="E267" s="579" t="s">
        <v>514</v>
      </c>
      <c r="F267" s="572"/>
      <c r="G267" s="573"/>
      <c r="H267" s="574"/>
      <c r="I267" s="574"/>
      <c r="J267" s="580"/>
      <c r="K267" s="581"/>
      <c r="L267" s="582"/>
      <c r="M267" s="583" t="str">
        <f>IF($J$13&lt;2,"",SUMIF($E$14:$E$252,"в т.ч. Материалы на закупку:",$N$14:$N$252))</f>
        <v/>
      </c>
      <c r="N267" s="584">
        <f>IF($J$13&lt;2,SUMIF($E$14:$E$252,"в т.ч. Материалы на закупку:",$N$14:$N$252),SUMIF($E$14:$E$252,"в т.ч. Материалы на закупку:",$N$14:$N$252)*$J$13)</f>
        <v>151696.69949914847</v>
      </c>
      <c r="O267" s="558"/>
    </row>
    <row r="268" spans="2:15" ht="15">
      <c r="B268" s="179"/>
      <c r="C268" s="539"/>
      <c r="D268" s="539"/>
      <c r="E268" s="579" t="s">
        <v>504</v>
      </c>
      <c r="F268" s="572"/>
      <c r="G268" s="573"/>
      <c r="H268" s="574"/>
      <c r="I268" s="574"/>
      <c r="J268" s="580"/>
      <c r="K268" s="581"/>
      <c r="L268" s="582"/>
      <c r="M268" s="590" t="str">
        <f>IF($J$13&lt;2,"",N258+N259+N260)</f>
        <v/>
      </c>
      <c r="N268" s="584">
        <f>IF($J$13&lt;2,N258+N259+N260,(N258+N259+N260)*$J$13)</f>
        <v>440118.39199999999</v>
      </c>
      <c r="O268" s="558"/>
    </row>
    <row r="269" spans="2:15" ht="22.5" customHeight="1">
      <c r="B269" s="179"/>
      <c r="C269" s="539"/>
      <c r="D269" s="539"/>
      <c r="E269" s="591" t="s">
        <v>515</v>
      </c>
      <c r="F269" s="528"/>
      <c r="G269" s="592"/>
      <c r="H269" s="528"/>
      <c r="I269" s="528"/>
      <c r="J269" s="528"/>
      <c r="K269" s="528"/>
      <c r="L269" s="528"/>
      <c r="M269" s="593"/>
      <c r="N269" s="594">
        <v>0.43</v>
      </c>
      <c r="O269" s="535"/>
    </row>
    <row r="270" spans="2:15" ht="22.5" customHeight="1">
      <c r="B270" s="179"/>
      <c r="C270" s="539"/>
      <c r="D270" s="539"/>
      <c r="E270" s="595" t="s">
        <v>516</v>
      </c>
      <c r="F270" s="538"/>
      <c r="G270" s="596"/>
      <c r="H270" s="538"/>
      <c r="I270" s="538"/>
      <c r="J270" s="596"/>
      <c r="K270" s="596"/>
      <c r="L270" s="596"/>
      <c r="M270" s="597" t="str">
        <f>IF($J$13&lt;2,"",ROUNDUP(M262*N269+M262,-2))</f>
        <v/>
      </c>
      <c r="N270" s="570">
        <f>ROUNDUP(N262*N269+N262,-2)</f>
        <v>1491500</v>
      </c>
    </row>
    <row r="271" spans="2:15" ht="14.45" customHeight="1">
      <c r="B271" s="179"/>
      <c r="C271" s="539"/>
      <c r="D271" s="599"/>
      <c r="E271" s="599" t="s">
        <v>517</v>
      </c>
      <c r="F271" s="598"/>
      <c r="G271" s="600"/>
      <c r="H271" s="598"/>
      <c r="I271" s="598"/>
      <c r="J271" s="600"/>
      <c r="K271" s="600"/>
      <c r="L271" s="600"/>
      <c r="M271" s="601"/>
      <c r="N271" s="602">
        <f>(N270-N262)/N270</f>
        <v>0.30072379222516588</v>
      </c>
    </row>
  </sheetData>
  <autoFilter ref="B10:Q270" xr:uid="{00000000-0009-0000-0000-000004000000}"/>
  <mergeCells count="11">
    <mergeCell ref="F212:I212"/>
    <mergeCell ref="L212:N212"/>
    <mergeCell ref="H56:N56"/>
    <mergeCell ref="L150:N150"/>
    <mergeCell ref="E155:E156"/>
    <mergeCell ref="K113:N113"/>
    <mergeCell ref="F113:H113"/>
    <mergeCell ref="K114:N114"/>
    <mergeCell ref="F114:H114"/>
    <mergeCell ref="C117:N117"/>
    <mergeCell ref="G130:N130"/>
  </mergeCells>
  <conditionalFormatting sqref="B123:B127">
    <cfRule type="expression" dxfId="524" priority="1">
      <formula>$C$113="Нержавеющая сталь"</formula>
    </cfRule>
  </conditionalFormatting>
  <conditionalFormatting sqref="B27:N27">
    <cfRule type="expression" dxfId="523" priority="3">
      <formula>$J$27=0</formula>
    </cfRule>
  </conditionalFormatting>
  <conditionalFormatting sqref="B115:N116">
    <cfRule type="expression" dxfId="520" priority="12">
      <formula>$C$113="Алюминиевая"</formula>
    </cfRule>
  </conditionalFormatting>
  <conditionalFormatting sqref="B118:N118">
    <cfRule type="expression" dxfId="519" priority="10">
      <formula>$C$113="Нержавеющая сталь"</formula>
    </cfRule>
  </conditionalFormatting>
  <conditionalFormatting sqref="B120:N121">
    <cfRule type="expression" dxfId="518" priority="8">
      <formula>$C$113="Алюминиевая"</formula>
    </cfRule>
  </conditionalFormatting>
  <conditionalFormatting sqref="B122:N122">
    <cfRule type="expression" dxfId="517" priority="7">
      <formula>$C$113="Нержавеющая сталь"</formula>
    </cfRule>
  </conditionalFormatting>
  <conditionalFormatting sqref="B201:N201 D202:N202 B202:B209">
    <cfRule type="expression" dxfId="516" priority="29">
      <formula>$C$173="нет"</formula>
    </cfRule>
  </conditionalFormatting>
  <conditionalFormatting sqref="B244:N244">
    <cfRule type="expression" dxfId="514" priority="5">
      <formula>$J$240=0</formula>
    </cfRule>
  </conditionalFormatting>
  <conditionalFormatting sqref="C113">
    <cfRule type="containsErrors" dxfId="513" priority="13">
      <formula>ISERROR(C113)</formula>
    </cfRule>
    <cfRule type="expression" dxfId="512" priority="14">
      <formula>$C$257="нет"</formula>
    </cfRule>
  </conditionalFormatting>
  <conditionalFormatting sqref="C159:D159 F159:N159 C173:D173 C202">
    <cfRule type="expression" dxfId="511" priority="32">
      <formula>$C$158="нет"</formula>
    </cfRule>
  </conditionalFormatting>
  <conditionalFormatting sqref="C114:F114 I114:K114">
    <cfRule type="expression" dxfId="510" priority="2694">
      <formula>$I$114=0</formula>
    </cfRule>
  </conditionalFormatting>
  <conditionalFormatting sqref="C56:H56 C57:N65 C83:N84">
    <cfRule type="expression" dxfId="509" priority="91">
      <formula>$C$56="нет"</formula>
    </cfRule>
  </conditionalFormatting>
  <conditionalFormatting sqref="C15:N15">
    <cfRule type="expression" dxfId="507" priority="149">
      <formula>$E$14="труба частями"</formula>
    </cfRule>
  </conditionalFormatting>
  <conditionalFormatting sqref="C32:N32">
    <cfRule type="expression" dxfId="504" priority="487">
      <formula>$J$32=0</formula>
    </cfRule>
  </conditionalFormatting>
  <conditionalFormatting sqref="C39:N39">
    <cfRule type="expression" dxfId="503" priority="2">
      <formula>$J$39=0</formula>
    </cfRule>
  </conditionalFormatting>
  <conditionalFormatting sqref="C43:N48">
    <cfRule type="expression" dxfId="502" priority="1953">
      <formula>$C$43="НЕТ"</formula>
    </cfRule>
  </conditionalFormatting>
  <conditionalFormatting sqref="C67:N76">
    <cfRule type="containsErrors" dxfId="500" priority="75">
      <formula>ISERROR(C67)</formula>
    </cfRule>
  </conditionalFormatting>
  <conditionalFormatting sqref="C93:N110">
    <cfRule type="containsErrors" dxfId="497" priority="79">
      <formula>ISERROR(C93)</formula>
    </cfRule>
  </conditionalFormatting>
  <conditionalFormatting sqref="C118:N118">
    <cfRule type="expression" dxfId="495" priority="9">
      <formula>$C$113="Алюминиевая"</formula>
    </cfRule>
  </conditionalFormatting>
  <conditionalFormatting sqref="C118:N127 C111:N112 D113:F113 I113:K114 C114:F114 C115:N116 C117 L147:N149 L150">
    <cfRule type="expression" dxfId="494" priority="54">
      <formula>$C$111="нет"</formula>
    </cfRule>
  </conditionalFormatting>
  <conditionalFormatting sqref="C131:N131 C132:D132 F132:N132 C133:N135">
    <cfRule type="expression" dxfId="493" priority="396">
      <formula>$C$114="НЕТ"</formula>
    </cfRule>
  </conditionalFormatting>
  <conditionalFormatting sqref="C131:N131 C132:D132 F132:N132 C133:N136">
    <cfRule type="expression" dxfId="492" priority="381">
      <formula>$C$131="нет"</formula>
    </cfRule>
  </conditionalFormatting>
  <conditionalFormatting sqref="C146:N149 C151:N152 C150:L150">
    <cfRule type="expression" dxfId="491" priority="389">
      <formula>$C$146="нет"</formula>
    </cfRule>
  </conditionalFormatting>
  <conditionalFormatting sqref="C154:N154 C155:D156 F155:N156">
    <cfRule type="expression" dxfId="490" priority="347">
      <formula>$C$154="нет"</formula>
    </cfRule>
  </conditionalFormatting>
  <conditionalFormatting sqref="C158:N158">
    <cfRule type="expression" dxfId="489" priority="28">
      <formula>$C$158="нет"</formula>
    </cfRule>
  </conditionalFormatting>
  <conditionalFormatting sqref="C160:N164">
    <cfRule type="expression" dxfId="488" priority="345">
      <formula>$C$158="нет"</formula>
    </cfRule>
  </conditionalFormatting>
  <conditionalFormatting sqref="C165:N166">
    <cfRule type="expression" dxfId="487" priority="338">
      <formula>$C$165="нет"</formula>
    </cfRule>
  </conditionalFormatting>
  <conditionalFormatting sqref="C168:N171">
    <cfRule type="expression" dxfId="486" priority="308">
      <formula>$C$168="нет"</formula>
    </cfRule>
  </conditionalFormatting>
  <conditionalFormatting sqref="C177:N178 C136:N136">
    <cfRule type="expression" dxfId="484" priority="117">
      <formula>$E$136="нет"</formula>
    </cfRule>
  </conditionalFormatting>
  <conditionalFormatting sqref="C177:N178">
    <cfRule type="expression" dxfId="483" priority="87">
      <formula>$C$131="нет"</formula>
    </cfRule>
  </conditionalFormatting>
  <conditionalFormatting sqref="C179:N179 C138:N139 C140:D140 F140:N140 C141:N144">
    <cfRule type="expression" dxfId="482" priority="386">
      <formula>$C$138="нет"</formula>
    </cfRule>
  </conditionalFormatting>
  <conditionalFormatting sqref="C190:N193">
    <cfRule type="expression" dxfId="480" priority="269">
      <formula>$C$154="нет"</formula>
    </cfRule>
  </conditionalFormatting>
  <conditionalFormatting sqref="C195:N197">
    <cfRule type="expression" dxfId="479" priority="299">
      <formula>$C$158="нет"</formula>
    </cfRule>
  </conditionalFormatting>
  <conditionalFormatting sqref="C199:N200">
    <cfRule type="expression" dxfId="478" priority="298">
      <formula>$C$165="нет"</formula>
    </cfRule>
  </conditionalFormatting>
  <conditionalFormatting sqref="C218:N224 C212:F212 J212:L212 C213:N216 C210:N211 C217:D217 F217:N217">
    <cfRule type="expression" dxfId="477" priority="89">
      <formula>$C$210="нет"</formula>
    </cfRule>
  </conditionalFormatting>
  <conditionalFormatting sqref="D201:D202">
    <cfRule type="expression" dxfId="475" priority="27">
      <formula>$C$158="нет"</formula>
    </cfRule>
  </conditionalFormatting>
  <conditionalFormatting sqref="D212:F212 J212:L212 D213:N216">
    <cfRule type="containsErrors" dxfId="474" priority="31">
      <formula>ISERROR(D212)</formula>
    </cfRule>
  </conditionalFormatting>
  <conditionalFormatting sqref="D92:N92">
    <cfRule type="containsErrors" dxfId="473" priority="61">
      <formula>ISERROR(D92)</formula>
    </cfRule>
  </conditionalFormatting>
  <conditionalFormatting sqref="D160:N211 D217 F217:N217 E254:N255">
    <cfRule type="containsErrors" dxfId="472" priority="96">
      <formula>ISERROR(D160)</formula>
    </cfRule>
  </conditionalFormatting>
  <conditionalFormatting sqref="D202:N202 C201:N201">
    <cfRule type="expression" dxfId="471" priority="2339">
      <formula>$C$43="нет"</formula>
    </cfRule>
    <cfRule type="expression" dxfId="470" priority="2340">
      <formula>#REF!=0</formula>
    </cfRule>
    <cfRule type="expression" dxfId="469" priority="2341">
      <formula>$C$173="нет"</formula>
    </cfRule>
  </conditionalFormatting>
  <conditionalFormatting sqref="D218:N253 C254:D271">
    <cfRule type="containsErrors" dxfId="468" priority="35">
      <formula>ISERROR(C218)</formula>
    </cfRule>
  </conditionalFormatting>
  <conditionalFormatting sqref="D238:N238 C239:N246 C248:N251">
    <cfRule type="expression" dxfId="467" priority="1958">
      <formula>$C$238="нет"</formula>
    </cfRule>
  </conditionalFormatting>
  <conditionalFormatting sqref="E132 E140 E155 E159">
    <cfRule type="expression" dxfId="466" priority="51">
      <formula>#REF!="нет"</formula>
    </cfRule>
    <cfRule type="expression" dxfId="465" priority="52">
      <formula>$C$126="нет"</formula>
    </cfRule>
  </conditionalFormatting>
  <conditionalFormatting sqref="E136">
    <cfRule type="expression" dxfId="463" priority="120">
      <formula>$C$134="НЕТ"</formula>
    </cfRule>
  </conditionalFormatting>
  <conditionalFormatting sqref="E177:E178">
    <cfRule type="expression" dxfId="462" priority="86">
      <formula>$L$138="Квадратный (прямоугольный)"</formula>
    </cfRule>
  </conditionalFormatting>
  <conditionalFormatting sqref="E217">
    <cfRule type="expression" dxfId="461" priority="38">
      <formula>$C$124="нет"</formula>
    </cfRule>
    <cfRule type="containsErrors" dxfId="459" priority="40">
      <formula>ISERROR(E217)</formula>
    </cfRule>
  </conditionalFormatting>
  <conditionalFormatting sqref="E138:J138">
    <cfRule type="expression" dxfId="458" priority="150">
      <formula>$L$138="Квадратный (прямоугольный)"</formula>
    </cfRule>
  </conditionalFormatting>
  <conditionalFormatting sqref="E173:N173 C174:N174">
    <cfRule type="expression" dxfId="457" priority="311">
      <formula>$C$173="нет"</formula>
    </cfRule>
  </conditionalFormatting>
  <conditionalFormatting sqref="E173:N173">
    <cfRule type="expression" dxfId="456" priority="273">
      <formula>$C$43="нет"</formula>
    </cfRule>
  </conditionalFormatting>
  <conditionalFormatting sqref="F118:N118">
    <cfRule type="expression" dxfId="455" priority="11">
      <formula>$C$113="Алюминиевая"</formula>
    </cfRule>
  </conditionalFormatting>
  <conditionalFormatting sqref="H56">
    <cfRule type="expression" dxfId="454" priority="2733">
      <formula>$G56="шт"</formula>
    </cfRule>
  </conditionalFormatting>
  <conditionalFormatting sqref="H68:H72 H118 H189:H202">
    <cfRule type="expression" dxfId="453" priority="78">
      <formula>$I68&lt;&gt;""</formula>
    </cfRule>
  </conditionalFormatting>
  <conditionalFormatting sqref="H81 J81 H111:J112 H118:J119 H180:J202">
    <cfRule type="expression" dxfId="452" priority="138">
      <formula>$K81="шт"</formula>
    </cfRule>
  </conditionalFormatting>
  <conditionalFormatting sqref="H95:H97 H102:H105">
    <cfRule type="expression" dxfId="451" priority="82">
      <formula>$I95&lt;&gt;""</formula>
    </cfRule>
  </conditionalFormatting>
  <conditionalFormatting sqref="H159:H165 H176 H180:H187 H189:H202 H217:H218 H227:H230 H213:H215 H16:H20 H22:H25 H29:H30 H42 H45:H49 H51:H55 H57:H66 H78 H80 H83:H84 H115:H116 H118 H120:H122">
    <cfRule type="expression" dxfId="450" priority="770">
      <formula>D16=""</formula>
    </cfRule>
  </conditionalFormatting>
  <conditionalFormatting sqref="H174">
    <cfRule type="expression" dxfId="449" priority="41">
      <formula>$C$43="нет"</formula>
    </cfRule>
  </conditionalFormatting>
  <conditionalFormatting sqref="H176 H180:H187 H217:H218 H227:H230 H213:H215 H16:H20 H22:H25 H29:H30 H42 H45:H49 H51:H55 H57:H66 H78 H80 H83:H84 H115:H116 H120:H122">
    <cfRule type="expression" dxfId="448" priority="296">
      <formula>$I16&lt;&gt;""</formula>
    </cfRule>
  </conditionalFormatting>
  <conditionalFormatting sqref="H14:J20 H22:J25 I26:J28 H29 J29 H30:J30 H42:J43 H45:J49 H57:J66 H115:J116 H120:H122 J120:J122 H124:J129 H175:J176 H204:J205 H207:J208 H210:J211 J212 H213:J218 H220:J232 H234:J239 H243:J243 H248:J252 H256:J256 H258:J258 H259:I260 I261 I262:J262 H263:J265 H266:I266 H267:J268">
    <cfRule type="expression" dxfId="447" priority="771">
      <formula>$K14="шт"</formula>
    </cfRule>
  </conditionalFormatting>
  <conditionalFormatting sqref="H51:J55">
    <cfRule type="expression" dxfId="446" priority="451">
      <formula>$K51="шт"</formula>
    </cfRule>
  </conditionalFormatting>
  <conditionalFormatting sqref="H77:J80">
    <cfRule type="expression" dxfId="445" priority="144">
      <formula>$K77="шт"</formula>
    </cfRule>
  </conditionalFormatting>
  <conditionalFormatting sqref="H83:J85">
    <cfRule type="expression" dxfId="444" priority="447">
      <formula>$K83="шт"</formula>
    </cfRule>
  </conditionalFormatting>
  <conditionalFormatting sqref="H87:J92">
    <cfRule type="expression" dxfId="443" priority="66">
      <formula>$K87="шт"</formula>
    </cfRule>
  </conditionalFormatting>
  <conditionalFormatting sqref="I113">
    <cfRule type="expression" dxfId="442" priority="2693">
      <formula>$J113="шт"</formula>
    </cfRule>
  </conditionalFormatting>
  <conditionalFormatting sqref="I31:J31 I33:J33 H34:J35">
    <cfRule type="expression" dxfId="441" priority="506">
      <formula>$K31="шт"</formula>
    </cfRule>
  </conditionalFormatting>
  <conditionalFormatting sqref="I202:N202">
    <cfRule type="expression" dxfId="440" priority="26">
      <formula>$C$158="нет"</formula>
    </cfRule>
  </conditionalFormatting>
  <conditionalFormatting sqref="L26:L27 L31">
    <cfRule type="expression" dxfId="439" priority="23">
      <formula>$E$39="нет"</formula>
    </cfRule>
    <cfRule type="expression" dxfId="438" priority="24">
      <formula>$M26&lt;&gt;""</formula>
    </cfRule>
    <cfRule type="expression" dxfId="437" priority="25">
      <formula>$C$36="нет"</formula>
    </cfRule>
  </conditionalFormatting>
  <conditionalFormatting sqref="L33:L34">
    <cfRule type="expression" dxfId="436" priority="508">
      <formula>$M33=""</formula>
    </cfRule>
  </conditionalFormatting>
  <conditionalFormatting sqref="L57:L78 L51:L55 L107:L112 L115:L116 L118:L122 L189:L202">
    <cfRule type="expression" dxfId="434" priority="76">
      <formula>$M51&lt;&gt;""</formula>
    </cfRule>
  </conditionalFormatting>
  <conditionalFormatting sqref="L87:L92">
    <cfRule type="expression" dxfId="433" priority="63">
      <formula>$M87&lt;&gt;""</formula>
    </cfRule>
  </conditionalFormatting>
  <conditionalFormatting sqref="L93:L105">
    <cfRule type="expression" dxfId="432" priority="80">
      <formula>$M93&lt;&gt;""</formula>
    </cfRule>
  </conditionalFormatting>
  <conditionalFormatting sqref="L147:L149 L151:L152">
    <cfRule type="expression" dxfId="431" priority="55">
      <formula>D147=""</formula>
    </cfRule>
    <cfRule type="expression" dxfId="430" priority="56">
      <formula>$M147=""</formula>
    </cfRule>
  </conditionalFormatting>
  <conditionalFormatting sqref="L182:L187 L191:L193 L196:L197 L202">
    <cfRule type="expression" dxfId="429" priority="767">
      <formula>D182=""</formula>
    </cfRule>
  </conditionalFormatting>
  <conditionalFormatting sqref="L196:L197 L191:L193 L182:L187 L202">
    <cfRule type="expression" dxfId="428" priority="305">
      <formula>$M182=""</formula>
    </cfRule>
  </conditionalFormatting>
  <conditionalFormatting sqref="L256:L260">
    <cfRule type="containsErrors" dxfId="427" priority="19">
      <formula>ISERROR(L256)</formula>
    </cfRule>
  </conditionalFormatting>
  <conditionalFormatting sqref="L151:N152">
    <cfRule type="expression" dxfId="426" priority="90">
      <formula>$C$111="нет"</formula>
    </cfRule>
  </conditionalFormatting>
  <dataValidations disablePrompts="1" count="17">
    <dataValidation allowBlank="1" showInputMessage="1" sqref="D21 D181 D172:D173 D31 D146 D154 D158 D165 D168 D26" xr:uid="{00000000-0002-0000-0400-000000000000}"/>
    <dataValidation type="custom"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77 K119 K216 K231 E248 K235:K239 E234 E220 E204 E124 E87 K125:K126 K221:K226 K243 K67 K43:K44 K205:K206 K209:K211 K175 E107 K108:K112 K88:K93 K128:K129 K131" xr:uid="{00000000-0002-0000-0400-000001000000}">
      <formula1>E43=#REF!</formula1>
    </dataValidation>
    <dataValidation allowBlank="1" sqref="G5 E123 E78:E86" xr:uid="{00000000-0002-0000-0400-000002000000}"/>
    <dataValidation type="list"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45:K55 K217:K219 K240:K242 K212:K215 K227:K230 K118 K132:K137 K120:K123 K232:K233 K147:K153 K155:K157 K78:K86 K94:K106 K68:K69 K71:K76 K140:K145 K159:K174 J113:J114 K115:K116 K244:K247 K176:K203" xr:uid="{00AA0026-0093-4F3B-9D05-00F70048007A}">
      <formula1>ЕИ</formula1>
    </dataValidation>
    <dataValidation type="list" allowBlank="1" showInputMessage="1" showErrorMessage="1" sqref="G56 K27:K30 K33:K35 K44 I154 K13:K25 K58:K66 K70 K37:K42" xr:uid="{009D0069-006F-46D2-983D-004400FF0026}">
      <formula1>ЕИ</formula1>
    </dataValidation>
    <dataValidation type="list" allowBlank="1" showInputMessage="1" sqref="D49 D42 D106 D55 D33 D194:D195 D203 D86 D30 D219 D25 D57:D66 D35 D123 D137 D198:D199 D28 D153 D157 D159:D160 D167 D233 D76 D164 D189:D190 D247 D201" xr:uid="{007F00F6-00B3-4078-A353-00E8001F0042}">
      <formula1>INDIRECT(SUBSTITUTE(C25," ","_"))</formula1>
    </dataValidation>
    <dataValidation type="list" allowBlank="1" showInputMessage="1" sqref="D145 D150" xr:uid="{00C0002E-00D6-4446-98ED-002A002A00AA}">
      <formula1>НН</formula1>
    </dataValidation>
    <dataValidation type="list" allowBlank="1" showInputMessage="1" showErrorMessage="1" sqref="C166:C167 C44:C55 C202:C204 C213:C215 C182:C189 C233:C234 C227:C230 C132:C137 C120:C123 C147:C153 C159:C164 C155:C157 C169:C172 C191:C194 C196:C198 C118 C217:C220 C102:C106 C78:C86 C95:C100 C57:C66 C68:C76 C177:C180 C140:C145 C174 C200 C115:C116 C240:C242 C244:C248 C14:C35 C37:C42" xr:uid="{00DE0003-0014-4CB8-B0AA-00ED0025001E}">
      <formula1>Категории</formula1>
    </dataValidation>
    <dataValidation type="list" allowBlank="1" showInputMessage="1" showErrorMessage="1" sqref="C8" xr:uid="{00F90082-0016-43B7-9AE5-00AD00470013}">
      <formula1>Изделие</formula1>
    </dataValidation>
    <dataValidation type="list" allowBlank="1" showInputMessage="1" showErrorMessage="1" sqref="E8" xr:uid="{00C7002D-0001-4E1D-B843-000B006A0036}">
      <formula1>Среда</formula1>
    </dataValidation>
    <dataValidation type="list" allowBlank="1" showInputMessage="1" showErrorMessage="1" sqref="D8" xr:uid="{004B0032-009C-462D-9A4B-006E0057002C}">
      <formula1>Материал</formula1>
    </dataValidation>
    <dataValidation type="list" allowBlank="1" showInputMessage="1" showErrorMessage="1" sqref="H36 H138:H139 H131" xr:uid="{00470058-00A8-4834-8A36-00A5002000C1}">
      <formula1>Жесткость</formula1>
    </dataValidation>
    <dataValidation type="list" allowBlank="1" showInputMessage="1" showErrorMessage="1" sqref="J36 J138:J139 J131" xr:uid="{005100A0-00AE-4D1B-A705-002C000500F0}">
      <formula1>Давление</formula1>
    </dataValidation>
    <dataValidation type="list" allowBlank="1" showInputMessage="1" showErrorMessage="1" sqref="F36" xr:uid="{00D900FD-002C-48AD-A199-00FF00AB0018}">
      <formula1>Диаметр</formula1>
    </dataValidation>
    <dataValidation type="list" allowBlank="1" showInputMessage="1" showErrorMessage="1" sqref="L138" xr:uid="{00C800FC-007D-4A07-9F53-004B006B0083}">
      <formula1>"Квадратный (прямоугольный),Круглый"</formula1>
    </dataValidation>
    <dataValidation type="list" allowBlank="1" showInputMessage="1" showErrorMessage="1" sqref="E136 E39" xr:uid="{00390018-0099-4749-AF96-004100A1009D}">
      <formula1>"Да,Нет"</formula1>
    </dataValidation>
    <dataValidation type="list" allowBlank="1" showInputMessage="1" showErrorMessage="1" sqref="C113" xr:uid="{B14BD096-FAF5-4EC3-9B82-ACE39398C1C2}">
      <formula1>"Нержавеющая сталь,Алюминиевая"</formula1>
    </dataValidation>
  </dataValidations>
  <hyperlinks>
    <hyperlink ref="M1" location="'Содержание'!A1" display="к содержанию" xr:uid="{00000000-0004-0000-0400-000000000000}"/>
  </hyperlinks>
  <pageMargins left="0.25" right="0.25" top="0.75" bottom="0.75" header="0.3" footer="0.3"/>
  <pageSetup paperSize="9" scale="41" fitToHeight="0" orientation="landscape" horizontalDpi="2147483648" r:id="rId1"/>
  <drawing r:id="rId2"/>
  <extLst>
    <ext xmlns:x14="http://schemas.microsoft.com/office/spreadsheetml/2009/9/main" uri="{78C0D931-6437-407d-A8EE-F0AAD7539E65}">
      <x14:conditionalFormattings>
        <x14:conditionalFormatting xmlns:xm="http://schemas.microsoft.com/office/excel/2006/main">
          <x14:cfRule type="expression" priority="18" id="{90C4857B-C460-4A8F-B28A-243D04A12DF2}">
            <xm:f>ОЛ_КОЛОДЦА!$E$26="нет"</xm:f>
            <x14:dxf>
              <font>
                <color theme="0"/>
              </font>
            </x14:dxf>
          </x14:cfRule>
          <xm:sqref>B36:N41</xm:sqref>
        </x14:conditionalFormatting>
        <x14:conditionalFormatting xmlns:xm="http://schemas.microsoft.com/office/excel/2006/main">
          <x14:cfRule type="expression" priority="17" id="{4E8C0A55-273A-4F80-A547-D36EC164C1EA}">
            <xm:f>ОЛ_КОЛОДЦА!$E$26="нет"</xm:f>
            <x14:dxf>
              <font>
                <color theme="0"/>
              </font>
            </x14:dxf>
          </x14:cfRule>
          <xm:sqref>B82:N82</xm:sqref>
        </x14:conditionalFormatting>
        <x14:conditionalFormatting xmlns:xm="http://schemas.microsoft.com/office/excel/2006/main">
          <x14:cfRule type="expression" priority="6" id="{5D97CC2B-59B2-412B-8CD3-0DFDF04EEAD2}">
            <xm:f>ОЛ_КОЛОДЦА!$E$49="нет"</xm:f>
            <x14:dxf>
              <font>
                <color theme="0"/>
              </font>
            </x14:dxf>
          </x14:cfRule>
          <xm:sqref>B240:N240</xm:sqref>
        </x14:conditionalFormatting>
        <x14:conditionalFormatting xmlns:xm="http://schemas.microsoft.com/office/excel/2006/main">
          <x14:cfRule type="expression" priority="2203" id="{00F900B5-00D7-4C8A-8623-007E002F0086}">
            <xm:f>$E$14=Списки!$AI$3</xm:f>
            <x14:dxf>
              <fill>
                <patternFill patternType="solid">
                  <fgColor theme="0" tint="-0.14996795556505021"/>
                  <bgColor theme="0" tint="-0.14996795556505021"/>
                </patternFill>
              </fill>
            </x14:dxf>
          </x14:cfRule>
          <xm:sqref>C14:N14</xm:sqref>
        </x14:conditionalFormatting>
        <x14:conditionalFormatting xmlns:xm="http://schemas.microsoft.com/office/excel/2006/main">
          <x14:cfRule type="expression" priority="2202" id="{00570088-00A4-4A80-99D6-001800E9007C}">
            <xm:f>$E$14=Списки!$AI$2</xm:f>
            <x14:dxf>
              <font>
                <color theme="0"/>
              </font>
              <fill>
                <patternFill patternType="solid">
                  <fgColor theme="2"/>
                  <bgColor theme="2"/>
                </patternFill>
              </fill>
            </x14:dxf>
          </x14:cfRule>
          <xm:sqref>C16:N20</xm:sqref>
        </x14:conditionalFormatting>
        <x14:conditionalFormatting xmlns:xm="http://schemas.microsoft.com/office/excel/2006/main">
          <x14:cfRule type="expression" priority="485" id="{003000E9-0029-4DAA-AED4-00BE0078005F}">
            <xm:f>OR(ОЛ_КОЛОДЦА!$E$43="",ОЛ_КОЛОДЦА!$E$45="")</xm:f>
            <x14:dxf>
              <font>
                <color theme="0"/>
              </font>
              <fill>
                <patternFill patternType="solid">
                  <fgColor theme="2"/>
                  <bgColor theme="2"/>
                </patternFill>
              </fill>
            </x14:dxf>
          </x14:cfRule>
          <xm:sqref>C30:N30 C31:K31 M31:N31 C32:N34</xm:sqref>
        </x14:conditionalFormatting>
        <x14:conditionalFormatting xmlns:xm="http://schemas.microsoft.com/office/excel/2006/main">
          <x14:cfRule type="expression" priority="765" id="{00BA00DB-005F-4A3E-AC4E-00AA00670058}">
            <xm:f>ОЛ_КОЛОДЦА!$E$59="нет"</xm:f>
            <x14:dxf>
              <font>
                <color theme="0"/>
              </font>
              <fill>
                <patternFill patternType="solid">
                  <fgColor theme="2"/>
                  <bgColor theme="2"/>
                </patternFill>
              </fill>
            </x14:dxf>
          </x14:cfRule>
          <xm:sqref>C50:N54</xm:sqref>
        </x14:conditionalFormatting>
        <x14:conditionalFormatting xmlns:xm="http://schemas.microsoft.com/office/excel/2006/main">
          <x14:cfRule type="expression" priority="77" id="{001B0020-00AE-4098-9429-002600F30048}">
            <xm:f>OR(ОЛ_КОЛОДЦА!$E$48=Списки!$H$2,ОЛ_КОЛОДЦА!$E$48=Списки!$H$5)</xm:f>
            <x14:dxf>
              <font>
                <color theme="0"/>
              </font>
              <fill>
                <patternFill patternType="solid">
                  <fgColor theme="2"/>
                  <bgColor theme="2"/>
                </patternFill>
              </fill>
            </x14:dxf>
          </x14:cfRule>
          <xm:sqref>C67:N76</xm:sqref>
        </x14:conditionalFormatting>
        <x14:conditionalFormatting xmlns:xm="http://schemas.microsoft.com/office/excel/2006/main">
          <x14:cfRule type="expression" priority="115" id="{00870057-0088-4628-8976-00FD00DC0066}">
            <xm:f>ОЛ_КОЛОДЦА!$E$59="нет"</xm:f>
            <x14:dxf>
              <font>
                <color theme="0"/>
              </font>
              <fill>
                <patternFill patternType="solid">
                  <fgColor theme="2"/>
                  <bgColor theme="2"/>
                </patternFill>
              </fill>
            </x14:dxf>
          </x14:cfRule>
          <xm:sqref>C85:N85</xm:sqref>
        </x14:conditionalFormatting>
        <x14:conditionalFormatting xmlns:xm="http://schemas.microsoft.com/office/excel/2006/main">
          <x14:cfRule type="expression" priority="81" id="{009600DB-00F5-403E-A17B-000C00150000}">
            <xm:f>OR(ОЛ_КОЛОДЦА!$E$48=Списки!$H$3,ОЛ_КОЛОДЦА!$E$48=Списки!$H$5)</xm:f>
            <x14:dxf>
              <font>
                <color theme="0"/>
              </font>
              <fill>
                <patternFill patternType="solid">
                  <fgColor theme="2"/>
                  <bgColor theme="2"/>
                </patternFill>
              </fill>
            </x14:dxf>
          </x14:cfRule>
          <xm:sqref>C93:N110</xm:sqref>
        </x14:conditionalFormatting>
        <x14:conditionalFormatting xmlns:xm="http://schemas.microsoft.com/office/excel/2006/main">
          <x14:cfRule type="expression" priority="2205" id="{002D0056-0053-4FE4-8F5E-00780085005D}">
            <xm:f>$E$130=Списки!$AW$2</xm:f>
            <x14:dxf>
              <font>
                <color theme="0"/>
              </font>
              <fill>
                <patternFill patternType="solid">
                  <fgColor theme="2"/>
                  <bgColor theme="2"/>
                </patternFill>
              </fill>
            </x14:dxf>
          </x14:cfRule>
          <xm:sqref>C176:N179 C131:N131 C132:D132 F132:N132 C133:N139 C140:D140 F140:N140 C141:N144</xm:sqref>
        </x14:conditionalFormatting>
        <x14:conditionalFormatting xmlns:xm="http://schemas.microsoft.com/office/excel/2006/main">
          <x14:cfRule type="expression" priority="2207" id="{009100FA-0016-412B-9204-00F6007C0047}">
            <xm:f>$E$130=Списки!$AW$3</xm:f>
            <x14:dxf>
              <font>
                <color theme="0"/>
              </font>
              <fill>
                <patternFill patternType="solid">
                  <fgColor theme="2"/>
                  <bgColor theme="2"/>
                </patternFill>
              </fill>
            </x14:dxf>
          </x14:cfRule>
          <xm:sqref>C181:N188 C146:N149 C151:N152 C150:L150</xm:sqref>
        </x14:conditionalFormatting>
        <x14:conditionalFormatting xmlns:xm="http://schemas.microsoft.com/office/excel/2006/main">
          <x14:cfRule type="expression" priority="4" id="{0642F1EB-9D4C-406D-A753-DD6D04FBFA2C}">
            <xm:f>ОЛ_КОЛОДЦА!$E$26="нет"</xm:f>
            <x14:dxf>
              <font>
                <color theme="0"/>
              </font>
            </x14:dxf>
          </x14:cfRule>
          <xm:sqref>D27</xm:sqref>
        </x14:conditionalFormatting>
        <x14:conditionalFormatting xmlns:xm="http://schemas.microsoft.com/office/excel/2006/main">
          <x14:cfRule type="expression" priority="53" id="{008000A2-00FE-4F80-B221-00A700F800F2}">
            <xm:f>$E$116=Списки!$AW$2</xm:f>
            <x14:dxf>
              <font>
                <color theme="0"/>
              </font>
              <fill>
                <patternFill patternType="solid">
                  <fgColor theme="2"/>
                  <bgColor theme="2"/>
                </patternFill>
              </fill>
            </x14:dxf>
          </x14:cfRule>
          <xm:sqref>E132 E140 E155 E159</xm:sqref>
        </x14:conditionalFormatting>
        <x14:conditionalFormatting xmlns:xm="http://schemas.microsoft.com/office/excel/2006/main">
          <x14:cfRule type="expression" priority="39" id="{00E300CB-0058-4CD0-8B36-00B600D200CB}">
            <xm:f>$E$123=Списки!$AW$2</xm:f>
            <x14:dxf>
              <font>
                <color theme="0"/>
              </font>
              <fill>
                <patternFill patternType="solid">
                  <fgColor theme="2"/>
                  <bgColor theme="2"/>
                </patternFill>
              </fill>
            </x14:dxf>
          </x14:cfRule>
          <xm:sqref>E217</xm:sqref>
        </x14:conditionalFormatting>
        <x14:conditionalFormatting xmlns:xm="http://schemas.microsoft.com/office/excel/2006/main">
          <x14:cfRule type="expression" priority="16" id="{A0672572-8C03-4C73-BF11-2F7A4CB5C415}">
            <xm:f>ОЛ_КОЛОДЦА!$E$26="да"</xm:f>
            <x14:dxf>
              <font>
                <color rgb="FFFF0000"/>
              </font>
              <fill>
                <patternFill>
                  <bgColor theme="0"/>
                </patternFill>
              </fill>
            </x14:dxf>
          </x14:cfRule>
          <xm:sqref>L37</xm:sqref>
        </x14:conditionalFormatting>
        <x14:conditionalFormatting xmlns:xm="http://schemas.microsoft.com/office/excel/2006/main">
          <x14:cfRule type="expression" priority="2204" id="{008700AC-001B-49FC-A8A7-003400F60007}">
            <xm:f>$E$14=Списки!$AI$3</xm:f>
            <x14:dxf>
              <font>
                <color theme="0" tint="-0.14996795556505021"/>
              </font>
            </x14:dxf>
          </x14:cfRule>
          <xm:sqref>M14:N14</xm:sqref>
        </x14:conditionalFormatting>
      </x14:conditionalFormattings>
    </ext>
    <ext xmlns:x14="http://schemas.microsoft.com/office/spreadsheetml/2009/9/main" uri="{CCE6A557-97BC-4b89-ADB6-D9C93CAAB3DF}">
      <x14:dataValidations xmlns:xm="http://schemas.microsoft.com/office/excel/2006/main" disablePrompts="1" count="7">
        <x14:dataValidation type="list" allowBlank="1" showInputMessage="1" showErrorMessage="1" xr:uid="{00000000-0002-0000-0400-000004000000}">
          <x14:formula1>
            <xm:f>Списки!$A$2:$A$3</xm:f>
          </x14:formula1>
          <xm:sqref>C173 C210 C111 C131 E44 C146 C154 C158 C165 C168 C43 C138 C238 C56</xm:sqref>
        </x14:dataValidation>
        <x14:dataValidation type="list" allowBlank="1" showInputMessage="1" showErrorMessage="1" xr:uid="{00000000-0002-0000-0400-000005000000}">
          <x14:formula1>
            <xm:f>Списки!$AI$2:$AI$3</xm:f>
          </x14:formula1>
          <xm:sqref>E14:E15</xm:sqref>
        </x14:dataValidation>
        <x14:dataValidation type="list" allowBlank="1" showInputMessage="1" showErrorMessage="1" xr:uid="{00000000-0002-0000-0400-000006000000}">
          <x14:formula1>
            <xm:f>Списки!$AW$2:$AW$3</xm:f>
          </x14:formula1>
          <xm:sqref>E130</xm:sqref>
        </x14:dataValidation>
        <x14:dataValidation type="list" allowBlank="1" showInputMessage="1" showErrorMessage="1" xr:uid="{00000000-0002-0000-0400-000007000000}">
          <x14:formula1>
            <xm:f>Списки!$Z$2:$Z$31</xm:f>
          </x14:formula1>
          <xm:sqref>F138:F139 F131</xm:sqref>
        </x14:dataValidation>
        <x14:dataValidation type="list" allowBlank="1" showInputMessage="1" showErrorMessage="1" xr:uid="{00000000-0002-0000-0400-000008000000}">
          <x14:formula1>
            <xm:f>OFFSET(НН!$B$1,MATCH(C15,Группа,0),2,COUNTIF(Группа,C15),1)</xm:f>
          </x14:formula1>
          <xm:sqref>D15 D17 D19 D23:D24 D38 D140:D144</xm:sqref>
        </x14:dataValidation>
        <x14:dataValidation type="list" allowBlank="1" showInputMessage="1" xr:uid="{00000000-0002-0000-0400-000009000000}">
          <x14:formula1>
            <xm:f>OFFSET(НН!$B$1,MATCH(C22,Группа,0),2,COUNTIF(Группа,C22),1)</xm:f>
          </x14:formula1>
          <xm:sqref>D22 D29 D32 D34 D44:D48 D51:D54 D68:D75 D78:D85 D95:D100 D102:D105 D118 D132:D136 D147:D149 D151:D152 D155:D156 D161:D163 D166 D169:D171 D182:D188 D191:D193 D196:D197 D213:D215 D217:D218 D227:D230 D120:D122 D177:D179 D40:D41 D174 D200 D202 D115:D116 D240:D242 D244:D246 D27</xm:sqref>
        </x14:dataValidation>
        <x14:dataValidation type="list" allowBlank="1" showInputMessage="1" showErrorMessage="1" xr:uid="{00000000-0002-0000-0400-00000A000000}">
          <x14:formula1>
            <xm:f>Списки!$Y$5:$Y$29</xm:f>
          </x14:formula1>
          <xm:sqref>E217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B1:U92"/>
  <sheetViews>
    <sheetView showGridLines="0" view="pageBreakPreview" topLeftCell="A54" zoomScale="90" workbookViewId="0">
      <selection activeCell="I72" sqref="I72"/>
    </sheetView>
  </sheetViews>
  <sheetFormatPr defaultColWidth="8.7109375" defaultRowHeight="14.45" customHeight="1" outlineLevelRow="1"/>
  <cols>
    <col min="1" max="2" width="2.140625" customWidth="1"/>
    <col min="3" max="3" width="40.140625" customWidth="1"/>
    <col min="4" max="4" width="20.85546875" customWidth="1"/>
    <col min="5" max="5" width="37.7109375" style="603" customWidth="1"/>
    <col min="6" max="6" width="7.85546875" customWidth="1"/>
    <col min="7" max="7" width="28.140625" customWidth="1"/>
    <col min="8" max="8" width="14" customWidth="1"/>
    <col min="9" max="9" width="26.28515625" customWidth="1"/>
    <col min="10" max="10" width="4.7109375" customWidth="1"/>
    <col min="11" max="11" width="8.7109375" customWidth="1"/>
    <col min="13" max="13" width="64.5703125" customWidth="1"/>
    <col min="14" max="14" width="8.7109375" customWidth="1"/>
  </cols>
  <sheetData>
    <row r="1" spans="2:9" ht="66.599999999999994" customHeight="1">
      <c r="B1" s="1342" t="s">
        <v>518</v>
      </c>
      <c r="C1" s="1342"/>
      <c r="D1" s="1342"/>
      <c r="E1" s="1342"/>
      <c r="F1" s="1342"/>
      <c r="G1" s="1342"/>
      <c r="H1" s="1342"/>
      <c r="I1" s="1342"/>
    </row>
    <row r="2" spans="2:9" ht="14.45" customHeight="1">
      <c r="B2" s="5"/>
    </row>
    <row r="3" spans="2:9" ht="14.45" customHeight="1">
      <c r="B3" s="5"/>
    </row>
    <row r="4" spans="2:9" ht="15.75">
      <c r="B4" s="5"/>
      <c r="C4" s="1343" t="s">
        <v>519</v>
      </c>
      <c r="D4" s="1343"/>
      <c r="E4" s="1343"/>
      <c r="F4" s="1343"/>
      <c r="G4" s="1343"/>
      <c r="H4" s="1343"/>
      <c r="I4" s="1343"/>
    </row>
    <row r="5" spans="2:9" ht="15.75">
      <c r="B5" s="5"/>
      <c r="C5" s="46"/>
      <c r="D5" s="46"/>
      <c r="E5" s="46"/>
      <c r="F5" s="46"/>
      <c r="G5" s="46"/>
      <c r="H5" s="46"/>
      <c r="I5" s="46"/>
    </row>
    <row r="6" spans="2:9" ht="15.75">
      <c r="B6" s="5"/>
      <c r="C6" s="49" t="s">
        <v>241</v>
      </c>
      <c r="D6" s="49"/>
      <c r="E6" s="50" t="s">
        <v>1935</v>
      </c>
      <c r="F6" s="46"/>
      <c r="G6" s="46"/>
      <c r="H6" s="46"/>
      <c r="I6" s="46"/>
    </row>
    <row r="7" spans="2:9" ht="15.75">
      <c r="B7" s="5"/>
      <c r="C7" s="49" t="s">
        <v>101</v>
      </c>
      <c r="D7" s="51"/>
      <c r="E7" s="54"/>
      <c r="F7" s="53"/>
      <c r="G7" s="46"/>
      <c r="H7" s="46"/>
      <c r="I7" s="46"/>
    </row>
    <row r="8" spans="2:9" ht="15.75">
      <c r="B8" s="5"/>
      <c r="C8" s="49" t="s">
        <v>243</v>
      </c>
      <c r="D8" s="51" t="s">
        <v>244</v>
      </c>
      <c r="E8" s="54" t="s">
        <v>146</v>
      </c>
      <c r="F8" s="46"/>
      <c r="G8" s="46"/>
      <c r="H8" s="46"/>
      <c r="I8" s="46"/>
    </row>
    <row r="9" spans="2:9" ht="30">
      <c r="B9" s="5"/>
      <c r="C9" s="605" t="s">
        <v>245</v>
      </c>
      <c r="D9" s="51" t="s">
        <v>244</v>
      </c>
      <c r="E9" s="54"/>
      <c r="F9" s="46"/>
      <c r="G9" s="46"/>
      <c r="H9" s="46"/>
      <c r="I9" s="46"/>
    </row>
    <row r="10" spans="2:9" ht="15.75">
      <c r="B10" s="5"/>
      <c r="C10" s="49"/>
      <c r="D10" s="51" t="s">
        <v>244</v>
      </c>
      <c r="E10" s="52"/>
      <c r="F10" s="46"/>
      <c r="G10" s="46"/>
      <c r="H10" s="46"/>
      <c r="I10" s="46"/>
    </row>
    <row r="11" spans="2:9" ht="15.75">
      <c r="B11" s="5"/>
      <c r="C11" s="49"/>
      <c r="D11" s="51" t="s">
        <v>244</v>
      </c>
      <c r="E11" s="54"/>
      <c r="F11" s="47"/>
      <c r="G11" s="47"/>
      <c r="H11" s="47"/>
      <c r="I11" s="47"/>
    </row>
    <row r="12" spans="2:9" ht="19.5" customHeight="1">
      <c r="B12" s="5"/>
      <c r="C12" s="49" t="s">
        <v>246</v>
      </c>
      <c r="D12" s="49"/>
      <c r="E12" s="606"/>
      <c r="F12" s="47"/>
      <c r="G12" s="47"/>
      <c r="H12" s="47"/>
      <c r="I12" s="47"/>
    </row>
    <row r="13" spans="2:9" ht="15.75">
      <c r="B13" s="5"/>
      <c r="C13" s="49" t="s">
        <v>247</v>
      </c>
      <c r="D13" s="49"/>
      <c r="E13" s="606"/>
      <c r="F13" s="47"/>
      <c r="G13" s="47"/>
      <c r="H13" s="47"/>
      <c r="I13" s="47"/>
    </row>
    <row r="14" spans="2:9" ht="15.75">
      <c r="B14" s="5"/>
      <c r="C14" s="56" t="s">
        <v>248</v>
      </c>
      <c r="D14" s="56"/>
      <c r="E14" s="1044" t="s">
        <v>116</v>
      </c>
      <c r="F14" s="47"/>
      <c r="G14" s="47"/>
      <c r="H14" s="47"/>
      <c r="I14" s="47"/>
    </row>
    <row r="15" spans="2:9" ht="15.75">
      <c r="B15" s="5"/>
      <c r="C15" s="49" t="s">
        <v>249</v>
      </c>
      <c r="D15" s="42"/>
      <c r="E15" s="960"/>
      <c r="F15" s="47"/>
      <c r="G15" s="47"/>
      <c r="H15" s="47"/>
      <c r="I15" s="47"/>
    </row>
    <row r="16" spans="2:9" ht="15.75">
      <c r="B16" s="5"/>
      <c r="C16" s="49" t="s">
        <v>250</v>
      </c>
      <c r="D16" s="42"/>
      <c r="E16" s="606"/>
      <c r="F16" s="47"/>
      <c r="G16" s="47"/>
      <c r="H16" s="47"/>
      <c r="I16" s="47"/>
    </row>
    <row r="18" spans="3:9" ht="15.75">
      <c r="C18" s="60" t="s">
        <v>520</v>
      </c>
      <c r="D18" s="61"/>
      <c r="E18" s="608" t="s">
        <v>521</v>
      </c>
      <c r="F18" s="607" t="s">
        <v>522</v>
      </c>
      <c r="G18" s="60"/>
      <c r="H18" s="61"/>
      <c r="I18" s="59"/>
    </row>
    <row r="19" spans="3:9" ht="18">
      <c r="C19" s="56" t="s">
        <v>523</v>
      </c>
      <c r="D19" s="56"/>
      <c r="E19" s="609">
        <v>100</v>
      </c>
      <c r="F19" s="67" t="str">
        <f>IF(E19="",VLOOKUP(ОЛ_ЕМКОСТИ!$E$24&amp;ОЛ_ЕМКОСТИ!$E$25&amp;ОЛ_ЕМКОСТИ!$E$39,'для шапки'!$B$2:$I$9,8,),"")</f>
        <v/>
      </c>
      <c r="G19" s="60"/>
      <c r="H19" s="61"/>
      <c r="I19" s="59"/>
    </row>
    <row r="20" spans="3:9" ht="15.75">
      <c r="C20" s="56" t="s">
        <v>524</v>
      </c>
      <c r="D20" s="56"/>
      <c r="E20" s="62">
        <v>3000</v>
      </c>
      <c r="F20" s="610"/>
      <c r="G20" s="611"/>
      <c r="H20" s="612"/>
      <c r="I20" s="611"/>
    </row>
    <row r="21" spans="3:9" ht="45">
      <c r="C21" s="56" t="s">
        <v>253</v>
      </c>
      <c r="D21" s="1304" t="s">
        <v>525</v>
      </c>
      <c r="E21" s="63">
        <v>0.1</v>
      </c>
      <c r="F21" s="47"/>
      <c r="G21" s="68"/>
      <c r="H21" s="69"/>
      <c r="I21" s="68"/>
    </row>
    <row r="22" spans="3:9" ht="21.75" customHeight="1">
      <c r="C22" s="56" t="s">
        <v>254</v>
      </c>
      <c r="D22" s="56"/>
      <c r="E22" s="62">
        <v>10000</v>
      </c>
      <c r="F22" s="47"/>
      <c r="G22" s="68"/>
      <c r="H22" s="69"/>
      <c r="I22" s="68"/>
    </row>
    <row r="23" spans="3:9" ht="24" customHeight="1">
      <c r="C23" s="64" t="s">
        <v>526</v>
      </c>
      <c r="D23" s="65" t="str">
        <f>IF(C23="Производство","Общий метраж выпуска →","Номер заказа →")</f>
        <v>Общий метраж выпуска →</v>
      </c>
      <c r="E23" s="66"/>
      <c r="F23" s="47"/>
      <c r="G23" s="68"/>
      <c r="H23" s="69"/>
      <c r="I23" s="68"/>
    </row>
    <row r="24" spans="3:9" ht="15.75">
      <c r="C24" s="56" t="s">
        <v>99</v>
      </c>
      <c r="D24" s="56"/>
      <c r="E24" s="66" t="s">
        <v>135</v>
      </c>
      <c r="F24" s="47"/>
      <c r="G24" s="69"/>
      <c r="H24" s="69"/>
      <c r="I24" s="613" t="str">
        <f>E24&amp;E25</f>
        <v>ГоризонтальноеПодземная</v>
      </c>
    </row>
    <row r="25" spans="3:9" ht="21.75" customHeight="1">
      <c r="C25" s="56" t="s">
        <v>100</v>
      </c>
      <c r="D25" s="56"/>
      <c r="E25" s="66" t="s">
        <v>170</v>
      </c>
      <c r="F25" s="47"/>
      <c r="G25" s="47"/>
      <c r="H25" s="47"/>
      <c r="I25" s="47"/>
    </row>
    <row r="26" spans="3:9" ht="35.25" customHeight="1">
      <c r="C26" s="1344" t="s">
        <v>527</v>
      </c>
      <c r="D26" s="1345"/>
      <c r="E26" s="1295">
        <v>300</v>
      </c>
      <c r="F26" s="47"/>
      <c r="G26" s="47"/>
      <c r="H26" s="47"/>
      <c r="I26" s="47"/>
    </row>
    <row r="27" spans="3:9" ht="23.25" customHeight="1">
      <c r="C27" s="68" t="s">
        <v>257</v>
      </c>
      <c r="D27" s="69"/>
      <c r="E27" s="67" t="s">
        <v>150</v>
      </c>
      <c r="F27" s="47"/>
      <c r="G27" s="47"/>
      <c r="H27" s="47"/>
      <c r="I27" s="47"/>
    </row>
    <row r="28" spans="3:9" ht="29.25" customHeight="1">
      <c r="C28" s="1371" t="s">
        <v>528</v>
      </c>
      <c r="D28" s="1372"/>
      <c r="E28" s="1302"/>
      <c r="F28" s="1303">
        <f>IF(E28="",VLOOKUP(ОЛ_ЕМКОСТИ!$E$24&amp;ОЛ_ЕМКОСТИ!$E$25&amp;ОЛ_ЕМКОСТИ!$E$39,'для шапки'!$B$2:$I$9,2,),"")</f>
        <v>13400</v>
      </c>
      <c r="G28" s="611"/>
      <c r="H28" s="47"/>
      <c r="I28" s="47"/>
    </row>
    <row r="29" spans="3:9" ht="15.75">
      <c r="C29" s="1371" t="s">
        <v>529</v>
      </c>
      <c r="D29" s="1372"/>
      <c r="E29" s="67">
        <v>4000</v>
      </c>
      <c r="F29" s="614" t="str">
        <f>IF(E29="",VLOOKUP(ОЛ_ЕМКОСТИ!$E$24&amp;ОЛ_ЕМКОСТИ!$E$25&amp;ОЛ_ЕМКОСТИ!$E$39,'для шапки'!$B$2:$L$9,11,),"")</f>
        <v/>
      </c>
      <c r="G29" s="47"/>
      <c r="H29" s="47"/>
      <c r="I29" s="47"/>
    </row>
    <row r="30" spans="3:9" ht="15.75">
      <c r="C30" s="56"/>
      <c r="D30" s="56"/>
      <c r="E30" s="615"/>
      <c r="F30" s="47"/>
      <c r="G30" s="47"/>
      <c r="H30" s="47"/>
      <c r="I30" s="47"/>
    </row>
    <row r="31" spans="3:9" ht="15.75">
      <c r="C31" s="60" t="s">
        <v>263</v>
      </c>
      <c r="D31" s="61"/>
      <c r="E31" s="59"/>
      <c r="F31" s="47"/>
      <c r="G31" s="47"/>
      <c r="H31" s="47"/>
      <c r="I31" s="47"/>
    </row>
    <row r="33" spans="3:9" ht="15.75">
      <c r="C33" s="68" t="s">
        <v>112</v>
      </c>
      <c r="D33" s="69"/>
      <c r="E33" s="72" t="s">
        <v>147</v>
      </c>
      <c r="F33" s="47"/>
      <c r="G33" s="47"/>
      <c r="H33" s="47"/>
      <c r="I33" s="47"/>
    </row>
    <row r="34" spans="3:9" ht="15.75">
      <c r="C34" s="68" t="s">
        <v>113</v>
      </c>
      <c r="D34" s="69"/>
      <c r="E34" s="70" t="str">
        <f>VLOOKUP(E33,Списки!$BH$1:$BI$4,2,)</f>
        <v>ИЗО</v>
      </c>
      <c r="F34" s="47"/>
      <c r="G34" s="47"/>
      <c r="H34" s="47"/>
      <c r="I34" s="47"/>
    </row>
    <row r="35" spans="3:9" ht="18">
      <c r="C35" s="68" t="s">
        <v>264</v>
      </c>
      <c r="D35" s="69"/>
      <c r="E35" s="70"/>
      <c r="F35" s="47"/>
      <c r="G35" s="47"/>
      <c r="H35" s="47"/>
      <c r="I35" s="47"/>
    </row>
    <row r="36" spans="3:9" ht="15.75">
      <c r="C36" s="68" t="s">
        <v>265</v>
      </c>
      <c r="D36" s="69"/>
      <c r="E36" s="70" t="s">
        <v>1929</v>
      </c>
      <c r="F36" s="47"/>
      <c r="G36" s="47"/>
      <c r="H36" s="47"/>
      <c r="I36" s="47"/>
    </row>
    <row r="37" spans="3:9" ht="15.75">
      <c r="C37" s="68" t="s">
        <v>267</v>
      </c>
      <c r="D37" s="69"/>
      <c r="E37" s="70"/>
      <c r="F37" s="47"/>
      <c r="G37" s="47"/>
      <c r="H37" s="47"/>
      <c r="I37" s="47"/>
    </row>
    <row r="38" spans="3:9" ht="15.75">
      <c r="C38" s="49"/>
      <c r="D38" s="616"/>
      <c r="E38" s="617"/>
      <c r="F38" s="47"/>
      <c r="G38" s="47"/>
      <c r="H38" s="47"/>
      <c r="I38" s="47"/>
    </row>
    <row r="39" spans="3:9" ht="15.75">
      <c r="C39" s="60" t="s">
        <v>530</v>
      </c>
      <c r="D39" s="56"/>
      <c r="E39" s="66" t="s">
        <v>115</v>
      </c>
      <c r="F39" s="47"/>
      <c r="G39" s="47"/>
      <c r="H39" s="47"/>
      <c r="I39" s="47"/>
    </row>
    <row r="40" spans="3:9" ht="15.75" outlineLevel="1">
      <c r="C40" s="49" t="s">
        <v>531</v>
      </c>
      <c r="D40" s="56"/>
      <c r="E40" s="67">
        <v>1200</v>
      </c>
      <c r="F40" s="47"/>
      <c r="G40" s="47"/>
      <c r="H40" s="47"/>
      <c r="I40" s="47"/>
    </row>
    <row r="41" spans="3:9" ht="30" outlineLevel="1">
      <c r="C41" s="56" t="s">
        <v>532</v>
      </c>
      <c r="D41" s="56"/>
      <c r="E41" s="67">
        <v>2000</v>
      </c>
      <c r="F41" s="47"/>
      <c r="G41" s="47"/>
      <c r="H41" s="47"/>
      <c r="I41" s="47"/>
    </row>
    <row r="42" spans="3:9" ht="15.75" outlineLevel="1">
      <c r="C42" s="56"/>
      <c r="D42" s="56"/>
      <c r="E42" s="59"/>
      <c r="F42" s="80"/>
      <c r="G42" s="47"/>
      <c r="H42" s="47"/>
      <c r="I42" s="47"/>
    </row>
    <row r="43" spans="3:9" ht="15.75">
      <c r="C43" s="60" t="s">
        <v>262</v>
      </c>
      <c r="D43" s="56"/>
      <c r="E43" s="67" t="s">
        <v>115</v>
      </c>
      <c r="F43" s="618"/>
      <c r="G43" s="47"/>
      <c r="H43" s="47"/>
      <c r="I43" s="47"/>
    </row>
    <row r="44" spans="3:9" ht="15.75">
      <c r="C44" s="60"/>
      <c r="D44" s="56"/>
      <c r="E44" s="619"/>
      <c r="F44" s="618"/>
      <c r="G44" s="47"/>
      <c r="H44" s="47"/>
      <c r="I44" s="47"/>
    </row>
    <row r="45" spans="3:9" ht="15.75">
      <c r="C45" s="60" t="s">
        <v>268</v>
      </c>
      <c r="D45" s="61"/>
      <c r="E45" s="58"/>
      <c r="F45" s="47"/>
      <c r="G45" s="47"/>
      <c r="H45" s="47"/>
      <c r="I45" s="47"/>
    </row>
    <row r="46" spans="3:9" ht="11.1" customHeight="1">
      <c r="C46" s="60"/>
      <c r="D46" s="61"/>
      <c r="E46" s="58"/>
      <c r="F46" s="47"/>
      <c r="G46" s="47"/>
      <c r="H46" s="47"/>
      <c r="I46" s="47"/>
    </row>
    <row r="47" spans="3:9" ht="15.75">
      <c r="C47" s="82" t="s">
        <v>533</v>
      </c>
      <c r="D47" s="620"/>
      <c r="E47" s="621"/>
      <c r="F47" s="47"/>
      <c r="G47" s="74" t="s">
        <v>534</v>
      </c>
      <c r="H47" s="49"/>
      <c r="I47" s="621"/>
    </row>
    <row r="48" spans="3:9" ht="15.75">
      <c r="C48" s="56" t="s">
        <v>535</v>
      </c>
      <c r="D48" s="42"/>
      <c r="E48" s="622" t="s">
        <v>124</v>
      </c>
      <c r="F48" s="42"/>
      <c r="G48" s="49" t="s">
        <v>535</v>
      </c>
      <c r="H48" s="42"/>
      <c r="I48" s="623" t="s">
        <v>124</v>
      </c>
    </row>
    <row r="49" spans="3:21" ht="15.75">
      <c r="C49" s="1344" t="s">
        <v>536</v>
      </c>
      <c r="D49" s="1345"/>
      <c r="E49" s="622">
        <v>400</v>
      </c>
      <c r="F49" s="47"/>
      <c r="G49" s="1344" t="s">
        <v>536</v>
      </c>
      <c r="H49" s="1345"/>
      <c r="I49" s="622">
        <v>300</v>
      </c>
    </row>
    <row r="50" spans="3:21" ht="15.75">
      <c r="C50" s="56" t="s">
        <v>537</v>
      </c>
      <c r="D50" s="56"/>
      <c r="E50" s="66">
        <v>1</v>
      </c>
      <c r="F50" s="47"/>
      <c r="G50" s="56" t="s">
        <v>537</v>
      </c>
      <c r="H50" s="56"/>
      <c r="I50" s="624">
        <v>2</v>
      </c>
    </row>
    <row r="51" spans="3:21" ht="29.25" customHeight="1">
      <c r="C51" s="1344" t="s">
        <v>538</v>
      </c>
      <c r="D51" s="1345"/>
      <c r="E51" s="625">
        <v>2400</v>
      </c>
      <c r="F51" s="47"/>
      <c r="G51" s="1344" t="s">
        <v>538</v>
      </c>
      <c r="H51" s="1345"/>
      <c r="I51" s="626">
        <v>2600</v>
      </c>
    </row>
    <row r="52" spans="3:21" ht="15.75">
      <c r="C52" s="627"/>
      <c r="D52" s="49"/>
      <c r="E52" s="628"/>
      <c r="F52" s="47"/>
      <c r="G52" s="47"/>
      <c r="H52" s="47"/>
      <c r="I52" s="47"/>
    </row>
    <row r="53" spans="3:21" ht="15.75">
      <c r="C53" s="56"/>
      <c r="D53" s="56"/>
      <c r="E53" s="629"/>
      <c r="F53" s="47"/>
      <c r="G53" s="47"/>
      <c r="H53" s="47"/>
      <c r="I53" s="47"/>
    </row>
    <row r="54" spans="3:21" ht="15.75">
      <c r="C54" s="60" t="s">
        <v>539</v>
      </c>
      <c r="D54" s="87"/>
      <c r="E54" s="66" t="s">
        <v>115</v>
      </c>
      <c r="F54" s="47"/>
      <c r="G54" s="47"/>
      <c r="H54" s="47"/>
      <c r="I54" s="47"/>
    </row>
    <row r="55" spans="3:21" ht="15.75" outlineLevel="1">
      <c r="C55" s="42"/>
      <c r="D55" s="608"/>
      <c r="E55" s="79"/>
      <c r="F55" s="47"/>
      <c r="G55" s="47"/>
      <c r="H55" s="47"/>
      <c r="I55" s="47"/>
      <c r="M55" s="1242" t="s">
        <v>642</v>
      </c>
      <c r="N55" s="1243">
        <f>(E56)/(4*P55*E60)</f>
        <v>2.5</v>
      </c>
      <c r="O55" s="1244" t="s">
        <v>643</v>
      </c>
      <c r="P55" s="1245">
        <v>5</v>
      </c>
      <c r="Q55" s="1246">
        <v>10</v>
      </c>
      <c r="R55" s="1247">
        <v>20</v>
      </c>
      <c r="S55" s="1248" t="s">
        <v>644</v>
      </c>
      <c r="T55" s="1249"/>
      <c r="U55" s="1249"/>
    </row>
    <row r="56" spans="3:21" ht="15.75" outlineLevel="1">
      <c r="C56" s="49" t="s">
        <v>540</v>
      </c>
      <c r="D56" s="630" t="str">
        <f>IF(F56=[3]Списки!$U$2,CONCATENATE("(",ROUND(E56/1000*3600,2)," м3/ч)"),IF(F56=[3]Списки!$U$3,"",CONCATENATE("(",ROUND(E56/24,2)," м3/ч)")))</f>
        <v/>
      </c>
      <c r="E56" s="63">
        <v>50</v>
      </c>
      <c r="F56" s="631" t="s">
        <v>1933</v>
      </c>
      <c r="G56" s="49" t="s">
        <v>541</v>
      </c>
      <c r="H56" s="47"/>
      <c r="I56" s="47"/>
      <c r="M56" s="1244" t="s">
        <v>647</v>
      </c>
      <c r="N56" s="1250">
        <f>(E56/2)*P56/60</f>
        <v>2.0833333333333335</v>
      </c>
      <c r="O56" s="1244" t="s">
        <v>643</v>
      </c>
      <c r="P56" s="1251">
        <v>5</v>
      </c>
      <c r="Q56" s="1252">
        <v>10</v>
      </c>
      <c r="R56" s="1253">
        <v>20</v>
      </c>
      <c r="S56" s="1248" t="s">
        <v>648</v>
      </c>
      <c r="T56" s="1249"/>
      <c r="U56" s="1249"/>
    </row>
    <row r="57" spans="3:21" ht="15.75" outlineLevel="1">
      <c r="C57" s="49" t="s">
        <v>542</v>
      </c>
      <c r="D57" s="49"/>
      <c r="E57" s="63">
        <v>10</v>
      </c>
      <c r="F57" s="47"/>
      <c r="G57" s="47"/>
      <c r="H57" s="47"/>
      <c r="I57" s="47"/>
      <c r="M57" s="1244" t="s">
        <v>651</v>
      </c>
      <c r="N57" s="1250">
        <f>N56</f>
        <v>2.0833333333333335</v>
      </c>
      <c r="O57" s="1244" t="s">
        <v>643</v>
      </c>
      <c r="P57" s="1249"/>
      <c r="Q57" s="1249"/>
      <c r="R57" s="1249"/>
      <c r="S57" s="1249"/>
      <c r="T57" s="1249"/>
      <c r="U57" s="1249"/>
    </row>
    <row r="58" spans="3:21" ht="15.75" outlineLevel="1">
      <c r="C58" s="56" t="s">
        <v>543</v>
      </c>
      <c r="D58" s="56"/>
      <c r="E58" s="66"/>
      <c r="F58" s="47"/>
      <c r="G58" s="47"/>
      <c r="H58" s="47"/>
      <c r="I58" s="47"/>
      <c r="M58" s="1249"/>
      <c r="N58" s="1249"/>
      <c r="O58" s="1249"/>
      <c r="P58" s="1249"/>
      <c r="Q58" s="1249"/>
      <c r="R58" s="1249"/>
      <c r="S58" s="1249"/>
      <c r="T58" s="1249"/>
      <c r="U58" s="1249"/>
    </row>
    <row r="59" spans="3:21" ht="15.75" outlineLevel="1">
      <c r="C59" s="68" t="s">
        <v>544</v>
      </c>
      <c r="D59" s="47"/>
      <c r="E59" s="632"/>
      <c r="F59" s="47"/>
      <c r="G59" s="47"/>
      <c r="H59" s="47"/>
      <c r="I59" s="47"/>
      <c r="M59" s="1244" t="s">
        <v>656</v>
      </c>
      <c r="N59" s="1254">
        <f>4*N57/(PI()*POWER(E20/1000,2))</f>
        <v>0.2947313760961025</v>
      </c>
      <c r="O59" s="1244" t="s">
        <v>163</v>
      </c>
      <c r="P59" s="1249"/>
      <c r="Q59" s="1249"/>
      <c r="R59" s="1249"/>
      <c r="S59" s="1249"/>
      <c r="T59" s="1249"/>
      <c r="U59" s="1249"/>
    </row>
    <row r="60" spans="3:21" ht="16.5" outlineLevel="1" thickBot="1">
      <c r="C60" s="69"/>
      <c r="D60" s="633" t="s">
        <v>545</v>
      </c>
      <c r="E60" s="63">
        <v>1</v>
      </c>
      <c r="F60" s="47"/>
      <c r="G60" s="47"/>
      <c r="H60" s="47"/>
      <c r="I60" s="47"/>
      <c r="M60" s="1244" t="s">
        <v>659</v>
      </c>
      <c r="N60" s="1254">
        <f>N59+0.3+N65+N62</f>
        <v>1.3547313760961024</v>
      </c>
      <c r="O60" s="1244" t="s">
        <v>163</v>
      </c>
      <c r="P60" s="1248" t="s">
        <v>660</v>
      </c>
      <c r="Q60" s="1249"/>
      <c r="R60" s="1249"/>
      <c r="S60" s="1249"/>
      <c r="T60" s="1249"/>
      <c r="U60" s="1249"/>
    </row>
    <row r="61" spans="3:21" ht="16.5" outlineLevel="1" thickBot="1">
      <c r="C61" s="69"/>
      <c r="D61" s="633" t="s">
        <v>546</v>
      </c>
      <c r="E61" s="63">
        <v>1</v>
      </c>
      <c r="F61" s="47"/>
      <c r="G61" s="47"/>
      <c r="H61" s="47"/>
      <c r="I61" s="47"/>
      <c r="M61" s="1244" t="s">
        <v>662</v>
      </c>
      <c r="N61" s="1255">
        <f>E56/1000+N60</f>
        <v>1.4047313760961024</v>
      </c>
      <c r="O61" s="1245" t="s">
        <v>663</v>
      </c>
      <c r="P61" s="1256">
        <f>ROUNDUP(N61*1000,-2)</f>
        <v>1500</v>
      </c>
      <c r="Q61" s="1249"/>
      <c r="R61" s="1249"/>
      <c r="S61" s="1249"/>
      <c r="T61" s="1249"/>
      <c r="U61" s="1249"/>
    </row>
    <row r="62" spans="3:21" ht="30" outlineLevel="1">
      <c r="C62" s="69"/>
      <c r="D62" s="633" t="s">
        <v>547</v>
      </c>
      <c r="E62" s="63"/>
      <c r="F62" s="47"/>
      <c r="G62" s="47"/>
      <c r="H62" s="47"/>
      <c r="I62" s="47"/>
      <c r="M62" s="1257" t="s">
        <v>2130</v>
      </c>
      <c r="N62" s="1277">
        <v>0.6</v>
      </c>
      <c r="O62" s="1244" t="s">
        <v>163</v>
      </c>
      <c r="P62" s="1249"/>
      <c r="Q62" s="1249"/>
      <c r="R62" s="1249"/>
      <c r="S62" s="1249"/>
      <c r="T62" s="1249"/>
      <c r="U62" s="1249"/>
    </row>
    <row r="63" spans="3:21" ht="15.75" outlineLevel="1">
      <c r="C63" s="49" t="s">
        <v>548</v>
      </c>
      <c r="D63" s="56"/>
      <c r="E63" s="54" t="s">
        <v>150</v>
      </c>
      <c r="F63" s="80"/>
      <c r="G63" s="47"/>
      <c r="H63" s="47"/>
      <c r="I63" s="47"/>
      <c r="M63" s="1259" t="s">
        <v>2124</v>
      </c>
      <c r="N63" s="1260">
        <f>N62+N65</f>
        <v>0.76</v>
      </c>
      <c r="O63" s="1244" t="s">
        <v>163</v>
      </c>
      <c r="P63" s="1249"/>
      <c r="Q63" s="1249"/>
      <c r="R63" s="1249"/>
      <c r="S63" s="1249"/>
      <c r="T63" s="1249"/>
      <c r="U63" s="1249"/>
    </row>
    <row r="64" spans="3:21" ht="14.45" customHeight="1">
      <c r="M64" s="1261" t="s">
        <v>2053</v>
      </c>
      <c r="N64" s="1262">
        <f>P61/1000-N62-N65-I56/1000</f>
        <v>0.74</v>
      </c>
      <c r="O64" s="1244" t="s">
        <v>163</v>
      </c>
      <c r="P64" s="1249"/>
      <c r="Q64" s="1249"/>
      <c r="R64" s="1249"/>
      <c r="S64" s="1249"/>
      <c r="T64" s="1249"/>
      <c r="U64" s="1249"/>
    </row>
    <row r="65" spans="3:21" ht="21.75" customHeight="1">
      <c r="C65" s="60" t="s">
        <v>281</v>
      </c>
      <c r="D65" s="42"/>
      <c r="E65" s="54" t="s">
        <v>115</v>
      </c>
      <c r="F65" s="47"/>
      <c r="G65" s="47"/>
      <c r="H65" s="47"/>
      <c r="I65" s="47"/>
      <c r="M65" s="1263" t="s">
        <v>1958</v>
      </c>
      <c r="N65" s="1258">
        <v>0.16</v>
      </c>
      <c r="O65" s="1264" t="s">
        <v>163</v>
      </c>
      <c r="P65" s="1249"/>
      <c r="Q65" s="1249"/>
      <c r="R65" s="1249"/>
      <c r="S65" s="1249"/>
      <c r="T65" s="1249"/>
      <c r="U65" s="1249"/>
    </row>
    <row r="66" spans="3:21" ht="18.75" customHeight="1" outlineLevel="1">
      <c r="C66" s="60"/>
      <c r="D66" s="42"/>
      <c r="E66" s="1301"/>
      <c r="F66" s="47"/>
      <c r="G66" s="47"/>
      <c r="H66" s="47"/>
      <c r="I66" s="47"/>
    </row>
    <row r="67" spans="3:21" ht="15.75" outlineLevel="1">
      <c r="C67" s="49" t="s">
        <v>282</v>
      </c>
      <c r="D67" s="56"/>
      <c r="E67" s="52" t="s">
        <v>122</v>
      </c>
      <c r="F67" s="47"/>
      <c r="G67" s="47"/>
      <c r="H67" s="47"/>
      <c r="I67" s="47"/>
    </row>
    <row r="68" spans="3:21" ht="30" outlineLevel="1">
      <c r="C68" s="56" t="s">
        <v>664</v>
      </c>
      <c r="D68" s="49"/>
      <c r="E68" s="66" t="s">
        <v>115</v>
      </c>
      <c r="F68" s="47"/>
      <c r="G68" s="47"/>
      <c r="H68" s="47"/>
      <c r="I68" s="47"/>
    </row>
    <row r="69" spans="3:21" ht="21.75" customHeight="1" outlineLevel="1">
      <c r="C69" s="56"/>
      <c r="D69" s="49"/>
      <c r="E69" s="66" t="s">
        <v>158</v>
      </c>
      <c r="F69" s="47"/>
      <c r="G69" s="47"/>
      <c r="H69" s="47"/>
      <c r="I69" s="47"/>
    </row>
    <row r="70" spans="3:21" ht="15.75">
      <c r="C70" s="49"/>
      <c r="D70" s="56"/>
      <c r="E70" s="89"/>
      <c r="F70" s="47"/>
      <c r="G70" s="47"/>
      <c r="H70" s="47"/>
      <c r="I70" s="47"/>
    </row>
    <row r="71" spans="3:21" ht="15.75">
      <c r="C71" s="82" t="s">
        <v>76</v>
      </c>
      <c r="D71" s="56"/>
      <c r="E71" s="66" t="s">
        <v>115</v>
      </c>
      <c r="F71" s="47"/>
      <c r="G71" s="82" t="s">
        <v>283</v>
      </c>
      <c r="H71" s="83"/>
      <c r="I71" s="66" t="s">
        <v>115</v>
      </c>
    </row>
    <row r="72" spans="3:21" ht="15.75" outlineLevel="1">
      <c r="C72" s="84" t="s">
        <v>284</v>
      </c>
      <c r="D72" s="42"/>
      <c r="E72" s="54" t="s">
        <v>152</v>
      </c>
      <c r="F72" s="47"/>
      <c r="G72" s="85" t="s">
        <v>285</v>
      </c>
      <c r="H72" s="83"/>
      <c r="I72" s="66" t="s">
        <v>115</v>
      </c>
    </row>
    <row r="73" spans="3:21" ht="15.75" outlineLevel="1">
      <c r="C73" s="56" t="s">
        <v>286</v>
      </c>
      <c r="D73" s="42"/>
      <c r="E73" s="54"/>
      <c r="F73" s="47"/>
      <c r="G73" s="85" t="s">
        <v>287</v>
      </c>
      <c r="H73" s="83"/>
      <c r="I73" s="66" t="s">
        <v>150</v>
      </c>
    </row>
    <row r="74" spans="3:21" ht="15.75" outlineLevel="1">
      <c r="C74" s="85" t="s">
        <v>288</v>
      </c>
      <c r="D74" s="42"/>
      <c r="E74" s="54" t="s">
        <v>118</v>
      </c>
      <c r="F74" s="47"/>
      <c r="G74" s="85" t="s">
        <v>289</v>
      </c>
      <c r="H74" s="83"/>
      <c r="I74" s="66" t="s">
        <v>150</v>
      </c>
    </row>
    <row r="75" spans="3:21" ht="15.75" outlineLevel="1">
      <c r="C75" s="84" t="s">
        <v>290</v>
      </c>
      <c r="D75" s="42"/>
      <c r="E75" s="54" t="s">
        <v>119</v>
      </c>
      <c r="F75" s="47"/>
      <c r="G75" s="85" t="s">
        <v>291</v>
      </c>
      <c r="H75" s="83"/>
      <c r="I75" s="66" t="s">
        <v>150</v>
      </c>
    </row>
    <row r="76" spans="3:21" ht="30" outlineLevel="1">
      <c r="C76" s="84" t="s">
        <v>292</v>
      </c>
      <c r="D76" s="42"/>
      <c r="E76" s="54" t="s">
        <v>186</v>
      </c>
      <c r="F76" s="47"/>
      <c r="G76" s="85" t="s">
        <v>293</v>
      </c>
      <c r="H76" s="83"/>
      <c r="I76" s="66" t="s">
        <v>150</v>
      </c>
    </row>
    <row r="77" spans="3:21" ht="14.1" customHeight="1">
      <c r="C77" s="49"/>
      <c r="D77" s="88"/>
      <c r="E77" s="79"/>
      <c r="F77" s="47"/>
      <c r="G77" s="47"/>
      <c r="H77" s="47"/>
      <c r="I77" s="47"/>
    </row>
    <row r="78" spans="3:21" ht="21" customHeight="1">
      <c r="C78" s="60" t="s">
        <v>549</v>
      </c>
      <c r="D78" s="83"/>
      <c r="E78" s="66" t="s">
        <v>2193</v>
      </c>
      <c r="F78" s="47"/>
      <c r="G78" s="47"/>
      <c r="H78" s="47"/>
      <c r="I78" s="47"/>
    </row>
    <row r="79" spans="3:21" ht="14.1" customHeight="1">
      <c r="C79" s="49"/>
      <c r="D79" s="88"/>
      <c r="E79" s="79"/>
      <c r="F79" s="47"/>
      <c r="G79" s="47"/>
      <c r="H79" s="47"/>
      <c r="I79" s="47"/>
    </row>
    <row r="80" spans="3:21" ht="18" customHeight="1">
      <c r="C80" s="60" t="s">
        <v>294</v>
      </c>
      <c r="D80" s="87"/>
      <c r="E80" s="54" t="s">
        <v>115</v>
      </c>
      <c r="F80" s="80"/>
      <c r="G80" s="47"/>
      <c r="H80" s="47"/>
      <c r="I80" s="47"/>
    </row>
    <row r="81" spans="3:9" ht="23.25" customHeight="1">
      <c r="C81" s="49" t="s">
        <v>295</v>
      </c>
      <c r="D81" s="88"/>
      <c r="E81" s="63">
        <v>2000</v>
      </c>
      <c r="F81" s="47"/>
      <c r="G81" s="47"/>
      <c r="H81" s="47"/>
      <c r="I81" s="47"/>
    </row>
    <row r="82" spans="3:9" ht="21" customHeight="1">
      <c r="C82" s="87"/>
      <c r="D82" s="87"/>
      <c r="E82" s="89"/>
      <c r="F82" s="47"/>
      <c r="G82" s="47"/>
      <c r="H82" s="47"/>
      <c r="I82" s="47"/>
    </row>
    <row r="83" spans="3:9" ht="15.75">
      <c r="C83" s="61" t="s">
        <v>296</v>
      </c>
      <c r="D83" s="61"/>
      <c r="E83" s="58"/>
      <c r="F83" s="47"/>
      <c r="G83" s="47"/>
      <c r="H83" s="47"/>
      <c r="I83" s="47"/>
    </row>
    <row r="84" spans="3:9" ht="33.75" customHeight="1">
      <c r="C84" s="1340"/>
      <c r="D84" s="1369"/>
      <c r="E84" s="1369"/>
      <c r="F84" s="1369"/>
      <c r="G84" s="1369"/>
      <c r="H84" s="1369"/>
      <c r="I84" s="1370"/>
    </row>
    <row r="85" spans="3:9" ht="15.75">
      <c r="C85" s="49" t="s">
        <v>297</v>
      </c>
      <c r="D85" s="49"/>
      <c r="E85" s="59"/>
      <c r="F85" s="47"/>
    </row>
    <row r="86" spans="3:9" ht="14.45" customHeight="1">
      <c r="C86" s="49"/>
      <c r="D86" s="49"/>
      <c r="E86" s="59"/>
      <c r="F86" s="42"/>
    </row>
    <row r="87" spans="3:9" ht="14.45" customHeight="1">
      <c r="C87" s="49" t="s">
        <v>298</v>
      </c>
      <c r="D87" s="49"/>
      <c r="E87" s="90"/>
      <c r="F87" s="42"/>
    </row>
    <row r="88" spans="3:9" ht="14.45" customHeight="1">
      <c r="C88" s="49"/>
      <c r="D88" s="49"/>
      <c r="E88" s="59"/>
      <c r="F88" s="42"/>
    </row>
    <row r="89" spans="3:9" ht="14.45" customHeight="1">
      <c r="C89" s="49"/>
      <c r="D89" s="49"/>
      <c r="E89" s="59"/>
      <c r="F89" s="42"/>
    </row>
    <row r="90" spans="3:9" ht="14.45" customHeight="1">
      <c r="C90" s="68" t="s">
        <v>299</v>
      </c>
      <c r="D90" s="68"/>
      <c r="E90" s="59"/>
      <c r="F90" s="59" t="s">
        <v>300</v>
      </c>
    </row>
    <row r="91" spans="3:9" ht="14.45" customHeight="1">
      <c r="C91" s="49"/>
      <c r="D91" s="49"/>
      <c r="E91" s="59"/>
      <c r="F91" s="59"/>
    </row>
    <row r="92" spans="3:9" ht="14.45" customHeight="1">
      <c r="C92" s="68" t="s">
        <v>301</v>
      </c>
      <c r="D92" s="68"/>
      <c r="E92" s="59"/>
      <c r="F92" s="59" t="s">
        <v>300</v>
      </c>
    </row>
  </sheetData>
  <mergeCells count="10">
    <mergeCell ref="C51:D51"/>
    <mergeCell ref="G51:H51"/>
    <mergeCell ref="C84:I84"/>
    <mergeCell ref="B1:I1"/>
    <mergeCell ref="C4:I4"/>
    <mergeCell ref="C26:D26"/>
    <mergeCell ref="C28:D28"/>
    <mergeCell ref="C29:D29"/>
    <mergeCell ref="C49:D49"/>
    <mergeCell ref="G49:H49"/>
  </mergeCells>
  <conditionalFormatting sqref="C28:D28 F28">
    <cfRule type="expression" dxfId="423" priority="16">
      <formula>$E$24="вертикальное"</formula>
    </cfRule>
  </conditionalFormatting>
  <conditionalFormatting sqref="C26:E26 C27:D27">
    <cfRule type="expression" dxfId="422" priority="27">
      <formula>$I$24="ВертикальноеНаземная"</formula>
    </cfRule>
    <cfRule type="expression" dxfId="421" priority="29">
      <formula>$I$24="ГоризонтальноеНаземная"</formula>
    </cfRule>
  </conditionalFormatting>
  <conditionalFormatting sqref="C40:E42">
    <cfRule type="expression" dxfId="420" priority="2">
      <formula>$E$39="нет"</formula>
    </cfRule>
  </conditionalFormatting>
  <conditionalFormatting sqref="C66:E69">
    <cfRule type="expression" dxfId="419" priority="3">
      <formula>$E$65="нет"</formula>
    </cfRule>
  </conditionalFormatting>
  <conditionalFormatting sqref="C67:E67 E69">
    <cfRule type="expression" dxfId="418" priority="8">
      <formula>$E$47="нет"</formula>
    </cfRule>
  </conditionalFormatting>
  <conditionalFormatting sqref="C67:E69">
    <cfRule type="expression" dxfId="417" priority="5">
      <formula>$E$47="нет"</formula>
    </cfRule>
  </conditionalFormatting>
  <conditionalFormatting sqref="C69:E69">
    <cfRule type="expression" dxfId="416" priority="4">
      <formula>$E$68="нет"</formula>
    </cfRule>
  </conditionalFormatting>
  <conditionalFormatting sqref="C72:E76">
    <cfRule type="expression" dxfId="415" priority="37">
      <formula>$E$71="нет"</formula>
    </cfRule>
  </conditionalFormatting>
  <conditionalFormatting sqref="C81:E81">
    <cfRule type="expression" dxfId="414" priority="35">
      <formula>$E$80="нет"</formula>
    </cfRule>
  </conditionalFormatting>
  <conditionalFormatting sqref="C29:F29">
    <cfRule type="expression" dxfId="413" priority="14">
      <formula>$E$24="горизонтальное"</formula>
    </cfRule>
  </conditionalFormatting>
  <conditionalFormatting sqref="C55:H63">
    <cfRule type="expression" dxfId="412" priority="9">
      <formula>$E$54="нет"</formula>
    </cfRule>
  </conditionalFormatting>
  <conditionalFormatting sqref="E26">
    <cfRule type="expression" dxfId="411" priority="28">
      <formula>$I$24="ГоризонтальноеНаземная"</formula>
    </cfRule>
  </conditionalFormatting>
  <conditionalFormatting sqref="E69">
    <cfRule type="expression" dxfId="409" priority="6">
      <formula>$E$49="нет"</formula>
    </cfRule>
  </conditionalFormatting>
  <conditionalFormatting sqref="F18:F19">
    <cfRule type="expression" dxfId="408" priority="17">
      <formula>AND($E$19&lt;&gt;"",$E$28&lt;&gt;"")</formula>
    </cfRule>
  </conditionalFormatting>
  <conditionalFormatting sqref="F27">
    <cfRule type="expression" dxfId="407" priority="15">
      <formula>$E$24="вертикальное"</formula>
    </cfRule>
  </conditionalFormatting>
  <conditionalFormatting sqref="G72:I76">
    <cfRule type="expression" dxfId="406" priority="36">
      <formula>$I$71="нет"</formula>
    </cfRule>
  </conditionalFormatting>
  <conditionalFormatting sqref="P61">
    <cfRule type="expression" dxfId="405" priority="1">
      <formula>$P$46&gt;14500</formula>
    </cfRule>
  </conditionalFormatting>
  <dataValidations count="11">
    <dataValidation type="list" allowBlank="1" showInputMessage="1" showErrorMessage="1" sqref="E78" xr:uid="{00AB0017-008E-4DCE-8E78-0023008C0095}">
      <formula1>"Приточная,Приточно-вытяжная,Приточно-вытяжная с мех. побуждением"</formula1>
    </dataValidation>
    <dataValidation type="list" allowBlank="1" showInputMessage="1" sqref="E7" xr:uid="{005A007B-0067-4240-A83C-00A600C600D9}">
      <formula1>Тип_емкости</formula1>
    </dataValidation>
    <dataValidation type="list" allowBlank="1" showInputMessage="1" showErrorMessage="1" sqref="E36 I23" xr:uid="{004100FA-0051-43AB-A2C6-00160075005B}">
      <formula1>"Хозяйственно-бытовые,Дождевые,Производственные"</formula1>
    </dataValidation>
    <dataValidation type="list" allowBlank="1" showInputMessage="1" showErrorMessage="1" sqref="C23" xr:uid="{00840057-00F6-43AB-BAAC-00DF001D00DD}">
      <formula1>"Склад,Производство"</formula1>
    </dataValidation>
    <dataValidation type="list" allowBlank="1" showInputMessage="1" sqref="I48 E48" xr:uid="{00BE0057-0022-4764-B2E8-00A700FD00BC}">
      <formula1>Материал_трубы</formula1>
    </dataValidation>
    <dataValidation type="list" allowBlank="1" showInputMessage="1" showErrorMessage="1" sqref="E20 E40 E42" xr:uid="{00DA00F5-00DA-4D7E-B4CE-0070007E0000}">
      <formula1>Диаметр</formula1>
    </dataValidation>
    <dataValidation type="list" allowBlank="1" showInputMessage="1" showErrorMessage="1" sqref="E21" xr:uid="{003A003B-001C-425D-B32E-0022000C004F}">
      <formula1>Давление</formula1>
    </dataValidation>
    <dataValidation type="list" allowBlank="1" showInputMessage="1" showErrorMessage="1" sqref="E22" xr:uid="{00CD006A-003D-4211-93B0-00E6001A003A}">
      <formula1>Жесткость</formula1>
    </dataValidation>
    <dataValidation type="list" allowBlank="1" showInputMessage="1" showErrorMessage="1" sqref="E39 E43 E54 E63 E80 E71 I71:I76 E65:E66 E27" xr:uid="{0034005C-0021-4234-8614-00CA0011003A}">
      <formula1>"Да,Нет"</formula1>
    </dataValidation>
    <dataValidation type="list" allowBlank="1" showInputMessage="1" sqref="E68:E69" xr:uid="{DB70833F-6A77-4F7F-9096-499A5E725C5F}">
      <formula1>"Да,Нет"</formula1>
    </dataValidation>
    <dataValidation type="list" allowBlank="1" showInputMessage="1" showErrorMessage="1" sqref="E69" xr:uid="{E3580466-3249-4319-970D-E9F2CCE4939E}">
      <formula1>"Нет,Задвижка клиновая с обрезиненным клином,Задвижка шиберная,Задвижка шиберная с электроприводом,Задвижка клиновая с обрезиненным клином с электроприводом,Обратный клапан"</formula1>
    </dataValidation>
  </dataValidations>
  <pageMargins left="0.7" right="0.7" top="0.75" bottom="0.75" header="0.3" footer="0.3"/>
  <pageSetup paperSize="9" scale="43"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7" id="{00D700A8-0099-4561-AD76-000B000A0023}">
            <xm:f>'\\10.0.0.31\!public\Users\Кристина\Documents\Работа\НТТ\Новый калькулятор\от Инны\тест\Продолжение теста\новый\работаем дальше\[с колодцем V1.xlsx]Содержание'!#REF!='\\10.0.0.31\!public\Users\Кристина\Documents\Работа\НТТ\Новый калькулятор\от Инны\тест\Продолжение теста\новый\работаем дальше\[с колодцем V1.xlsx]Списки'!#REF!</xm:f>
            <x14:dxf>
              <font>
                <color theme="0" tint="-4.9989318521683403E-2"/>
              </font>
            </x14:dxf>
          </x14:cfRule>
          <xm:sqref>A15:B15 F15:XFD15</xm:sqref>
        </x14:conditionalFormatting>
        <x14:conditionalFormatting xmlns:xm="http://schemas.microsoft.com/office/excel/2006/main">
          <x14:cfRule type="expression" priority="59" id="{00B500ED-005F-4637-9D90-00D300D6003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A47:L47</xm:sqref>
        </x14:conditionalFormatting>
        <x14:conditionalFormatting xmlns:xm="http://schemas.microsoft.com/office/excel/2006/main">
          <x14:cfRule type="expression" priority="53" id="{00700056-0052-469F-85A6-0051000100CB}">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C4:C5</xm:sqref>
        </x14:conditionalFormatting>
        <x14:conditionalFormatting xmlns:xm="http://schemas.microsoft.com/office/excel/2006/main">
          <x14:cfRule type="expression" priority="52" id="{00430057-0092-4320-B9D6-002C00CC00F1}">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C18</xm:sqref>
        </x14:conditionalFormatting>
        <x14:conditionalFormatting xmlns:xm="http://schemas.microsoft.com/office/excel/2006/main">
          <x14:cfRule type="expression" priority="42" id="{00D20044-0099-4207-BF62-00AC00A8005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C39</xm:sqref>
        </x14:conditionalFormatting>
        <x14:conditionalFormatting xmlns:xm="http://schemas.microsoft.com/office/excel/2006/main">
          <x14:cfRule type="expression" priority="41" id="{00D800AA-00CD-40E7-B809-00770095009B}">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C43:C46</xm:sqref>
        </x14:conditionalFormatting>
        <x14:conditionalFormatting xmlns:xm="http://schemas.microsoft.com/office/excel/2006/main">
          <x14:cfRule type="expression" priority="56" id="{000500FD-00A1-4A69-84E1-004A00D60099}">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C54</xm:sqref>
        </x14:conditionalFormatting>
        <x14:conditionalFormatting xmlns:xm="http://schemas.microsoft.com/office/excel/2006/main">
          <x14:cfRule type="expression" priority="49" id="{00180059-0084-4D7D-8E26-003F00E3007F}">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C14:D15 C16:E16</xm:sqref>
        </x14:conditionalFormatting>
        <x14:conditionalFormatting xmlns:xm="http://schemas.microsoft.com/office/excel/2006/main">
          <x14:cfRule type="expression" priority="13" id="{022BC6BB-69D9-4ABE-BF11-F464CCA1A33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C6:E13</xm:sqref>
        </x14:conditionalFormatting>
        <x14:conditionalFormatting xmlns:xm="http://schemas.microsoft.com/office/excel/2006/main">
          <x14:cfRule type="expression" priority="60" id="{003900D4-0081-4AFB-84CC-00D90062009C}">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C31:E37</xm:sqref>
        </x14:conditionalFormatting>
        <x14:conditionalFormatting xmlns:xm="http://schemas.microsoft.com/office/excel/2006/main">
          <x14:cfRule type="expression" priority="7" id="{1DFABABD-13C1-4BAF-B412-237F414BC1A1}">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C68:E69</xm:sqref>
        </x14:conditionalFormatting>
        <x14:conditionalFormatting xmlns:xm="http://schemas.microsoft.com/office/excel/2006/main">
          <x14:cfRule type="expression" priority="43" id="{00A90075-007B-4890-B124-0022000C00E0}">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C90:I93</xm:sqref>
        </x14:conditionalFormatting>
        <x14:conditionalFormatting xmlns:xm="http://schemas.microsoft.com/office/excel/2006/main">
          <x14:cfRule type="expression" priority="65" id="{00C10033-0014-4DFD-8440-00D3000F00A7}">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E39</xm:sqref>
        </x14:conditionalFormatting>
        <x14:conditionalFormatting xmlns:xm="http://schemas.microsoft.com/office/excel/2006/main">
          <x14:cfRule type="expression" priority="26" id="{00F800F0-00A9-46AD-915B-0034003200B6}">
            <xm:f>Содержание!$D$3=Списки!$BB$3</xm:f>
            <x14:dxf>
              <font>
                <color theme="0" tint="-4.9989318521683403E-2"/>
              </font>
            </x14:dxf>
          </x14:cfRule>
          <xm:sqref>E48</xm:sqref>
        </x14:conditionalFormatting>
        <x14:conditionalFormatting xmlns:xm="http://schemas.microsoft.com/office/excel/2006/main">
          <x14:cfRule type="expression" priority="57" id="{000B002B-0092-4055-A112-008100AA005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F81:L81</xm:sqref>
        </x14:conditionalFormatting>
        <x14:conditionalFormatting xmlns:xm="http://schemas.microsoft.com/office/excel/2006/main">
          <x14:cfRule type="expression" priority="47" id="{0079006A-0042-4108-A098-0052005F00C4}">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G20:H24</xm:sqref>
        </x14:conditionalFormatting>
        <x14:conditionalFormatting xmlns:xm="http://schemas.microsoft.com/office/excel/2006/main">
          <x14:cfRule type="expression" priority="39" id="{00B1003A-0036-41ED-A303-000B005B00DA}">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I20:I23</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InputMessage="1" xr:uid="{00000000-0002-0000-0500-000000000000}">
          <x14:formula1>
            <xm:f>Списки!$C$2:$C$3</xm:f>
          </x14:formula1>
          <xm:sqref>E72</xm:sqref>
        </x14:dataValidation>
        <x14:dataValidation type="list" allowBlank="1" showInputMessage="1" xr:uid="{00000000-0002-0000-0500-000001000000}">
          <x14:formula1>
            <xm:f>Списки!$D$2:$D$3</xm:f>
          </x14:formula1>
          <xm:sqref>E74</xm:sqref>
        </x14:dataValidation>
        <x14:dataValidation type="list" allowBlank="1" showInputMessage="1" xr:uid="{00000000-0002-0000-0500-000002000000}">
          <x14:formula1>
            <xm:f>Списки!$E$2:$E$4</xm:f>
          </x14:formula1>
          <xm:sqref>E75</xm:sqref>
        </x14:dataValidation>
        <x14:dataValidation type="list" allowBlank="1" showInputMessage="1" showErrorMessage="1" xr:uid="{00000000-0002-0000-0500-000003000000}">
          <x14:formula1>
            <xm:f>Списки!$F$2:$F$4</xm:f>
          </x14:formula1>
          <xm:sqref>E76</xm:sqref>
        </x14:dataValidation>
        <x14:dataValidation type="list" allowBlank="1" showInputMessage="1" showErrorMessage="1" xr:uid="{00000000-0002-0000-0500-000004000000}">
          <x14:formula1>
            <xm:f>'C:\Users\Кристина\Documents\Работа\НТТ\Новый калькулятор\от Инны\финальные варианты\[с новыми ОЛ Калькулятор емк оборуд от 09.08.21 (1).xlsx]Списки'!#REF!</xm:f>
          </x14:formula1>
          <xm:sqref>I20 E11 E44</xm:sqref>
        </x14:dataValidation>
        <x14:dataValidation type="list" allowBlank="1" showInputMessage="1" showErrorMessage="1" xr:uid="{00000000-0002-0000-0500-000005000000}">
          <x14:formula1>
            <xm:f>'C:\Users\Кристина\Documents\Работа\НТТ\Новый калькулятор\от Инны\тест\Продолжение теста\новый\работаем дальше\[Калькулятор по емкости v2.xlsx]Списки'!#REF!</xm:f>
          </x14:formula1>
          <xm:sqref>E82</xm:sqref>
        </x14:dataValidation>
        <x14:dataValidation type="list" allowBlank="1" showInputMessage="1" showErrorMessage="1" xr:uid="{00000000-0002-0000-0500-000006000000}">
          <x14:formula1>
            <xm:f>Списки!$AM$2:$AM$3</xm:f>
          </x14:formula1>
          <xm:sqref>E25</xm:sqref>
        </x14:dataValidation>
        <x14:dataValidation type="list" allowBlank="1" showInputMessage="1" showErrorMessage="1" xr:uid="{00000000-0002-0000-0500-000007000000}">
          <x14:formula1>
            <xm:f>Списки!$AK$2:$AK$3</xm:f>
          </x14:formula1>
          <xm:sqref>E24</xm:sqref>
        </x14:dataValidation>
        <x14:dataValidation type="list" allowBlank="1" showInputMessage="1" showErrorMessage="1" xr:uid="{00000000-0002-0000-0500-000009000000}">
          <x14:formula1>
            <xm:f>Списки!$BF$2:$BF$5</xm:f>
          </x14:formula1>
          <xm:sqref>E8:E10</xm:sqref>
        </x14:dataValidation>
        <x14:dataValidation type="list" allowBlank="1" showInputMessage="1" showErrorMessage="1" xr:uid="{00000000-0002-0000-0500-00000A000000}">
          <x14:formula1>
            <xm:f>Списки!$BH$2:$BH$4</xm:f>
          </x14:formula1>
          <xm:sqref>E33</xm:sqref>
        </x14:dataValidation>
        <x14:dataValidation type="list" allowBlank="1" showInputMessage="1" showErrorMessage="1" xr:uid="{00000000-0002-0000-0500-00000B000000}">
          <x14:formula1>
            <xm:f>Списки!$U$2:$U$4</xm:f>
          </x14:formula1>
          <xm:sqref>F56</xm:sqref>
        </x14:dataValidation>
        <x14:dataValidation type="list" showInputMessage="1" showErrorMessage="1" xr:uid="{D792BA1E-EE9F-400D-9CD8-1563601FD38E}">
          <x14:formula1>
            <xm:f>Списки!$H$2:$H$5</xm:f>
          </x14:formula1>
          <xm:sqref>E67</xm:sqref>
        </x14:dataValidation>
        <x14:dataValidation type="list" errorStyle="warning" allowBlank="1" showInputMessage="1" showErrorMessage="1" xr:uid="{CC8F325E-BFBF-4A0E-8113-6C7B6FC5EAC7}">
          <x14:formula1>
            <xm:f>Списки!$Y$2:$Y$29</xm:f>
          </x14:formula1>
          <xm:sqref>E49 I49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2">
    <outlinePr summaryBelow="0"/>
  </sheetPr>
  <dimension ref="A1:Q309"/>
  <sheetViews>
    <sheetView showGridLines="0" tabSelected="1" topLeftCell="A281" zoomScaleNormal="100" workbookViewId="0">
      <selection activeCell="K285" sqref="K285"/>
    </sheetView>
  </sheetViews>
  <sheetFormatPr defaultColWidth="8.7109375" defaultRowHeight="14.45" customHeight="1" outlineLevelRow="1"/>
  <cols>
    <col min="1" max="1" width="1.28515625" style="91" customWidth="1"/>
    <col min="2" max="2" width="3.7109375" style="91" customWidth="1"/>
    <col min="3" max="3" width="29.7109375" style="91" customWidth="1"/>
    <col min="4" max="4" width="54.85546875" style="91" customWidth="1"/>
    <col min="5" max="5" width="27.140625" style="91" customWidth="1"/>
    <col min="6" max="6" width="8.42578125" style="91" customWidth="1"/>
    <col min="7" max="7" width="14.7109375" style="91" customWidth="1"/>
    <col min="8" max="8" width="14.42578125" style="91" customWidth="1"/>
    <col min="9" max="9" width="15.42578125" style="91" customWidth="1"/>
    <col min="10" max="10" width="14.7109375" style="91" customWidth="1"/>
    <col min="11" max="11" width="15.140625" style="91" bestFit="1" customWidth="1"/>
    <col min="12" max="12" width="12.7109375" style="91" customWidth="1"/>
    <col min="13" max="13" width="19.85546875" style="91" customWidth="1"/>
    <col min="14" max="14" width="21.140625" style="91" customWidth="1"/>
    <col min="15" max="15" width="49.140625" style="91" customWidth="1"/>
    <col min="16" max="16" width="35.85546875" style="91" customWidth="1"/>
    <col min="17" max="17" width="30" style="91" customWidth="1"/>
    <col min="18" max="18" width="21.140625" style="91" customWidth="1"/>
    <col min="19" max="16384" width="8.7109375" style="91"/>
  </cols>
  <sheetData>
    <row r="1" spans="2:17" ht="52.5" customHeight="1">
      <c r="B1" s="93"/>
      <c r="C1" s="94" t="s">
        <v>146</v>
      </c>
      <c r="D1" s="95"/>
      <c r="E1" s="96"/>
      <c r="F1" s="97"/>
      <c r="G1" s="97"/>
      <c r="H1" s="97"/>
      <c r="I1" s="97"/>
      <c r="J1" s="97"/>
      <c r="K1" s="97"/>
      <c r="L1" s="97"/>
      <c r="M1" s="100" t="s">
        <v>1</v>
      </c>
      <c r="N1" s="92"/>
      <c r="O1" s="101"/>
      <c r="P1" s="102"/>
      <c r="Q1" s="102"/>
    </row>
    <row r="2" spans="2:17" ht="6.6" customHeight="1">
      <c r="B2" s="103"/>
      <c r="C2" s="103"/>
      <c r="D2" s="104"/>
      <c r="E2" s="104"/>
      <c r="F2" s="105"/>
      <c r="G2" s="105"/>
      <c r="H2" s="106"/>
      <c r="I2" s="104"/>
      <c r="J2" s="105"/>
      <c r="K2" s="107"/>
      <c r="L2" s="104"/>
      <c r="M2" s="104"/>
      <c r="N2" s="108"/>
      <c r="O2" s="109"/>
      <c r="P2" s="110"/>
      <c r="Q2" s="110"/>
    </row>
    <row r="3" spans="2:17" ht="64.5" customHeight="1">
      <c r="B3" s="111"/>
      <c r="C3" s="112" t="s">
        <v>302</v>
      </c>
      <c r="D3" s="113" t="s">
        <v>550</v>
      </c>
      <c r="E3" s="114"/>
      <c r="F3" s="115"/>
      <c r="G3" s="116" t="s">
        <v>304</v>
      </c>
      <c r="H3" s="116" t="s">
        <v>551</v>
      </c>
      <c r="I3" s="116" t="str">
        <f>IF(ОЛ_ЕМКОСТИ!E24="горизонтальное",IF(ОЛ_ЕМКОСТИ!E39="да","Длина трубы для емкости при горизонтальном расположении с шахтой обслуживания, мм","Длина трубы для емкости при горизонтальном расположении без шахты обслуживания, мм"),IF(ОЛ_ЕМКОСТИ!E39="да","Длина трубы для емкости при вертикальном расположении с шахтой обслуживания, мм","Длина трубы для емкости при вертикальном расположении без шахты обслуживания, мм"))</f>
        <v>Длина трубы для емкости при горизонтальном расположении с шахтой обслуживания, мм</v>
      </c>
      <c r="J3" s="116" t="s">
        <v>527</v>
      </c>
      <c r="K3" s="116" t="s">
        <v>552</v>
      </c>
      <c r="L3" s="116" t="s">
        <v>553</v>
      </c>
      <c r="M3" s="116" t="s">
        <v>554</v>
      </c>
      <c r="N3" s="118"/>
      <c r="O3" s="118"/>
      <c r="P3" s="119"/>
      <c r="Q3" s="119"/>
    </row>
    <row r="4" spans="2:17" ht="15" hidden="1">
      <c r="B4" s="120"/>
      <c r="C4" s="121"/>
      <c r="G4" s="122"/>
      <c r="H4" s="634">
        <f>IF(H5&lt;3000,3000,IF(AND(H5&gt;7000),12000,CEILING(H5,500)))</f>
        <v>12000</v>
      </c>
      <c r="I4" s="635">
        <f>IF(I5&lt;3000,3000,IF(AND(I5&gt;7000),12000,CEILING(I5,500)))</f>
        <v>12000</v>
      </c>
      <c r="J4" s="636"/>
      <c r="K4" s="125"/>
      <c r="L4" s="636"/>
      <c r="M4" s="122"/>
      <c r="O4" s="118"/>
      <c r="P4" s="119"/>
      <c r="Q4" s="119"/>
    </row>
    <row r="5" spans="2:17" ht="41.25" customHeight="1">
      <c r="B5" s="126"/>
      <c r="C5" s="127"/>
      <c r="D5" s="128" t="str">
        <f>"Заявка № "&amp;ОЛ_ЕМКОСТИ!E6&amp;" Заказчик: "&amp;ОЛ_ЕМКОСТИ!E13&amp;" "&amp;ОЛ_ЕМКОСТИ!E15&amp;" "&amp;ОЛ_ЕМКОСТИ!E7&amp;" емкость "&amp;G5&amp;"х"&amp;H5&amp;"мм"</f>
        <v>Заявка № ОЛ/ Заказчик:    емкость 3000х13400мм</v>
      </c>
      <c r="E5" s="129"/>
      <c r="F5" s="129"/>
      <c r="G5" s="130">
        <f>ОЛ_ЕМКОСТИ!E20</f>
        <v>3000</v>
      </c>
      <c r="H5" s="131">
        <f>INDEX('для шапки'!$C$2:$K$11,MATCH(ОЛ_ЕМКОСТИ!$E$24&amp;ОЛ_ЕМКОСТИ!$E$25&amp;ОЛ_ЕМКОСТИ!$E$39,'для шапки'!$B$2:$B$11,),MATCH('Калькулятор ЕМК'!H3,'для шапки'!$C$1:$K$1,))</f>
        <v>13400</v>
      </c>
      <c r="I5" s="131">
        <f>INDEX('для шапки'!$C$2:$K$11,MATCH(ОЛ_ЕМКОСТИ!$E$24&amp;ОЛ_ЕМКОСТИ!$E$25&amp;ОЛ_ЕМКОСТИ!$E$39,'для шапки'!$B$2:$B$11,),MATCH('Калькулятор ЕМК'!I3,'для шапки'!$C$1:$K$1,))</f>
        <v>13400</v>
      </c>
      <c r="J5" s="637">
        <f>INDEX('для шапки'!$C$2:$K$11,MATCH(ОЛ_ЕМКОСТИ!$E$24&amp;ОЛ_ЕМКОСТИ!$E$25&amp;ОЛ_ЕМКОСТИ!$E$39,'для шапки'!$B$2:$B$11,),MATCH('Калькулятор ЕМК'!J3,'для шапки'!$C$1:$K$1,))</f>
        <v>300</v>
      </c>
      <c r="K5" s="131">
        <f>INDEX('для шапки'!$C$2:$K$11,MATCH(ОЛ_ЕМКОСТИ!$E$24&amp;ОЛ_ЕМКОСТИ!$E$25&amp;ОЛ_ЕМКОСТИ!$E$39,'для шапки'!$B$2:$B$11,),MATCH('Калькулятор ЕМК'!K3,'для шапки'!$C$1:$K$1,))</f>
        <v>100</v>
      </c>
      <c r="L5" s="638">
        <f>(PI()*((G5/1000)^3))/15</f>
        <v>5.6548667764616276</v>
      </c>
      <c r="M5" s="639">
        <v>1</v>
      </c>
      <c r="O5" s="118"/>
      <c r="P5" s="119"/>
      <c r="Q5" s="119"/>
    </row>
    <row r="6" spans="2:17" ht="30.95" customHeight="1">
      <c r="B6" s="134"/>
      <c r="C6" s="135" t="s">
        <v>85</v>
      </c>
      <c r="D6" s="116" t="s">
        <v>311</v>
      </c>
      <c r="E6" s="116" t="s">
        <v>312</v>
      </c>
      <c r="F6" s="136" t="s">
        <v>313</v>
      </c>
      <c r="G6" s="137"/>
      <c r="H6" s="136" t="s">
        <v>314</v>
      </c>
      <c r="I6" s="1313"/>
      <c r="J6" s="136"/>
      <c r="K6" s="1313" t="s">
        <v>555</v>
      </c>
      <c r="L6" s="136" t="s">
        <v>2196</v>
      </c>
      <c r="M6" s="137" t="s">
        <v>532</v>
      </c>
      <c r="N6" s="117" t="s">
        <v>556</v>
      </c>
      <c r="O6" s="118"/>
      <c r="P6" s="119"/>
      <c r="Q6" s="138"/>
    </row>
    <row r="7" spans="2:17" ht="17.100000000000001" hidden="1" customHeight="1">
      <c r="B7" s="134"/>
      <c r="C7" s="139"/>
      <c r="D7" s="122"/>
      <c r="E7" s="122"/>
      <c r="F7" s="125">
        <f>IF(AND('Калькулятор ЕМК'!G8&gt;0.6,OR(CONCATENATE('Калькулятор ЕМК'!G5,'Калькулятор ЕМК'!H8)=CONCATENATE('Вес трубы, ПЭ трубы'!B51,'Вес трубы, ПЭ трубы'!C51),CONCATENATE('Калькулятор ЕМК'!G5,'Калькулятор ЕМК'!H8)=CONCATENATE('Вес трубы, ПЭ трубы'!B55,'Вес трубы, ПЭ трубы'!C55),CONCATENATE('Калькулятор ЕМК'!G5,'Калькулятор ЕМК'!H8)=CONCATENATE('Вес трубы, ПЭ трубы'!B57,'Вес трубы, ПЭ трубы'!C57))),1.6,IF(AND(G5=1300,OR(H8=5000,H8=10000),'Калькулятор ЕМК'!G8&lt;=0.4),0.4,IF(G8&lt;=0.6,0.6,1)))</f>
        <v>0.6</v>
      </c>
      <c r="G7" s="126">
        <f>IF(G8&lt;=0.6,0.6,1)</f>
        <v>0.6</v>
      </c>
      <c r="H7" s="125"/>
      <c r="I7" s="126"/>
      <c r="J7" s="140" t="s">
        <v>318</v>
      </c>
      <c r="K7" s="141" t="s">
        <v>319</v>
      </c>
      <c r="L7" s="640" t="s">
        <v>318</v>
      </c>
      <c r="M7" s="641">
        <f>IF(M8*1000&lt;3000,3000,IF(AND(M8*1000&gt;7000,M8*1000&lt;12000),12000,CEILING(M8*1000,500)))</f>
        <v>2000000</v>
      </c>
      <c r="O7" s="642"/>
      <c r="P7" s="119"/>
      <c r="Q7" s="138"/>
    </row>
    <row r="8" spans="2:17" ht="24" customHeight="1">
      <c r="B8" s="134"/>
      <c r="C8" s="142" t="s">
        <v>126</v>
      </c>
      <c r="D8" s="143" t="str">
        <f>IF(ОЛ_ЕМКОСТИ!$E$7=Списки!$AO$3,"СК/ВЭС","СК/НПС")</f>
        <v>СК/НПС</v>
      </c>
      <c r="E8" s="143" t="s">
        <v>128</v>
      </c>
      <c r="F8" s="143"/>
      <c r="G8" s="144">
        <f>ОЛ_ЕМКОСТИ!E21</f>
        <v>0.1</v>
      </c>
      <c r="H8" s="130">
        <f>ОЛ_ЕМКОСТИ!E22</f>
        <v>10000</v>
      </c>
      <c r="I8" s="986"/>
      <c r="J8" s="1312"/>
      <c r="K8" s="643">
        <f>IF(ОЛ_ЕМКОСТИ!E39="нет","0",ОЛ_ЕМКОСТИ!E40)</f>
        <v>1200</v>
      </c>
      <c r="L8" s="1331">
        <v>2</v>
      </c>
      <c r="M8" s="637">
        <f>IF(ОЛ_ЕМКОСТИ!E39="нет","0",ОЛ_ЕМКОСТИ!E41)</f>
        <v>2000</v>
      </c>
      <c r="N8" s="644">
        <v>1</v>
      </c>
      <c r="O8" s="645"/>
      <c r="P8" s="119"/>
      <c r="Q8" s="138"/>
    </row>
    <row r="9" spans="2:17" ht="14.1" customHeight="1">
      <c r="B9" s="146" t="s">
        <v>57</v>
      </c>
      <c r="C9" s="147" t="s">
        <v>320</v>
      </c>
      <c r="D9" s="148" t="s">
        <v>321</v>
      </c>
      <c r="E9" s="149"/>
      <c r="F9" s="150" t="s">
        <v>322</v>
      </c>
      <c r="G9" s="146" t="s">
        <v>323</v>
      </c>
      <c r="H9" s="148" t="s">
        <v>324</v>
      </c>
      <c r="I9" s="149"/>
      <c r="J9" s="146" t="s">
        <v>325</v>
      </c>
      <c r="K9" s="146" t="s">
        <v>88</v>
      </c>
      <c r="L9" s="148" t="s">
        <v>326</v>
      </c>
      <c r="M9" s="149"/>
      <c r="N9" s="147" t="s">
        <v>327</v>
      </c>
      <c r="O9" s="151" t="s">
        <v>328</v>
      </c>
      <c r="P9" s="151" t="s">
        <v>329</v>
      </c>
      <c r="Q9" s="151" t="s">
        <v>330</v>
      </c>
    </row>
    <row r="10" spans="2:17" ht="8.4499999999999993" customHeight="1">
      <c r="B10" s="152"/>
      <c r="C10" s="153"/>
      <c r="D10" s="154"/>
      <c r="E10" s="154"/>
      <c r="F10" s="155"/>
      <c r="G10" s="155"/>
      <c r="H10" s="156"/>
      <c r="I10" s="156"/>
      <c r="J10" s="155"/>
      <c r="K10" s="155"/>
      <c r="L10" s="156"/>
      <c r="M10" s="156"/>
      <c r="N10" s="155"/>
      <c r="O10" s="157"/>
      <c r="P10" s="158"/>
      <c r="Q10" s="158"/>
    </row>
    <row r="11" spans="2:17" ht="21.75" customHeight="1">
      <c r="B11" s="159">
        <v>1</v>
      </c>
      <c r="C11" s="161"/>
      <c r="D11" s="162" t="str">
        <f>CONCATENATE("Корпус емкости"," ",G5,"х",H5,"мм"," ",", в т.ч.:")</f>
        <v>Корпус емкости 3000х13400мм , в т.ч.:</v>
      </c>
      <c r="E11" s="162"/>
      <c r="F11" s="163"/>
      <c r="G11" s="164"/>
      <c r="H11" s="163"/>
      <c r="I11" s="165"/>
      <c r="J11" s="165"/>
      <c r="K11" s="166"/>
      <c r="L11" s="165"/>
      <c r="M11" s="165"/>
      <c r="N11" s="165"/>
      <c r="O11" s="646"/>
      <c r="P11" s="168"/>
      <c r="Q11" s="168"/>
    </row>
    <row r="12" spans="2:17" ht="15">
      <c r="B12" s="169" t="s">
        <v>331</v>
      </c>
      <c r="C12" s="290"/>
      <c r="D12" s="171" t="s">
        <v>557</v>
      </c>
      <c r="E12" s="171"/>
      <c r="F12" s="172"/>
      <c r="G12" s="173"/>
      <c r="H12" s="172"/>
      <c r="I12" s="174"/>
      <c r="J12" s="174"/>
      <c r="K12" s="175"/>
      <c r="L12" s="174"/>
      <c r="M12" s="174"/>
      <c r="N12" s="174"/>
      <c r="O12" s="167"/>
      <c r="P12" s="168"/>
      <c r="Q12" s="168"/>
    </row>
    <row r="13" spans="2:17" ht="18" customHeight="1">
      <c r="B13" s="179"/>
      <c r="C13" s="180" t="s">
        <v>72</v>
      </c>
      <c r="D13" s="160" t="str">
        <f>IF(C8="","",CONCATENATE(C8," ",D8,"-",E8," ",G5,"-",G8,"-",H8))</f>
        <v>Труба СК/НПС-К 3000-0,1-10000</v>
      </c>
      <c r="E13" s="181" t="s">
        <v>134</v>
      </c>
      <c r="F13" s="647" t="str">
        <f>IF(E13=Списки!AI3,"Справочно","")</f>
        <v/>
      </c>
      <c r="G13" s="648">
        <f>IFERROR(I13*INDEX('Вес трубы, ПЭ трубы'!E:G,MATCH(CONCATENATE(G5&amp;";"&amp;F7&amp;";"&amp;H8),'Вес трубы, ПЭ трубы'!E:E,),3),"")</f>
        <v>14455.980000000001</v>
      </c>
      <c r="H13" s="184"/>
      <c r="I13" s="185">
        <f>IF(C24="Старый способ",I5/1000*M5,((I5/1000+1.5)*M5))</f>
        <v>14.9</v>
      </c>
      <c r="J13" s="186">
        <f>IF(H13="",I13,H13)</f>
        <v>14.9</v>
      </c>
      <c r="K13" s="178" t="s">
        <v>163</v>
      </c>
      <c r="L13" s="1014">
        <v>1</v>
      </c>
      <c r="M13" s="188" t="str">
        <f>IFERROR(IF(L13&lt;&gt;"","",VLOOKUP(C13&amp;D13&amp;K13,НН!A:J,10,)),"")</f>
        <v/>
      </c>
      <c r="N13" s="189">
        <f t="shared" ref="N13:N14" si="0">IFERROR(IF(L13="",M13*J13,J13*L13),"")</f>
        <v>14.9</v>
      </c>
      <c r="O13" s="688"/>
      <c r="P13" s="298"/>
      <c r="Q13" s="168"/>
    </row>
    <row r="14" spans="2:17" ht="15" collapsed="1">
      <c r="B14" s="179"/>
      <c r="C14" s="180" t="s">
        <v>72</v>
      </c>
      <c r="D14" s="180" t="s">
        <v>334</v>
      </c>
      <c r="E14" s="181"/>
      <c r="F14" s="649" t="str">
        <f t="array" ref="F14">IF(C14="","",IF(OR(C14=Списки!$AG$15:$AG$17),"нет","да"))</f>
        <v>нет</v>
      </c>
      <c r="G14" s="648"/>
      <c r="H14" s="184"/>
      <c r="I14" s="185">
        <f>$G$5/1300*J13</f>
        <v>34.38461538461538</v>
      </c>
      <c r="J14" s="194">
        <f>ROUNDUP(IF($E$13=Списки!$AI$2,IF(H14="",I14,H14),0),1)</f>
        <v>34.4</v>
      </c>
      <c r="K14" s="178" t="s">
        <v>212</v>
      </c>
      <c r="L14" s="505"/>
      <c r="M14" s="188">
        <f>IFERROR(IF(L14&lt;&gt;"","",VLOOKUP(C14&amp;D14&amp;K14,НН!A:J,10,)),"")</f>
        <v>1207.8</v>
      </c>
      <c r="N14" s="189">
        <f t="shared" si="0"/>
        <v>41548.32</v>
      </c>
      <c r="O14" s="167"/>
      <c r="P14" s="353"/>
      <c r="Q14" s="168"/>
    </row>
    <row r="15" spans="2:17" ht="13.9" hidden="1" customHeight="1" outlineLevel="1">
      <c r="B15" s="179"/>
      <c r="C15" s="180" t="s">
        <v>72</v>
      </c>
      <c r="D15" s="445" t="str">
        <f>IF(C8="","",CONCATENATE(C8," ",D8,"-",E8," ",G5,"-",G8,"-",H8))</f>
        <v>Труба СК/НПС-К 3000-0,1-10000</v>
      </c>
      <c r="E15" s="199"/>
      <c r="F15" s="191" t="s">
        <v>209</v>
      </c>
      <c r="G15" s="183" t="str">
        <f>IFERROR(I15*INDEX('Вес трубы, ПЭ трубы'!E:G,MATCH(CONCATENATE(#REF!&amp;";"&amp;F7&amp;";"&amp;#REF!),'Вес трубы, ПЭ трубы'!E:E,),3),"")</f>
        <v/>
      </c>
      <c r="H15" s="435">
        <v>4.34</v>
      </c>
      <c r="I15" s="185"/>
      <c r="J15" s="186">
        <f>IF(ОЛ_ЕМКОСТИ!$E$24=Списки!$AK$2,0,IF($E$13=Списки!$AI$2,0,IF(H15="",I15,H15)))</f>
        <v>0</v>
      </c>
      <c r="K15" s="178" t="s">
        <v>163</v>
      </c>
      <c r="L15" s="226"/>
      <c r="M15" s="188" t="str">
        <f>IFERROR(IF(L15&lt;&gt;"","",VLOOKUP(C15&amp;D15&amp;K15,НН!A:J,10,)),"")</f>
        <v/>
      </c>
      <c r="N15" s="202">
        <f>IFERROR(IF(L15="",SUM(#REF!),J15*L15),0)</f>
        <v>0</v>
      </c>
      <c r="O15" s="190"/>
      <c r="P15" s="168"/>
      <c r="Q15" s="168"/>
    </row>
    <row r="16" spans="2:17" ht="13.9" hidden="1" customHeight="1" outlineLevel="1">
      <c r="B16" s="179"/>
      <c r="C16" s="180" t="s">
        <v>72</v>
      </c>
      <c r="D16" s="445" t="s">
        <v>334</v>
      </c>
      <c r="E16" s="199"/>
      <c r="F16" s="191" t="str">
        <f t="array" ref="F16">IF(C16="","",IF(OR(C16=Списки!$AG$15:$AG$17),"нет","да"))</f>
        <v>нет</v>
      </c>
      <c r="G16" s="183"/>
      <c r="H16" s="193"/>
      <c r="I16" s="185">
        <f>$G$5/1300*J15</f>
        <v>0</v>
      </c>
      <c r="J16" s="194">
        <f>ROUNDUP(IF(H16="",I16,H16),1)</f>
        <v>0</v>
      </c>
      <c r="K16" s="178" t="s">
        <v>212</v>
      </c>
      <c r="L16" s="226"/>
      <c r="M16" s="188">
        <f>IFERROR(IF(L16&lt;&gt;"","",VLOOKUP(C16&amp;D16&amp;K16,НН!A:J,10,)),"")</f>
        <v>1207.8</v>
      </c>
      <c r="N16" s="202">
        <f>IFERROR(IF(L16="",M16*J16,J16*L16),"")</f>
        <v>0</v>
      </c>
      <c r="O16" s="190"/>
      <c r="P16" s="168"/>
      <c r="Q16" s="168"/>
    </row>
    <row r="17" spans="2:16" ht="13.9" hidden="1" customHeight="1" outlineLevel="1">
      <c r="B17" s="179"/>
      <c r="C17" s="180" t="s">
        <v>72</v>
      </c>
      <c r="D17" s="445" t="str">
        <f>IF(C8="","",CONCATENATE(C8," ",D8,"-",E8," ",G5,"-",G8,"-",H8))</f>
        <v>Труба СК/НПС-К 3000-0,1-10000</v>
      </c>
      <c r="E17" s="199"/>
      <c r="F17" s="191" t="s">
        <v>209</v>
      </c>
      <c r="G17" s="183"/>
      <c r="H17" s="435">
        <v>4</v>
      </c>
      <c r="I17" s="185"/>
      <c r="J17" s="186">
        <f>IF(ОЛ_ЕМКОСТИ!$E$24=Списки!$AK$2,0,IF($E$13=Списки!$AI$2,0,IF(H17="",I17,H17)))</f>
        <v>0</v>
      </c>
      <c r="K17" s="178" t="s">
        <v>163</v>
      </c>
      <c r="L17" s="226"/>
      <c r="M17" s="188" t="str">
        <f>IFERROR(IF(L17&lt;&gt;"","",VLOOKUP(C17&amp;D17&amp;K17,НН!A:J,10,)),"")</f>
        <v/>
      </c>
      <c r="N17" s="202">
        <f>IFERROR(IF(L17="",SUM(#REF!),J17*L17),0)</f>
        <v>0</v>
      </c>
      <c r="O17" s="167"/>
      <c r="P17" s="168"/>
    </row>
    <row r="18" spans="2:16" ht="13.9" hidden="1" customHeight="1" outlineLevel="1">
      <c r="B18" s="179"/>
      <c r="C18" s="180" t="s">
        <v>72</v>
      </c>
      <c r="D18" s="445" t="s">
        <v>334</v>
      </c>
      <c r="E18" s="199"/>
      <c r="F18" s="191" t="str">
        <f t="array" ref="F18">IF(C18="","",IF(OR(C18=Списки!$AG$15:$AG$17),"нет","да"))</f>
        <v>нет</v>
      </c>
      <c r="G18" s="183"/>
      <c r="H18" s="193"/>
      <c r="I18" s="185">
        <f>$G$5/1300*J17</f>
        <v>0</v>
      </c>
      <c r="J18" s="194">
        <f>ROUNDUP(IF(H18="",I18,H18),1)</f>
        <v>0</v>
      </c>
      <c r="K18" s="178" t="s">
        <v>212</v>
      </c>
      <c r="L18" s="226"/>
      <c r="M18" s="188">
        <f>IFERROR(IF(L18&lt;&gt;"","",VLOOKUP(C18&amp;D18&amp;K18,НН!A:J,10,)),"")</f>
        <v>1207.8</v>
      </c>
      <c r="N18" s="202">
        <f>IFERROR(IF(L18="",M18*J18,J18*L18),"")</f>
        <v>0</v>
      </c>
      <c r="O18" s="167"/>
      <c r="P18" s="168"/>
    </row>
    <row r="19" spans="2:16" ht="13.9" hidden="1" customHeight="1" outlineLevel="1">
      <c r="B19" s="179"/>
      <c r="C19" s="180" t="s">
        <v>72</v>
      </c>
      <c r="D19" s="445" t="str">
        <f>IF(C8="","",CONCATENATE("Муфта-1 ",D8,"-",E8," ",G5,"-",1))</f>
        <v>Муфта-1 СК/НПС-К 3000-1</v>
      </c>
      <c r="E19" s="199"/>
      <c r="F19" s="191" t="s">
        <v>209</v>
      </c>
      <c r="G19" s="183"/>
      <c r="H19" s="650">
        <v>1</v>
      </c>
      <c r="I19" s="185"/>
      <c r="J19" s="186">
        <f>IF(ОЛ_ЕМКОСТИ!$E$24=Списки!$AK$2,0,IF($E$13=Списки!$AI$2,0,IF(H19="",I19,H19)))</f>
        <v>0</v>
      </c>
      <c r="K19" s="178" t="s">
        <v>129</v>
      </c>
      <c r="L19" s="226"/>
      <c r="M19" s="188" t="str">
        <f>IFERROR(IF(L19&lt;&gt;"","",VLOOKUP(C19&amp;D19&amp;K19,НН!A:J,10,)),"")</f>
        <v/>
      </c>
      <c r="N19" s="202">
        <f>IFERROR(IF(L19="",M19*J19,J19*L19),0)</f>
        <v>0</v>
      </c>
      <c r="O19" s="167"/>
      <c r="P19" s="168"/>
    </row>
    <row r="20" spans="2:16" ht="13.9" hidden="1" customHeight="1" outlineLevel="1">
      <c r="B20" s="957"/>
      <c r="C20" s="180" t="s">
        <v>72</v>
      </c>
      <c r="D20" s="180" t="s">
        <v>2197</v>
      </c>
      <c r="E20" s="199"/>
      <c r="F20" s="191" t="s">
        <v>209</v>
      </c>
      <c r="G20" s="183"/>
      <c r="H20" s="650"/>
      <c r="I20" s="185"/>
      <c r="J20" s="186">
        <f>IF(ОЛ_ЕМКОСТИ!$E$24=Списки!$AK$2,0,IF($E$13=Списки!$AI$2,0,IF(H20="",I20,H20)))</f>
        <v>0</v>
      </c>
      <c r="K20" s="178" t="s">
        <v>193</v>
      </c>
      <c r="L20" s="226"/>
      <c r="M20" s="188" t="str">
        <f>IFERROR(IF(L20&lt;&gt;"","",VLOOKUP(C20&amp;D20&amp;K20,НН!A:J,10,)),"")</f>
        <v/>
      </c>
      <c r="N20" s="202">
        <f>IFERROR(IF(L20="",M20*J20,J20*L20),0)</f>
        <v>0</v>
      </c>
      <c r="O20" s="167"/>
      <c r="P20" s="168"/>
    </row>
    <row r="21" spans="2:16" ht="13.9" hidden="1" customHeight="1" outlineLevel="1">
      <c r="B21" s="957"/>
      <c r="C21" s="180" t="s">
        <v>238</v>
      </c>
      <c r="D21" s="180" t="s">
        <v>238</v>
      </c>
      <c r="E21" s="199"/>
      <c r="F21" s="191" t="s">
        <v>209</v>
      </c>
      <c r="G21" s="183"/>
      <c r="H21" s="650">
        <v>0.56000000000000005</v>
      </c>
      <c r="I21" s="185"/>
      <c r="J21" s="186">
        <f>IF(ОЛ_ЕМКОСТИ!$E$24=Списки!$AK$2,0,IF($E$13=Списки!$AI$2,0,IF(H21="",I21,H21)))</f>
        <v>0</v>
      </c>
      <c r="K21" s="178" t="s">
        <v>212</v>
      </c>
      <c r="L21" s="226"/>
      <c r="M21" s="188">
        <f>IFERROR(IF(L21&lt;&gt;"","",VLOOKUP(C21&amp;D21&amp;K21,НН!A:J,10,)),"")</f>
        <v>1207.8</v>
      </c>
      <c r="N21" s="202">
        <f>IFERROR(IF(L21="",M21*J21,J21*L21),0)</f>
        <v>0</v>
      </c>
      <c r="O21" s="167"/>
      <c r="P21" s="168"/>
    </row>
    <row r="22" spans="2:16" ht="15">
      <c r="B22" s="179"/>
      <c r="C22" s="241"/>
      <c r="D22" s="651"/>
      <c r="E22" s="652"/>
      <c r="F22" s="653"/>
      <c r="G22" s="654" t="s">
        <v>558</v>
      </c>
      <c r="H22" s="655">
        <v>6</v>
      </c>
      <c r="I22" s="656"/>
      <c r="J22" s="245"/>
      <c r="K22" s="246" t="s">
        <v>163</v>
      </c>
      <c r="L22" s="657"/>
      <c r="M22" s="658"/>
      <c r="N22" s="659"/>
      <c r="O22" s="167"/>
      <c r="P22" s="168"/>
    </row>
    <row r="23" spans="2:16" ht="24" customHeight="1">
      <c r="B23" s="179"/>
      <c r="C23" s="241" t="s">
        <v>72</v>
      </c>
      <c r="D23" s="241" t="str">
        <f>"Муфта соединительная Муфта-1 "&amp;G5&amp;"-1"</f>
        <v>Муфта соединительная Муфта-1 3000-1</v>
      </c>
      <c r="E23" s="1004"/>
      <c r="F23" s="661" t="str">
        <f t="array" ref="F23">IF(C23="","",IF(OR(C23=Списки!$AG$15:$AG$17),"нет","да"))</f>
        <v>нет</v>
      </c>
      <c r="G23" s="1005"/>
      <c r="H23" s="1006"/>
      <c r="I23" s="296">
        <f>ROUNDDOWN((I5/1000-1.5)/H22,0)</f>
        <v>1</v>
      </c>
      <c r="J23" s="664">
        <f>IF(ОЛ_ЕМКОСТИ!$E$24=Списки!AK3,0,IF(H23="",I23,H23)*M5)</f>
        <v>1</v>
      </c>
      <c r="K23" s="246" t="s">
        <v>129</v>
      </c>
      <c r="L23" s="1014">
        <v>1</v>
      </c>
      <c r="M23" s="247" t="str">
        <f>IFERROR(IF(L23&lt;&gt;"","",VLOOKUP(C23&amp;D23&amp;K23,НН!A:J,10,)),"")</f>
        <v/>
      </c>
      <c r="N23" s="237">
        <f t="shared" ref="N23:N86" si="1">IFERROR(IF(L23="",M23*J23,J23*L23),"")</f>
        <v>1</v>
      </c>
      <c r="O23" s="688"/>
      <c r="P23" s="688"/>
    </row>
    <row r="24" spans="2:16" ht="39" customHeight="1">
      <c r="B24" s="179"/>
      <c r="C24" s="665" t="s">
        <v>2129</v>
      </c>
      <c r="D24" s="241"/>
      <c r="E24" s="1306" t="s">
        <v>2194</v>
      </c>
      <c r="F24" s="1377"/>
      <c r="G24" s="1378"/>
      <c r="H24" s="1378"/>
      <c r="I24" s="1378"/>
      <c r="J24" s="1378"/>
      <c r="K24" s="1378"/>
      <c r="L24" s="1378"/>
      <c r="M24" s="1378"/>
      <c r="N24" s="1379"/>
      <c r="O24" s="167"/>
      <c r="P24" s="167"/>
    </row>
    <row r="25" spans="2:16" ht="23.25" customHeight="1">
      <c r="B25" s="179"/>
      <c r="C25" s="180" t="s">
        <v>72</v>
      </c>
      <c r="D25" s="241" t="str">
        <f>IF(C24="новый способ","Ламинация днища (косые и центральный стыки)",IF(ОЛ_ЕМКОСТИ!$E$24="горизонтальное","Механическая формовка эллиптических днищ",IF($C$72="да","Механическое формованное дно", "Механическая формовка плоского днища")))</f>
        <v>Ламинация днища (косые и центральный стыки)</v>
      </c>
      <c r="E25" s="660"/>
      <c r="F25" s="661" t="str">
        <f t="array" ref="F25">IF(C25="","",IF(OR(C25=Списки!$AG$15:$AG$17),"нет","да"))</f>
        <v>нет</v>
      </c>
      <c r="G25" s="662"/>
      <c r="H25" s="663"/>
      <c r="I25" s="1305">
        <f>((VLOOKUP(G5,'Для расчетов'!J36:S143,9,0))/0.707+(VLOOKUP(G5,'Для расчетов'!J36:S143,9,0))/2)*2</f>
        <v>428.83168316831683</v>
      </c>
      <c r="J25" s="664">
        <f>IF(H25="",I25,H25)*M5</f>
        <v>428.83168316831683</v>
      </c>
      <c r="K25" s="246" t="s">
        <v>193</v>
      </c>
      <c r="L25" s="997"/>
      <c r="M25" s="247">
        <f>IFERROR(IF(L25&lt;&gt;"","",VLOOKUP(C25&amp;D25&amp;K25,НН!A:J,10,)),"")</f>
        <v>214.4</v>
      </c>
      <c r="N25" s="237">
        <f t="shared" si="1"/>
        <v>91941.512871287137</v>
      </c>
      <c r="O25" s="167"/>
      <c r="P25" s="167"/>
    </row>
    <row r="26" spans="2:16" ht="15">
      <c r="B26" s="179"/>
      <c r="C26" s="180" t="s">
        <v>238</v>
      </c>
      <c r="D26" s="666" t="s">
        <v>238</v>
      </c>
      <c r="E26" s="667"/>
      <c r="F26" s="661" t="str">
        <f t="array" ref="F26">IF(C26="","",IF(OR(C26=Списки!$AG$15:$AG$17),"нет","да"))</f>
        <v>нет</v>
      </c>
      <c r="G26" s="662"/>
      <c r="H26" s="668"/>
      <c r="I26" s="272">
        <f>IF(C24="старый способо",IF(COUNTIF(D25,"*мех*")=1,0.28,IF(COUNTIF(D25,"*ламин*")=1,0.56,1)),IF(COUNTIF(D25,"*мех*")=1,0.28,IF(COUNTIF(D25,"*ламин*")=1,0.56,1)))</f>
        <v>0.56000000000000005</v>
      </c>
      <c r="J26" s="277">
        <f>ROUNDUP(IF(H26="",IFERROR(J25*I26,""),H26),1)</f>
        <v>240.2</v>
      </c>
      <c r="K26" s="246" t="s">
        <v>212</v>
      </c>
      <c r="L26" s="997"/>
      <c r="M26" s="247">
        <f>IFERROR(IF(L26&lt;&gt;"","",VLOOKUP(C26&amp;D26&amp;K26,НН!A:J,10,)),"")</f>
        <v>1207.8</v>
      </c>
      <c r="N26" s="237">
        <f t="shared" si="1"/>
        <v>290113.56</v>
      </c>
      <c r="O26" s="167"/>
      <c r="P26" s="168"/>
    </row>
    <row r="27" spans="2:16" ht="21" hidden="1" customHeight="1">
      <c r="B27" s="179"/>
      <c r="C27" s="988" t="s">
        <v>72</v>
      </c>
      <c r="D27" s="989" t="str">
        <f>IF(ОЛ_ЕМКОСТИ!E24=Списки!AK2,"Ламинирование эллиптического днища к корпусу",IF($C$72="да","Ламинирование дна к фальшполу","Ламинирование плоского днища к корпусу"))</f>
        <v>Ламинирование эллиптического днища к корпусу</v>
      </c>
      <c r="E27" s="990"/>
      <c r="F27" s="991" t="str">
        <f t="array" ref="F27">IF(C27="","",IF(OR(C27=Списки!$AG$15:$AG$17),"нет","да"))</f>
        <v>нет</v>
      </c>
      <c r="G27" s="992"/>
      <c r="H27" s="993"/>
      <c r="I27" s="994">
        <f>IF(H27="",IFERROR(IF(H25="",J25,H25)*3/10,""),"")</f>
        <v>128.64950495049504</v>
      </c>
      <c r="J27" s="995">
        <f>IFERROR(IF(C24="новый способ",0,),"0")</f>
        <v>0</v>
      </c>
      <c r="K27" s="996" t="s">
        <v>193</v>
      </c>
      <c r="L27" s="997"/>
      <c r="M27" s="998">
        <f>IFERROR(IF(L27&lt;&gt;"","",VLOOKUP(C27&amp;D27&amp;K27,НН!A:J,10,)),"")</f>
        <v>310.2</v>
      </c>
      <c r="N27" s="999">
        <f t="shared" si="1"/>
        <v>0</v>
      </c>
      <c r="O27" s="1012" t="s">
        <v>559</v>
      </c>
      <c r="P27" s="1013"/>
    </row>
    <row r="28" spans="2:16" ht="15" hidden="1">
      <c r="B28" s="179"/>
      <c r="C28" s="988" t="s">
        <v>238</v>
      </c>
      <c r="D28" s="989" t="s">
        <v>238</v>
      </c>
      <c r="E28" s="990"/>
      <c r="F28" s="991" t="str">
        <f t="array" ref="F28">IF(C28="","",IF(OR(C28=Списки!$AG$15:$AG$17),"нет","да"))</f>
        <v>нет</v>
      </c>
      <c r="G28" s="992"/>
      <c r="H28" s="993"/>
      <c r="I28" s="1000">
        <f>IF(COUNTIF(D27,"*мех*")=1,0.28,IF(COUNTIF(D27,"*ламин*")=1,0.56,1))</f>
        <v>0.56000000000000005</v>
      </c>
      <c r="J28" s="1001">
        <f>ROUNDUP(IFERROR(IF(H28="",J27*I28,H28),""),1)</f>
        <v>0</v>
      </c>
      <c r="K28" s="996" t="s">
        <v>212</v>
      </c>
      <c r="L28" s="997"/>
      <c r="M28" s="998">
        <f>IFERROR(IF(L28&lt;&gt;"","",VLOOKUP(C28&amp;D28&amp;K28,НН!A:J,10,)),"")</f>
        <v>1207.8</v>
      </c>
      <c r="N28" s="999">
        <f t="shared" si="1"/>
        <v>0</v>
      </c>
      <c r="O28" s="167" t="s">
        <v>560</v>
      </c>
      <c r="P28" s="168"/>
    </row>
    <row r="29" spans="2:16" ht="15">
      <c r="B29" s="957"/>
      <c r="C29" s="988"/>
      <c r="D29" s="989"/>
      <c r="E29" s="990"/>
      <c r="F29" s="1266"/>
      <c r="G29" s="1267"/>
      <c r="H29" s="993"/>
      <c r="I29" s="1000"/>
      <c r="J29" s="1268"/>
      <c r="K29" s="1269"/>
      <c r="L29" s="1270"/>
      <c r="M29" s="1271"/>
      <c r="N29" s="999"/>
      <c r="O29" s="167"/>
      <c r="P29" s="168"/>
    </row>
    <row r="30" spans="2:16" ht="17.25" customHeight="1" collapsed="1">
      <c r="B30" s="957"/>
      <c r="C30" s="665" t="s">
        <v>150</v>
      </c>
      <c r="D30" s="265" t="s">
        <v>2131</v>
      </c>
      <c r="E30" s="990"/>
      <c r="F30" s="1266"/>
      <c r="G30" s="1267"/>
      <c r="H30" s="993"/>
      <c r="I30" s="1000"/>
      <c r="J30" s="1268"/>
      <c r="K30" s="1269"/>
      <c r="L30" s="1270"/>
      <c r="M30" s="1271"/>
      <c r="N30" s="999"/>
      <c r="O30" s="167"/>
      <c r="P30" s="168"/>
    </row>
    <row r="31" spans="2:16" ht="15" hidden="1" outlineLevel="1">
      <c r="B31" s="179"/>
      <c r="C31" s="180" t="s">
        <v>72</v>
      </c>
      <c r="D31" s="208" t="s">
        <v>957</v>
      </c>
      <c r="E31" s="1330">
        <v>1</v>
      </c>
      <c r="F31" s="212" t="str">
        <f t="array" ref="F31">IF(ISBLANK(C31),"",IF(OR(C31=Списки!$AG$15:$AG$17),"нет","да"))</f>
        <v>нет</v>
      </c>
      <c r="G31" s="236"/>
      <c r="H31" s="184"/>
      <c r="I31" s="193">
        <v>20</v>
      </c>
      <c r="J31" s="186">
        <f>IF(C30="нет",0,IF(I31="",I31,I31))*E31</f>
        <v>0</v>
      </c>
      <c r="K31" s="178" t="s">
        <v>193</v>
      </c>
      <c r="L31" s="997"/>
      <c r="M31" s="188">
        <f>IFERROR(IF(L31&lt;&gt;"","",VLOOKUP(C31&amp;D31&amp;K31,НН!A:J,10,)),"")</f>
        <v>310.2</v>
      </c>
      <c r="N31" s="202">
        <f t="shared" ref="N31:N34" si="2">IFERROR(IF(L31="",M31*J31,J31*L31),"")</f>
        <v>0</v>
      </c>
      <c r="O31" s="167"/>
      <c r="P31" s="168"/>
    </row>
    <row r="32" spans="2:16" ht="15" hidden="1" outlineLevel="1">
      <c r="B32" s="179"/>
      <c r="C32" s="180" t="s">
        <v>238</v>
      </c>
      <c r="D32" s="208" t="s">
        <v>238</v>
      </c>
      <c r="E32" s="224"/>
      <c r="F32" s="212" t="str">
        <f t="array" ref="F32">IF(ISBLANK(C32),"",IF(OR(C32=Списки!$AG$15:$AG$17),"нет","да"))</f>
        <v>нет</v>
      </c>
      <c r="G32" s="236"/>
      <c r="H32" s="184"/>
      <c r="I32" s="193">
        <v>1</v>
      </c>
      <c r="J32" s="194">
        <f>ROUNDUP(IF(H32="",J31*I32,H32),1)</f>
        <v>0</v>
      </c>
      <c r="K32" s="178" t="s">
        <v>212</v>
      </c>
      <c r="L32" s="997"/>
      <c r="M32" s="188">
        <f>IFERROR(IF(L32&lt;&gt;"","",VLOOKUP(C32&amp;D32&amp;K32,НН!A:J,10,)),"")</f>
        <v>1207.8</v>
      </c>
      <c r="N32" s="202">
        <f t="shared" si="2"/>
        <v>0</v>
      </c>
      <c r="O32" s="167"/>
      <c r="P32" s="168"/>
    </row>
    <row r="33" spans="1:16" ht="15" hidden="1" outlineLevel="1">
      <c r="B33" s="179"/>
      <c r="C33" s="180" t="s">
        <v>72</v>
      </c>
      <c r="D33" s="208" t="s">
        <v>960</v>
      </c>
      <c r="E33" s="217"/>
      <c r="F33" s="212" t="str">
        <f t="array" ref="F33">IF(ISBLANK(C33),"",IF(OR(C33=Списки!$AG$15:$AG$17),"нет","да"))</f>
        <v>нет</v>
      </c>
      <c r="G33" s="236"/>
      <c r="H33" s="184"/>
      <c r="I33" s="193">
        <v>1</v>
      </c>
      <c r="J33" s="186">
        <f>1*J31*3/10</f>
        <v>0</v>
      </c>
      <c r="K33" s="178" t="s">
        <v>193</v>
      </c>
      <c r="L33" s="997"/>
      <c r="M33" s="188">
        <f>IFERROR(IF(L33&lt;&gt;"","",VLOOKUP(C33&amp;D33&amp;K33,НН!A:J,10,)),"")</f>
        <v>310.2</v>
      </c>
      <c r="N33" s="202">
        <f t="shared" si="2"/>
        <v>0</v>
      </c>
      <c r="O33" s="167"/>
      <c r="P33" s="168"/>
    </row>
    <row r="34" spans="1:16" ht="15" hidden="1" outlineLevel="1">
      <c r="B34" s="179"/>
      <c r="C34" s="180" t="s">
        <v>238</v>
      </c>
      <c r="D34" s="208" t="s">
        <v>238</v>
      </c>
      <c r="E34" s="224"/>
      <c r="F34" s="212" t="str">
        <f t="array" ref="F34">IF(ISBLANK(C34),"",IF(OR(C34=Списки!$AG$15:$AG$17),"нет","да"))</f>
        <v>нет</v>
      </c>
      <c r="G34" s="236"/>
      <c r="H34" s="184"/>
      <c r="I34" s="193">
        <v>1</v>
      </c>
      <c r="J34" s="194">
        <f>ROUNDUP(IF(H34="",J33*I34,H34),1)</f>
        <v>0</v>
      </c>
      <c r="K34" s="178" t="s">
        <v>212</v>
      </c>
      <c r="L34" s="997"/>
      <c r="M34" s="188">
        <f>IFERROR(IF(L34&lt;&gt;"","",VLOOKUP(C34&amp;D34&amp;K34,НН!A:J,10,)),"")</f>
        <v>1207.8</v>
      </c>
      <c r="N34" s="202">
        <f t="shared" si="2"/>
        <v>0</v>
      </c>
      <c r="O34" s="167"/>
      <c r="P34" s="168"/>
    </row>
    <row r="35" spans="1:16" ht="15">
      <c r="B35" s="957"/>
      <c r="C35" s="988"/>
      <c r="D35" s="989"/>
      <c r="E35" s="990"/>
      <c r="F35" s="1322"/>
      <c r="G35" s="1323"/>
      <c r="H35" s="993"/>
      <c r="I35" s="1324"/>
      <c r="J35" s="1325"/>
      <c r="K35" s="1326"/>
      <c r="L35" s="1327"/>
      <c r="M35" s="1328"/>
      <c r="N35" s="1329"/>
      <c r="O35" s="167"/>
      <c r="P35" s="168"/>
    </row>
    <row r="36" spans="1:16" ht="21.75" customHeight="1">
      <c r="B36" s="179"/>
      <c r="C36" s="180"/>
      <c r="D36" s="161" t="s">
        <v>335</v>
      </c>
      <c r="E36" s="1316">
        <f>ОЛ_ЕМКОСТИ!E49</f>
        <v>400</v>
      </c>
      <c r="F36" s="677">
        <f>ОЛ_ЕМКОСТИ!E50</f>
        <v>1</v>
      </c>
      <c r="G36" s="677" t="s">
        <v>129</v>
      </c>
      <c r="H36" s="1314" t="s">
        <v>124</v>
      </c>
      <c r="I36" s="218"/>
      <c r="J36" s="219"/>
      <c r="K36" s="220"/>
      <c r="L36" s="221"/>
      <c r="M36" s="222"/>
      <c r="N36" s="223"/>
      <c r="O36" s="167"/>
      <c r="P36" s="168"/>
    </row>
    <row r="37" spans="1:16" ht="29.25" customHeight="1" outlineLevel="1">
      <c r="B37" s="179"/>
      <c r="C37" s="180" t="s">
        <v>72</v>
      </c>
      <c r="D37" s="180" t="str">
        <f>IF(E36&gt;=200,"Труба СК/НПС-К "&amp;E36+100&amp;"-0,1-2500","Ручная формовка патрубка")</f>
        <v>Труба СК/НПС-К 500-0,1-2500</v>
      </c>
      <c r="E37" s="1315" t="str">
        <f>IF(H36="Труба стеклокомпозитная","Муфта-2 СК/НПС-К "&amp;E36+100&amp;"-1","Стеклокомпозитная гильза Ø"&amp;E36+100)</f>
        <v>Стеклокомпозитная гильза Ø500</v>
      </c>
      <c r="F37" s="212" t="str">
        <f t="array" ref="F37">IF(C37="","",IF(OR(C37=Списки!$AG$15:$AG$17),"нет","да"))</f>
        <v>нет</v>
      </c>
      <c r="G37" s="204"/>
      <c r="H37" s="1308"/>
      <c r="I37" s="225"/>
      <c r="J37" s="186">
        <f>IFERROR(IF(SEARCH("*гильза*",E37)=1,0.5*F36),VLOOKUP(E36+100,'Для расчетов'!$A$36:$F$60,4,)*F36)</f>
        <v>0.5</v>
      </c>
      <c r="K37" s="178" t="str">
        <f>IFERROR(IF(SEARCH("*труба*",D37)=1,"м"),"кг")</f>
        <v>м</v>
      </c>
      <c r="L37" s="1218" t="str">
        <f>IFERROR(IF(SEARCH("м",K37)=1,"1,00"),"")</f>
        <v>1,00</v>
      </c>
      <c r="M37" s="188" t="str">
        <f>IFERROR(IF(L37&lt;&gt;"","",VLOOKUP(C37&amp;D37&amp;K37,НН!A:J,10,)),"")</f>
        <v/>
      </c>
      <c r="N37" s="202">
        <f>IFERROR(IF(L37="",M37*J37,J37*L37),0)</f>
        <v>0.5</v>
      </c>
      <c r="O37" s="167"/>
      <c r="P37" s="168"/>
    </row>
    <row r="38" spans="1:16" ht="19.5" customHeight="1" outlineLevel="1">
      <c r="B38" s="957"/>
      <c r="C38" s="180" t="s">
        <v>72</v>
      </c>
      <c r="D38" s="180" t="s">
        <v>334</v>
      </c>
      <c r="E38" s="1315"/>
      <c r="F38" s="212" t="str">
        <f t="array" ref="F38">IF(C38="","",IF(OR(C38=Списки!$AG$15:$AG$17),"нет","да"))</f>
        <v>нет</v>
      </c>
      <c r="G38" s="236"/>
      <c r="H38" s="184"/>
      <c r="I38" s="225">
        <f>($E$36+100)/1300*J37</f>
        <v>0.19230769230769232</v>
      </c>
      <c r="J38" s="239">
        <f>IF(COUNTIF(D37,"*труба*")=1,(E36+100)/1300*J37,0)</f>
        <v>0.19230769230769232</v>
      </c>
      <c r="K38" s="178" t="s">
        <v>212</v>
      </c>
      <c r="L38" s="196"/>
      <c r="M38" s="188">
        <f>IFERROR(IF(L38&lt;&gt;"","",VLOOKUP(C38&amp;D38&amp;K38,НН!A:J,10,)),"")</f>
        <v>1207.8</v>
      </c>
      <c r="N38" s="237">
        <f t="shared" ref="N38" si="3">IFERROR(IF(L38="",M38*J38,J38*L38),"")</f>
        <v>232.26923076923077</v>
      </c>
      <c r="O38" s="167"/>
      <c r="P38" s="168"/>
    </row>
    <row r="39" spans="1:16" ht="15" outlineLevel="1">
      <c r="B39" s="179"/>
      <c r="C39" s="180" t="s">
        <v>72</v>
      </c>
      <c r="D39" s="666" t="s">
        <v>561</v>
      </c>
      <c r="E39" s="224"/>
      <c r="F39" s="212" t="str">
        <f t="array" ref="F39">IF(C39="","",IF(OR(C39=Списки!$AG$15:$AG$17),"нет","да"))</f>
        <v>нет</v>
      </c>
      <c r="G39" s="204"/>
      <c r="H39" s="184"/>
      <c r="I39" s="225"/>
      <c r="J39" s="186">
        <f>(VLOOKUP(E36+100,'Для расчетов'!A36:D62,4,0)*3/10)*F36</f>
        <v>0.56999999999999995</v>
      </c>
      <c r="K39" s="178" t="s">
        <v>193</v>
      </c>
      <c r="L39" s="196"/>
      <c r="M39" s="188">
        <f>IFERROR(IF(L39&lt;&gt;"","",VLOOKUP(C39&amp;D39&amp;K39,НН!A:J,10,)),"")</f>
        <v>310.2</v>
      </c>
      <c r="N39" s="202">
        <f t="shared" ref="N39:N40" si="4">IFERROR(IF(L39="",M39*J39,J39*L39),"")</f>
        <v>176.81399999999996</v>
      </c>
      <c r="O39" s="167"/>
      <c r="P39" s="168"/>
    </row>
    <row r="40" spans="1:16" ht="15" outlineLevel="1">
      <c r="B40" s="179"/>
      <c r="C40" s="180" t="s">
        <v>238</v>
      </c>
      <c r="D40" s="208" t="s">
        <v>238</v>
      </c>
      <c r="E40" s="211"/>
      <c r="F40" s="212" t="str">
        <f t="array" ref="F40">IF(C40="","",IF(OR(C40=Списки!$AG$15:$AG$17),"нет","да"))</f>
        <v>нет</v>
      </c>
      <c r="G40" s="204"/>
      <c r="H40" s="210"/>
      <c r="I40" s="193">
        <f>IF(COUNTIF(D39,"*мех*")=1,0.28,IF(COUNTIF(D39,"*ламин*")=1,1))</f>
        <v>1</v>
      </c>
      <c r="J40" s="194">
        <f>ROUNDUP(IF(OR(ОЛ_КОЛОДЦА!$E$43="",ОЛ_КОЛОДЦА!$E$45=""),0,IF(H40="",IFERROR(J39*I40,""),H40)),1)</f>
        <v>0.6</v>
      </c>
      <c r="K40" s="178" t="s">
        <v>212</v>
      </c>
      <c r="L40" s="196"/>
      <c r="M40" s="188">
        <f>IFERROR(IF(L40&lt;&gt;"","",VLOOKUP(C40&amp;D40&amp;K40,НН!A:J,10,)),"")</f>
        <v>1207.8</v>
      </c>
      <c r="N40" s="202">
        <f t="shared" si="4"/>
        <v>724.68</v>
      </c>
      <c r="O40" s="167"/>
      <c r="P40" s="168"/>
    </row>
    <row r="41" spans="1:16" ht="15">
      <c r="B41" s="957"/>
      <c r="C41" s="180"/>
      <c r="D41" s="208"/>
      <c r="E41" s="211"/>
      <c r="F41" s="1022"/>
      <c r="G41" s="1023"/>
      <c r="H41" s="210"/>
      <c r="I41" s="193"/>
      <c r="J41" s="1009"/>
      <c r="K41" s="1007"/>
      <c r="L41" s="221"/>
      <c r="M41" s="222"/>
      <c r="N41" s="289"/>
      <c r="O41" s="167"/>
      <c r="P41" s="168"/>
    </row>
    <row r="42" spans="1:16" ht="21" customHeight="1">
      <c r="B42" s="179"/>
      <c r="C42" s="180"/>
      <c r="D42" s="161" t="s">
        <v>337</v>
      </c>
      <c r="E42" s="1316">
        <f>ОЛ_ЕМКОСТИ!I49</f>
        <v>300</v>
      </c>
      <c r="F42" s="677">
        <f>ОЛ_ЕМКОСТИ!I50</f>
        <v>2</v>
      </c>
      <c r="G42" s="677" t="s">
        <v>129</v>
      </c>
      <c r="H42" s="1314" t="s">
        <v>124</v>
      </c>
      <c r="I42" s="218"/>
      <c r="J42" s="219"/>
      <c r="K42" s="220"/>
      <c r="L42" s="221"/>
      <c r="M42" s="222"/>
      <c r="N42" s="223"/>
      <c r="O42" s="167"/>
      <c r="P42" s="168"/>
    </row>
    <row r="43" spans="1:16" ht="24" outlineLevel="1">
      <c r="B43" s="179"/>
      <c r="C43" s="180" t="s">
        <v>72</v>
      </c>
      <c r="D43" s="180" t="str">
        <f>IF(E42&gt;=200,"Труба СК/НПС-К "&amp;E42+100&amp;"-0,1-2500","Ручная формовка патрубка")</f>
        <v>Труба СК/НПС-К 400-0,1-2500</v>
      </c>
      <c r="E43" s="1315" t="str">
        <f>IF(H42="Труба стеклокомпозитная","Муфта-2 СК/НПС-К "&amp;E42+100&amp;"-1","Стеклокомпозитная гильза Ø"&amp;E42+100)</f>
        <v>Стеклокомпозитная гильза Ø400</v>
      </c>
      <c r="F43" s="212" t="str">
        <f t="array" ref="F43">IF(C43="","",IF(OR(C43=Списки!$AG$15:$AG$17),"нет","да"))</f>
        <v>нет</v>
      </c>
      <c r="G43" s="204"/>
      <c r="H43" s="1308"/>
      <c r="I43" s="225"/>
      <c r="J43" s="186">
        <f>IFERROR(IF(SEARCH("*гильза*",E43)=1,0.5*F42),VLOOKUP(E42+100,'Для расчетов'!$A$36:$F$60,4,)*F42)</f>
        <v>1</v>
      </c>
      <c r="K43" s="178" t="str">
        <f>IFERROR(IF(SEARCH("*труба*",D43)=1,"м"),"кг")</f>
        <v>м</v>
      </c>
      <c r="L43" s="1218" t="str">
        <f>IFERROR(IF(SEARCH("м",K43)=1,"1,00"),"")</f>
        <v>1,00</v>
      </c>
      <c r="M43" s="188" t="str">
        <f>IFERROR(IF(L43&lt;&gt;"","",VLOOKUP(C43&amp;D43&amp;K43,НН!A:J,10,)),"")</f>
        <v/>
      </c>
      <c r="N43" s="202">
        <f>IFERROR(IF(L43="",M43*J43,J43*L43),0)</f>
        <v>1</v>
      </c>
      <c r="O43" s="167"/>
      <c r="P43" s="168"/>
    </row>
    <row r="44" spans="1:16" ht="15" outlineLevel="1">
      <c r="B44" s="957"/>
      <c r="C44" s="180" t="s">
        <v>72</v>
      </c>
      <c r="D44" s="180" t="s">
        <v>334</v>
      </c>
      <c r="E44" s="1315"/>
      <c r="F44" s="212" t="str">
        <f t="array" ref="F44">IF(C44="","",IF(OR(C44=Списки!$AG$15:$AG$17),"нет","да"))</f>
        <v>нет</v>
      </c>
      <c r="G44" s="236"/>
      <c r="H44" s="184"/>
      <c r="I44" s="225">
        <f>($E$42+100)/1300*J43</f>
        <v>0.30769230769230771</v>
      </c>
      <c r="J44" s="239">
        <f>IF(COUNTIF(D43,"*труба*")=1,(E42+100)/1300*J43,0)</f>
        <v>0.30769230769230771</v>
      </c>
      <c r="K44" s="178" t="s">
        <v>212</v>
      </c>
      <c r="L44" s="196"/>
      <c r="M44" s="188">
        <f>IFERROR(IF(L44&lt;&gt;"","",VLOOKUP(C44&amp;D44&amp;K44,НН!A:J,10,)),"")</f>
        <v>1207.8</v>
      </c>
      <c r="N44" s="237">
        <f t="shared" ref="N44:N46" si="5">IFERROR(IF(L44="",M44*J44,J44*L44),"")</f>
        <v>371.63076923076926</v>
      </c>
      <c r="O44" s="167"/>
      <c r="P44" s="168"/>
    </row>
    <row r="45" spans="1:16" ht="15" outlineLevel="1">
      <c r="B45" s="179"/>
      <c r="C45" s="180" t="s">
        <v>72</v>
      </c>
      <c r="D45" s="666" t="s">
        <v>561</v>
      </c>
      <c r="E45" s="224"/>
      <c r="F45" s="212" t="str">
        <f t="array" ref="F45">IF(C45="","",IF(OR(C45=Списки!$AG$15:$AG$17),"нет","да"))</f>
        <v>нет</v>
      </c>
      <c r="G45" s="204"/>
      <c r="H45" s="184"/>
      <c r="I45" s="225"/>
      <c r="J45" s="186">
        <f>(VLOOKUP(E42+100,'Для расчетов'!A42:D68,4,0)*3/10)*F42</f>
        <v>0.66</v>
      </c>
      <c r="K45" s="178" t="s">
        <v>193</v>
      </c>
      <c r="L45" s="196"/>
      <c r="M45" s="188">
        <f>IFERROR(IF(L45&lt;&gt;"","",VLOOKUP(C45&amp;D45&amp;K45,НН!A:J,10,)),"")</f>
        <v>310.2</v>
      </c>
      <c r="N45" s="202">
        <f t="shared" si="5"/>
        <v>204.732</v>
      </c>
      <c r="O45" s="167"/>
      <c r="P45" s="168"/>
    </row>
    <row r="46" spans="1:16" ht="15" outlineLevel="1">
      <c r="A46" s="179"/>
      <c r="B46" s="179"/>
      <c r="C46" s="180" t="s">
        <v>238</v>
      </c>
      <c r="D46" s="208" t="s">
        <v>238</v>
      </c>
      <c r="E46" s="211"/>
      <c r="F46" s="212" t="str">
        <f t="array" ref="F46">IF(C46="","",IF(OR(C46=Списки!$AG$15:$AG$17),"нет","да"))</f>
        <v>нет</v>
      </c>
      <c r="G46" s="204"/>
      <c r="H46" s="210"/>
      <c r="I46" s="193">
        <f>IF(COUNTIF(D45,"*мех*")=1,0.28,IF(COUNTIF(D45,"*ламин*")=1,1))</f>
        <v>1</v>
      </c>
      <c r="J46" s="194">
        <f>ROUNDUP(IF(OR(ОЛ_КОЛОДЦА!$E$43="",ОЛ_КОЛОДЦА!$E$45=""),0,IF(H46="",IFERROR(J45*I46,""),H46)),1)</f>
        <v>0.7</v>
      </c>
      <c r="K46" s="178" t="s">
        <v>212</v>
      </c>
      <c r="L46" s="196"/>
      <c r="M46" s="188">
        <f>IFERROR(IF(L46&lt;&gt;"","",VLOOKUP(C46&amp;D46&amp;K46,НН!A:J,10,)),"")</f>
        <v>1207.8</v>
      </c>
      <c r="N46" s="202">
        <f t="shared" si="5"/>
        <v>845.45999999999992</v>
      </c>
      <c r="O46" s="167"/>
    </row>
    <row r="47" spans="1:16" ht="15">
      <c r="A47" s="305"/>
      <c r="B47" s="957"/>
      <c r="C47" s="1382"/>
      <c r="D47" s="1383"/>
      <c r="E47" s="1383"/>
      <c r="F47" s="1383"/>
      <c r="G47" s="1383"/>
      <c r="H47" s="1383"/>
      <c r="I47" s="1383"/>
      <c r="J47" s="1383"/>
      <c r="K47" s="1383"/>
      <c r="L47" s="1383"/>
      <c r="M47" s="1383"/>
      <c r="N47" s="1384"/>
      <c r="O47" s="167"/>
    </row>
    <row r="48" spans="1:16" ht="18.75" customHeight="1">
      <c r="B48" s="179"/>
      <c r="C48" s="180"/>
      <c r="D48" s="674" t="s">
        <v>351</v>
      </c>
      <c r="E48" s="259"/>
      <c r="F48" s="215"/>
      <c r="G48" s="216"/>
      <c r="H48" s="227"/>
      <c r="I48" s="261"/>
      <c r="J48" s="219"/>
      <c r="K48" s="220"/>
      <c r="L48" s="221"/>
      <c r="M48" s="222" t="str">
        <f t="array" aca="1" ref="M48" ca="1">IF(D48="ФОТ",I48*#REF!,IFERROR(IF(L48&lt;&gt;"","",IF((VLOOKUP(D48&amp;K48,INDIRECT("'"&amp;INDEX(Списки!$AG$2:$AG$17,MATCH(TRUE,COUNTIF(INDIRECT("'"&amp;Списки!$AG$2:$AG$17 &amp;"'!A1:A3000000"),D48&amp;K48)&gt;0,0))&amp;"'!A:h"),7,0))=0,"",VLOOKUP(D48&amp;K48,INDIRECT("'"&amp;INDEX(Списки!$AG$2:$AG$17,MATCH(TRUE,COUNTIF(INDIRECT("'"&amp;Списки!$AG$2:$AG$17 &amp;"'!A1:A3000000"),D48&amp;K48)&gt;0,0))&amp;"'!A:h"),7,0))),""))</f>
        <v/>
      </c>
      <c r="N48" s="223" t="str">
        <f t="shared" ca="1" si="1"/>
        <v/>
      </c>
      <c r="O48" s="167"/>
    </row>
    <row r="49" spans="1:15" ht="24" outlineLevel="1">
      <c r="B49" s="179"/>
      <c r="C49" s="180" t="s">
        <v>71</v>
      </c>
      <c r="D49" s="180" t="s">
        <v>352</v>
      </c>
      <c r="E49" s="217" t="s">
        <v>353</v>
      </c>
      <c r="F49" s="212" t="str">
        <f t="array" ref="F49">IF(C49="","",IF(ОЛ_ЕМКОСТИ!$E$80="нет","-",IF(OR(C49=Списки!$AG$15:$AG$17),"нет","да")))</f>
        <v>да</v>
      </c>
      <c r="G49" s="204"/>
      <c r="H49" s="1309"/>
      <c r="I49" s="206">
        <f>(PI()*($F$54/(1000*2))*ОЛ_ЕМКОСТИ!$E$81/1000)*F53</f>
        <v>7.5398223686155035</v>
      </c>
      <c r="J49" s="186">
        <f>IF(ОЛ_ЕМКОСТИ!$E$80="нет",0,IF(ISBLANK(D49),"",IF(H49="",I49,H49)))</f>
        <v>7.5398223686155035</v>
      </c>
      <c r="K49" s="178" t="s">
        <v>223</v>
      </c>
      <c r="L49" s="965"/>
      <c r="M49" s="188">
        <f>IFERROR(IF(L49&lt;&gt;"","",VLOOKUP(C49&amp;D49&amp;K49,НН!A:J,10,)),"")</f>
        <v>750</v>
      </c>
      <c r="N49" s="202">
        <f t="shared" si="1"/>
        <v>5654.8667764616275</v>
      </c>
      <c r="O49" s="167"/>
    </row>
    <row r="50" spans="1:15" ht="15" outlineLevel="1">
      <c r="B50" s="179"/>
      <c r="C50" s="180" t="s">
        <v>71</v>
      </c>
      <c r="D50" s="180" t="s">
        <v>352</v>
      </c>
      <c r="E50" s="217" t="s">
        <v>354</v>
      </c>
      <c r="F50" s="212" t="str">
        <f t="array" ref="F50">IF(C50="","",IF(ОЛ_ЕМКОСТИ!$E$80="нет","-",IF(OR(C50=Списки!$AG$15:$AG$17),"нет","да")))</f>
        <v>да</v>
      </c>
      <c r="G50" s="204"/>
      <c r="H50" s="1309"/>
      <c r="I50" s="206">
        <f>PI()*($G$5/(1000*2))^2</f>
        <v>7.0685834705770345</v>
      </c>
      <c r="J50" s="186">
        <f>IF(ОЛ_ЕМКОСТИ!$E$80="нет",0,IF(ISBLANK(D50),"",IF(H50="",I50,H50)))</f>
        <v>7.0685834705770345</v>
      </c>
      <c r="K50" s="178" t="s">
        <v>223</v>
      </c>
      <c r="L50" s="965"/>
      <c r="M50" s="188">
        <f>IFERROR(IF(L50&lt;&gt;"","",VLOOKUP(C50&amp;D50&amp;K50,НН!A:J,10,)),"")</f>
        <v>750</v>
      </c>
      <c r="N50" s="202">
        <f t="shared" si="1"/>
        <v>5301.4376029327759</v>
      </c>
      <c r="O50" s="167"/>
    </row>
    <row r="51" spans="1:15" ht="23.25" customHeight="1" outlineLevel="1">
      <c r="B51" s="179"/>
      <c r="C51" s="180" t="s">
        <v>72</v>
      </c>
      <c r="D51" s="180" t="s">
        <v>355</v>
      </c>
      <c r="E51" s="259"/>
      <c r="F51" s="212" t="str">
        <f t="array" ref="F51">IF(C51="","",IF(ОЛ_ЕМКОСТИ!$E$80="нет","-",IF(OR(C51=Списки!$AG$15:$AG$17),"нет","да")))</f>
        <v>нет</v>
      </c>
      <c r="G51" s="204"/>
      <c r="H51" s="1309"/>
      <c r="I51" s="206">
        <f>(I49+I50)*0.004*1850</f>
        <v>108.1022032100248</v>
      </c>
      <c r="J51" s="186">
        <f>IF(ОЛ_ЕМКОСТИ!$E$80="нет",0,IF(ISBLANK(D51),"",IF(H51="",I51,H51)))</f>
        <v>108.1022032100248</v>
      </c>
      <c r="K51" s="178" t="s">
        <v>193</v>
      </c>
      <c r="L51" s="1289"/>
      <c r="M51" s="188">
        <f>IFERROR(IF(L51&lt;&gt;"","",VLOOKUP(C51&amp;D51&amp;K51,НН!A:J,10,)),"")</f>
        <v>310.2</v>
      </c>
      <c r="N51" s="202">
        <f t="shared" si="1"/>
        <v>33533.303435749687</v>
      </c>
      <c r="O51" s="167"/>
    </row>
    <row r="52" spans="1:15" ht="19.5" customHeight="1" outlineLevel="1">
      <c r="B52" s="179"/>
      <c r="C52" s="241" t="s">
        <v>238</v>
      </c>
      <c r="D52" s="241" t="s">
        <v>238</v>
      </c>
      <c r="E52" s="675"/>
      <c r="F52" s="212" t="str">
        <f t="array" ref="F52">IF(C52="","",IF(ОЛ_ЕМКОСТИ!$E$80="нет","-",IF(OR(C52=Списки!$AG$15:$AG$17),"нет","да")))</f>
        <v>нет</v>
      </c>
      <c r="G52" s="301"/>
      <c r="H52" s="244"/>
      <c r="I52" s="213">
        <f>IF(COUNTIF(D51,"*мех*")=1,0.28,IF(COUNTIF(D51,"*ламин*")=1,0.56,1))</f>
        <v>0.56000000000000005</v>
      </c>
      <c r="J52" s="277">
        <f>ROUNDUP(IF(H52="",IFERROR(J51*I52,""),H52),1)</f>
        <v>60.6</v>
      </c>
      <c r="K52" s="246" t="s">
        <v>212</v>
      </c>
      <c r="L52" s="1265"/>
      <c r="M52" s="247">
        <f>IFERROR(IF(L52&lt;&gt;"","",VLOOKUP(C52&amp;D52&amp;K52,НН!A:J,10,)),"")</f>
        <v>1207.8</v>
      </c>
      <c r="N52" s="237">
        <f t="shared" si="1"/>
        <v>73192.679999999993</v>
      </c>
      <c r="O52" s="167"/>
    </row>
    <row r="53" spans="1:15" ht="17.25" customHeight="1">
      <c r="B53" s="179"/>
      <c r="C53" s="665" t="str">
        <f>ОЛ_ЕМКОСТИ!E39</f>
        <v>Да</v>
      </c>
      <c r="D53" s="471" t="s">
        <v>562</v>
      </c>
      <c r="E53" s="676"/>
      <c r="F53" s="677">
        <f>L8</f>
        <v>2</v>
      </c>
      <c r="G53" s="677" t="s">
        <v>129</v>
      </c>
      <c r="H53" s="1353"/>
      <c r="I53" s="1354"/>
      <c r="J53" s="1354"/>
      <c r="K53" s="1354"/>
      <c r="L53" s="1354"/>
      <c r="M53" s="1354"/>
      <c r="N53" s="1355"/>
      <c r="O53" s="214"/>
    </row>
    <row r="54" spans="1:15" ht="15" outlineLevel="1">
      <c r="B54" s="179"/>
      <c r="C54" s="208"/>
      <c r="D54" s="471"/>
      <c r="E54" s="268" t="s">
        <v>563</v>
      </c>
      <c r="F54" s="1307">
        <f>K8</f>
        <v>1200</v>
      </c>
      <c r="G54" s="678" t="s">
        <v>564</v>
      </c>
      <c r="H54" s="679">
        <v>5000</v>
      </c>
      <c r="I54" s="234" t="s">
        <v>565</v>
      </c>
      <c r="J54" s="679">
        <v>0.1</v>
      </c>
      <c r="K54" s="1374"/>
      <c r="L54" s="1375"/>
      <c r="M54" s="1375"/>
      <c r="N54" s="1376"/>
      <c r="O54" s="214"/>
    </row>
    <row r="55" spans="1:15" ht="24" outlineLevel="1">
      <c r="B55" s="179"/>
      <c r="C55" s="180" t="s">
        <v>72</v>
      </c>
      <c r="D55" s="680" t="str">
        <f>"Труба СК/НПС-К "&amp;F54&amp;"-"&amp;J54&amp;"-"&amp;H54</f>
        <v>Труба СК/НПС-К 1200-0,1-5000</v>
      </c>
      <c r="E55" s="680" t="s">
        <v>566</v>
      </c>
      <c r="F55" s="212" t="str">
        <f t="array" ref="F55">IF(ISBLANK(C55),"",IF(OR(C55=Списки!$AG$15:$AG$17),"нет","да"))</f>
        <v>нет</v>
      </c>
      <c r="G55" s="236"/>
      <c r="H55" s="184"/>
      <c r="I55" s="225">
        <f>M8/1000</f>
        <v>2</v>
      </c>
      <c r="J55" s="186">
        <f>IF(C53="нет",0,IF(ОЛ_ЕМКОСТИ!E40="",0,IF(H55="",I55,H55)*F53))</f>
        <v>4</v>
      </c>
      <c r="K55" s="178" t="s">
        <v>163</v>
      </c>
      <c r="L55" s="187">
        <v>1</v>
      </c>
      <c r="M55" s="188" t="str">
        <f>IFERROR(IF(L55&lt;&gt;"","",VLOOKUP(C55&amp;D55&amp;K55,НН!A:J,10,)),"")</f>
        <v/>
      </c>
      <c r="N55" s="202">
        <f t="shared" si="1"/>
        <v>4</v>
      </c>
      <c r="O55" s="214"/>
    </row>
    <row r="56" spans="1:15" ht="15" outlineLevel="1">
      <c r="B56" s="179"/>
      <c r="C56" s="180" t="s">
        <v>72</v>
      </c>
      <c r="D56" s="238" t="s">
        <v>334</v>
      </c>
      <c r="E56" s="680"/>
      <c r="F56" s="212" t="str">
        <f t="array" ref="F56">IF(C56="","",IF(OR(C56=Списки!$AG$15:$AG$17),"нет","да"))</f>
        <v>нет</v>
      </c>
      <c r="G56" s="236"/>
      <c r="H56" s="184"/>
      <c r="I56" s="225">
        <f>$F$54/1300*J55</f>
        <v>3.6923076923076925</v>
      </c>
      <c r="J56" s="194">
        <f>IF(C53="нет",0,ROUNDUP(IF($E$13=Списки!$AI$2,IF(H56="",I56,H56),0),1))</f>
        <v>3.7</v>
      </c>
      <c r="K56" s="178" t="s">
        <v>212</v>
      </c>
      <c r="L56" s="965"/>
      <c r="M56" s="188">
        <f>IFERROR(IF(L56&lt;&gt;"","",VLOOKUP(C56&amp;D56&amp;K56,НН!A:J,10,)),"")</f>
        <v>1207.8</v>
      </c>
      <c r="N56" s="202">
        <f t="shared" si="1"/>
        <v>4468.8599999999997</v>
      </c>
      <c r="O56" s="167"/>
    </row>
    <row r="57" spans="1:15" ht="20.25" customHeight="1" outlineLevel="1">
      <c r="B57" s="179"/>
      <c r="C57" s="180" t="s">
        <v>72</v>
      </c>
      <c r="D57" s="180" t="str">
        <f>"Муфта соединительная Муфта-1 "&amp;F54&amp;"-1"</f>
        <v>Муфта соединительная Муфта-1 1200-1</v>
      </c>
      <c r="E57" s="681" t="s">
        <v>115</v>
      </c>
      <c r="F57" s="212" t="s">
        <v>209</v>
      </c>
      <c r="G57" s="236"/>
      <c r="H57" s="184"/>
      <c r="I57" s="225">
        <v>1</v>
      </c>
      <c r="J57" s="186">
        <f>IF(C53="нет",0,IF(E57="нет",0,IF(ОЛ_ЕМКОСТИ!E40="",0,IF(H57="",I57,H57)*F53)))</f>
        <v>2</v>
      </c>
      <c r="K57" s="178" t="s">
        <v>129</v>
      </c>
      <c r="L57" s="187">
        <v>1</v>
      </c>
      <c r="M57" s="188" t="str">
        <f>IFERROR(IF(L57&lt;&gt;"","",VLOOKUP(C57&amp;D57&amp;K57,НН!A:J,10,)),"")</f>
        <v/>
      </c>
      <c r="N57" s="202">
        <f t="shared" si="1"/>
        <v>2</v>
      </c>
      <c r="O57" s="214"/>
    </row>
    <row r="58" spans="1:15" ht="15" outlineLevel="1">
      <c r="A58" s="179"/>
      <c r="B58" s="179"/>
      <c r="C58" s="180" t="s">
        <v>72</v>
      </c>
      <c r="D58" s="180" t="s">
        <v>567</v>
      </c>
      <c r="E58" s="224"/>
      <c r="F58" s="212" t="str">
        <f t="array" ref="F58">IF(ISBLANK(C58),"",IF(OR(C58=Списки!$AG$15:$AG$17),"нет","да"))</f>
        <v>нет</v>
      </c>
      <c r="G58" s="236"/>
      <c r="H58" s="184"/>
      <c r="I58" s="193">
        <f>IFERROR(VLOOKUP(K8,'Для расчетов'!$A$36:$F$72,4,),"")</f>
        <v>10.3</v>
      </c>
      <c r="J58" s="186">
        <f>IFERROR(IF(C53="нет",0,IF(ОЛ_ЕМКОСТИ!E40="",0,IF(H58="",I58,H58)*F53)),"")</f>
        <v>20.6</v>
      </c>
      <c r="K58" s="178" t="s">
        <v>193</v>
      </c>
      <c r="L58" s="965"/>
      <c r="M58" s="188">
        <f>IFERROR(IF(L58&lt;&gt;"","",VLOOKUP(C58&amp;D58&amp;K58,НН!A:J,10,)),"")</f>
        <v>310.2</v>
      </c>
      <c r="N58" s="202">
        <f t="shared" si="1"/>
        <v>6390.12</v>
      </c>
      <c r="O58" s="167"/>
    </row>
    <row r="59" spans="1:15" ht="15" outlineLevel="1">
      <c r="A59" s="179"/>
      <c r="B59" s="179"/>
      <c r="C59" s="180" t="s">
        <v>238</v>
      </c>
      <c r="D59" s="180" t="s">
        <v>238</v>
      </c>
      <c r="E59" s="211"/>
      <c r="F59" s="191" t="str">
        <f t="array" ref="F59">IF(C59="","",IF(OR(C59=Списки!$AG$15:$AG$17),"нет","да"))</f>
        <v>нет</v>
      </c>
      <c r="G59" s="236"/>
      <c r="H59" s="184"/>
      <c r="I59" s="206">
        <f>IF(COUNTIF(D58,"*мех*")=1,0.28,IF(COUNTIF(D58,"*ламин*")=1,0.56,1))</f>
        <v>0.56000000000000005</v>
      </c>
      <c r="J59" s="194">
        <f>IFERROR(IF(C53="нет",0,ROUNDUP(IF(ОЛ_ЕМКОСТИ!$E$40="",0,IF(H59="",IFERROR(J58*I59,""),H59)),1)),"")</f>
        <v>11.6</v>
      </c>
      <c r="K59" s="178" t="s">
        <v>212</v>
      </c>
      <c r="L59" s="965"/>
      <c r="M59" s="188">
        <f>IFERROR(IF(L59&lt;&gt;"","",VLOOKUP(C59&amp;D59&amp;K59,НН!A:J,10,)),"")</f>
        <v>1207.8</v>
      </c>
      <c r="N59" s="202">
        <f t="shared" si="1"/>
        <v>14010.48</v>
      </c>
      <c r="O59" s="167"/>
    </row>
    <row r="60" spans="1:15" ht="15">
      <c r="A60" s="957"/>
      <c r="B60" s="957"/>
      <c r="C60" s="704"/>
      <c r="D60" s="180"/>
      <c r="E60" s="211"/>
      <c r="F60" s="215"/>
      <c r="G60" s="1310"/>
      <c r="H60" s="227"/>
      <c r="I60" s="225"/>
      <c r="J60" s="1009"/>
      <c r="K60" s="1007"/>
      <c r="L60" s="1311"/>
      <c r="M60" s="222"/>
      <c r="N60" s="289"/>
      <c r="O60" s="167"/>
    </row>
    <row r="61" spans="1:15" ht="15">
      <c r="A61" s="179"/>
      <c r="B61" s="179"/>
      <c r="C61" s="683" t="s">
        <v>115</v>
      </c>
      <c r="D61" s="265" t="str">
        <f>IF(F54&lt;2000,"Петли монтажные по чертежу НТТ 648, в т.ч.:","Петли монтажные усиленные по чертежу НТТ 1959, в т.ч.:")</f>
        <v>Петли монтажные по чертежу НТТ 648, в т.ч.:</v>
      </c>
      <c r="E61" s="211"/>
      <c r="F61" s="1317">
        <f>F53*2</f>
        <v>4</v>
      </c>
      <c r="G61" s="677" t="s">
        <v>129</v>
      </c>
      <c r="H61" s="1350"/>
      <c r="I61" s="1351"/>
      <c r="J61" s="1351"/>
      <c r="K61" s="1351"/>
      <c r="L61" s="1351"/>
      <c r="M61" s="1351"/>
      <c r="N61" s="1352"/>
      <c r="O61" s="214"/>
    </row>
    <row r="62" spans="1:15" ht="15" outlineLevel="1">
      <c r="A62" s="179"/>
      <c r="B62" s="179"/>
      <c r="C62" s="241" t="str">
        <f>IF(D62="","","Метизы")</f>
        <v>Метизы</v>
      </c>
      <c r="D62" s="241" t="str">
        <f>_xlfn.IFNA(IF(G5&lt;2000,'Вспомогат. таблицы'!A14,'Вспомогат. таблицы'!A2),"")</f>
        <v>Болт М24-6ɡх100.21.Ст20 ГОСТ 7798-70</v>
      </c>
      <c r="E62" s="271" t="str">
        <f>IFERROR(IF(SEARCH("*петель*",D62)=1,IF(ОЛ_ЕМКОСТИ!E20&lt;2000,"Прим. - Петля простая","Прим. - Петля усиленная"),""),"")</f>
        <v/>
      </c>
      <c r="F62" s="212" t="str">
        <f t="array" ref="F62">IF(C62="","",IF(OR(C62=Списки!$AG$15:$AG$17),"нет","да"))</f>
        <v>да</v>
      </c>
      <c r="G62" s="1318">
        <f>IFERROR(3.56*0.14*J62,"")</f>
        <v>3.9872000000000005</v>
      </c>
      <c r="H62" s="684"/>
      <c r="I62" s="225">
        <f>IFERROR(IF(H62="",IF($G$5&gt;=2000,VLOOKUP(D62,'Вспомогат. таблицы'!$A$2:$B$11,2,),VLOOKUP(D62,'Вспомогат. таблицы'!$A$15:$B$24,2,)),""),"")</f>
        <v>2</v>
      </c>
      <c r="J62" s="186">
        <f>IF($C$61="нет",0,IF(C62="","",IFERROR(IF(H62="",I62,H62)*$F$61,"")))</f>
        <v>8</v>
      </c>
      <c r="K62" s="178" t="str">
        <f>IF(C62="","","шт")</f>
        <v>шт</v>
      </c>
      <c r="L62" s="965"/>
      <c r="M62" s="188">
        <f>IFERROR(IF(L62&lt;&gt;"","",VLOOKUP(C62&amp;D62&amp;K62,НН!A:J,10,)),"")</f>
        <v>105</v>
      </c>
      <c r="N62" s="202">
        <f t="shared" si="1"/>
        <v>840</v>
      </c>
      <c r="O62" s="167"/>
    </row>
    <row r="63" spans="1:15" ht="15" outlineLevel="1">
      <c r="A63" s="179"/>
      <c r="B63" s="179"/>
      <c r="C63" s="241" t="s">
        <v>69</v>
      </c>
      <c r="D63" s="241" t="str">
        <f>IF($G$5&lt;2000,'Вспомогат. таблицы'!A15,'Вспомогат. таблицы'!A3)</f>
        <v>Шайба 24.21.Ст20 ГОСТ 11371-78</v>
      </c>
      <c r="E63" s="271" t="str">
        <f t="shared" ref="E63:E70" si="6">IFERROR(IF(SEARCH("*петель*",D63)=1,IF($G$5&lt;2000,"Прим. - Петля простая","Прим. - Петля усиленная"),""),"")</f>
        <v/>
      </c>
      <c r="F63" s="212" t="str">
        <f t="array" ref="F63">IF(C63="","",IF(OR(C63=Списки!$AG$15:$AG$17),"нет","да"))</f>
        <v>да</v>
      </c>
      <c r="G63" s="1318">
        <f>32.3*J63/1000</f>
        <v>0.25839999999999996</v>
      </c>
      <c r="H63" s="684"/>
      <c r="I63" s="225">
        <f>IF(H63="",IF($G$5&gt;=2000,VLOOKUP(D63,'Вспомогат. таблицы'!$A$2:$B$11,2,),VLOOKUP(D63,'Вспомогат. таблицы'!$A$15:$B$24,2,)),"")</f>
        <v>2</v>
      </c>
      <c r="J63" s="186">
        <f t="shared" ref="J63:J69" si="7">IF($C$61="нет",0,IF(H63="",I63,H63)*$F$61)</f>
        <v>8</v>
      </c>
      <c r="K63" s="178" t="s">
        <v>129</v>
      </c>
      <c r="L63" s="965"/>
      <c r="M63" s="188">
        <f>IFERROR(IF(L63&lt;&gt;"","",VLOOKUP(C63&amp;D63&amp;K63,НН!A:J,10,)),"")</f>
        <v>6</v>
      </c>
      <c r="N63" s="202">
        <f t="shared" si="1"/>
        <v>48</v>
      </c>
      <c r="O63" s="167"/>
    </row>
    <row r="64" spans="1:15" ht="15" outlineLevel="1">
      <c r="A64" s="179"/>
      <c r="B64" s="179"/>
      <c r="C64" s="241" t="s">
        <v>69</v>
      </c>
      <c r="D64" s="241" t="str">
        <f>IF($G$5&lt;2000,'Вспомогат. таблицы'!A16,'Вспомогат. таблицы'!A4)</f>
        <v xml:space="preserve">Шайба 24.30х13 Ст20 ГОСТ 6402-70 </v>
      </c>
      <c r="E64" s="271" t="str">
        <f t="shared" si="6"/>
        <v/>
      </c>
      <c r="F64" s="212" t="str">
        <f t="array" ref="F64">IF(C64="","",IF(OR(C64=Списки!$AG$15:$AG$17),"нет","да"))</f>
        <v>да</v>
      </c>
      <c r="G64" s="1318"/>
      <c r="H64" s="684"/>
      <c r="I64" s="225">
        <f>IF(H64="",IF($G$5&gt;=2000,VLOOKUP(D64,'Вспомогат. таблицы'!$A$2:$B$11,2,),VLOOKUP(D64,'Вспомогат. таблицы'!$A$15:$B$24,2,)),"")</f>
        <v>2</v>
      </c>
      <c r="J64" s="186">
        <f t="shared" si="7"/>
        <v>8</v>
      </c>
      <c r="K64" s="178" t="s">
        <v>129</v>
      </c>
      <c r="L64" s="965"/>
      <c r="M64" s="188">
        <f>IFERROR(IF(L64&lt;&gt;"","",VLOOKUP(C64&amp;D64&amp;K64,НН!A:J,10,)),"")</f>
        <v>5.91</v>
      </c>
      <c r="N64" s="202">
        <f t="shared" si="1"/>
        <v>47.28</v>
      </c>
      <c r="O64" s="167"/>
    </row>
    <row r="65" spans="1:16" ht="15" outlineLevel="1">
      <c r="A65" s="179"/>
      <c r="B65" s="179"/>
      <c r="C65" s="241" t="s">
        <v>69</v>
      </c>
      <c r="D65" s="241" t="str">
        <f>IF($G$5&lt;2000,'Вспомогат. таблицы'!A17,'Вспомогат. таблицы'!A5)</f>
        <v>Гайка М24-7Н.Ст20 ГОСТ 5915-70</v>
      </c>
      <c r="E65" s="271" t="str">
        <f t="shared" si="6"/>
        <v/>
      </c>
      <c r="F65" s="212" t="str">
        <f t="array" ref="F65">IF(C65="","",IF(OR(C65=Списки!$AG$15:$AG$17),"нет","да"))</f>
        <v>да</v>
      </c>
      <c r="G65" s="1318">
        <f>27.12*J65/1000</f>
        <v>0.21696000000000001</v>
      </c>
      <c r="H65" s="684"/>
      <c r="I65" s="225">
        <f>IF(H65="",IF($G$5&gt;=2000,VLOOKUP(D65,'Вспомогат. таблицы'!$A$2:$B$11,2,),VLOOKUP(D65,'Вспомогат. таблицы'!$A$15:$B$24,2,)),"")</f>
        <v>2</v>
      </c>
      <c r="J65" s="186">
        <f t="shared" si="7"/>
        <v>8</v>
      </c>
      <c r="K65" s="178" t="s">
        <v>129</v>
      </c>
      <c r="L65" s="965"/>
      <c r="M65" s="188">
        <f>IFERROR(IF(L65&lt;&gt;"","",VLOOKUP(C65&amp;D65&amp;K65,НН!A:J,10,)),"")</f>
        <v>28</v>
      </c>
      <c r="N65" s="202">
        <f t="shared" si="1"/>
        <v>224</v>
      </c>
      <c r="O65" s="167"/>
    </row>
    <row r="66" spans="1:16" ht="24" outlineLevel="1">
      <c r="A66" s="179"/>
      <c r="B66" s="179"/>
      <c r="C66" s="241" t="s">
        <v>68</v>
      </c>
      <c r="D66" s="241" t="str">
        <f>IF($G$5&lt;2000,'Вспомогат. таблицы'!A18,'Вспомогат. таблицы'!A6)</f>
        <v>Лист г/к Б-ПН-О-6,0х1500х3000 ГОСТ 19903-74 // Ст3пс ГОСТ 14637-89</v>
      </c>
      <c r="E66" s="271" t="str">
        <f t="shared" si="6"/>
        <v/>
      </c>
      <c r="F66" s="212" t="str">
        <f t="array" ref="F66">IF(C66="","",IF(OR(C66=Списки!$AG$15:$AG$17),"нет","да"))</f>
        <v>да</v>
      </c>
      <c r="G66" s="1318">
        <f>107*J66/1000</f>
        <v>3.424E-2</v>
      </c>
      <c r="H66" s="684"/>
      <c r="I66" s="225">
        <f>IF(H66="",IF($G$5&gt;=2000,VLOOKUP(D66,'Вспомогат. таблицы'!$A$2:$B$11,2,),VLOOKUP(D66,'Вспомогат. таблицы'!$A$15:$B$24,2,)),"")</f>
        <v>0.08</v>
      </c>
      <c r="J66" s="186">
        <f t="shared" si="7"/>
        <v>0.32</v>
      </c>
      <c r="K66" s="178" t="s">
        <v>223</v>
      </c>
      <c r="L66" s="965"/>
      <c r="M66" s="188">
        <f>IFERROR(IF(L66&lt;&gt;"","",VLOOKUP(C66&amp;D66&amp;K66,НН!A:J,10,)),"")</f>
        <v>5833.33</v>
      </c>
      <c r="N66" s="202">
        <f t="shared" si="1"/>
        <v>1866.6656</v>
      </c>
      <c r="O66" s="167"/>
    </row>
    <row r="67" spans="1:16" ht="24" outlineLevel="1">
      <c r="A67" s="179"/>
      <c r="B67" s="179"/>
      <c r="C67" s="241" t="s">
        <v>68</v>
      </c>
      <c r="D67" s="241" t="str">
        <f>IF($G$5&lt;2000,'Вспомогат. таблицы'!A19,'Вспомогат. таблицы'!A7)</f>
        <v>Лист г/к Б-ПН-О-12,0х1500х3000 ГОСТ 19903-74 // Ст3пс ГОСТ 14637-89</v>
      </c>
      <c r="E67" s="271" t="str">
        <f t="shared" si="6"/>
        <v/>
      </c>
      <c r="F67" s="212" t="str">
        <f t="array" ref="F67">IF(C67="","",IF(OR(C67=Списки!$AG$15:$AG$17),"нет","да"))</f>
        <v>да</v>
      </c>
      <c r="G67" s="1318">
        <f>F61*0.785</f>
        <v>3.14</v>
      </c>
      <c r="H67" s="684"/>
      <c r="I67" s="225">
        <f>IF(H67="",IF($G$5&gt;=2000,VLOOKUP(D67,'Вспомогат. таблицы'!$A$2:$B$11,2,),VLOOKUP(D67,'Вспомогат. таблицы'!$A$15:$B$24,2,)),"")</f>
        <v>0.05</v>
      </c>
      <c r="J67" s="186">
        <f t="shared" si="7"/>
        <v>0.2</v>
      </c>
      <c r="K67" s="178" t="s">
        <v>223</v>
      </c>
      <c r="L67" s="965"/>
      <c r="M67" s="188">
        <f>IFERROR(IF(L67&lt;&gt;"","",VLOOKUP(C67&amp;D67&amp;K67,НН!A:J,10,)),"")</f>
        <v>11222.22</v>
      </c>
      <c r="N67" s="202">
        <f t="shared" si="1"/>
        <v>2244.444</v>
      </c>
      <c r="O67" s="167"/>
    </row>
    <row r="68" spans="1:16" ht="15" outlineLevel="1">
      <c r="A68" s="179"/>
      <c r="B68" s="179"/>
      <c r="C68" s="241" t="s">
        <v>68</v>
      </c>
      <c r="D68" s="241" t="str">
        <f>IF($G$5&lt;2000,'Вспомогат. таблицы'!A20,'Вспомогат. таблицы'!A8)</f>
        <v>Арматура 20-А-I Ст3пс ГОСТ 5781-82 гладкая (А240)</v>
      </c>
      <c r="E68" s="271" t="str">
        <f t="shared" si="6"/>
        <v/>
      </c>
      <c r="F68" s="212" t="str">
        <f t="array" ref="F68">IF(C68="","",IF(OR(C68=Списки!$AG$15:$AG$17),"нет","да"))</f>
        <v>да</v>
      </c>
      <c r="G68" s="1318">
        <f>F61*2.26</f>
        <v>9.0399999999999991</v>
      </c>
      <c r="H68" s="684"/>
      <c r="I68" s="225">
        <f>IF(H68="",IF($G$5&gt;=2000,VLOOKUP(D68,'Вспомогат. таблицы'!$A$2:$B$11,2,),VLOOKUP(D68,'Вспомогат. таблицы'!$A$15:$B$24,2,)),"")</f>
        <v>0.9</v>
      </c>
      <c r="J68" s="186">
        <f t="shared" si="7"/>
        <v>3.6</v>
      </c>
      <c r="K68" s="178" t="s">
        <v>163</v>
      </c>
      <c r="L68" s="965"/>
      <c r="M68" s="188">
        <f>IFERROR(IF(L68&lt;&gt;"","",VLOOKUP(C68&amp;D68&amp;K68,НН!A:J,10,)),"")</f>
        <v>190</v>
      </c>
      <c r="N68" s="202">
        <f t="shared" si="1"/>
        <v>684</v>
      </c>
      <c r="O68" s="167"/>
    </row>
    <row r="69" spans="1:16" ht="24" outlineLevel="1">
      <c r="A69" s="179"/>
      <c r="B69" s="179"/>
      <c r="C69" s="241" t="s">
        <v>72</v>
      </c>
      <c r="D69" s="241" t="str">
        <f>IF($G$5&lt;2000,'Вспомогат. таблицы'!A21,'Вспомогат. таблицы'!A9)</f>
        <v>Ламинирование петель к корпусу</v>
      </c>
      <c r="E69" s="271" t="str">
        <f t="shared" si="6"/>
        <v>Прим. - Петля усиленная</v>
      </c>
      <c r="F69" s="212" t="str">
        <f t="array" ref="F69">IF(C69="","",IF(OR(C69=Списки!$AG$15:$AG$17),"нет","да"))</f>
        <v>нет</v>
      </c>
      <c r="G69" s="243"/>
      <c r="H69" s="684"/>
      <c r="I69" s="225">
        <f>IF(H69="",IF($G$5&gt;=2000,VLOOKUP(D69,'Вспомогат. таблицы'!$A$2:$B$11,2,),VLOOKUP(D69,'Вспомогат. таблицы'!$A$15:$B$24,2,)),"")</f>
        <v>0.6</v>
      </c>
      <c r="J69" s="186">
        <f t="shared" si="7"/>
        <v>2.4</v>
      </c>
      <c r="K69" s="178" t="s">
        <v>193</v>
      </c>
      <c r="L69" s="965"/>
      <c r="M69" s="188">
        <f>IFERROR(IF(L69&lt;&gt;"","",VLOOKUP(C69&amp;D69&amp;K69,НН!A:J,10,)),"")</f>
        <v>310.2</v>
      </c>
      <c r="N69" s="202">
        <f t="shared" si="1"/>
        <v>744.4799999999999</v>
      </c>
      <c r="O69" s="167" t="s">
        <v>356</v>
      </c>
    </row>
    <row r="70" spans="1:16" ht="15" outlineLevel="1">
      <c r="B70" s="179"/>
      <c r="C70" s="241" t="s">
        <v>238</v>
      </c>
      <c r="D70" s="241" t="str">
        <f>IF($G$5&lt;2000,'Вспомогат. таблицы'!A22,'Вспомогат. таблицы'!A10)</f>
        <v>ФОТ</v>
      </c>
      <c r="E70" s="271" t="str">
        <f t="shared" si="6"/>
        <v/>
      </c>
      <c r="F70" s="212" t="str">
        <f t="array" ref="F70">IF(C70="","",IF(OR(C70=Списки!$AG$15:$AG$17),"нет","да"))</f>
        <v>нет</v>
      </c>
      <c r="G70" s="243"/>
      <c r="H70" s="684"/>
      <c r="I70" s="225">
        <f>IF(COUNTIF(D69,"*мех*")=1,0.28,IF(COUNTIF(D69,"*ламин*")=1,0.56,1))</f>
        <v>0.56000000000000005</v>
      </c>
      <c r="J70" s="194">
        <f>ROUNDUP(IF($C$61="нет",0,I70*J69),1)</f>
        <v>1.4000000000000001</v>
      </c>
      <c r="K70" s="178" t="s">
        <v>212</v>
      </c>
      <c r="L70" s="965"/>
      <c r="M70" s="188">
        <f>IFERROR(IF(L70&lt;&gt;"","",VLOOKUP(C70&amp;D70&amp;K70,НН!A:J,10,)),"")</f>
        <v>1207.8</v>
      </c>
      <c r="N70" s="202">
        <f t="shared" si="1"/>
        <v>1690.92</v>
      </c>
      <c r="O70" s="167"/>
      <c r="P70" s="273"/>
    </row>
    <row r="71" spans="1:16" ht="15">
      <c r="B71" s="179"/>
      <c r="C71" s="685"/>
      <c r="D71" s="241"/>
      <c r="E71" s="271"/>
      <c r="F71" s="215"/>
      <c r="G71" s="686"/>
      <c r="H71" s="687"/>
      <c r="I71" s="261"/>
      <c r="J71" s="219"/>
      <c r="K71" s="220"/>
      <c r="L71" s="221"/>
      <c r="M71" s="222"/>
      <c r="N71" s="189"/>
      <c r="O71" s="167"/>
      <c r="P71" s="168"/>
    </row>
    <row r="72" spans="1:16" ht="15" collapsed="1">
      <c r="B72" s="179"/>
      <c r="C72" s="264" t="s">
        <v>150</v>
      </c>
      <c r="D72" s="251" t="s">
        <v>346</v>
      </c>
      <c r="E72" s="1380" t="s">
        <v>2195</v>
      </c>
      <c r="F72" s="1380"/>
      <c r="G72" s="1380"/>
      <c r="H72" s="1380"/>
      <c r="I72" s="1380"/>
      <c r="J72" s="1380"/>
      <c r="K72" s="1380"/>
      <c r="L72" s="1380"/>
      <c r="M72" s="1380"/>
      <c r="N72" s="1381"/>
      <c r="O72" s="167"/>
      <c r="P72" s="168"/>
    </row>
    <row r="73" spans="1:16" ht="24" hidden="1" outlineLevel="1">
      <c r="B73" s="179"/>
      <c r="C73" s="180" t="s">
        <v>197</v>
      </c>
      <c r="D73" s="180" t="s">
        <v>347</v>
      </c>
      <c r="E73" s="224" t="s">
        <v>348</v>
      </c>
      <c r="F73" s="212" t="str">
        <f t="array" ref="F73">IF(C73="","",IF(OR(C73=Списки!$AG$15:$AG$17),"нет","да"))</f>
        <v>да</v>
      </c>
      <c r="G73" s="204"/>
      <c r="H73" s="184"/>
      <c r="I73" s="193">
        <v>1</v>
      </c>
      <c r="J73" s="186">
        <f>IF(C72="НЕТ",0,I73)*$M$5</f>
        <v>0</v>
      </c>
      <c r="K73" s="178" t="s">
        <v>163</v>
      </c>
      <c r="L73" s="965"/>
      <c r="M73" s="188">
        <f>IFERROR(IF(L73&lt;&gt;"","",VLOOKUP(C73&amp;D73&amp;K73,НН!A:J,10,)),"")</f>
        <v>2901</v>
      </c>
      <c r="N73" s="202">
        <f t="shared" si="1"/>
        <v>0</v>
      </c>
      <c r="O73" s="688"/>
      <c r="P73" s="168"/>
    </row>
    <row r="74" spans="1:16" ht="15" hidden="1" outlineLevel="1">
      <c r="B74" s="179"/>
      <c r="C74" s="180" t="s">
        <v>72</v>
      </c>
      <c r="D74" s="180" t="s">
        <v>349</v>
      </c>
      <c r="E74" s="257"/>
      <c r="F74" s="212" t="str">
        <f t="array" ref="F74">IF(C74="","",IF($E$64="нет","-",IF(OR(C74=Списки!$AG$15:$AG$17),"нет","да")))</f>
        <v>нет</v>
      </c>
      <c r="G74" s="204"/>
      <c r="H74" s="210">
        <f>4*0.005*1850*M5</f>
        <v>37</v>
      </c>
      <c r="I74" s="225"/>
      <c r="J74" s="258">
        <f>IF(C72="НЕТ",0,H74)*$M$5</f>
        <v>0</v>
      </c>
      <c r="K74" s="178" t="s">
        <v>193</v>
      </c>
      <c r="L74" s="965"/>
      <c r="M74" s="188">
        <f>IFERROR(IF(L74&lt;&gt;"","",VLOOKUP(C74&amp;D74&amp;K74,НН!A:J,10,)),"")</f>
        <v>214.4</v>
      </c>
      <c r="N74" s="202">
        <f t="shared" si="1"/>
        <v>0</v>
      </c>
      <c r="O74" s="167"/>
      <c r="P74" s="168"/>
    </row>
    <row r="75" spans="1:16" ht="15" hidden="1" outlineLevel="1">
      <c r="B75" s="179"/>
      <c r="C75" s="180" t="s">
        <v>238</v>
      </c>
      <c r="D75" s="180" t="s">
        <v>238</v>
      </c>
      <c r="E75" s="259"/>
      <c r="F75" s="212" t="str">
        <f t="array" ref="F75">IF(C75="","",IF($E$64="нет","-",IF(OR(C75=Списки!$AG$15:$AG$17),"нет","да")))</f>
        <v>нет</v>
      </c>
      <c r="G75" s="204"/>
      <c r="H75" s="184"/>
      <c r="I75" s="213">
        <f>IF(COUNTIF(D74,"*мех*")=1,0.28,IF(COUNTIF(D74,"*ламин*")=1,0.56,1))</f>
        <v>0.28000000000000003</v>
      </c>
      <c r="J75" s="260">
        <f>ROUNDUP(IF(H75="",IFERROR(J74*I75,""),H75),1)</f>
        <v>0</v>
      </c>
      <c r="K75" s="178" t="s">
        <v>212</v>
      </c>
      <c r="L75" s="965"/>
      <c r="M75" s="188">
        <f>IFERROR(IF(L75&lt;&gt;"","",VLOOKUP(C75&amp;D75&amp;K75,НН!A:J,10,)),"")</f>
        <v>1207.8</v>
      </c>
      <c r="N75" s="202">
        <f t="shared" si="1"/>
        <v>0</v>
      </c>
      <c r="O75" s="167"/>
      <c r="P75" s="168"/>
    </row>
    <row r="76" spans="1:16" ht="15" hidden="1" outlineLevel="1">
      <c r="B76" s="179"/>
      <c r="C76" s="180" t="s">
        <v>72</v>
      </c>
      <c r="D76" s="180" t="s">
        <v>350</v>
      </c>
      <c r="E76" s="259"/>
      <c r="F76" s="212" t="str">
        <f t="array" ref="F76">IF(C76="","",IF($E$64="нет","-",IF(OR(C76=Списки!$AG$15:$AG$17),"нет","да")))</f>
        <v>нет</v>
      </c>
      <c r="G76" s="204"/>
      <c r="H76" s="184"/>
      <c r="I76" s="225">
        <f>IF(H76="",3*J74/10,"")</f>
        <v>0</v>
      </c>
      <c r="J76" s="258">
        <f>IF($C$72="нет",0,IF(H76="",I76,H76)*$M$5)</f>
        <v>0</v>
      </c>
      <c r="K76" s="178" t="s">
        <v>193</v>
      </c>
      <c r="L76" s="965"/>
      <c r="M76" s="188">
        <f>IFERROR(IF(L76&lt;&gt;"","",VLOOKUP(C76&amp;D76&amp;K76,НН!A:J,10,)),"")</f>
        <v>310.2</v>
      </c>
      <c r="N76" s="202">
        <f t="shared" si="1"/>
        <v>0</v>
      </c>
      <c r="O76" s="167"/>
      <c r="P76" s="168"/>
    </row>
    <row r="77" spans="1:16" ht="13.15" hidden="1" customHeight="1" outlineLevel="1">
      <c r="B77" s="179"/>
      <c r="C77" s="180" t="s">
        <v>238</v>
      </c>
      <c r="D77" s="180" t="s">
        <v>238</v>
      </c>
      <c r="E77" s="259"/>
      <c r="F77" s="212" t="str">
        <f t="array" ref="F77">IF(C77="","",IF($E$64="нет","-",IF(OR(C77=Списки!$AG$15:$AG$17),"нет","да")))</f>
        <v>нет</v>
      </c>
      <c r="G77" s="204"/>
      <c r="H77" s="184"/>
      <c r="I77" s="225">
        <f>IF(COUNTIF(D76,"*мех*")=1,0.28,IF(COUNTIF(D76,"*ламин*")=1,0.56,1))</f>
        <v>0.56000000000000005</v>
      </c>
      <c r="J77" s="194">
        <f>ROUNDUP(IF(H77="",IFERROR(J76*I77,""),H77),1)</f>
        <v>0</v>
      </c>
      <c r="K77" s="178" t="s">
        <v>212</v>
      </c>
      <c r="L77" s="965"/>
      <c r="M77" s="188">
        <f>IFERROR(IF(L77&lt;&gt;"","",VLOOKUP(C77&amp;D77&amp;K77,НН!A:J,10,)),"")</f>
        <v>1207.8</v>
      </c>
      <c r="N77" s="202">
        <f t="shared" si="1"/>
        <v>0</v>
      </c>
      <c r="O77" s="167"/>
      <c r="P77" s="168"/>
    </row>
    <row r="78" spans="1:16" ht="15">
      <c r="B78" s="169" t="s">
        <v>365</v>
      </c>
      <c r="C78" s="290"/>
      <c r="D78" s="291" t="s">
        <v>569</v>
      </c>
      <c r="E78" s="292"/>
      <c r="F78" s="293"/>
      <c r="G78" s="671"/>
      <c r="H78" s="230"/>
      <c r="I78" s="294"/>
      <c r="J78" s="295"/>
      <c r="K78" s="220"/>
      <c r="L78" s="255"/>
      <c r="M78" s="256"/>
      <c r="N78" s="235"/>
      <c r="O78" s="167"/>
      <c r="P78" s="168"/>
    </row>
    <row r="79" spans="1:16" ht="24" outlineLevel="1">
      <c r="B79" s="179"/>
      <c r="C79" s="180" t="s">
        <v>72</v>
      </c>
      <c r="D79" s="180" t="s">
        <v>367</v>
      </c>
      <c r="E79" s="276" t="str">
        <f>D13</f>
        <v>Труба СК/НПС-К 3000-0,1-10000</v>
      </c>
      <c r="F79" s="212" t="str">
        <f t="array" ref="F79">IF(C79="","",IF(OR(C79=Списки!$AG$15:$AG$17),"нет","да"))</f>
        <v>нет</v>
      </c>
      <c r="G79" s="236"/>
      <c r="H79" s="184"/>
      <c r="I79" s="193">
        <f>($G$5/(200*6))*J13</f>
        <v>37.25</v>
      </c>
      <c r="J79" s="260">
        <f>ROUNDUP(IF(H79="",I79,H79),1)</f>
        <v>37.300000000000004</v>
      </c>
      <c r="K79" s="178" t="s">
        <v>212</v>
      </c>
      <c r="L79" s="965"/>
      <c r="M79" s="188">
        <f>IFERROR(IF(L79&lt;&gt;"","",VLOOKUP(C79&amp;D79&amp;K79,НН!A:J,10,)),"")</f>
        <v>1207.8</v>
      </c>
      <c r="N79" s="202">
        <f t="shared" si="1"/>
        <v>45050.94</v>
      </c>
      <c r="O79" s="167" t="s">
        <v>368</v>
      </c>
      <c r="P79" s="492"/>
    </row>
    <row r="80" spans="1:16" ht="30" customHeight="1" outlineLevel="1">
      <c r="B80" s="179"/>
      <c r="C80" s="180" t="s">
        <v>72</v>
      </c>
      <c r="D80" s="180" t="s">
        <v>367</v>
      </c>
      <c r="E80" s="276" t="str">
        <f>D55</f>
        <v>Труба СК/НПС-К 1200-0,1-5000</v>
      </c>
      <c r="F80" s="212" t="str">
        <f t="array" ref="F80">IF(C80="","",IF(OR(C80=Списки!$AG$15:$AG$17),"нет","да"))</f>
        <v>нет</v>
      </c>
      <c r="G80" s="236"/>
      <c r="H80" s="184"/>
      <c r="I80" s="193">
        <f>($F54/(200*6))*J55</f>
        <v>4</v>
      </c>
      <c r="J80" s="260">
        <f>IF(C53="нет",0,ROUNDUP(IF(ОЛ_ЕМКОСТИ!E40="",0,IF(H80="",I80,H80)),1))</f>
        <v>4</v>
      </c>
      <c r="K80" s="178" t="s">
        <v>212</v>
      </c>
      <c r="L80" s="965"/>
      <c r="M80" s="188">
        <f>IFERROR(IF(L80&lt;&gt;"","",VLOOKUP(C80&amp;D80&amp;K80,НН!A:J,10,)),"")</f>
        <v>1207.8</v>
      </c>
      <c r="N80" s="202">
        <f t="shared" si="1"/>
        <v>4831.2</v>
      </c>
      <c r="O80" s="214"/>
      <c r="P80" s="492"/>
    </row>
    <row r="81" spans="2:16" ht="24" outlineLevel="1">
      <c r="B81" s="179"/>
      <c r="C81" s="180" t="s">
        <v>72</v>
      </c>
      <c r="D81" s="180" t="s">
        <v>367</v>
      </c>
      <c r="E81" s="300">
        <f>E36+100</f>
        <v>500</v>
      </c>
      <c r="F81" s="212" t="str">
        <f t="array" ref="F81">IF(C81="","",IF(OR(C81=Списки!$AG$15:$AG$17),"нет","да"))</f>
        <v>нет</v>
      </c>
      <c r="G81" s="236"/>
      <c r="H81" s="184"/>
      <c r="I81" s="193">
        <f>((E36+100)/(200*6))*J55</f>
        <v>1.6666666666666667</v>
      </c>
      <c r="J81" s="260">
        <f>ROUNDUP(IF(H81="",I81,H81),1)</f>
        <v>1.7000000000000002</v>
      </c>
      <c r="K81" s="178" t="s">
        <v>212</v>
      </c>
      <c r="L81" s="965"/>
      <c r="M81" s="188">
        <f>IFERROR(IF(L81&lt;&gt;"","",VLOOKUP(C81&amp;D81&amp;K81,НН!A:J,10,)),"")</f>
        <v>1207.8</v>
      </c>
      <c r="N81" s="202">
        <f t="shared" si="1"/>
        <v>2053.2600000000002</v>
      </c>
      <c r="O81" s="214"/>
      <c r="P81" s="492"/>
    </row>
    <row r="82" spans="2:16" ht="36.75" customHeight="1" outlineLevel="1">
      <c r="B82" s="179"/>
      <c r="C82" s="180" t="s">
        <v>72</v>
      </c>
      <c r="D82" s="241" t="s">
        <v>369</v>
      </c>
      <c r="E82" s="300">
        <f>E42+100</f>
        <v>400</v>
      </c>
      <c r="F82" s="212" t="str">
        <f t="array" ref="F82">IF(C82="","",IF(OR(C82=Списки!$AG$15:$AG$17),"нет","да"))</f>
        <v>нет</v>
      </c>
      <c r="G82" s="236"/>
      <c r="H82" s="184"/>
      <c r="I82" s="193">
        <f>((E42+100)/(200*6))*J55</f>
        <v>1.3333333333333333</v>
      </c>
      <c r="J82" s="260">
        <f>ROUNDUP(IF(H82="",I82,H82),1)</f>
        <v>1.4000000000000001</v>
      </c>
      <c r="K82" s="178" t="s">
        <v>212</v>
      </c>
      <c r="L82" s="965"/>
      <c r="M82" s="188">
        <f>IFERROR(IF(L82&lt;&gt;"","",VLOOKUP(C82&amp;D82&amp;K82,НН!A:J,10,)),"")</f>
        <v>1207.8</v>
      </c>
      <c r="N82" s="202">
        <f t="shared" si="1"/>
        <v>1690.92</v>
      </c>
      <c r="O82" s="167" t="s">
        <v>370</v>
      </c>
      <c r="P82" s="298"/>
    </row>
    <row r="83" spans="2:16" ht="20.25" customHeight="1" outlineLevel="1">
      <c r="B83" s="179"/>
      <c r="C83" s="180" t="s">
        <v>72</v>
      </c>
      <c r="D83" s="241" t="s">
        <v>570</v>
      </c>
      <c r="E83" s="238" t="str">
        <f>D55</f>
        <v>Труба СК/НПС-К 1200-0,1-5000</v>
      </c>
      <c r="F83" s="212" t="str">
        <f t="array" ref="F83">IF(C83="","",IF(OR(C83=Списки!$AG$15:$AG$17),"нет","да"))</f>
        <v>нет</v>
      </c>
      <c r="G83" s="236"/>
      <c r="H83" s="184"/>
      <c r="I83" s="193">
        <f>$F$53*F54*PI()/1000*0.5</f>
        <v>3.7699111843077517</v>
      </c>
      <c r="J83" s="260">
        <f>IF(C53="нет",0,ROUNDUP(IF(ОЛ_ЕМКОСТИ!E40="",0,IF(H83="",I83,H83)),1))</f>
        <v>3.8000000000000003</v>
      </c>
      <c r="K83" s="178" t="s">
        <v>212</v>
      </c>
      <c r="L83" s="965"/>
      <c r="M83" s="188">
        <f>IFERROR(IF(L83&lt;&gt;"","",VLOOKUP(C83&amp;D83&amp;K83,НН!A:J,10,)),"")</f>
        <v>1207.8</v>
      </c>
      <c r="N83" s="202">
        <f t="shared" si="1"/>
        <v>4589.6400000000003</v>
      </c>
      <c r="O83" s="214"/>
      <c r="P83" s="298"/>
    </row>
    <row r="84" spans="2:16" ht="15" outlineLevel="1">
      <c r="B84" s="179"/>
      <c r="C84" s="180" t="s">
        <v>72</v>
      </c>
      <c r="D84" s="180" t="s">
        <v>372</v>
      </c>
      <c r="E84" s="271" t="str">
        <f>IF(SEARCH("*петель*",D84)=1,IF(G5&lt;2000,"Прим. - Петли простые","Прим. - Петли усиленные"))</f>
        <v>Прим. - Петли усиленные</v>
      </c>
      <c r="F84" s="212" t="str">
        <f t="array" ref="F84">IF(C84="","",IF(OR(C84=Списки!$AG$15:$AG$17),"нет","да"))</f>
        <v>нет</v>
      </c>
      <c r="G84" s="236"/>
      <c r="H84" s="184"/>
      <c r="I84" s="193">
        <f>ROUNDUP(0.5*F61,)</f>
        <v>2</v>
      </c>
      <c r="J84" s="260">
        <f t="shared" ref="J84:J85" si="8">IF($C$61="нет",0,ROUNDUP(IF(H84="",I84,H84),1))</f>
        <v>2</v>
      </c>
      <c r="K84" s="178" t="s">
        <v>212</v>
      </c>
      <c r="L84" s="965"/>
      <c r="M84" s="188">
        <f>IFERROR(IF(L84&lt;&gt;"","",VLOOKUP(C84&amp;D84&amp;K84,НН!A:J,10,)),"")</f>
        <v>1207.8</v>
      </c>
      <c r="N84" s="202">
        <f t="shared" si="1"/>
        <v>2415.6</v>
      </c>
      <c r="O84" s="167" t="s">
        <v>373</v>
      </c>
      <c r="P84" s="492"/>
    </row>
    <row r="85" spans="2:16" ht="15" outlineLevel="1">
      <c r="B85" s="179"/>
      <c r="C85" s="180" t="s">
        <v>72</v>
      </c>
      <c r="D85" s="180" t="s">
        <v>374</v>
      </c>
      <c r="E85" s="271" t="str">
        <f>IF(SEARCH("*петель*",D85)=1,IF(G5&lt;2000,"Прим. - Петли простые","Прим. - Петли усиленные"))</f>
        <v>Прим. - Петли усиленные</v>
      </c>
      <c r="F85" s="212" t="str">
        <f t="array" ref="F85">IF(C85="","",IF(OR(C85=Списки!$AG$15:$AG$17),"нет","да"))</f>
        <v>нет</v>
      </c>
      <c r="G85" s="236"/>
      <c r="H85" s="184"/>
      <c r="I85" s="193">
        <f>ROUNDUP(0.5*F61,)</f>
        <v>2</v>
      </c>
      <c r="J85" s="260">
        <f t="shared" si="8"/>
        <v>2</v>
      </c>
      <c r="K85" s="178" t="s">
        <v>212</v>
      </c>
      <c r="L85" s="965"/>
      <c r="M85" s="188">
        <f>IFERROR(IF(L85&lt;&gt;"","",VLOOKUP(C85&amp;D85&amp;K85,НН!A:J,10,)),"")</f>
        <v>1207.8</v>
      </c>
      <c r="N85" s="202">
        <f t="shared" si="1"/>
        <v>2415.6</v>
      </c>
      <c r="O85" s="167" t="s">
        <v>373</v>
      </c>
      <c r="P85" s="492"/>
    </row>
    <row r="86" spans="2:16" ht="15" outlineLevel="1">
      <c r="B86" s="179"/>
      <c r="C86" s="464" t="s">
        <v>72</v>
      </c>
      <c r="D86" s="180" t="s">
        <v>375</v>
      </c>
      <c r="E86" s="689"/>
      <c r="F86" s="212" t="str">
        <f t="array" ref="F86">IF(C86="","",IF(OR(C86=Списки!$AG$15:$AG$17),"нет","да"))</f>
        <v>нет</v>
      </c>
      <c r="G86" s="236"/>
      <c r="H86" s="455"/>
      <c r="I86" s="185">
        <f>J49*1+J50*1</f>
        <v>14.608405839192539</v>
      </c>
      <c r="J86" s="260">
        <f>ROUNDUP(IF(ОЛ_ЕМКОСТИ!$E$80="нет",0,IF(H86="",I86,H86)),1)</f>
        <v>14.7</v>
      </c>
      <c r="K86" s="178" t="s">
        <v>212</v>
      </c>
      <c r="L86" s="965"/>
      <c r="M86" s="188">
        <f>IFERROR(IF(L86&lt;&gt;"","",VLOOKUP(C86&amp;D86&amp;K86,НН!A:J,10,)),"")</f>
        <v>1207.8</v>
      </c>
      <c r="N86" s="498">
        <f t="shared" si="1"/>
        <v>17754.66</v>
      </c>
      <c r="O86" s="690"/>
      <c r="P86" s="492"/>
    </row>
    <row r="87" spans="2:16" ht="13.5" customHeight="1">
      <c r="B87" s="305"/>
      <c r="C87" s="306"/>
      <c r="D87" s="307" t="s">
        <v>377</v>
      </c>
      <c r="E87" s="308"/>
      <c r="F87" s="309"/>
      <c r="G87" s="310"/>
      <c r="H87" s="311"/>
      <c r="I87" s="312"/>
      <c r="J87" s="313"/>
      <c r="K87" s="314"/>
      <c r="L87" s="315"/>
      <c r="M87" s="316"/>
      <c r="N87" s="317"/>
      <c r="O87" s="691"/>
      <c r="P87" s="168"/>
    </row>
    <row r="88" spans="2:16" ht="18">
      <c r="B88" s="318"/>
      <c r="C88" s="319"/>
      <c r="D88" s="320"/>
      <c r="E88" s="321" t="s">
        <v>378</v>
      </c>
      <c r="F88" s="322"/>
      <c r="G88" s="367">
        <f>SUM(G13:G87)</f>
        <v>14472.656800000002</v>
      </c>
      <c r="H88" s="320"/>
      <c r="I88" s="320"/>
      <c r="J88" s="324"/>
      <c r="K88" s="324"/>
      <c r="L88" s="369"/>
      <c r="M88" s="370"/>
      <c r="N88" s="328">
        <f ca="1">IF($E$13=Списки!$AI$3,SUM($N$14:$N$87),SUM($N$13:$N$87))</f>
        <v>657925.7362864312</v>
      </c>
      <c r="O88" s="329"/>
      <c r="P88" s="330"/>
    </row>
    <row r="89" spans="2:16" ht="15.75">
      <c r="B89" s="318"/>
      <c r="C89" s="319"/>
      <c r="D89" s="332"/>
      <c r="E89" s="333" t="s">
        <v>379</v>
      </c>
      <c r="F89" s="334"/>
      <c r="G89" s="335"/>
      <c r="H89" s="336"/>
      <c r="I89" s="336"/>
      <c r="J89" s="337"/>
      <c r="K89" s="338"/>
      <c r="L89" s="692"/>
      <c r="M89" s="340"/>
      <c r="N89" s="341">
        <f t="array" ref="N89">SUM(SUMIF($C$14:$C$87,Списки!$AG$2:$AG$14,$N$14:$N$87))</f>
        <v>16910.693979394404</v>
      </c>
      <c r="O89" s="329"/>
      <c r="P89" s="331"/>
    </row>
    <row r="90" spans="2:16" ht="24">
      <c r="B90" s="318"/>
      <c r="C90" s="319"/>
      <c r="D90" s="332"/>
      <c r="E90" s="333" t="s">
        <v>380</v>
      </c>
      <c r="F90" s="334"/>
      <c r="G90" s="335"/>
      <c r="H90" s="336"/>
      <c r="I90" s="336"/>
      <c r="J90" s="337"/>
      <c r="K90" s="338"/>
      <c r="L90" s="692"/>
      <c r="M90" s="340"/>
      <c r="N90" s="693">
        <f>IF($E$13=Списки!$AI$3,SUMIFS(N14:N78,D14:D78,"муфта*",F14:F78,"нет")+SUMIFS(N13:N78,D13:D78,"Труба*",F13:F78,"нет"),N13+SUMIFS(N13:N78,D13:D78,"муфта*",F13:F78,"нет")+SUMIFS(N13:N78,D13:D78,"Труба*",F13:F78,"нет"))+SUMIFS(N13:N78,E13:E78,"муфта*",F13:F78,"нет")</f>
        <v>23.4</v>
      </c>
      <c r="O90" s="329"/>
      <c r="P90" s="353" t="s">
        <v>381</v>
      </c>
    </row>
    <row r="91" spans="2:16" ht="15.75">
      <c r="B91" s="318"/>
      <c r="C91" s="319"/>
      <c r="D91" s="332"/>
      <c r="E91" s="333" t="s">
        <v>382</v>
      </c>
      <c r="F91" s="334"/>
      <c r="G91" s="335"/>
      <c r="H91" s="336"/>
      <c r="I91" s="336"/>
      <c r="J91" s="354">
        <f>ROUNDUP(SUMIFS($J$14:$J$87,$K$14:$K$87,Списки!$S$5)-SUMIFS($J$14:$J$87,$K$14:$K$87,Списки!$S$5,$D$14:$D$87,"*изготов*"),1)</f>
        <v>418.6</v>
      </c>
      <c r="K91" s="338" t="s">
        <v>212</v>
      </c>
      <c r="L91" s="692"/>
      <c r="M91" s="340"/>
      <c r="N91" s="341">
        <f>SUMIF($K$14:$K$87,Списки!$S$5,$N$14:$N$87)-SUMIFS($N$14:$N$87,$K$14:$K$87,Списки!$S$5,$D$14:$D$87,"*изготов*")</f>
        <v>505585.07999999996</v>
      </c>
      <c r="O91" s="379"/>
      <c r="P91" s="331"/>
    </row>
    <row r="92" spans="2:16" ht="15.75">
      <c r="B92" s="318"/>
      <c r="C92" s="319"/>
      <c r="D92" s="332"/>
      <c r="E92" s="333" t="s">
        <v>383</v>
      </c>
      <c r="F92" s="334"/>
      <c r="G92" s="335"/>
      <c r="H92" s="336"/>
      <c r="I92" s="336"/>
      <c r="J92" s="333">
        <f>SUMIFS($J$14:$J$87,$K$14:$K$87,Списки!$S$5,$D$14:$D$87,"*изготов*")</f>
        <v>2</v>
      </c>
      <c r="K92" s="338"/>
      <c r="L92" s="692"/>
      <c r="M92" s="340"/>
      <c r="N92" s="341">
        <f>SUMIFS($N$14:$N$87,$K$14:$K$87,Списки!$S$5,$D$14:$D$87,"*изготов*")</f>
        <v>2415.6</v>
      </c>
      <c r="O92" s="379"/>
      <c r="P92" s="331"/>
    </row>
    <row r="93" spans="2:16" ht="15.75">
      <c r="B93" s="318"/>
      <c r="C93" s="319"/>
      <c r="D93" s="332"/>
      <c r="E93" s="333" t="s">
        <v>384</v>
      </c>
      <c r="F93" s="334"/>
      <c r="G93" s="335"/>
      <c r="H93" s="336"/>
      <c r="I93" s="336"/>
      <c r="J93" s="333">
        <f>SUMIFS($J$13:$J$87,$K$13:$K$87,Списки!$S$4)</f>
        <v>561.16388637834166</v>
      </c>
      <c r="K93" s="338" t="s">
        <v>193</v>
      </c>
      <c r="L93" s="692"/>
      <c r="M93" s="340"/>
      <c r="N93" s="341">
        <f>SUMIF($K$16:$K$87,Списки!$S$4,$N$16:$N$87)</f>
        <v>132990.96230703683</v>
      </c>
      <c r="O93" s="379"/>
      <c r="P93" s="331"/>
    </row>
    <row r="94" spans="2:16" ht="15.75" collapsed="1">
      <c r="B94" s="386">
        <v>2</v>
      </c>
      <c r="C94" s="208"/>
      <c r="D94" s="278" t="s">
        <v>385</v>
      </c>
      <c r="E94" s="279"/>
      <c r="F94" s="280" t="str">
        <f t="array" ref="F94">IF(ISBLANK(C94),"",IF(OR(C94=Списки!$AG$15:$AG$17),"нет","да"))</f>
        <v/>
      </c>
      <c r="G94" s="216"/>
      <c r="H94" s="281"/>
      <c r="I94" s="261"/>
      <c r="J94" s="219"/>
      <c r="K94" s="220"/>
      <c r="L94" s="255"/>
      <c r="M94" s="256" t="str">
        <f t="array" aca="1" ref="M94" ca="1">IF(D94="ФОТ",I94*#REF!,IFERROR(IF(L94&lt;&gt;"","",IF((VLOOKUP(D94&amp;K94,INDIRECT("'"&amp;INDEX(Списки!$AG$2:$AG$17,MATCH(TRUE,COUNTIF(INDIRECT("'"&amp;Списки!$AG$2:$AG$17 &amp;"'!A1:A300000"),D94&amp;K94)&gt;0,0))&amp;"'!A:h"),7,0))=0,"",VLOOKUP(D94&amp;K94,INDIRECT("'"&amp;INDEX(Списки!$AG$2:$AG$17,MATCH(TRUE,COUNTIF(INDIRECT("'"&amp;Списки!$AG$2:$AG$17 &amp;"'!A1:A300000"),D94&amp;K94)&gt;0,0))&amp;"'!A:h"),7,0))),""))</f>
        <v/>
      </c>
      <c r="N94" s="356"/>
      <c r="O94" s="379"/>
      <c r="P94" s="331"/>
    </row>
    <row r="95" spans="2:16" ht="15.75" hidden="1" outlineLevel="1">
      <c r="B95" s="169" t="s">
        <v>398</v>
      </c>
      <c r="C95" s="208"/>
      <c r="D95" s="357" t="s">
        <v>386</v>
      </c>
      <c r="E95" s="279"/>
      <c r="F95" s="280"/>
      <c r="G95" s="216"/>
      <c r="H95" s="281"/>
      <c r="I95" s="261"/>
      <c r="J95" s="358">
        <v>1</v>
      </c>
      <c r="K95" s="178" t="s">
        <v>129</v>
      </c>
      <c r="L95" s="255"/>
      <c r="M95" s="256" t="str">
        <f t="array" aca="1" ref="M95" ca="1">IFERROR(IF(L95&lt;&gt;"","",IF((VLOOKUP(D95&amp;K95,INDIRECT("'"&amp;INDEX(Списки!$AG$2:$AG$17,MATCH(TRUE,COUNTIF(INDIRECT("'"&amp;Списки!$AG$2:$AG$17 &amp;"'!A1:A300000"),D95&amp;K95)&gt;0,0))&amp;"'!A:h"),7,0))=0,"",VLOOKUP(D95&amp;K95,INDIRECT("'"&amp;INDEX(Списки!$AG$2:$AG$17,MATCH(TRUE,COUNTIF(INDIRECT("'"&amp;Списки!$AG$2:$AG$17 &amp;"'!A1:A300000"),D95&amp;K95)&gt;0,0))&amp;"'!A:h"),7,0))),"")</f>
        <v/>
      </c>
      <c r="N95" s="356"/>
      <c r="O95" s="379"/>
      <c r="P95" s="331"/>
    </row>
    <row r="96" spans="2:16" ht="15.75" hidden="1" outlineLevel="1">
      <c r="B96" s="179"/>
      <c r="C96" s="180" t="s">
        <v>68</v>
      </c>
      <c r="D96" s="208" t="s">
        <v>387</v>
      </c>
      <c r="E96" s="287"/>
      <c r="F96" s="212" t="str">
        <f t="array" ref="F96">IF(C96="","",IF(OR(C96=Списки!$AG$15:$AG$17),"нет","да"))</f>
        <v>да</v>
      </c>
      <c r="G96" s="204"/>
      <c r="H96" s="210"/>
      <c r="I96" s="193">
        <v>10</v>
      </c>
      <c r="J96" s="186">
        <f>IF(OR(ОЛ_ЕМКОСТИ!$E$67=Списки!$H$3,ОЛ_ЕМКОСТИ!$E$67=Списки!$H$5),0,IF(H96="",I96,H96))*J95</f>
        <v>10</v>
      </c>
      <c r="K96" s="178" t="s">
        <v>163</v>
      </c>
      <c r="L96" s="226"/>
      <c r="M96" s="188">
        <f>IFERROR(IF(L96&lt;&gt;"","",VLOOKUP(C96&amp;D96&amp;K96,НН!A:J,10,)),"")</f>
        <v>850</v>
      </c>
      <c r="N96" s="202">
        <f t="shared" ref="N96:N101" si="9">IFERROR(IF(L96="",M96*J96,J96*L96),"")</f>
        <v>8500</v>
      </c>
      <c r="O96" s="379"/>
      <c r="P96" s="331"/>
    </row>
    <row r="97" spans="2:16" ht="24" hidden="1" outlineLevel="1">
      <c r="B97" s="179"/>
      <c r="C97" s="180" t="s">
        <v>68</v>
      </c>
      <c r="D97" s="180" t="s">
        <v>388</v>
      </c>
      <c r="E97" s="287"/>
      <c r="F97" s="212" t="str">
        <f t="array" ref="F97">IF(C97="","",IF(OR(C97=Списки!$AG$15:$AG$17),"нет","да"))</f>
        <v>да</v>
      </c>
      <c r="G97" s="204"/>
      <c r="H97" s="210"/>
      <c r="I97" s="193">
        <f>IF(H97="",2,"")</f>
        <v>2</v>
      </c>
      <c r="J97" s="186">
        <f>IF(OR(ОЛ_ЕМКОСТИ!$E$67=Списки!$H$3,ОЛ_ЕМКОСТИ!$E$67=Списки!$H$5),0,IF(H97="",I97,H97))*J95</f>
        <v>2</v>
      </c>
      <c r="K97" s="178" t="s">
        <v>223</v>
      </c>
      <c r="L97" s="226"/>
      <c r="M97" s="188">
        <f>IFERROR(IF(L97&lt;&gt;"","",VLOOKUP(C97&amp;D97&amp;K97,НН!A:J,10,)),"")</f>
        <v>8750</v>
      </c>
      <c r="N97" s="202">
        <f t="shared" si="9"/>
        <v>17500</v>
      </c>
      <c r="O97" s="379"/>
      <c r="P97" s="331"/>
    </row>
    <row r="98" spans="2:16" ht="24" hidden="1" outlineLevel="1">
      <c r="B98" s="179"/>
      <c r="C98" s="180" t="s">
        <v>68</v>
      </c>
      <c r="D98" s="180" t="s">
        <v>389</v>
      </c>
      <c r="E98" s="287"/>
      <c r="F98" s="212" t="str">
        <f t="array" ref="F98">IF(C98="","",IF(OR(C98=Списки!$AG$15:$AG$17),"нет","да"))</f>
        <v>да</v>
      </c>
      <c r="G98" s="204"/>
      <c r="H98" s="210"/>
      <c r="I98" s="193">
        <f>IF(H98="",ROUNDUP(2*(ОЛ_ЕМКОСТИ!E51/1000),),"")</f>
        <v>5</v>
      </c>
      <c r="J98" s="186">
        <f>IF(OR(ОЛ_ЕМКОСТИ!$E$67=Списки!$H$3,ОЛ_ЕМКОСТИ!$E$67=Списки!$H$5),0,IF(H98="",I98,H98))*J95</f>
        <v>5</v>
      </c>
      <c r="K98" s="178" t="s">
        <v>163</v>
      </c>
      <c r="L98" s="226"/>
      <c r="M98" s="188">
        <f>IFERROR(IF(L98&lt;&gt;"","",VLOOKUP(C98&amp;D98&amp;K98,НН!A:J,10,)),"")</f>
        <v>3900</v>
      </c>
      <c r="N98" s="202">
        <f t="shared" si="9"/>
        <v>19500</v>
      </c>
      <c r="O98" s="379"/>
      <c r="P98" s="331"/>
    </row>
    <row r="99" spans="2:16" ht="15.75" hidden="1" outlineLevel="1">
      <c r="B99" s="179"/>
      <c r="C99" s="180" t="s">
        <v>68</v>
      </c>
      <c r="D99" s="180" t="s">
        <v>362</v>
      </c>
      <c r="E99" s="287"/>
      <c r="F99" s="212" t="str">
        <f t="array" ref="F99">IF(C99="","",IF(OR(C99=Списки!$AG$15:$AG$17),"нет","да"))</f>
        <v>да</v>
      </c>
      <c r="G99" s="204"/>
      <c r="H99" s="184"/>
      <c r="I99" s="272">
        <f>I100*(3.14*0.05)</f>
        <v>0.62800000000000011</v>
      </c>
      <c r="J99" s="234">
        <f>IF(OR(ОЛ_ЕМКОСТИ!$E$67=Списки!$H$3,ОЛ_ЕМКОСТИ!$E$67=Списки!$H$5),0,IF(H99="",I99,H99))*J95</f>
        <v>0.62800000000000011</v>
      </c>
      <c r="K99" s="178" t="s">
        <v>163</v>
      </c>
      <c r="L99" s="226"/>
      <c r="M99" s="188">
        <f>IFERROR(IF(L99&lt;&gt;"","",VLOOKUP(C99&amp;D99&amp;K99,НН!A:J,10,)),"")</f>
        <v>125</v>
      </c>
      <c r="N99" s="202">
        <f t="shared" si="9"/>
        <v>78.500000000000014</v>
      </c>
      <c r="O99" s="379"/>
      <c r="P99" s="331"/>
    </row>
    <row r="100" spans="2:16" ht="24" hidden="1" outlineLevel="1">
      <c r="B100" s="179"/>
      <c r="C100" s="180" t="s">
        <v>64</v>
      </c>
      <c r="D100" s="208" t="s">
        <v>390</v>
      </c>
      <c r="E100" s="224" t="str">
        <f>"Для подъема и спуска корзины L= "&amp;ROUNDUP((ОЛ_ЕМКОСТИ!E51/1000+1),0)&amp;" м"</f>
        <v>Для подъема и спуска корзины L= 4 м</v>
      </c>
      <c r="F100" s="212" t="str">
        <f t="array" ref="F100">IF(C100="","",IF(OR(C100=Списки!$AG$15:$AG$17),"нет","да"))</f>
        <v>да</v>
      </c>
      <c r="G100" s="204"/>
      <c r="H100" s="184"/>
      <c r="I100" s="213">
        <f>IF(H100="",ROUNDUP((ОЛ_ЕМКОСТИ!E51/1000+1),),"")</f>
        <v>4</v>
      </c>
      <c r="J100" s="234">
        <f>IF(OR(ОЛ_ЕМКОСТИ!$E$67=Списки!$H$3,ОЛ_ЕМКОСТИ!$E$67=Списки!$H$5),0,IF(H100="",I100,H100))*J95</f>
        <v>4</v>
      </c>
      <c r="K100" s="178" t="s">
        <v>163</v>
      </c>
      <c r="L100" s="226"/>
      <c r="M100" s="188">
        <f>IFERROR(IF(L100&lt;&gt;"","",VLOOKUP(C100&amp;D100&amp;K100,НН!A:J,10,)),"")</f>
        <v>180</v>
      </c>
      <c r="N100" s="202">
        <f t="shared" si="9"/>
        <v>720</v>
      </c>
      <c r="O100" s="379"/>
      <c r="P100" s="331"/>
    </row>
    <row r="101" spans="2:16" ht="15.75" hidden="1" outlineLevel="1">
      <c r="B101" s="179"/>
      <c r="C101" s="180" t="s">
        <v>64</v>
      </c>
      <c r="D101" s="241" t="s">
        <v>364</v>
      </c>
      <c r="E101" s="255"/>
      <c r="F101" s="212" t="str">
        <f t="array" ref="F101">IF(C101="","",IF(OR(C101=Списки!$AG$15:$AG$17),"нет","да"))</f>
        <v>да</v>
      </c>
      <c r="G101" s="204"/>
      <c r="H101" s="184"/>
      <c r="I101" s="213">
        <f>IF(H101="",ROUNDUP(I100/2,),"")</f>
        <v>2</v>
      </c>
      <c r="J101" s="234">
        <f>IF(OR(ОЛ_ЕМКОСТИ!$E$67=Списки!$H$3,ОЛ_ЕМКОСТИ!$E$67=Списки!$H$5),0,I101)*J95</f>
        <v>2</v>
      </c>
      <c r="K101" s="178" t="s">
        <v>129</v>
      </c>
      <c r="L101" s="226"/>
      <c r="M101" s="188">
        <f>IFERROR(IF(L101&lt;&gt;"","",VLOOKUP(C101&amp;D101&amp;K101,НН!A:J,10,)),"")</f>
        <v>320</v>
      </c>
      <c r="N101" s="202">
        <f t="shared" si="9"/>
        <v>640</v>
      </c>
      <c r="O101" s="379"/>
      <c r="P101" s="331"/>
    </row>
    <row r="102" spans="2:16" ht="15.75" hidden="1" outlineLevel="1">
      <c r="B102" s="169" t="s">
        <v>404</v>
      </c>
      <c r="C102" s="180"/>
      <c r="D102" s="278" t="s">
        <v>391</v>
      </c>
      <c r="E102" s="229"/>
      <c r="F102" s="293" t="str">
        <f t="array" ref="F102">IF(ISBLANK(C102),"",IF(OR(C102=Списки!$AG$15:$AG$17),"нет","да"))</f>
        <v/>
      </c>
      <c r="G102" s="216"/>
      <c r="H102" s="230"/>
      <c r="I102" s="261"/>
      <c r="J102" s="219"/>
      <c r="K102" s="220"/>
      <c r="L102" s="255"/>
      <c r="M102" s="256" t="str">
        <f t="array" aca="1" ref="M102" ca="1">IF(D102="ФОТ",I102*#REF!,IFERROR(IF(L102&lt;&gt;"","",IF((VLOOKUP(D102&amp;K102,INDIRECT("'"&amp;INDEX(Списки!$AG$2:$AG$17,MATCH(TRUE,COUNTIF(INDIRECT("'"&amp;Списки!$AG$2:$AG$17 &amp;"'!A1:A300000"),D102&amp;K102)&gt;0,0))&amp;"'!A:h"),7,0))=0,"",VLOOKUP(D102&amp;K102,INDIRECT("'"&amp;INDEX(Списки!$AG$2:$AG$17,MATCH(TRUE,COUNTIF(INDIRECT("'"&amp;Списки!$AG$2:$AG$17 &amp;"'!A1:A300000"),D102&amp;K102)&gt;0,0))&amp;"'!A:h"),7,0))),""))</f>
        <v/>
      </c>
      <c r="N102" s="202"/>
      <c r="O102" s="379"/>
      <c r="P102" s="331"/>
    </row>
    <row r="103" spans="2:16" ht="15.75" hidden="1" outlineLevel="1">
      <c r="B103" s="179"/>
      <c r="C103" s="180" t="s">
        <v>72</v>
      </c>
      <c r="D103" s="180" t="s">
        <v>392</v>
      </c>
      <c r="E103" s="359"/>
      <c r="F103" s="212" t="str">
        <f t="array" ref="F103">IF(C103="","",IF(OR(C103=Списки!$AG$15:$AG$17),"нет","да"))</f>
        <v>нет</v>
      </c>
      <c r="G103" s="204"/>
      <c r="H103" s="210"/>
      <c r="I103" s="193">
        <f>IF(G2&lt;2500,6,7)*J95</f>
        <v>6</v>
      </c>
      <c r="J103" s="194">
        <f>ROUNDUP(IF(OR(ОЛ_ЕМКОСТИ!$E$67=Списки!$H$3,ОЛ_ЕМКОСТИ!$E$67=Списки!$H$5),0,IF(H103="",I103,H103)),1)</f>
        <v>6</v>
      </c>
      <c r="K103" s="178" t="s">
        <v>212</v>
      </c>
      <c r="L103" s="187"/>
      <c r="M103" s="188">
        <f>IFERROR(IF(L103&lt;&gt;"","",VLOOKUP(C103&amp;D103&amp;K103,НН!A:J,10,)),"")</f>
        <v>1207.8</v>
      </c>
      <c r="N103" s="202">
        <f t="shared" ref="N103:N106" si="10">IFERROR(IF(L103="",M103*J103,J103*L103),"")</f>
        <v>7246.7999999999993</v>
      </c>
      <c r="O103" s="379"/>
      <c r="P103" s="331"/>
    </row>
    <row r="104" spans="2:16" ht="15.75" hidden="1" outlineLevel="1">
      <c r="B104" s="179"/>
      <c r="C104" s="180" t="s">
        <v>72</v>
      </c>
      <c r="D104" s="180" t="s">
        <v>393</v>
      </c>
      <c r="E104" s="359"/>
      <c r="F104" s="212" t="str">
        <f t="array" ref="F104">IF(C104="","",IF(OR(C104=Списки!$AG$15:$AG$17),"нет","да"))</f>
        <v>нет</v>
      </c>
      <c r="G104" s="204"/>
      <c r="H104" s="210"/>
      <c r="I104" s="193">
        <f>IF(G2&lt;2500,5,6)*J95</f>
        <v>5</v>
      </c>
      <c r="J104" s="194">
        <f>ROUNDUP(IF(OR(ОЛ_ЕМКОСТИ!$E$67=Списки!$H$3,ОЛ_ЕМКОСТИ!$E$67=Списки!$H$5),0,IF(H104="",I104,H104)),1)</f>
        <v>5</v>
      </c>
      <c r="K104" s="178" t="s">
        <v>212</v>
      </c>
      <c r="L104" s="187"/>
      <c r="M104" s="188">
        <f>IFERROR(IF(L104&lt;&gt;"","",VLOOKUP(C104&amp;D104&amp;K104,НН!A:J,10,)),"")</f>
        <v>1207.8</v>
      </c>
      <c r="N104" s="202">
        <f t="shared" si="10"/>
        <v>6039</v>
      </c>
      <c r="O104" s="379"/>
      <c r="P104" s="331"/>
    </row>
    <row r="105" spans="2:16" ht="15.75" hidden="1" outlineLevel="1">
      <c r="B105" s="360"/>
      <c r="C105" s="180" t="s">
        <v>72</v>
      </c>
      <c r="D105" s="180" t="s">
        <v>394</v>
      </c>
      <c r="E105" s="359"/>
      <c r="F105" s="212" t="str">
        <f t="array" ref="F105">IF(C105="","",IF(OR(C105=Списки!$AG$15:$AG$17),"нет","да"))</f>
        <v>нет</v>
      </c>
      <c r="G105" s="204"/>
      <c r="H105" s="210"/>
      <c r="I105" s="193">
        <f>2*J95</f>
        <v>2</v>
      </c>
      <c r="J105" s="194">
        <f>ROUNDUP(IF(OR(ОЛ_ЕМКОСТИ!$E$67=Списки!$H$3,ОЛ_ЕМКОСТИ!$E$67=Списки!$H$5),0,IF(H105="",I105,H105)),1)</f>
        <v>2</v>
      </c>
      <c r="K105" s="178" t="s">
        <v>212</v>
      </c>
      <c r="L105" s="187"/>
      <c r="M105" s="188">
        <f>IFERROR(IF(L105&lt;&gt;"","",VLOOKUP(C105&amp;D105&amp;K105,НН!A:J,10,)),"")</f>
        <v>1207.8</v>
      </c>
      <c r="N105" s="202">
        <f t="shared" si="10"/>
        <v>2415.6</v>
      </c>
      <c r="O105" s="379"/>
      <c r="P105" s="331"/>
    </row>
    <row r="106" spans="2:16" ht="15.75" hidden="1" outlineLevel="1">
      <c r="B106" s="360"/>
      <c r="C106" s="180" t="s">
        <v>72</v>
      </c>
      <c r="D106" s="180" t="s">
        <v>396</v>
      </c>
      <c r="E106" s="359"/>
      <c r="F106" s="212" t="str">
        <f t="array" ref="F106">IF(C106="","",IF(OR(C106=Списки!$AG$15:$AG$17),"нет","да"))</f>
        <v>нет</v>
      </c>
      <c r="G106" s="204"/>
      <c r="H106" s="210"/>
      <c r="I106" s="193">
        <f>2*J95</f>
        <v>2</v>
      </c>
      <c r="J106" s="194">
        <f>ROUNDUP(IF(OR(ОЛ_ЕМКОСТИ!$E$67=Списки!$H$3,ОЛ_ЕМКОСТИ!$E$67=Списки!$H$5),0,IF(H106="",I106,H106)),1)</f>
        <v>2</v>
      </c>
      <c r="K106" s="178" t="s">
        <v>212</v>
      </c>
      <c r="L106" s="187"/>
      <c r="M106" s="188">
        <f>IFERROR(IF(L106&lt;&gt;"","",VLOOKUP(C106&amp;D106&amp;K106,НН!A:J,10,)),"")</f>
        <v>1207.8</v>
      </c>
      <c r="N106" s="202">
        <f t="shared" si="10"/>
        <v>2415.6</v>
      </c>
      <c r="O106" s="379"/>
      <c r="P106" s="331"/>
    </row>
    <row r="107" spans="2:16" ht="15.75" hidden="1" outlineLevel="1">
      <c r="B107" s="360"/>
      <c r="C107" s="306"/>
      <c r="D107" s="307" t="s">
        <v>377</v>
      </c>
      <c r="E107" s="362"/>
      <c r="F107" s="309"/>
      <c r="G107" s="310"/>
      <c r="H107" s="311"/>
      <c r="I107" s="363"/>
      <c r="J107" s="364"/>
      <c r="K107" s="314"/>
      <c r="L107" s="315"/>
      <c r="M107" s="316" t="str">
        <f t="array" aca="1" ref="M107" ca="1">IFERROR(IF(L107&lt;&gt;"","",IF((VLOOKUP(D107&amp;K107,INDIRECT("'"&amp;INDEX(Списки!$AG$2:$AG$17,MATCH(TRUE,COUNTIF(INDIRECT("'"&amp;Списки!$AG$2:$AG$17 &amp;"'!A1:A300000"),D107&amp;K107)&gt;0,0))&amp;"'!A:h"),7,0))=0,"",VLOOKUP(D107&amp;K107,INDIRECT("'"&amp;INDEX(Списки!$AG$2:$AG$17,MATCH(TRUE,COUNTIF(INDIRECT("'"&amp;Списки!$AG$2:$AG$17 &amp;"'!A1:A300000"),D107&amp;K107)&gt;0,0))&amp;"'!A:h"),7,0))),"")</f>
        <v/>
      </c>
      <c r="N107" s="317"/>
      <c r="O107" s="379"/>
      <c r="P107" s="331"/>
    </row>
    <row r="108" spans="2:16" ht="18" hidden="1" outlineLevel="1">
      <c r="B108" s="360"/>
      <c r="C108" s="319"/>
      <c r="D108" s="320"/>
      <c r="E108" s="366" t="s">
        <v>397</v>
      </c>
      <c r="F108" s="322"/>
      <c r="G108" s="367">
        <f>SUM(G96:G107)</f>
        <v>0</v>
      </c>
      <c r="H108" s="320"/>
      <c r="I108" s="320"/>
      <c r="J108" s="368"/>
      <c r="K108" s="368"/>
      <c r="L108" s="369"/>
      <c r="M108" s="370" t="str">
        <f t="array" aca="1" ref="M108" ca="1">IFERROR(IF(L108&lt;&gt;"","",IF((VLOOKUP(D108&amp;K108,INDIRECT("'"&amp;INDEX(Списки!$AG$2:$AG$17,MATCH(TRUE,COUNTIF(INDIRECT("'"&amp;Списки!$AG$2:$AG$17 &amp;"'!A1:A300000"),D108&amp;K108)&gt;0,0))&amp;"'!A:h"),7,0))=0,"",VLOOKUP(D108&amp;K108,INDIRECT("'"&amp;INDEX(Списки!$AG$2:$AG$17,MATCH(TRUE,COUNTIF(INDIRECT("'"&amp;Списки!$AG$2:$AG$17 &amp;"'!A1:A300000"),D108&amp;K108)&gt;0,0))&amp;"'!A:h"),7,0))),"")</f>
        <v/>
      </c>
      <c r="N108" s="328">
        <f>IF(OR(ОЛ_КОЛОДЦА!$E$48=Списки!$H$3,ОЛ_КОЛОДЦА!$E$48=Списки!$H$5),0,SUM(N96:N107))</f>
        <v>65055.5</v>
      </c>
      <c r="O108" s="379"/>
      <c r="P108" s="331"/>
    </row>
    <row r="109" spans="2:16" ht="15.75" hidden="1" outlineLevel="1">
      <c r="B109" s="360"/>
      <c r="C109" s="319"/>
      <c r="D109" s="320"/>
      <c r="E109" s="333" t="s">
        <v>379</v>
      </c>
      <c r="F109" s="372"/>
      <c r="G109" s="373"/>
      <c r="H109" s="374"/>
      <c r="I109" s="374"/>
      <c r="J109" s="375"/>
      <c r="K109" s="376"/>
      <c r="L109" s="377"/>
      <c r="M109" s="378"/>
      <c r="N109" s="341">
        <f t="array" ref="N109">IF(OR(ОЛ_КОЛОДЦА!$E$48=Списки!$H$3,ОЛ_КОЛОДЦА!$E$48=Списки!$H$5),0,SUM(SUMIF(C96:C107,Списки!$AG$2:$AG$14,N96:N107)))</f>
        <v>46938.5</v>
      </c>
      <c r="O109" s="379"/>
      <c r="P109" s="331"/>
    </row>
    <row r="110" spans="2:16" ht="15.75" hidden="1" outlineLevel="1">
      <c r="B110" s="360"/>
      <c r="C110" s="319"/>
      <c r="D110" s="380"/>
      <c r="E110" s="333" t="s">
        <v>382</v>
      </c>
      <c r="F110" s="372"/>
      <c r="G110" s="381"/>
      <c r="H110" s="374"/>
      <c r="I110" s="374"/>
      <c r="J110" s="382">
        <f>ROUNDUP(SUMIFS($J$94:$J$105,$K$94:$K$105,Списки!$S$5)-SUMIFS($J$94:$J$105,$K$94:$K$105,Списки!$S$5,$D$94:$D$105,"*изготов*"),1)</f>
        <v>5</v>
      </c>
      <c r="K110" s="376" t="s">
        <v>212</v>
      </c>
      <c r="L110" s="383"/>
      <c r="M110" s="384" t="str">
        <f t="array" aca="1" ref="M110" ca="1">IFERROR(IF(L110&lt;&gt;"","",IF((VLOOKUP(D110&amp;K110,INDIRECT("'"&amp;INDEX(Списки!$AG$2:$AG$17,MATCH(TRUE,COUNTIF(INDIRECT("'"&amp;Списки!$AG$2:$AG$17 &amp;"'!A1:A300000"),D110&amp;K110)&gt;0,0))&amp;"'!A:h"),7,0))=0,"",VLOOKUP(D110&amp;K110,INDIRECT("'"&amp;INDEX(Списки!$AG$2:$AG$17,MATCH(TRUE,COUNTIF(INDIRECT("'"&amp;Списки!$AG$2:$AG$17 &amp;"'!A1:A300000"),D110&amp;K110)&gt;0,0))&amp;"'!A:h"),7,0))),"")</f>
        <v/>
      </c>
      <c r="N110" s="385">
        <f>SUMIF($K$95:$K$106,Списки!$S$5,$N$95:$N$106)-SUMIFS($N$95:$N$106,$K$95:$K$106,Списки!$S$5,$D$95:$D$106,"*изготов*")</f>
        <v>8454.6</v>
      </c>
      <c r="O110" s="379"/>
      <c r="P110" s="331"/>
    </row>
    <row r="111" spans="2:16" ht="15.75" hidden="1" outlineLevel="1">
      <c r="B111" s="360"/>
      <c r="C111" s="319"/>
      <c r="D111" s="380"/>
      <c r="E111" s="333" t="s">
        <v>383</v>
      </c>
      <c r="F111" s="372"/>
      <c r="G111" s="381"/>
      <c r="H111" s="374"/>
      <c r="I111" s="374"/>
      <c r="J111" s="382">
        <f>ROUNDUP(SUMIFS($J$99:$J$110,$K$99:$K$110,Списки!$S$5,$D$99:$D$110,"*изготов*"),1)</f>
        <v>8</v>
      </c>
      <c r="K111" s="376" t="s">
        <v>212</v>
      </c>
      <c r="L111" s="383"/>
      <c r="M111" s="384" t="str">
        <f t="array" aca="1" ref="M111" ca="1">IFERROR(IF(L111&lt;&gt;"","",IF((VLOOKUP(D111&amp;K111,INDIRECT("'"&amp;INDEX(Списки!$AG$2:$AG$17,MATCH(TRUE,COUNTIF(INDIRECT("'"&amp;Списки!$AG$2:$AG$17 &amp;"'!A1:A300000"),D111&amp;K111)&gt;0,0))&amp;"'!A:h"),7,0))=0,"",VLOOKUP(D111&amp;K111,INDIRECT("'"&amp;INDEX(Списки!$AG$2:$AG$17,MATCH(TRUE,COUNTIF(INDIRECT("'"&amp;Списки!$AG$2:$AG$17 &amp;"'!A1:A300000"),D111&amp;K111)&gt;0,0))&amp;"'!A:h"),7,0))),"")</f>
        <v/>
      </c>
      <c r="N111" s="385">
        <f>SUMIFS($N$99:$N$110,$K$99:$K$110,Списки!$S$5,$D$99:$D$110,"*изготов*")</f>
        <v>9662.4</v>
      </c>
      <c r="O111" s="379"/>
      <c r="P111" s="331"/>
    </row>
    <row r="112" spans="2:16" ht="23.25" customHeight="1">
      <c r="B112" s="386">
        <v>3</v>
      </c>
      <c r="C112" s="682" t="s">
        <v>115</v>
      </c>
      <c r="D112" s="388" t="str">
        <f>IF(H115="","Лестница из нержавеющей стали "&amp;I114&amp;" м, в т.ч.:","Лестницы из нержавеющей стали "&amp;I114&amp;" м и "&amp;I115&amp;" м, в т.ч.:")</f>
        <v>Лестница из нержавеющей стали 5 м, в т.ч.:</v>
      </c>
      <c r="E112" s="389"/>
      <c r="F112" s="390"/>
      <c r="G112" s="391"/>
      <c r="H112" s="389"/>
      <c r="I112" s="392"/>
      <c r="J112" s="392"/>
      <c r="K112" s="393"/>
      <c r="L112" s="394"/>
      <c r="M112" s="395"/>
      <c r="N112" s="390"/>
      <c r="O112" s="214"/>
      <c r="P112" s="168"/>
    </row>
    <row r="113" spans="2:16" ht="15" outlineLevel="1">
      <c r="B113" s="169" t="s">
        <v>411</v>
      </c>
      <c r="C113" s="986"/>
      <c r="D113" s="291" t="s">
        <v>399</v>
      </c>
      <c r="E113" s="292"/>
      <c r="F113" s="293"/>
      <c r="G113" s="230" t="s">
        <v>414</v>
      </c>
      <c r="H113" s="232"/>
      <c r="I113" s="694">
        <f>L8</f>
        <v>2</v>
      </c>
      <c r="J113" s="178" t="s">
        <v>129</v>
      </c>
      <c r="K113" s="1358"/>
      <c r="L113" s="1359"/>
      <c r="M113" s="1359"/>
      <c r="N113" s="1360"/>
      <c r="O113" s="379"/>
      <c r="P113" s="168"/>
    </row>
    <row r="114" spans="2:16" ht="15" outlineLevel="1">
      <c r="B114" s="169"/>
      <c r="C114" s="683" t="s">
        <v>2191</v>
      </c>
      <c r="D114" s="180" t="s">
        <v>400</v>
      </c>
      <c r="E114" s="396"/>
      <c r="F114" s="212"/>
      <c r="G114" s="236"/>
      <c r="H114" s="184"/>
      <c r="I114" s="294">
        <f>IF(H114="",IF(ОЛ_ЕМКОСТИ!E24=Списки!AK3,H5/1000,'Калькулятор ЕМК'!G5/1000+'Калькулятор ЕМК'!M8/1000),"")</f>
        <v>5</v>
      </c>
      <c r="J114" s="178" t="s">
        <v>163</v>
      </c>
      <c r="K114" s="1385"/>
      <c r="L114" s="1386"/>
      <c r="M114" s="1386"/>
      <c r="N114" s="1387"/>
      <c r="O114" s="379"/>
      <c r="P114" s="168"/>
    </row>
    <row r="115" spans="2:16" ht="15" outlineLevel="1">
      <c r="B115" s="169"/>
      <c r="C115" s="170"/>
      <c r="D115" s="180" t="s">
        <v>401</v>
      </c>
      <c r="E115" s="396"/>
      <c r="F115" s="212" t="str">
        <f t="array" ref="F115">IF(ISBLANK(C115),"",IF(OR(C115=Списки!$AG$15:$AG$17),"нет","да"))</f>
        <v/>
      </c>
      <c r="G115" s="236"/>
      <c r="H115" s="210"/>
      <c r="I115" s="193"/>
      <c r="J115" s="186">
        <f>IF(C112="нет",0,IF(H115="",0,H115)*I113)</f>
        <v>0</v>
      </c>
      <c r="K115" s="178" t="s">
        <v>163</v>
      </c>
      <c r="L115" s="400"/>
      <c r="M115" s="401" t="str">
        <f t="array" aca="1" ref="M115" ca="1">IF(D115="ФОТ",I115*#REF!,IFERROR(IF(L115&lt;&gt;"","",IF((VLOOKUP(D115&amp;K115,INDIRECT("'"&amp;INDEX(Списки!$AG$2:$AG$17,MATCH(TRUE,COUNTIF(INDIRECT("'"&amp;Списки!$AG$2:$AG$17 &amp;"'!A1:A3000000"),D115&amp;K115)&gt;0,0))&amp;"'!A:h"),7,0))=0,"",VLOOKUP(D115&amp;K115,INDIRECT("'"&amp;INDEX(Списки!$AG$2:$AG$17,MATCH(TRUE,COUNTIF(INDIRECT("'"&amp;Списки!$AG$2:$AG$17 &amp;"'!A1:A3000000"),D115&amp;K115)&gt;0,0))&amp;"'!A:h"),7,0))),""))</f>
        <v/>
      </c>
      <c r="N115" s="402" t="str">
        <f t="shared" ref="N115:N117" ca="1" si="11">IFERROR(IF(L115="",M115*J115,J115*L115),"")</f>
        <v/>
      </c>
      <c r="O115" s="214"/>
      <c r="P115" s="670"/>
    </row>
    <row r="116" spans="2:16" ht="15" outlineLevel="1">
      <c r="B116" s="179"/>
      <c r="C116" s="180" t="s">
        <v>68</v>
      </c>
      <c r="D116" s="180" t="s">
        <v>402</v>
      </c>
      <c r="E116" s="396"/>
      <c r="F116" s="212" t="str">
        <f t="array" ref="F116">IF(C116="","",IF(OR(C116=Списки!$AG$15:$AG$17),"нет","да"))</f>
        <v>да</v>
      </c>
      <c r="G116" s="236">
        <f>1.5*I116</f>
        <v>15</v>
      </c>
      <c r="H116" s="184"/>
      <c r="I116" s="225">
        <f>IF(H116="",(I114+I115)*2,H116)</f>
        <v>10</v>
      </c>
      <c r="J116" s="186">
        <f>IF(C112="нет",0,IF(H116="",I116,H116))</f>
        <v>10</v>
      </c>
      <c r="K116" s="178" t="s">
        <v>163</v>
      </c>
      <c r="L116" s="965"/>
      <c r="M116" s="188">
        <f>IF(C114="Алюминиевая",0,IFERROR(IF(L116&lt;&gt;"","",VLOOKUP(C116&amp;D116&amp;K116,НН!A:J,10,)),""))</f>
        <v>0</v>
      </c>
      <c r="N116" s="202">
        <f t="shared" si="11"/>
        <v>0</v>
      </c>
      <c r="O116" s="670"/>
    </row>
    <row r="117" spans="2:16" ht="15" outlineLevel="1">
      <c r="B117" s="179"/>
      <c r="C117" s="180" t="s">
        <v>68</v>
      </c>
      <c r="D117" s="180" t="s">
        <v>572</v>
      </c>
      <c r="E117" s="255"/>
      <c r="F117" s="212" t="str">
        <f t="array" ref="F117">IF(C117="","",IF(OR(C117=Списки!$AG$15:$AG$17),"нет","да"))</f>
        <v>да</v>
      </c>
      <c r="G117" s="236">
        <f>1.142*J117</f>
        <v>7.1782857142857148</v>
      </c>
      <c r="H117" s="184"/>
      <c r="I117" s="225">
        <f>IF(H117="",IF(H117="",(I114+I115)*0.44/0.35,H117),"")</f>
        <v>6.2857142857142865</v>
      </c>
      <c r="J117" s="186">
        <f>IF(C112="нет",0,IF(H117="",I117,H117))</f>
        <v>6.2857142857142865</v>
      </c>
      <c r="K117" s="178" t="s">
        <v>163</v>
      </c>
      <c r="L117" s="965"/>
      <c r="M117" s="188">
        <f>IF(C114="Алюминиевая",0,IFERROR(IF(L117&lt;&gt;"","",VLOOKUP(C117&amp;D117&amp;K117,НН!A:J,10,)),""))</f>
        <v>0</v>
      </c>
      <c r="N117" s="202">
        <f t="shared" si="11"/>
        <v>0</v>
      </c>
      <c r="O117" s="167"/>
      <c r="P117" s="168"/>
    </row>
    <row r="118" spans="2:16" ht="15" outlineLevel="1">
      <c r="B118" s="1388"/>
      <c r="C118" s="1389"/>
      <c r="D118" s="1389"/>
      <c r="E118" s="1389"/>
      <c r="F118" s="1389"/>
      <c r="G118" s="1389"/>
      <c r="H118" s="1389"/>
      <c r="I118" s="1389"/>
      <c r="J118" s="1389"/>
      <c r="K118" s="1389"/>
      <c r="L118" s="1389"/>
      <c r="M118" s="1389"/>
      <c r="N118" s="1390"/>
      <c r="O118" s="167"/>
      <c r="P118" s="168"/>
    </row>
    <row r="119" spans="2:16" ht="24" outlineLevel="1">
      <c r="B119" s="957"/>
      <c r="C119" s="180" t="s">
        <v>71</v>
      </c>
      <c r="D119" s="180" t="s">
        <v>684</v>
      </c>
      <c r="E119" s="255"/>
      <c r="F119" s="212" t="str">
        <f t="array" ref="F119">IF(C119="","",IF(OR(C119=Списки!$AG$15:$AG$17),"нет","да"))</f>
        <v>да</v>
      </c>
      <c r="G119" s="1294">
        <f>1.142*J119</f>
        <v>2.2839999999999998</v>
      </c>
      <c r="H119" s="210"/>
      <c r="I119" s="225">
        <f>I113</f>
        <v>2</v>
      </c>
      <c r="J119" s="186">
        <f>IF(C112="нет",0,IF(ISBLANK(D119),"",IF(H119="",I119,H119)))</f>
        <v>2</v>
      </c>
      <c r="K119" s="178" t="s">
        <v>129</v>
      </c>
      <c r="L119" s="226"/>
      <c r="M119" s="188">
        <f>IF(C114="Нержавеющая сталь",0,IFERROR(IF(L119&lt;&gt;"","",VLOOKUP(C119&amp;D119&amp;K119,НН!A:J,10,)),""))</f>
        <v>6000</v>
      </c>
      <c r="N119" s="202">
        <f t="shared" ref="N119" si="12">IFERROR(IF(L119="",M119*J119,J119*L119),"")</f>
        <v>12000</v>
      </c>
      <c r="O119" s="167"/>
      <c r="P119" s="168"/>
    </row>
    <row r="120" spans="2:16" ht="15" outlineLevel="1">
      <c r="B120" s="169" t="s">
        <v>444</v>
      </c>
      <c r="C120" s="170"/>
      <c r="D120" s="291" t="s">
        <v>573</v>
      </c>
      <c r="E120" s="292"/>
      <c r="F120" s="293"/>
      <c r="G120" s="671"/>
      <c r="H120" s="403"/>
      <c r="I120" s="294"/>
      <c r="J120" s="219"/>
      <c r="K120" s="220"/>
      <c r="L120" s="255"/>
      <c r="M120" s="256" t="str">
        <f t="array" aca="1" ref="M120" ca="1">IF(D120="ФОТ",I120*#REF!,IFERROR(IF(L120&lt;&gt;"","",IF((VLOOKUP(D120&amp;K120,INDIRECT("'"&amp;INDEX(Списки!$AG$2:$AG$17,MATCH(TRUE,COUNTIF(INDIRECT("'"&amp;Списки!$AG$2:$AG$17 &amp;"'!A1:A3000000"),D120&amp;K120)&gt;0,0))&amp;"'!A:h"),7,0))=0,"",VLOOKUP(D120&amp;K120,INDIRECT("'"&amp;INDEX(Списки!$AG$2:$AG$17,MATCH(TRUE,COUNTIF(INDIRECT("'"&amp;Списки!$AG$2:$AG$17 &amp;"'!A1:A3000000"),D120&amp;K120)&gt;0,0))&amp;"'!A:h"),7,0))),""))</f>
        <v/>
      </c>
      <c r="N120" s="202"/>
      <c r="O120" s="167"/>
      <c r="P120" s="168"/>
    </row>
    <row r="121" spans="2:16" ht="15" outlineLevel="1">
      <c r="B121" s="179"/>
      <c r="C121" s="180" t="s">
        <v>72</v>
      </c>
      <c r="D121" s="180" t="s">
        <v>406</v>
      </c>
      <c r="E121" s="224" t="str">
        <f>IFERROR(IF(SEARCH("*Лестницы*",D121)=1,IF($I$114=0,"Длина лестницы "&amp;#REF!&amp;"м","Длина лестниц "&amp;#REF!&amp;"м и "&amp;$I$114&amp;"м")),"")</f>
        <v/>
      </c>
      <c r="F121" s="212" t="str">
        <f t="array" ref="F121">IF(C121="","",IF(OR(C121=Списки!$AG$15:$AG$17),"нет","да"))</f>
        <v>нет</v>
      </c>
      <c r="G121" s="204"/>
      <c r="H121" s="966"/>
      <c r="I121" s="404">
        <f>1.25*(I114+I115)</f>
        <v>6.25</v>
      </c>
      <c r="J121" s="194">
        <f>IF(C112="нет",0,ROUNDUP(IF(ISBLANK(D121),"",IF(H121="",I121,H121)),1))</f>
        <v>6.3</v>
      </c>
      <c r="K121" s="178" t="s">
        <v>212</v>
      </c>
      <c r="L121" s="226"/>
      <c r="M121" s="188">
        <f>IF(C114="Алюминиевая",0,IFERROR(IF(L121&lt;&gt;"","",VLOOKUP(C121&amp;D121&amp;K121,НН!A:J,10,)),""))</f>
        <v>0</v>
      </c>
      <c r="N121" s="202">
        <f t="shared" ref="N121:N123" si="13">IFERROR(IF(L121="",M121*J121,J121*L121),"")</f>
        <v>0</v>
      </c>
      <c r="O121" s="167"/>
      <c r="P121" s="492"/>
    </row>
    <row r="122" spans="2:16" ht="15" outlineLevel="1">
      <c r="B122" s="179"/>
      <c r="C122" s="180" t="s">
        <v>72</v>
      </c>
      <c r="D122" s="180" t="s">
        <v>408</v>
      </c>
      <c r="E122" s="224" t="str">
        <f>IFERROR(IF(SEARCH("*Лестницы*",D122)=1,IF($I$114=0,"Длина лестницы "&amp;#REF!&amp;"м","Длина лестниц "&amp;#REF!&amp;"м и "&amp;$I$114&amp;"м")),"")</f>
        <v/>
      </c>
      <c r="F122" s="212" t="str">
        <f t="array" ref="F122">IF(C122="","",IF(OR(C122=Списки!$AG$15:$AG$17),"нет","да"))</f>
        <v>нет</v>
      </c>
      <c r="G122" s="204"/>
      <c r="H122" s="966"/>
      <c r="I122" s="404">
        <f>I121/2</f>
        <v>3.125</v>
      </c>
      <c r="J122" s="194">
        <f>IF(C112="нет",0,ROUNDUP(IF(ISBLANK(D122),"",IF(H122="",I122,H122)),1))</f>
        <v>3.2</v>
      </c>
      <c r="K122" s="178" t="s">
        <v>212</v>
      </c>
      <c r="L122" s="226"/>
      <c r="M122" s="188">
        <f>IF(C114="Алюминиевая",0,IFERROR(IF(L122&lt;&gt;"","",VLOOKUP(C122&amp;D122&amp;K122,НН!A:J,10,)),""))</f>
        <v>0</v>
      </c>
      <c r="N122" s="202">
        <f t="shared" si="13"/>
        <v>0</v>
      </c>
      <c r="O122" s="167"/>
      <c r="P122" s="168"/>
    </row>
    <row r="123" spans="2:16" ht="15" outlineLevel="1">
      <c r="B123" s="179"/>
      <c r="C123" s="180" t="s">
        <v>72</v>
      </c>
      <c r="D123" s="180" t="s">
        <v>408</v>
      </c>
      <c r="E123" s="224" t="str">
        <f>IFERROR(IF(SEARCH("*Лестницы*",D123)=1,IF($I$114=0,"Длина лестницы "&amp;#REF!&amp;"м","Длина лестниц "&amp;#REF!&amp;"м и "&amp;$I$114&amp;"м")),"")</f>
        <v/>
      </c>
      <c r="F123" s="212" t="str">
        <f t="array" ref="F123">IF(C123="","",IF(OR(C123=Списки!$AG$15:$AG$17),"нет","да"))</f>
        <v>нет</v>
      </c>
      <c r="G123" s="204"/>
      <c r="H123" s="966"/>
      <c r="I123" s="404">
        <f>I119*2</f>
        <v>4</v>
      </c>
      <c r="J123" s="194">
        <f>IF(C113="нет",0,ROUNDUP(IF(ISBLANK(D123),"",IF(H123="",I123,H123)),1))</f>
        <v>4</v>
      </c>
      <c r="K123" s="178" t="s">
        <v>212</v>
      </c>
      <c r="L123" s="226"/>
      <c r="M123" s="188">
        <f>IF(C114="Нержавеющая сталь",0,IFERROR(IF(L123&lt;&gt;"","",VLOOKUP(C123&amp;D123&amp;K123,НН!A:J,10,)),""))</f>
        <v>1207.8</v>
      </c>
      <c r="N123" s="202">
        <f t="shared" si="13"/>
        <v>4831.2</v>
      </c>
      <c r="O123" s="167"/>
      <c r="P123" s="168"/>
    </row>
    <row r="124" spans="2:16" ht="11.45" customHeight="1" outlineLevel="1">
      <c r="B124" s="179"/>
      <c r="C124" s="306"/>
      <c r="D124" s="307" t="s">
        <v>377</v>
      </c>
      <c r="E124" s="362"/>
      <c r="F124" s="309"/>
      <c r="G124" s="310"/>
      <c r="H124" s="311"/>
      <c r="I124" s="363"/>
      <c r="J124" s="364"/>
      <c r="K124" s="314"/>
      <c r="L124" s="315"/>
      <c r="M124" s="316"/>
      <c r="N124" s="317"/>
      <c r="O124" s="167"/>
      <c r="P124" s="168"/>
    </row>
    <row r="125" spans="2:16" ht="22.5" customHeight="1" outlineLevel="1">
      <c r="B125" s="179"/>
      <c r="C125" s="319"/>
      <c r="D125" s="320"/>
      <c r="E125" s="366" t="s">
        <v>409</v>
      </c>
      <c r="F125" s="320"/>
      <c r="G125" s="367">
        <f>SUM(G116:G122)</f>
        <v>24.462285714285713</v>
      </c>
      <c r="H125" s="320"/>
      <c r="I125" s="320"/>
      <c r="J125" s="368"/>
      <c r="K125" s="368"/>
      <c r="L125" s="369"/>
      <c r="M125" s="370"/>
      <c r="N125" s="328">
        <f>SUM(N116:N124)</f>
        <v>16831.2</v>
      </c>
      <c r="O125" s="214"/>
      <c r="P125" s="331"/>
    </row>
    <row r="126" spans="2:16" ht="15.75" outlineLevel="1">
      <c r="B126" s="179"/>
      <c r="C126" s="319"/>
      <c r="D126" s="320"/>
      <c r="E126" s="333" t="s">
        <v>379</v>
      </c>
      <c r="F126" s="374"/>
      <c r="G126" s="373"/>
      <c r="H126" s="374"/>
      <c r="I126" s="374"/>
      <c r="J126" s="375"/>
      <c r="K126" s="376"/>
      <c r="L126" s="377"/>
      <c r="M126" s="378"/>
      <c r="N126" s="341">
        <f t="array" ref="N126">SUM(SUMIF(C116:C124,Списки!$AG$2:$AG$14,N116:N124))</f>
        <v>12000</v>
      </c>
      <c r="O126" s="379"/>
      <c r="P126" s="331"/>
    </row>
    <row r="127" spans="2:16" ht="15.75" outlineLevel="1">
      <c r="B127" s="179"/>
      <c r="C127" s="319"/>
      <c r="D127" s="320"/>
      <c r="E127" s="412" t="s">
        <v>382</v>
      </c>
      <c r="F127" s="374"/>
      <c r="G127" s="373"/>
      <c r="H127" s="374"/>
      <c r="I127" s="374"/>
      <c r="J127" s="382">
        <f>ROUNDUP(SUMIFS($J$116:$J$124,$K$116:$K$124,Списки!$S$5)-SUMIFS($J$116:$J$124,$K$116:$K$124,Списки!$S$5,$D$116:$D$124,"*изготов*"),1)</f>
        <v>7.2</v>
      </c>
      <c r="K127" s="376" t="s">
        <v>212</v>
      </c>
      <c r="L127" s="377"/>
      <c r="M127" s="378"/>
      <c r="N127" s="413">
        <f>SUMIF($K$116:$K$124,Списки!$S$5,$N$116:$N$124)-SUMIFS($N$116:$N$124,$K$116:$K$124,Списки!$S$5,$D$116:$D$124,"*изготов*")</f>
        <v>4831.2</v>
      </c>
      <c r="O127" s="379"/>
      <c r="P127" s="331"/>
    </row>
    <row r="128" spans="2:16" ht="15.75" outlineLevel="1">
      <c r="B128" s="179"/>
      <c r="C128" s="319"/>
      <c r="D128" s="320"/>
      <c r="E128" s="412" t="s">
        <v>383</v>
      </c>
      <c r="F128" s="374"/>
      <c r="G128" s="373"/>
      <c r="H128" s="374"/>
      <c r="I128" s="374"/>
      <c r="J128" s="382">
        <f>ROUNDUP(SUMIFS($J$116:$J$124,$K$116:$K$124,Списки!$S$5,$D$116:$D$124,"*изготов*"),1)</f>
        <v>6.3</v>
      </c>
      <c r="K128" s="377" t="s">
        <v>212</v>
      </c>
      <c r="L128" s="377"/>
      <c r="M128" s="378"/>
      <c r="N128" s="413">
        <f>SUMIFS($N$116:$N$124,$K$116:$K$124,Списки!$S$5,$D$116:$D$124,"*изготов*")</f>
        <v>0</v>
      </c>
      <c r="O128" s="379"/>
      <c r="P128" s="331"/>
    </row>
    <row r="129" spans="2:16" ht="15">
      <c r="B129" s="386">
        <v>4</v>
      </c>
      <c r="C129" s="502"/>
      <c r="D129" s="388" t="s">
        <v>410</v>
      </c>
      <c r="E129" s="389"/>
      <c r="F129" s="389" t="str">
        <f t="array" ref="F129">IF(ISBLANK(C129),"",IF(OR(C129=Списки!$AG$15:$AG$17),"нет","да"))</f>
        <v/>
      </c>
      <c r="G129" s="391"/>
      <c r="H129" s="389"/>
      <c r="I129" s="392"/>
      <c r="J129" s="392"/>
      <c r="K129" s="393"/>
      <c r="L129" s="394"/>
      <c r="M129" s="395"/>
      <c r="N129" s="390"/>
      <c r="O129" s="214"/>
      <c r="P129" s="168"/>
    </row>
    <row r="130" spans="2:16" ht="15">
      <c r="B130" s="169" t="s">
        <v>468</v>
      </c>
      <c r="C130" s="170"/>
      <c r="D130" s="291" t="s">
        <v>412</v>
      </c>
      <c r="E130" s="292"/>
      <c r="F130" s="403" t="str">
        <f t="array" ref="F130">IF(ISBLANK(C130),"",IF(OR(C130=Списки!$AG$15:$AG$17),"нет","да"))</f>
        <v/>
      </c>
      <c r="G130" s="216"/>
      <c r="H130" s="230"/>
      <c r="I130" s="294"/>
      <c r="J130" s="219"/>
      <c r="K130" s="220"/>
      <c r="L130" s="255"/>
      <c r="M130" s="256"/>
      <c r="N130" s="356"/>
      <c r="O130" s="214"/>
      <c r="P130" s="168"/>
    </row>
    <row r="131" spans="2:16" ht="15">
      <c r="B131" s="416"/>
      <c r="C131" s="417"/>
      <c r="D131" s="418" t="s">
        <v>413</v>
      </c>
      <c r="E131" s="419" t="s">
        <v>174</v>
      </c>
      <c r="F131" s="420"/>
      <c r="G131" s="421"/>
      <c r="H131" s="695"/>
      <c r="I131" s="694">
        <f>L8</f>
        <v>2</v>
      </c>
      <c r="J131" s="178" t="s">
        <v>129</v>
      </c>
      <c r="K131" s="1397"/>
      <c r="L131" s="1398"/>
      <c r="M131" s="1398"/>
      <c r="N131" s="1399"/>
      <c r="O131" s="214"/>
      <c r="P131" s="168"/>
    </row>
    <row r="132" spans="2:16" ht="15">
      <c r="B132" s="416"/>
      <c r="C132" s="264" t="s">
        <v>150</v>
      </c>
      <c r="D132" s="426" t="s">
        <v>415</v>
      </c>
      <c r="E132" s="230" t="s">
        <v>563</v>
      </c>
      <c r="F132" s="231">
        <v>2000</v>
      </c>
      <c r="G132" s="232" t="s">
        <v>564</v>
      </c>
      <c r="H132" s="233">
        <v>5000</v>
      </c>
      <c r="I132" s="234" t="s">
        <v>565</v>
      </c>
      <c r="J132" s="233">
        <v>0.1</v>
      </c>
      <c r="K132" s="1400"/>
      <c r="L132" s="1401"/>
      <c r="M132" s="1401"/>
      <c r="N132" s="1402"/>
      <c r="O132" s="214"/>
      <c r="P132" s="168"/>
    </row>
    <row r="133" spans="2:16" ht="15" outlineLevel="1">
      <c r="B133" s="416"/>
      <c r="C133" s="180" t="s">
        <v>72</v>
      </c>
      <c r="D133" s="180" t="s">
        <v>416</v>
      </c>
      <c r="E133" s="1093"/>
      <c r="F133" s="212" t="str">
        <f t="array" ref="F133">IF(C133="","",IF(OR(C133=Списки!$AG$15:$AG$17),"нет","да"))</f>
        <v>нет</v>
      </c>
      <c r="G133" s="204"/>
      <c r="H133" s="986"/>
      <c r="I133" s="213">
        <f>((PI()*(($F$132+300)/(1000*2))^2)*0.01*1850)-H141*I131</f>
        <v>56.862991260891263</v>
      </c>
      <c r="J133" s="432">
        <f>IF(C132="нет",0,IF($E$131=Списки!$AW$2,0,IF(I133="",#REF!,I133)*I131))</f>
        <v>0</v>
      </c>
      <c r="K133" s="178" t="s">
        <v>193</v>
      </c>
      <c r="L133" s="965"/>
      <c r="M133" s="188">
        <f>IFERROR(IF(L133&lt;&gt;"","",VLOOKUP(C133&amp;D133&amp;K133,НН!A:J,10,)),"")</f>
        <v>214.4</v>
      </c>
      <c r="N133" s="202">
        <f t="shared" ref="N133:N183" si="14">IFERROR(IF(L133="",M133*J133,J133*L133),"")</f>
        <v>0</v>
      </c>
      <c r="O133" s="214"/>
      <c r="P133" s="168"/>
    </row>
    <row r="134" spans="2:16" ht="15" outlineLevel="1">
      <c r="B134" s="416"/>
      <c r="C134" s="180" t="s">
        <v>238</v>
      </c>
      <c r="D134" s="180" t="s">
        <v>238</v>
      </c>
      <c r="E134" s="255"/>
      <c r="F134" s="212" t="str">
        <f t="array" ref="F134">IF(C134="","",IF(OR(C134=Списки!$AG$15:$AG$17),"нет","да"))</f>
        <v>нет</v>
      </c>
      <c r="G134" s="204"/>
      <c r="H134" s="966"/>
      <c r="I134" s="213">
        <f>IF(COUNTIF(D133,"*мех*")=1,0.28,IF(COUNTIF(D133,"*ламин*")=1,0.56,1))</f>
        <v>0.28000000000000003</v>
      </c>
      <c r="J134" s="260">
        <f>ROUNDUP(IF(H134="",IFERROR(J133*I134,""),H134),1)</f>
        <v>0</v>
      </c>
      <c r="K134" s="178" t="s">
        <v>212</v>
      </c>
      <c r="L134" s="965"/>
      <c r="M134" s="188">
        <f>IFERROR(IF(L134&lt;&gt;"","",VLOOKUP(C134&amp;D134&amp;K134,НН!A:J,10,)),"")</f>
        <v>1207.8</v>
      </c>
      <c r="N134" s="202">
        <f t="shared" si="14"/>
        <v>0</v>
      </c>
      <c r="O134" s="214"/>
      <c r="P134" s="168"/>
    </row>
    <row r="135" spans="2:16" ht="15" outlineLevel="1">
      <c r="B135" s="416"/>
      <c r="C135" s="180" t="s">
        <v>72</v>
      </c>
      <c r="D135" s="180" t="s">
        <v>418</v>
      </c>
      <c r="E135" s="255"/>
      <c r="F135" s="212" t="str">
        <f t="array" ref="F135">IF(C135="","",IF(OR(C135=Списки!$AG$15:$AG$17),"нет","да"))</f>
        <v>нет</v>
      </c>
      <c r="G135" s="204"/>
      <c r="H135" s="966"/>
      <c r="I135" s="225">
        <f>IF(H135="",3*J133/10,"")</f>
        <v>0</v>
      </c>
      <c r="J135" s="696">
        <f>IF(C132="нет",0,IF($E$131=Списки!$AW$2,0,IF(H135="",I135,H135)))</f>
        <v>0</v>
      </c>
      <c r="K135" s="178" t="s">
        <v>193</v>
      </c>
      <c r="L135" s="965"/>
      <c r="M135" s="188">
        <f>IFERROR(IF(L135&lt;&gt;"","",VLOOKUP(C135&amp;D135&amp;K135,НН!A:J,10,)),"")</f>
        <v>310.2</v>
      </c>
      <c r="N135" s="237">
        <f t="shared" si="14"/>
        <v>0</v>
      </c>
      <c r="O135" s="214"/>
      <c r="P135" s="168"/>
    </row>
    <row r="136" spans="2:16" ht="15" outlineLevel="1">
      <c r="B136" s="416"/>
      <c r="C136" s="180" t="s">
        <v>238</v>
      </c>
      <c r="D136" s="180" t="s">
        <v>238</v>
      </c>
      <c r="E136" s="255"/>
      <c r="F136" s="212" t="str">
        <f t="array" ref="F136">IF(C136="","",IF(OR(C136=Списки!$AG$15:$AG$17),"нет","да"))</f>
        <v>нет</v>
      </c>
      <c r="G136" s="204"/>
      <c r="H136" s="433"/>
      <c r="I136" s="225">
        <f>IF(COUNTIF(D135,"*мех*")=1,0.28,IF(COUNTIF(D135,"*ламин*")=1,0.56,1))</f>
        <v>0.56000000000000005</v>
      </c>
      <c r="J136" s="194">
        <f>ROUNDUP(IF(H136="",IFERROR(J135*I136,""),H136),1)</f>
        <v>0</v>
      </c>
      <c r="K136" s="178" t="s">
        <v>212</v>
      </c>
      <c r="L136" s="965"/>
      <c r="M136" s="188">
        <f>IFERROR(IF(L136&lt;&gt;"","",VLOOKUP(C136&amp;D136&amp;K136,НН!A:J,10,)),"")</f>
        <v>1207.8</v>
      </c>
      <c r="N136" s="202">
        <f t="shared" si="14"/>
        <v>0</v>
      </c>
      <c r="O136" s="214"/>
      <c r="P136" s="492"/>
    </row>
    <row r="137" spans="2:16" ht="15" outlineLevel="1">
      <c r="B137" s="416"/>
      <c r="C137" s="180" t="s">
        <v>68</v>
      </c>
      <c r="D137" s="180" t="s">
        <v>419</v>
      </c>
      <c r="E137" s="434" t="s">
        <v>150</v>
      </c>
      <c r="F137" s="212" t="str">
        <f t="array" ref="F137">IF(C137="","",IF(OR(C137=Списки!$AG$15:$AG$17),"нет","да"))</f>
        <v>да</v>
      </c>
      <c r="G137" s="204"/>
      <c r="H137" s="435">
        <v>10</v>
      </c>
      <c r="I137" s="213"/>
      <c r="J137" s="432">
        <f>IF(E137="нет",0,IF($C$132="нет",0,IF($E$131=Списки!$AW$2,0,IF(H137="",I137,H137))))</f>
        <v>0</v>
      </c>
      <c r="K137" s="178" t="s">
        <v>163</v>
      </c>
      <c r="L137" s="965"/>
      <c r="M137" s="188">
        <f>IFERROR(IF(L137&lt;&gt;"","",VLOOKUP(C137&amp;D137&amp;K137,НН!A:J,10,)),"")</f>
        <v>4750</v>
      </c>
      <c r="N137" s="202">
        <f t="shared" si="14"/>
        <v>0</v>
      </c>
      <c r="O137" s="214"/>
      <c r="P137" s="168"/>
    </row>
    <row r="138" spans="2:16" ht="15">
      <c r="B138" s="416"/>
      <c r="C138" s="180"/>
      <c r="D138" s="180"/>
      <c r="E138" s="255"/>
      <c r="F138" s="248"/>
      <c r="G138" s="204"/>
      <c r="H138" s="184"/>
      <c r="I138" s="213"/>
      <c r="J138" s="234"/>
      <c r="K138" s="178"/>
      <c r="L138" s="965"/>
      <c r="M138" s="188" t="str">
        <f>IFERROR(IF(L138&lt;&gt;"","",VLOOKUP(C138&amp;D138&amp;K138,НН!A:J,10,)),"")</f>
        <v/>
      </c>
      <c r="N138" s="189"/>
      <c r="O138" s="167"/>
      <c r="P138" s="428"/>
    </row>
    <row r="139" spans="2:16" ht="15">
      <c r="B139" s="416"/>
      <c r="C139" s="264" t="s">
        <v>115</v>
      </c>
      <c r="D139" s="426" t="s">
        <v>420</v>
      </c>
      <c r="E139" s="230" t="s">
        <v>563</v>
      </c>
      <c r="F139" s="1332">
        <f>K8</f>
        <v>1200</v>
      </c>
      <c r="G139" s="232" t="s">
        <v>564</v>
      </c>
      <c r="H139" s="233">
        <v>5000</v>
      </c>
      <c r="I139" s="234" t="s">
        <v>565</v>
      </c>
      <c r="J139" s="233">
        <v>1</v>
      </c>
      <c r="K139" s="234" t="s">
        <v>421</v>
      </c>
      <c r="L139" s="436" t="s">
        <v>574</v>
      </c>
      <c r="M139" s="697"/>
      <c r="N139" s="92"/>
      <c r="O139" s="214"/>
      <c r="P139" s="428"/>
    </row>
    <row r="140" spans="2:16" ht="15" outlineLevel="1">
      <c r="B140" s="416"/>
      <c r="C140" s="180"/>
      <c r="D140" s="457" t="s">
        <v>423</v>
      </c>
      <c r="E140" s="698"/>
      <c r="F140" s="485"/>
      <c r="G140" s="216"/>
      <c r="H140" s="218"/>
      <c r="I140" s="1336">
        <f>L8</f>
        <v>2</v>
      </c>
      <c r="J140" s="699" t="s">
        <v>129</v>
      </c>
      <c r="K140" s="1391"/>
      <c r="L140" s="1392"/>
      <c r="M140" s="1392"/>
      <c r="N140" s="1393"/>
      <c r="O140" s="214"/>
      <c r="P140" s="701"/>
    </row>
    <row r="141" spans="2:16" ht="15" outlineLevel="1">
      <c r="B141" s="416"/>
      <c r="C141" s="180" t="s">
        <v>72</v>
      </c>
      <c r="D141" s="445" t="s">
        <v>424</v>
      </c>
      <c r="E141" s="429"/>
      <c r="F141" s="212" t="str">
        <f t="array" ref="F141">IF(C141="","",IF(OR(C141=Списки!$AG$15:$AG$17),"нет","да"))</f>
        <v>нет</v>
      </c>
      <c r="G141" s="204"/>
      <c r="H141" s="463">
        <v>10</v>
      </c>
      <c r="I141" s="431"/>
      <c r="J141" s="432">
        <f>IF($C$139="нет",0,IF($E$131=Списки!$AW$2,0,IF($E$131=Списки!$AW$2,0,IF(H141="",I141,H141))))*I140</f>
        <v>20</v>
      </c>
      <c r="K141" s="178" t="s">
        <v>193</v>
      </c>
      <c r="L141" s="965"/>
      <c r="M141" s="188">
        <f>IFERROR(IF(L141&lt;&gt;"","",VLOOKUP(C141&amp;D141&amp;K141,НН!A:J,10,)),"")</f>
        <v>214.4</v>
      </c>
      <c r="N141" s="202">
        <f t="shared" si="14"/>
        <v>4288</v>
      </c>
      <c r="O141" s="214"/>
      <c r="P141" s="428"/>
    </row>
    <row r="142" spans="2:16" ht="15" outlineLevel="1">
      <c r="B142" s="416"/>
      <c r="C142" s="180" t="s">
        <v>238</v>
      </c>
      <c r="D142" s="445" t="s">
        <v>238</v>
      </c>
      <c r="E142" s="255"/>
      <c r="F142" s="212" t="str">
        <f t="array" ref="F142">IF(C142="","",IF(OR(C142=Списки!$AG$15:$AG$17),"нет","да"))</f>
        <v>нет</v>
      </c>
      <c r="G142" s="204"/>
      <c r="H142" s="184"/>
      <c r="I142" s="213">
        <f>IF(COUNTIF(D141,"*мех*")=1,0.28,IF(COUNTIF(D141,"*ламин*")=1,0.56,1))</f>
        <v>0.28000000000000003</v>
      </c>
      <c r="J142" s="260">
        <f>ROUNDUP(IF(H142="",IFERROR(J141*I142,""),H142),1)</f>
        <v>5.6</v>
      </c>
      <c r="K142" s="178" t="s">
        <v>212</v>
      </c>
      <c r="L142" s="965"/>
      <c r="M142" s="188">
        <f>IFERROR(IF(L142&lt;&gt;"","",VLOOKUP(C142&amp;D142&amp;K142,НН!A:J,10,)),"")</f>
        <v>1207.8</v>
      </c>
      <c r="N142" s="202">
        <f t="shared" si="14"/>
        <v>6763.6799999999994</v>
      </c>
      <c r="O142" s="214"/>
      <c r="P142" s="428"/>
    </row>
    <row r="143" spans="2:16" ht="15" outlineLevel="1">
      <c r="B143" s="416"/>
      <c r="C143" s="180" t="s">
        <v>72</v>
      </c>
      <c r="D143" s="445" t="s">
        <v>425</v>
      </c>
      <c r="E143" s="255"/>
      <c r="F143" s="212" t="str">
        <f t="array" ref="F143">IF(C143="","",IF(OR(C143=Списки!$AG$15:$AG$17),"нет","да"))</f>
        <v>нет</v>
      </c>
      <c r="G143" s="204"/>
      <c r="H143" s="184"/>
      <c r="I143" s="225">
        <f>IF(H143="",3*J141/10,"")</f>
        <v>6</v>
      </c>
      <c r="J143" s="258">
        <f>IF($C139="нет",0,IF(H143="",I143,H143))</f>
        <v>6</v>
      </c>
      <c r="K143" s="178" t="s">
        <v>193</v>
      </c>
      <c r="L143" s="965"/>
      <c r="M143" s="188">
        <f>IFERROR(IF(L143&lt;&gt;"","",VLOOKUP(C143&amp;D143&amp;K143,НН!A:J,10,)),"")</f>
        <v>310.2</v>
      </c>
      <c r="N143" s="202">
        <f t="shared" si="14"/>
        <v>1861.1999999999998</v>
      </c>
      <c r="O143" s="214"/>
      <c r="P143" s="428"/>
    </row>
    <row r="144" spans="2:16" ht="15" outlineLevel="1">
      <c r="B144" s="416"/>
      <c r="C144" s="180" t="s">
        <v>238</v>
      </c>
      <c r="D144" s="445" t="s">
        <v>238</v>
      </c>
      <c r="E144" s="255"/>
      <c r="F144" s="212" t="str">
        <f t="array" ref="F144">IF(C144="","",IF(OR(C144=Списки!$AG$15:$AG$17),"нет","да"))</f>
        <v>нет</v>
      </c>
      <c r="G144" s="447"/>
      <c r="H144" s="448"/>
      <c r="I144" s="225">
        <f>IF(COUNTIF(D143,"*мех*")=1,0.28,IF(COUNTIF(D143,"*ламин*")=1,0.56,1))</f>
        <v>0.56000000000000005</v>
      </c>
      <c r="J144" s="194">
        <f>ROUNDUP(IF(H144="",IFERROR(J143*I144,""),H144),1)</f>
        <v>3.4</v>
      </c>
      <c r="K144" s="178" t="s">
        <v>212</v>
      </c>
      <c r="L144" s="965"/>
      <c r="M144" s="188">
        <f>IFERROR(IF(L144&lt;&gt;"","",VLOOKUP(C144&amp;D144&amp;K144,НН!A:J,10,)),"")</f>
        <v>1207.8</v>
      </c>
      <c r="N144" s="202">
        <f t="shared" si="14"/>
        <v>4106.5199999999995</v>
      </c>
      <c r="O144" s="214"/>
      <c r="P144" s="428"/>
    </row>
    <row r="145" spans="2:16" ht="15" outlineLevel="1">
      <c r="B145" s="416"/>
      <c r="C145" s="449" t="s">
        <v>71</v>
      </c>
      <c r="D145" s="450" t="s">
        <v>426</v>
      </c>
      <c r="E145" s="255"/>
      <c r="F145" s="212" t="str">
        <f t="array" ref="F145">IF(C145="","",IF(OR(C145=Списки!$AG$15:$AG$17),"нет","да"))</f>
        <v>да</v>
      </c>
      <c r="G145" s="447"/>
      <c r="H145" s="448"/>
      <c r="I145" s="451">
        <v>2</v>
      </c>
      <c r="J145" s="186">
        <f>IF($E$131=Списки!$AW$2,0,IF($C$139="нет",0,I145*I140))</f>
        <v>4</v>
      </c>
      <c r="K145" s="178" t="s">
        <v>129</v>
      </c>
      <c r="L145" s="965"/>
      <c r="M145" s="188">
        <f>IFERROR(IF(L145&lt;&gt;"","",VLOOKUP(C145&amp;D145&amp;K145,НН!A:J,10,)),"")</f>
        <v>200</v>
      </c>
      <c r="N145" s="202">
        <f t="shared" si="14"/>
        <v>800</v>
      </c>
      <c r="O145" s="214"/>
      <c r="P145" s="428"/>
    </row>
    <row r="146" spans="2:16" ht="15" outlineLevel="1">
      <c r="B146" s="416"/>
      <c r="C146" s="449" t="s">
        <v>71</v>
      </c>
      <c r="D146" s="450" t="s">
        <v>575</v>
      </c>
      <c r="E146" s="255"/>
      <c r="F146" s="212" t="str">
        <f t="array" ref="F146">IF(C146="","",IF(OR(C146=Списки!$AG$15:$AG$17),"нет","да"))</f>
        <v>да</v>
      </c>
      <c r="G146" s="447"/>
      <c r="H146" s="448"/>
      <c r="I146" s="451">
        <v>1</v>
      </c>
      <c r="J146" s="186">
        <f>IF($E$131=Списки!$AW$2,0,IF($C$139="нет",0,I146*I140))</f>
        <v>2</v>
      </c>
      <c r="K146" s="178" t="s">
        <v>129</v>
      </c>
      <c r="L146" s="965"/>
      <c r="M146" s="188">
        <f>IFERROR(IF(L146&lt;&gt;"","",VLOOKUP(C146&amp;D146&amp;K146,НН!A:J,10,)),"")</f>
        <v>1600</v>
      </c>
      <c r="N146" s="202">
        <f t="shared" si="14"/>
        <v>3200</v>
      </c>
      <c r="O146" s="214"/>
      <c r="P146" s="428"/>
    </row>
    <row r="147" spans="2:16" ht="15" outlineLevel="1" collapsed="1">
      <c r="B147" s="416"/>
      <c r="C147" s="449" t="s">
        <v>71</v>
      </c>
      <c r="D147" s="450" t="s">
        <v>576</v>
      </c>
      <c r="E147" s="255"/>
      <c r="F147" s="212" t="str">
        <f t="array" ref="F147">IF(C147="","",IF(OR(C147=Списки!$AG$15:$AG$17),"нет","да"))</f>
        <v>да</v>
      </c>
      <c r="G147" s="447"/>
      <c r="H147" s="448"/>
      <c r="I147" s="451">
        <v>1</v>
      </c>
      <c r="J147" s="186">
        <f>IF($E$131=Списки!$AW$2,0,IF($C$139="нет",0,I147*I140))</f>
        <v>2</v>
      </c>
      <c r="K147" s="178" t="s">
        <v>129</v>
      </c>
      <c r="L147" s="965"/>
      <c r="M147" s="188">
        <f>IFERROR(IF(L147&lt;&gt;"","",VLOOKUP(C147&amp;D147&amp;K147,НН!A:J,10,)),"")</f>
        <v>500</v>
      </c>
      <c r="N147" s="202">
        <f t="shared" si="14"/>
        <v>1000</v>
      </c>
      <c r="O147" s="214"/>
      <c r="P147" s="428"/>
    </row>
    <row r="148" spans="2:16" ht="15">
      <c r="B148" s="179"/>
      <c r="C148" s="1361"/>
      <c r="D148" s="1362"/>
      <c r="E148" s="1362"/>
      <c r="F148" s="1362"/>
      <c r="G148" s="1362"/>
      <c r="H148" s="1362"/>
      <c r="I148" s="1362"/>
      <c r="J148" s="1362"/>
      <c r="K148" s="1362"/>
      <c r="L148" s="1362"/>
      <c r="M148" s="1362"/>
      <c r="N148" s="1373"/>
      <c r="O148" s="214"/>
      <c r="P148" s="428"/>
    </row>
    <row r="149" spans="2:16" ht="15">
      <c r="B149" s="957"/>
      <c r="C149" s="264" t="s">
        <v>150</v>
      </c>
      <c r="D149" s="426" t="s">
        <v>2199</v>
      </c>
      <c r="E149" s="255"/>
      <c r="F149" s="1333">
        <v>1</v>
      </c>
      <c r="G149" s="178" t="s">
        <v>129</v>
      </c>
      <c r="H149" s="1391"/>
      <c r="I149" s="1392"/>
      <c r="J149" s="1392"/>
      <c r="K149" s="1392"/>
      <c r="L149" s="1392"/>
      <c r="M149" s="1392"/>
      <c r="N149" s="1393"/>
      <c r="O149" s="214"/>
      <c r="P149" s="428"/>
    </row>
    <row r="150" spans="2:16" ht="24" outlineLevel="1">
      <c r="B150" s="957"/>
      <c r="C150" s="180" t="s">
        <v>68</v>
      </c>
      <c r="D150" s="180" t="s">
        <v>1434</v>
      </c>
      <c r="E150" s="1016"/>
      <c r="F150" s="212" t="str">
        <f t="array" ref="F150">IF(C150="","",IF(OR(C150=Списки!$AG$15:$AG$17),"нет","да"))</f>
        <v>да</v>
      </c>
      <c r="G150" s="466"/>
      <c r="H150" s="210">
        <v>2</v>
      </c>
      <c r="I150" s="456"/>
      <c r="J150" s="245">
        <f>IF(C149="нет",0,H150)*F149</f>
        <v>0</v>
      </c>
      <c r="K150" s="178" t="s">
        <v>223</v>
      </c>
      <c r="L150" s="965"/>
      <c r="M150" s="188">
        <f>IFERROR(IF(L150&lt;&gt;"","",VLOOKUP(C150&amp;D150&amp;K150,НН!A:J,10,)),"")</f>
        <v>10201</v>
      </c>
      <c r="N150" s="202">
        <f t="shared" ref="N150" si="15">IFERROR(IF(L150="",M150*J150,J150*L150),"")</f>
        <v>0</v>
      </c>
      <c r="O150" s="214"/>
      <c r="P150" s="428"/>
    </row>
    <row r="151" spans="2:16" ht="24" outlineLevel="1">
      <c r="B151" s="957"/>
      <c r="C151" s="180" t="s">
        <v>68</v>
      </c>
      <c r="D151" s="180" t="s">
        <v>1432</v>
      </c>
      <c r="E151" s="1016"/>
      <c r="F151" s="212" t="str">
        <f t="array" ref="F151">IF(C151="","",IF(OR(C151=Списки!$AG$15:$AG$17),"нет","да"))</f>
        <v>да</v>
      </c>
      <c r="G151" s="466"/>
      <c r="H151" s="210">
        <v>2.5</v>
      </c>
      <c r="I151" s="456"/>
      <c r="J151" s="245">
        <f>IF(C149="нет",0,H151)*H150</f>
        <v>0</v>
      </c>
      <c r="K151" s="178" t="s">
        <v>223</v>
      </c>
      <c r="L151" s="965"/>
      <c r="M151" s="188">
        <f>IFERROR(IF(L151&lt;&gt;"","",VLOOKUP(C151&amp;D151&amp;K151,НН!A:J,10,)),"")</f>
        <v>310.27999999999997</v>
      </c>
      <c r="N151" s="202">
        <f t="shared" ref="N151" si="16">IFERROR(IF(L151="",M151*J151,J151*L151),"")</f>
        <v>0</v>
      </c>
      <c r="O151" s="214"/>
      <c r="P151" s="428"/>
    </row>
    <row r="152" spans="2:16" ht="15" outlineLevel="1">
      <c r="B152" s="957"/>
      <c r="C152" s="180" t="s">
        <v>68</v>
      </c>
      <c r="D152" s="704" t="s">
        <v>1495</v>
      </c>
      <c r="E152" s="255"/>
      <c r="F152" s="212" t="str">
        <f t="array" ref="F152">IF(C152="","",IF(OR(C152=Списки!$AG$15:$AG$17),"нет","да"))</f>
        <v>да</v>
      </c>
      <c r="G152" s="466"/>
      <c r="H152" s="210">
        <v>13.12</v>
      </c>
      <c r="I152" s="456"/>
      <c r="J152" s="245">
        <f>IF(C149="нет",0,H152)*F149</f>
        <v>0</v>
      </c>
      <c r="K152" s="178" t="s">
        <v>163</v>
      </c>
      <c r="L152" s="965"/>
      <c r="M152" s="188">
        <f>IFERROR(IF(L152&lt;&gt;"","",VLOOKUP(C152&amp;D152&amp;K152,НН!A:J,10,)),"")</f>
        <v>3100</v>
      </c>
      <c r="N152" s="202">
        <f t="shared" ref="N152" si="17">IFERROR(IF(L152="",M152*J152,J152*L152),"")</f>
        <v>0</v>
      </c>
      <c r="O152" s="214"/>
      <c r="P152" s="428"/>
    </row>
    <row r="153" spans="2:16" ht="15" outlineLevel="1">
      <c r="B153" s="957"/>
      <c r="C153" s="1406"/>
      <c r="D153" s="1407"/>
      <c r="E153" s="1407"/>
      <c r="F153" s="1407"/>
      <c r="G153" s="1407"/>
      <c r="H153" s="1407"/>
      <c r="I153" s="1407"/>
      <c r="J153" s="1407"/>
      <c r="K153" s="1407"/>
      <c r="L153" s="1407"/>
      <c r="M153" s="1407"/>
      <c r="N153" s="1408"/>
      <c r="O153" s="214"/>
      <c r="P153" s="428"/>
    </row>
    <row r="154" spans="2:16" ht="15">
      <c r="B154" s="179"/>
      <c r="C154" s="264" t="s">
        <v>115</v>
      </c>
      <c r="D154" s="426" t="s">
        <v>430</v>
      </c>
      <c r="E154" s="255"/>
      <c r="F154" s="1333">
        <v>1</v>
      </c>
      <c r="G154" s="178" t="s">
        <v>129</v>
      </c>
      <c r="H154" s="1403"/>
      <c r="I154" s="1404"/>
      <c r="J154" s="1404"/>
      <c r="K154" s="1404"/>
      <c r="L154" s="1404"/>
      <c r="M154" s="1404"/>
      <c r="N154" s="1405"/>
      <c r="O154" s="214"/>
      <c r="P154" s="428"/>
    </row>
    <row r="155" spans="2:16" ht="15" outlineLevel="1">
      <c r="B155" s="179"/>
      <c r="C155" s="180" t="s">
        <v>71</v>
      </c>
      <c r="D155" s="180" t="s">
        <v>431</v>
      </c>
      <c r="E155" s="1015"/>
      <c r="F155" s="212" t="str">
        <f t="array" ref="F155">IF(C155="","",IF(OR(C155=Списки!$AG$15:$AG$17),"нет","да"))</f>
        <v>да</v>
      </c>
      <c r="G155" s="454"/>
      <c r="H155" s="210">
        <v>3</v>
      </c>
      <c r="I155" s="456"/>
      <c r="J155" s="245">
        <f>IF(C154="нет",0,H155)*F154</f>
        <v>3</v>
      </c>
      <c r="K155" s="178" t="s">
        <v>129</v>
      </c>
      <c r="L155" s="965"/>
      <c r="M155" s="188">
        <f>IFERROR(IF(L155&lt;&gt;"","",VLOOKUP(C155&amp;D155&amp;K155,НН!A:J,10,)),"")</f>
        <v>16500</v>
      </c>
      <c r="N155" s="202">
        <f t="shared" si="14"/>
        <v>49500</v>
      </c>
      <c r="O155" s="214"/>
      <c r="P155" s="428"/>
    </row>
    <row r="156" spans="2:16" ht="15" outlineLevel="1">
      <c r="B156" s="179"/>
      <c r="C156" s="180" t="s">
        <v>68</v>
      </c>
      <c r="D156" s="180" t="s">
        <v>1495</v>
      </c>
      <c r="E156" s="255"/>
      <c r="F156" s="212" t="str">
        <f t="array" ref="F156">IF(C156="","",IF(OR(C156=Списки!$AG$15:$AG$17),"нет","да"))</f>
        <v>да</v>
      </c>
      <c r="G156" s="466"/>
      <c r="H156" s="210">
        <v>18</v>
      </c>
      <c r="I156" s="456"/>
      <c r="J156" s="245">
        <f>IF(C154="нет",0,H156)*F154</f>
        <v>18</v>
      </c>
      <c r="K156" s="178" t="s">
        <v>163</v>
      </c>
      <c r="L156" s="965"/>
      <c r="M156" s="188">
        <f>IFERROR(IF(L156&lt;&gt;"","",VLOOKUP(C156&amp;D156&amp;K156,НН!A:J,10,)),"")</f>
        <v>3100</v>
      </c>
      <c r="N156" s="202">
        <f t="shared" si="14"/>
        <v>55800</v>
      </c>
      <c r="O156" s="214"/>
      <c r="P156" s="428"/>
    </row>
    <row r="157" spans="2:16" ht="15">
      <c r="B157" s="957"/>
      <c r="C157" s="1382"/>
      <c r="D157" s="1383"/>
      <c r="E157" s="1383"/>
      <c r="F157" s="1383"/>
      <c r="G157" s="1383"/>
      <c r="H157" s="1383"/>
      <c r="I157" s="1383"/>
      <c r="J157" s="1383"/>
      <c r="K157" s="1383"/>
      <c r="L157" s="1383"/>
      <c r="M157" s="1383"/>
      <c r="N157" s="1384"/>
      <c r="O157" s="214"/>
      <c r="P157" s="428"/>
    </row>
    <row r="158" spans="2:16" ht="24">
      <c r="B158" s="179"/>
      <c r="C158" s="264" t="s">
        <v>115</v>
      </c>
      <c r="D158" s="426" t="s">
        <v>432</v>
      </c>
      <c r="E158" s="255"/>
      <c r="F158" s="1333">
        <v>8</v>
      </c>
      <c r="G158" s="178" t="s">
        <v>129</v>
      </c>
      <c r="H158" s="184" t="s">
        <v>2200</v>
      </c>
      <c r="I158" s="213">
        <v>0.15</v>
      </c>
      <c r="J158" s="178" t="s">
        <v>163</v>
      </c>
      <c r="K158" s="222"/>
      <c r="L158" s="222"/>
      <c r="M158" s="222"/>
      <c r="N158" s="1334"/>
      <c r="O158" s="214"/>
      <c r="P158" s="428"/>
    </row>
    <row r="159" spans="2:16" ht="15" outlineLevel="1">
      <c r="B159" s="179"/>
      <c r="C159" s="180" t="s">
        <v>68</v>
      </c>
      <c r="D159" s="180" t="s">
        <v>435</v>
      </c>
      <c r="E159" s="255"/>
      <c r="F159" s="212" t="str">
        <f t="array" ref="F159">IF(C159="","",IF(OR(C159=Списки!$AG$15:$AG$17),"нет","да"))</f>
        <v>да</v>
      </c>
      <c r="G159" s="204"/>
      <c r="H159" s="184"/>
      <c r="I159" s="213"/>
      <c r="J159" s="234">
        <f>IF($C$158="нет",0,IF(H159="",I158*F158,H159))</f>
        <v>1.2</v>
      </c>
      <c r="K159" s="178" t="s">
        <v>163</v>
      </c>
      <c r="L159" s="965"/>
      <c r="M159" s="188">
        <f>IFERROR(IF(L159&lt;&gt;"","",VLOOKUP(C159&amp;D159&amp;K159,НН!A:J,10,)),"")</f>
        <v>3700</v>
      </c>
      <c r="N159" s="202">
        <f t="shared" si="14"/>
        <v>4440</v>
      </c>
      <c r="O159" s="214"/>
      <c r="P159" s="428"/>
    </row>
    <row r="160" spans="2:16" ht="15" outlineLevel="1">
      <c r="B160" s="179"/>
      <c r="C160" s="464" t="s">
        <v>72</v>
      </c>
      <c r="D160" s="180" t="s">
        <v>436</v>
      </c>
      <c r="E160" s="473"/>
      <c r="F160" s="212" t="str">
        <f t="array" ref="F160">IF(C160="","",IF(OR(C160=Списки!$AG$15:$AG$17),"нет","да"))</f>
        <v>нет</v>
      </c>
      <c r="G160" s="204"/>
      <c r="H160" s="455"/>
      <c r="I160" s="272">
        <f>2*0.15*F158</f>
        <v>2.4</v>
      </c>
      <c r="J160" s="245">
        <f>IF($C$158="нет",0,IF(H160="",I160,H160))</f>
        <v>2.4</v>
      </c>
      <c r="K160" s="178" t="s">
        <v>193</v>
      </c>
      <c r="L160" s="965"/>
      <c r="M160" s="188">
        <f>IFERROR(IF(L160&lt;&gt;"","",VLOOKUP(C160&amp;D160&amp;K160,НН!A:J,10,)),"")</f>
        <v>310.2</v>
      </c>
      <c r="N160" s="468">
        <f t="shared" si="14"/>
        <v>744.4799999999999</v>
      </c>
      <c r="O160" s="214"/>
      <c r="P160" s="428"/>
    </row>
    <row r="161" spans="2:16" ht="15" outlineLevel="1">
      <c r="B161" s="179"/>
      <c r="C161" s="464" t="s">
        <v>238</v>
      </c>
      <c r="D161" s="180" t="s">
        <v>238</v>
      </c>
      <c r="E161" s="473" t="str">
        <f>IFERROR(IF(SEARCH("*петель*",D161)=1,IF(ОЛ_ЕМКОСТИ!E20&lt;2000,"Прим. - Петля простая","Прим. - Петля усиленная"),""),"")</f>
        <v/>
      </c>
      <c r="F161" s="212" t="str">
        <f t="array" ref="F161">IF(C161="","",IF(OR(C161=Списки!$AG$15:$AG$17),"нет","да"))</f>
        <v>нет</v>
      </c>
      <c r="G161" s="204"/>
      <c r="H161" s="455"/>
      <c r="I161" s="272">
        <f>IF(COUNTIF(D160,"*мех*")=1,0.28,IF(COUNTIF(D160,"*ламин*")=1,0.56,1))</f>
        <v>0.56000000000000005</v>
      </c>
      <c r="J161" s="277">
        <f>ROUNDUP(IF(H161="",IFERROR(J160*I161,""),H161),1)</f>
        <v>1.4000000000000001</v>
      </c>
      <c r="K161" s="178" t="s">
        <v>212</v>
      </c>
      <c r="L161" s="965"/>
      <c r="M161" s="188">
        <f>IFERROR(IF(L161&lt;&gt;"","",VLOOKUP(C161&amp;D161&amp;K161,НН!A:J,10,)),"")</f>
        <v>1207.8</v>
      </c>
      <c r="N161" s="468">
        <f t="shared" si="14"/>
        <v>1690.92</v>
      </c>
      <c r="O161" s="214"/>
      <c r="P161" s="428"/>
    </row>
    <row r="162" spans="2:16" ht="15">
      <c r="B162" s="179"/>
      <c r="C162" s="1353"/>
      <c r="D162" s="1354"/>
      <c r="E162" s="1354"/>
      <c r="F162" s="1354"/>
      <c r="G162" s="1354"/>
      <c r="H162" s="1354"/>
      <c r="I162" s="1354"/>
      <c r="J162" s="1354"/>
      <c r="K162" s="1354"/>
      <c r="L162" s="1354"/>
      <c r="M162" s="1354"/>
      <c r="N162" s="1355"/>
      <c r="O162" s="214"/>
      <c r="P162" s="428"/>
    </row>
    <row r="163" spans="2:16" ht="15">
      <c r="B163" s="179"/>
      <c r="C163" s="264" t="s">
        <v>115</v>
      </c>
      <c r="D163" s="426" t="s">
        <v>577</v>
      </c>
      <c r="E163" s="471" t="s">
        <v>578</v>
      </c>
      <c r="F163" s="215"/>
      <c r="G163" s="216"/>
      <c r="H163" s="227"/>
      <c r="I163" s="288"/>
      <c r="J163" s="470"/>
      <c r="K163" s="220"/>
      <c r="L163" s="221"/>
      <c r="M163" s="222"/>
      <c r="N163" s="223"/>
      <c r="O163" s="214"/>
      <c r="P163" s="428"/>
    </row>
    <row r="164" spans="2:16" ht="15" outlineLevel="1">
      <c r="B164" s="179"/>
      <c r="C164" s="180" t="s">
        <v>68</v>
      </c>
      <c r="D164" s="180" t="s">
        <v>579</v>
      </c>
      <c r="E164" s="702" t="s">
        <v>580</v>
      </c>
      <c r="F164" s="212" t="str">
        <f t="array" ref="F164">IF(C164="","",IF(OR(C164=Списки!$AG$15:$AG$17),"нет","да"))</f>
        <v>да</v>
      </c>
      <c r="G164" s="454"/>
      <c r="H164" s="184"/>
      <c r="I164" s="213">
        <f>(IF(ОЛ_ЕМКОСТИ!E25=Списки!AK3,H5/1000,'Калькулятор ЕМК'!G5/1000+'Калькулятор ЕМК'!M8/1000))*2*SUM(ОЛ_ЕМКОСТИ!E60:E62)</f>
        <v>20</v>
      </c>
      <c r="J164" s="234">
        <f>IF(C163="нет",0,IF(ОЛ_ЕМКОСТИ!$E$54="нет",0,IF(H164="",I164,H164)))</f>
        <v>20</v>
      </c>
      <c r="K164" s="178" t="s">
        <v>163</v>
      </c>
      <c r="L164" s="965"/>
      <c r="M164" s="188">
        <f>IFERROR(IF(L164&lt;&gt;"","",VLOOKUP(C164&amp;D164&amp;K164,НН!A:J,10,)),"")</f>
        <v>1800</v>
      </c>
      <c r="N164" s="202">
        <f t="shared" si="14"/>
        <v>36000</v>
      </c>
      <c r="O164" s="214"/>
      <c r="P164" s="428"/>
    </row>
    <row r="165" spans="2:16" ht="15" outlineLevel="1">
      <c r="B165" s="179"/>
      <c r="C165" s="180" t="s">
        <v>68</v>
      </c>
      <c r="D165" s="180" t="s">
        <v>581</v>
      </c>
      <c r="E165" s="429"/>
      <c r="F165" s="212" t="str">
        <f t="array" ref="F165">IF(C165="","",IF(OR(C165=Списки!$AG$15:$AG$17),"нет","да"))</f>
        <v>да</v>
      </c>
      <c r="G165" s="204"/>
      <c r="H165" s="210">
        <v>5</v>
      </c>
      <c r="I165" s="213"/>
      <c r="J165" s="234">
        <f>IF(C163="нет",0,IF(ОЛ_ЕМКОСТИ!E54="нет",0,IF(H165="",I165,H165)))</f>
        <v>5</v>
      </c>
      <c r="K165" s="178" t="s">
        <v>163</v>
      </c>
      <c r="L165" s="965"/>
      <c r="M165" s="188">
        <f>IFERROR(IF(L165&lt;&gt;"","",VLOOKUP(C165&amp;D165&amp;K165,НН!A:J,10,)),"")</f>
        <v>1000</v>
      </c>
      <c r="N165" s="202">
        <f t="shared" si="14"/>
        <v>5000</v>
      </c>
      <c r="O165" s="214"/>
      <c r="P165" s="428"/>
    </row>
    <row r="166" spans="2:16" ht="15" outlineLevel="1">
      <c r="B166" s="179"/>
      <c r="C166" s="180" t="s">
        <v>68</v>
      </c>
      <c r="D166" s="180" t="s">
        <v>582</v>
      </c>
      <c r="E166" s="429"/>
      <c r="F166" s="212" t="str">
        <f t="array" ref="F166">IF(C166="","",IF(OR(C166=Списки!$AG$15:$AG$17),"нет","да"))</f>
        <v>да</v>
      </c>
      <c r="G166" s="454"/>
      <c r="H166" s="210">
        <v>4</v>
      </c>
      <c r="I166" s="213"/>
      <c r="J166" s="234">
        <f>IF(C163="нет",0,IF(ОЛ_ЕМКОСТИ!E54="нет",0,IF(H166="",I166,H166)))</f>
        <v>4</v>
      </c>
      <c r="K166" s="178" t="s">
        <v>163</v>
      </c>
      <c r="L166" s="965"/>
      <c r="M166" s="188">
        <f>IFERROR(IF(L166&lt;&gt;"","",VLOOKUP(C166&amp;D166&amp;K166,НН!A:J,10,)),"")</f>
        <v>1890</v>
      </c>
      <c r="N166" s="202">
        <f t="shared" si="14"/>
        <v>7560</v>
      </c>
      <c r="O166" s="214"/>
      <c r="P166" s="428"/>
    </row>
    <row r="167" spans="2:16" ht="15">
      <c r="B167" s="179"/>
      <c r="C167" s="1353"/>
      <c r="D167" s="1354"/>
      <c r="E167" s="1354"/>
      <c r="F167" s="1354"/>
      <c r="G167" s="1354"/>
      <c r="H167" s="1354"/>
      <c r="I167" s="1354"/>
      <c r="J167" s="1354"/>
      <c r="K167" s="1354"/>
      <c r="L167" s="1354"/>
      <c r="M167" s="1354"/>
      <c r="N167" s="1355"/>
      <c r="O167" s="214"/>
      <c r="P167" s="428"/>
    </row>
    <row r="168" spans="2:16" ht="15">
      <c r="B168" s="179"/>
      <c r="C168" s="264" t="s">
        <v>115</v>
      </c>
      <c r="D168" s="439" t="s">
        <v>64</v>
      </c>
      <c r="E168" s="255"/>
      <c r="F168" s="215"/>
      <c r="G168" s="216"/>
      <c r="H168" s="216"/>
      <c r="I168" s="216"/>
      <c r="J168" s="470"/>
      <c r="K168" s="220"/>
      <c r="L168" s="221"/>
      <c r="M168" s="222"/>
      <c r="N168" s="223"/>
      <c r="O168" s="214"/>
      <c r="P168" s="428"/>
    </row>
    <row r="169" spans="2:16" ht="24" outlineLevel="1">
      <c r="B169" s="179"/>
      <c r="C169" s="180" t="s">
        <v>64</v>
      </c>
      <c r="D169" s="180" t="s">
        <v>438</v>
      </c>
      <c r="E169" s="472" t="str">
        <f>"Для подъема и спуска насосов L= "&amp;ROUNDUP((IF(ОЛ_ЕМКОСТИ!$E$24=Списки!AK3,H5/1000,'Калькулятор ЕМК'!G5/1000+'Калькулятор ЕМК'!M8/1000)+1),0)&amp;"м"</f>
        <v>Для подъема и спуска насосов L= 6м</v>
      </c>
      <c r="F169" s="212" t="str">
        <f t="array" ref="F169">IF(C169="","",IF(OR(C169=Списки!$AG$15:$AG$17),"нет","да"))</f>
        <v>да</v>
      </c>
      <c r="G169" s="454"/>
      <c r="H169" s="1309"/>
      <c r="I169" s="272">
        <f>IF(H169="",ROUNDUP((ОЛ_ЕМКОСТИ!$E$60+ОЛ_ЕМКОСТИ!$E$61)*(IF(ОЛ_ЕМКОСТИ!$E$24=Списки!AK3,H5/1000,'Калькулятор ЕМК'!G5/1000+'Калькулятор ЕМК'!M8/1000)+1),),"")</f>
        <v>12</v>
      </c>
      <c r="J169" s="245">
        <f>IF(C168="нет",0,IF(ОЛ_ЕМКОСТИ!E54="нет",0,IF(H169="",I169,H169)))</f>
        <v>12</v>
      </c>
      <c r="K169" s="178" t="s">
        <v>163</v>
      </c>
      <c r="L169" s="965"/>
      <c r="M169" s="188">
        <f>IFERROR(IF(L169&lt;&gt;"","",VLOOKUP(C169&amp;D169&amp;K169,НН!A:J,10,)),"")</f>
        <v>600</v>
      </c>
      <c r="N169" s="468">
        <f t="shared" si="14"/>
        <v>7200</v>
      </c>
      <c r="O169" s="214"/>
      <c r="P169" s="428"/>
    </row>
    <row r="170" spans="2:16" ht="15" outlineLevel="1">
      <c r="B170" s="179"/>
      <c r="C170" s="180" t="s">
        <v>64</v>
      </c>
      <c r="D170" s="180" t="s">
        <v>439</v>
      </c>
      <c r="E170" s="473"/>
      <c r="F170" s="212" t="str">
        <f t="array" ref="F170">IF(C170="","",IF(OR(C170=Списки!$AG$15:$AG$17),"нет","да"))</f>
        <v>да</v>
      </c>
      <c r="G170" s="454"/>
      <c r="H170" s="1309"/>
      <c r="I170" s="272">
        <f>IF(H170="",ROUNDUP(I169/2,),"")</f>
        <v>6</v>
      </c>
      <c r="J170" s="245">
        <f>IF(C168="нет",0,IF(ОЛ_ЕМКОСТИ!E54="нет",0,I170))</f>
        <v>6</v>
      </c>
      <c r="K170" s="178" t="s">
        <v>129</v>
      </c>
      <c r="L170" s="965"/>
      <c r="M170" s="188">
        <f>IFERROR(IF(L170&lt;&gt;"","",VLOOKUP(C170&amp;D170&amp;K170,НН!A:J,10,)),"")</f>
        <v>440</v>
      </c>
      <c r="N170" s="468">
        <f t="shared" si="14"/>
        <v>2640</v>
      </c>
      <c r="O170" s="214"/>
      <c r="P170" s="428"/>
    </row>
    <row r="171" spans="2:16" ht="15" outlineLevel="1">
      <c r="B171" s="179"/>
      <c r="C171" s="180" t="s">
        <v>68</v>
      </c>
      <c r="D171" s="180" t="s">
        <v>440</v>
      </c>
      <c r="E171" s="473"/>
      <c r="F171" s="212" t="str">
        <f t="array" ref="F171">IF(C171="","",IF(OR(C171=Списки!$AG$15:$AG$17),"нет","да"))</f>
        <v>да</v>
      </c>
      <c r="G171" s="454"/>
      <c r="H171" s="1335"/>
      <c r="I171" s="272">
        <f>I169*(3.14*0.05)</f>
        <v>1.8840000000000003</v>
      </c>
      <c r="J171" s="245">
        <f>IF(C168="нет",0,IF(ОЛ_ЕМКОСТИ!E54="нет",0,IF(H171="",I171,H171)))</f>
        <v>1.8840000000000003</v>
      </c>
      <c r="K171" s="178" t="s">
        <v>163</v>
      </c>
      <c r="L171" s="965"/>
      <c r="M171" s="188">
        <f>IFERROR(IF(L171&lt;&gt;"","",VLOOKUP(C171&amp;D171&amp;K171,НН!A:J,10,)),"")</f>
        <v>132</v>
      </c>
      <c r="N171" s="468">
        <f t="shared" si="14"/>
        <v>248.68800000000005</v>
      </c>
      <c r="O171" s="214"/>
      <c r="P171" s="428"/>
    </row>
    <row r="172" spans="2:16" ht="15">
      <c r="B172" s="179"/>
      <c r="C172" s="1353"/>
      <c r="D172" s="1354"/>
      <c r="E172" s="1354"/>
      <c r="F172" s="1354"/>
      <c r="G172" s="1354"/>
      <c r="H172" s="1354"/>
      <c r="I172" s="1354"/>
      <c r="J172" s="1354"/>
      <c r="K172" s="1354"/>
      <c r="L172" s="1354"/>
      <c r="M172" s="1354"/>
      <c r="N172" s="1355"/>
      <c r="O172" s="214"/>
      <c r="P172" s="428"/>
    </row>
    <row r="173" spans="2:16" ht="15">
      <c r="B173" s="179"/>
      <c r="C173" s="264" t="s">
        <v>115</v>
      </c>
      <c r="D173" s="439" t="s">
        <v>441</v>
      </c>
      <c r="E173" s="255"/>
      <c r="F173" s="215"/>
      <c r="G173" s="476"/>
      <c r="H173" s="227"/>
      <c r="I173" s="288"/>
      <c r="J173" s="470"/>
      <c r="K173" s="220"/>
      <c r="L173" s="221"/>
      <c r="M173" s="222"/>
      <c r="N173" s="223"/>
      <c r="O173" s="214"/>
      <c r="P173" s="428"/>
    </row>
    <row r="174" spans="2:16" ht="36" outlineLevel="1">
      <c r="B174" s="179"/>
      <c r="C174" s="464" t="s">
        <v>64</v>
      </c>
      <c r="D174" s="180" t="s">
        <v>583</v>
      </c>
      <c r="E174" s="473"/>
      <c r="F174" s="212" t="str">
        <f t="array" ref="F174">IF(C174="","",IF(OR(C174=Списки!$AG$15:$AG$17),"нет","да"))</f>
        <v>да</v>
      </c>
      <c r="G174" s="204"/>
      <c r="H174" s="184"/>
      <c r="I174" s="456">
        <f>IF(ОЛ_ЕМКОСТИ!E24=Списки!AK3,0,I5/(1000))</f>
        <v>13.4</v>
      </c>
      <c r="J174" s="245">
        <f>IF(ОЛ_ЕМКОСТИ!$E$24=Списки!AK3,0,ROUNDUP(IF(C173="нет",0,I174),0))</f>
        <v>14</v>
      </c>
      <c r="K174" s="178" t="s">
        <v>129</v>
      </c>
      <c r="L174" s="965"/>
      <c r="M174" s="188">
        <f>IFERROR(IF(L174&lt;&gt;"","",VLOOKUP(C174&amp;D174&amp;K174,НН!A:J,10,)),"")</f>
        <v>3000</v>
      </c>
      <c r="N174" s="468">
        <f t="shared" si="14"/>
        <v>42000</v>
      </c>
      <c r="O174" s="214"/>
      <c r="P174" s="428"/>
    </row>
    <row r="175" spans="2:16" ht="24" outlineLevel="1">
      <c r="B175" s="179"/>
      <c r="C175" s="464" t="s">
        <v>69</v>
      </c>
      <c r="D175" s="180" t="s">
        <v>584</v>
      </c>
      <c r="E175" s="473"/>
      <c r="F175" s="212" t="str">
        <f t="array" ref="F175">IF(C175="","",IF(OR(C175=Списки!$AG$15:$AG$17),"нет","да"))</f>
        <v>да</v>
      </c>
      <c r="G175" s="204"/>
      <c r="H175" s="184"/>
      <c r="I175" s="456">
        <f>IF(ОЛ_ЕМКОСТИ!E25=Списки!AK4,0,J174*2)</f>
        <v>28</v>
      </c>
      <c r="J175" s="245">
        <f>IF(ОЛ_ЕМКОСТИ!$E$24=Списки!AK4,0,ROUNDUP(IF(H175="",I175,H175),0))</f>
        <v>28</v>
      </c>
      <c r="K175" s="178" t="s">
        <v>129</v>
      </c>
      <c r="L175" s="965"/>
      <c r="M175" s="188">
        <f>IFERROR(IF(L175&lt;&gt;"","",VLOOKUP(C175&amp;D175&amp;K175,НН!A:J,10,)),"")</f>
        <v>2500</v>
      </c>
      <c r="N175" s="468">
        <f t="shared" si="14"/>
        <v>70000</v>
      </c>
      <c r="O175" s="214"/>
      <c r="P175" s="428"/>
    </row>
    <row r="176" spans="2:16" ht="15" outlineLevel="1">
      <c r="B176" s="179"/>
      <c r="C176" s="464" t="s">
        <v>69</v>
      </c>
      <c r="D176" s="180" t="s">
        <v>585</v>
      </c>
      <c r="E176" s="473"/>
      <c r="F176" s="212" t="str">
        <f t="array" ref="F176">IF(C176="","",IF(OR(C176=Списки!$AG$15:$AG$17),"нет","да"))</f>
        <v>да</v>
      </c>
      <c r="G176" s="204"/>
      <c r="H176" s="184"/>
      <c r="I176" s="456">
        <f>IF(ОЛ_ЕМКОСТИ!E26=Списки!AK5,0,J175*2)</f>
        <v>56</v>
      </c>
      <c r="J176" s="245">
        <f>IF(ОЛ_ЕМКОСТИ!$E$24=Списки!AK5,0,ROUNDUP(IF(H176="",I176,H176),0))</f>
        <v>56</v>
      </c>
      <c r="K176" s="178" t="s">
        <v>129</v>
      </c>
      <c r="L176" s="965"/>
      <c r="M176" s="188">
        <f>IFERROR(IF(L176&lt;&gt;"","",VLOOKUP(C176&amp;D176&amp;K176,НН!A:J,10,)),"")</f>
        <v>310</v>
      </c>
      <c r="N176" s="468">
        <f t="shared" si="14"/>
        <v>17360</v>
      </c>
      <c r="O176" s="214"/>
      <c r="P176" s="428"/>
    </row>
    <row r="177" spans="2:16" ht="15">
      <c r="B177" s="179"/>
      <c r="C177" s="1361"/>
      <c r="D177" s="1362"/>
      <c r="E177" s="1362"/>
      <c r="F177" s="1362"/>
      <c r="G177" s="1362"/>
      <c r="H177" s="1362"/>
      <c r="I177" s="1362"/>
      <c r="J177" s="1362"/>
      <c r="K177" s="1362"/>
      <c r="L177" s="1362"/>
      <c r="M177" s="1362"/>
      <c r="N177" s="1373"/>
      <c r="O177" s="214"/>
      <c r="P177" s="428"/>
    </row>
    <row r="178" spans="2:16" ht="15">
      <c r="B178" s="169" t="s">
        <v>474</v>
      </c>
      <c r="C178" s="170"/>
      <c r="D178" s="291" t="s">
        <v>445</v>
      </c>
      <c r="E178" s="292"/>
      <c r="F178" s="293"/>
      <c r="G178" s="477"/>
      <c r="H178" s="403"/>
      <c r="I178" s="403" t="str">
        <f t="array" ref="I178">IF(ISBLANK(E178),"",IF(OR(E178=Списки!$AG$15:$AG$17),"нет","да"))</f>
        <v/>
      </c>
      <c r="J178" s="295"/>
      <c r="K178" s="478"/>
      <c r="L178" s="221"/>
      <c r="M178" s="222" t="str">
        <f t="array" aca="1" ref="M178" ca="1">IF(D178="ФОТ",I178*#REF!,IFERROR(IF(L178&lt;&gt;"","",IF((VLOOKUP(D178&amp;K178,INDIRECT("'"&amp;INDEX(Списки!$AG$2:$AG$17,MATCH(TRUE,COUNTIF(INDIRECT("'"&amp;Списки!$AG$2:$AG$17 &amp;"'!A1:A2000"),D178&amp;K178)&gt;0,0))&amp;"'!A:h"),7,0))=0,"",VLOOKUP(D178&amp;K178,INDIRECT("'"&amp;INDEX(Списки!$AG$2:$AG$17,MATCH(TRUE,COUNTIF(INDIRECT("'"&amp;Списки!$AG$2:$AG$17 &amp;"'!A1:A2000"),D178&amp;K178)&gt;0,0))&amp;"'!A:h"),7,0))),""))</f>
        <v/>
      </c>
      <c r="N178" s="223"/>
      <c r="O178" s="214"/>
      <c r="P178" s="705"/>
    </row>
    <row r="179" spans="2:16" ht="14.45" customHeight="1">
      <c r="B179" s="179"/>
      <c r="C179" s="481"/>
      <c r="D179" s="278" t="s">
        <v>446</v>
      </c>
      <c r="E179" s="255"/>
      <c r="F179" s="215"/>
      <c r="G179" s="216"/>
      <c r="H179" s="227"/>
      <c r="I179" s="218"/>
      <c r="J179" s="219"/>
      <c r="K179" s="220"/>
      <c r="L179" s="221"/>
      <c r="M179" s="222" t="str">
        <f t="array" aca="1" ref="M179" ca="1">IF(D179="ФОТ",I179*#REF!,IFERROR(IF(L179&lt;&gt;"","",IF((VLOOKUP(D179&amp;K179,INDIRECT("'"&amp;INDEX(Списки!$AG$2:$AG$17,MATCH(TRUE,COUNTIF(INDIRECT("'"&amp;Списки!$AG$2:$AG$17 &amp;"'!A1:A2000"),D179&amp;K179)&gt;0,0))&amp;"'!A:h"),7,0))=0,"",VLOOKUP(D179&amp;K179,INDIRECT("'"&amp;INDEX(Списки!$AG$2:$AG$17,MATCH(TRUE,COUNTIF(INDIRECT("'"&amp;Списки!$AG$2:$AG$17 &amp;"'!A1:A2000"),D179&amp;K179)&gt;0,0))&amp;"'!A:h"),7,0))),""))</f>
        <v/>
      </c>
      <c r="N179" s="223" t="str">
        <f t="shared" ca="1" si="14"/>
        <v/>
      </c>
      <c r="O179" s="214"/>
      <c r="P179" s="705"/>
    </row>
    <row r="180" spans="2:16" ht="24" outlineLevel="1">
      <c r="B180" s="169"/>
      <c r="C180" s="180" t="s">
        <v>72</v>
      </c>
      <c r="D180" s="180" t="s">
        <v>447</v>
      </c>
      <c r="E180" s="255"/>
      <c r="F180" s="212" t="str">
        <f t="array" ref="F180">IF(C180="","",IF(OR(C180=Списки!$AG$15:$AG$17),"нет","да"))</f>
        <v>нет</v>
      </c>
      <c r="G180" s="204"/>
      <c r="H180" s="184"/>
      <c r="I180" s="193">
        <f>IF(F132&lt;2500,6,7)*I131</f>
        <v>12</v>
      </c>
      <c r="J180" s="194">
        <f>IF(AND($E$137="да",C132="да"),ROUNDUP(IF($E$131=Списки!$AW$2,0,IF(ISBLANK(D180),"",IF(H180="",I180,H180))),1),0)</f>
        <v>0</v>
      </c>
      <c r="K180" s="178" t="s">
        <v>212</v>
      </c>
      <c r="L180" s="505"/>
      <c r="M180" s="188">
        <f>IFERROR(IF(L180&lt;&gt;"","",VLOOKUP(C180&amp;D180&amp;K180,НН!A:J,10,)),"")</f>
        <v>1207.8</v>
      </c>
      <c r="N180" s="202">
        <f t="shared" si="14"/>
        <v>0</v>
      </c>
      <c r="O180" s="365" t="s">
        <v>448</v>
      </c>
      <c r="P180" s="214"/>
    </row>
    <row r="181" spans="2:16" ht="24" outlineLevel="1">
      <c r="B181" s="169"/>
      <c r="C181" s="180" t="s">
        <v>72</v>
      </c>
      <c r="D181" s="180" t="s">
        <v>449</v>
      </c>
      <c r="E181" s="255"/>
      <c r="F181" s="212" t="str">
        <f t="array" ref="F181">IF(C181="","",IF(OR(C181=Списки!$AG$15:$AG$17),"нет","да"))</f>
        <v>нет</v>
      </c>
      <c r="G181" s="204"/>
      <c r="H181" s="184"/>
      <c r="I181" s="193">
        <f>IF(F132&lt;2500,5,6)*I131</f>
        <v>10</v>
      </c>
      <c r="J181" s="194">
        <f>IF(AND($E$137="да",C132="да"),ROUNDUP(IF($E$131=Списки!$AW$2,0,IF(ISBLANK(D181),"",IF(H181="",I181,H181))),1),0)</f>
        <v>0</v>
      </c>
      <c r="K181" s="178" t="s">
        <v>212</v>
      </c>
      <c r="L181" s="505"/>
      <c r="M181" s="188">
        <f>IFERROR(IF(L181&lt;&gt;"","",VLOOKUP(C181&amp;D181&amp;K181,НН!A:J,10,)),"")</f>
        <v>1207.8</v>
      </c>
      <c r="N181" s="202">
        <f t="shared" si="14"/>
        <v>0</v>
      </c>
      <c r="O181" s="365" t="s">
        <v>450</v>
      </c>
      <c r="P181" s="214"/>
    </row>
    <row r="182" spans="2:16" ht="17.25" customHeight="1" outlineLevel="1">
      <c r="B182" s="169"/>
      <c r="C182" s="180" t="s">
        <v>72</v>
      </c>
      <c r="D182" s="180" t="s">
        <v>451</v>
      </c>
      <c r="E182" s="255"/>
      <c r="F182" s="212" t="str">
        <f t="array" ref="F182">IF(C182="","",IF(OR(C182=Списки!$AG$15:$AG$17),"нет","да"))</f>
        <v>нет</v>
      </c>
      <c r="G182" s="204"/>
      <c r="H182" s="184"/>
      <c r="I182" s="193">
        <f>0.5*J145</f>
        <v>2</v>
      </c>
      <c r="J182" s="194">
        <f>IF(C139="нет",0,ROUNDUP(IF($E$131=Списки!$AW$2,0,IF(ISBLANK(D182),"",IF(H182="",I182,H182))),1))</f>
        <v>2</v>
      </c>
      <c r="K182" s="178" t="s">
        <v>212</v>
      </c>
      <c r="L182" s="505"/>
      <c r="M182" s="188">
        <f>IFERROR(IF(L182&lt;&gt;"","",VLOOKUP(C182&amp;D182&amp;K182,НН!A:J,10,)),"")</f>
        <v>1207.8</v>
      </c>
      <c r="N182" s="202">
        <f t="shared" si="14"/>
        <v>2415.6</v>
      </c>
      <c r="O182" s="365" t="s">
        <v>452</v>
      </c>
      <c r="P182" s="491"/>
    </row>
    <row r="183" spans="2:16" ht="19.5" customHeight="1" outlineLevel="1">
      <c r="B183" s="169"/>
      <c r="C183" s="180" t="s">
        <v>72</v>
      </c>
      <c r="D183" s="180" t="s">
        <v>586</v>
      </c>
      <c r="E183" s="255"/>
      <c r="F183" s="212" t="str">
        <f t="array" ref="F183">IF(C183="","",IF(OR(C183=Списки!$AG$15:$AG$17),"нет","да"))</f>
        <v>нет</v>
      </c>
      <c r="G183" s="204"/>
      <c r="H183" s="184"/>
      <c r="I183" s="193">
        <f>0.5*(J146+J147)</f>
        <v>2</v>
      </c>
      <c r="J183" s="194">
        <f>IF(C139="нет",0,ROUNDUP(IF($E$131=Списки!$AW$2,0,IF(ISBLANK(D183),"",IF(H183="",I183,H183))),1))</f>
        <v>2</v>
      </c>
      <c r="K183" s="178" t="s">
        <v>212</v>
      </c>
      <c r="L183" s="505"/>
      <c r="M183" s="188">
        <f>IFERROR(IF(L183&lt;&gt;"","",VLOOKUP(C183&amp;D183&amp;K183,НН!A:J,10,)),"")</f>
        <v>1207.8</v>
      </c>
      <c r="N183" s="202">
        <f t="shared" si="14"/>
        <v>2415.6</v>
      </c>
      <c r="O183" s="365"/>
      <c r="P183" s="491"/>
    </row>
    <row r="184" spans="2:16" ht="15">
      <c r="B184" s="179"/>
      <c r="C184" s="1361"/>
      <c r="D184" s="1362"/>
      <c r="E184" s="1362"/>
      <c r="F184" s="1362"/>
      <c r="G184" s="1362"/>
      <c r="H184" s="1362"/>
      <c r="I184" s="1362"/>
      <c r="J184" s="1362"/>
      <c r="K184" s="1362"/>
      <c r="L184" s="1362"/>
      <c r="M184" s="1362"/>
      <c r="N184" s="1373"/>
      <c r="O184" s="214"/>
      <c r="P184" s="705"/>
    </row>
    <row r="185" spans="2:16" ht="15">
      <c r="B185" s="179"/>
      <c r="C185" s="481"/>
      <c r="D185" s="426" t="s">
        <v>430</v>
      </c>
      <c r="E185" s="255"/>
      <c r="F185" s="215"/>
      <c r="G185" s="216"/>
      <c r="H185" s="227"/>
      <c r="I185" s="218"/>
      <c r="J185" s="219"/>
      <c r="K185" s="220"/>
      <c r="L185" s="221"/>
      <c r="M185" s="222" t="str">
        <f t="array" aca="1" ref="M185" ca="1">IF(D185="ФОТ",I185*#REF!,IFERROR(IF(L185&lt;&gt;"","",IF((VLOOKUP(D185&amp;K185,INDIRECT("'"&amp;INDEX(Списки!$AG$2:$AG$17,MATCH(TRUE,COUNTIF(INDIRECT("'"&amp;Списки!$AG$2:$AG$17 &amp;"'!A1:A2000"),D185&amp;K185)&gt;0,0))&amp;"'!A:h"),7,0))=0,"",VLOOKUP(D185&amp;K185,INDIRECT("'"&amp;INDEX(Списки!$AG$2:$AG$17,MATCH(TRUE,COUNTIF(INDIRECT("'"&amp;Списки!$AG$2:$AG$17 &amp;"'!A1:A2000"),D185&amp;K185)&gt;0,0))&amp;"'!A:h"),7,0))),""))</f>
        <v/>
      </c>
      <c r="N185" s="223" t="str">
        <f t="shared" ref="N185:N201" ca="1" si="18">IFERROR(IF(L185="",M185*J185,J185*L185),"")</f>
        <v/>
      </c>
      <c r="O185" s="214"/>
      <c r="P185" s="705"/>
    </row>
    <row r="186" spans="2:16" ht="24" outlineLevel="1">
      <c r="B186" s="179"/>
      <c r="C186" s="180" t="s">
        <v>72</v>
      </c>
      <c r="D186" s="180" t="s">
        <v>458</v>
      </c>
      <c r="E186" s="255"/>
      <c r="F186" s="212" t="str">
        <f t="array" ref="F186">IF(C186="","",IF(OR(C186=Списки!$AG$15:$AG$17),"нет","да"))</f>
        <v>нет</v>
      </c>
      <c r="G186" s="204"/>
      <c r="H186" s="966"/>
      <c r="I186" s="193">
        <f>6*F154</f>
        <v>6</v>
      </c>
      <c r="J186" s="194">
        <f t="shared" ref="J186:J188" si="19">ROUNDUP(IF($C$154="нет",0,IF(ISBLANK(D186),"",IF(H186="",I186,H186))),1)</f>
        <v>6</v>
      </c>
      <c r="K186" s="178" t="s">
        <v>212</v>
      </c>
      <c r="L186" s="965"/>
      <c r="M186" s="188">
        <f>IFERROR(IF(L186&lt;&gt;"","",VLOOKUP(C186&amp;D186&amp;K186,НН!A:J,10,)),"")</f>
        <v>1207.8</v>
      </c>
      <c r="N186" s="202">
        <f t="shared" si="18"/>
        <v>7246.7999999999993</v>
      </c>
      <c r="O186" s="214"/>
      <c r="P186" s="705"/>
    </row>
    <row r="187" spans="2:16" ht="15" outlineLevel="1">
      <c r="B187" s="179"/>
      <c r="C187" s="180" t="s">
        <v>72</v>
      </c>
      <c r="D187" s="180" t="s">
        <v>459</v>
      </c>
      <c r="E187" s="255"/>
      <c r="F187" s="212" t="str">
        <f t="array" ref="F187">IF(C187="","",IF(OR(C187=Списки!$AG$15:$AG$17),"нет","да"))</f>
        <v>нет</v>
      </c>
      <c r="G187" s="204"/>
      <c r="H187" s="966"/>
      <c r="I187" s="193">
        <f>5*F154</f>
        <v>5</v>
      </c>
      <c r="J187" s="194">
        <f t="shared" si="19"/>
        <v>5</v>
      </c>
      <c r="K187" s="178" t="s">
        <v>212</v>
      </c>
      <c r="L187" s="965"/>
      <c r="M187" s="188">
        <f>IFERROR(IF(L187&lt;&gt;"","",VLOOKUP(C187&amp;D187&amp;K187,НН!A:J,10,)),"")</f>
        <v>1207.8</v>
      </c>
      <c r="N187" s="202">
        <f t="shared" si="18"/>
        <v>6039</v>
      </c>
      <c r="O187" s="214"/>
      <c r="P187" s="705"/>
    </row>
    <row r="188" spans="2:16" ht="15" outlineLevel="1">
      <c r="B188" s="179"/>
      <c r="C188" s="180" t="s">
        <v>72</v>
      </c>
      <c r="D188" s="180" t="s">
        <v>1944</v>
      </c>
      <c r="E188" s="255"/>
      <c r="F188" s="212" t="str">
        <f t="array" ref="F188">IF(C188="","",IF(OR(C188=Списки!$AG$15:$AG$17),"нет","да"))</f>
        <v>нет</v>
      </c>
      <c r="G188" s="204"/>
      <c r="H188" s="966"/>
      <c r="I188" s="193">
        <f>5*F154</f>
        <v>5</v>
      </c>
      <c r="J188" s="194">
        <f t="shared" si="19"/>
        <v>5</v>
      </c>
      <c r="K188" s="178" t="s">
        <v>212</v>
      </c>
      <c r="L188" s="965"/>
      <c r="M188" s="188">
        <f>IFERROR(IF(L188&lt;&gt;"","",VLOOKUP(C188&amp;D188&amp;K188,НН!A:J,10,)),"")</f>
        <v>1207.8</v>
      </c>
      <c r="N188" s="202">
        <f t="shared" si="18"/>
        <v>6039</v>
      </c>
      <c r="O188" s="214"/>
      <c r="P188" s="705"/>
    </row>
    <row r="189" spans="2:16" ht="15">
      <c r="B189" s="179"/>
      <c r="C189" s="1361"/>
      <c r="D189" s="1362"/>
      <c r="E189" s="1362"/>
      <c r="F189" s="1362"/>
      <c r="G189" s="1362"/>
      <c r="H189" s="1362"/>
      <c r="I189" s="1362"/>
      <c r="J189" s="1362"/>
      <c r="K189" s="1362"/>
      <c r="L189" s="1362"/>
      <c r="M189" s="1362"/>
      <c r="N189" s="1373"/>
      <c r="O189" s="214"/>
      <c r="P189" s="705"/>
    </row>
    <row r="190" spans="2:16" ht="15">
      <c r="B190" s="179"/>
      <c r="C190" s="481"/>
      <c r="D190" s="426" t="s">
        <v>432</v>
      </c>
      <c r="E190" s="255"/>
      <c r="F190" s="215"/>
      <c r="G190" s="216"/>
      <c r="H190" s="227"/>
      <c r="I190" s="218"/>
      <c r="J190" s="219"/>
      <c r="K190" s="220"/>
      <c r="L190" s="221"/>
      <c r="M190" s="222" t="str">
        <f t="array" aca="1" ref="M190" ca="1">IF(D190="ФОТ",I190*#REF!,IFERROR(IF(L190&lt;&gt;"","",IF((VLOOKUP(D190&amp;K190,INDIRECT("'"&amp;INDEX(Списки!$AG$2:$AG$17,MATCH(TRUE,COUNTIF(INDIRECT("'"&amp;Списки!$AG$2:$AG$17 &amp;"'!A1:A2000"),D190&amp;K190)&gt;0,0))&amp;"'!A:h"),7,0))=0,"",VLOOKUP(D190&amp;K190,INDIRECT("'"&amp;INDEX(Списки!$AG$2:$AG$17,MATCH(TRUE,COUNTIF(INDIRECT("'"&amp;Списки!$AG$2:$AG$17 &amp;"'!A1:A2000"),D190&amp;K190)&gt;0,0))&amp;"'!A:h"),7,0))),""))</f>
        <v/>
      </c>
      <c r="N190" s="223" t="str">
        <f t="shared" ca="1" si="18"/>
        <v/>
      </c>
      <c r="O190" s="214"/>
      <c r="P190" s="705"/>
    </row>
    <row r="191" spans="2:16" ht="15" outlineLevel="1">
      <c r="B191" s="179"/>
      <c r="C191" s="180" t="s">
        <v>72</v>
      </c>
      <c r="D191" s="180" t="s">
        <v>460</v>
      </c>
      <c r="E191" s="255"/>
      <c r="F191" s="212" t="str">
        <f t="array" ref="F191">IF(C191="","",IF(OR(C191=Списки!$AG$15:$AG$17),"нет","да"))</f>
        <v>нет</v>
      </c>
      <c r="G191" s="204"/>
      <c r="H191" s="966"/>
      <c r="I191" s="193">
        <f>F158*0.5</f>
        <v>4</v>
      </c>
      <c r="J191" s="194">
        <f t="shared" ref="J191:J192" si="20">ROUNDUP(IF($C$158="нет",0,IF(ISBLANK(D191),"",IF(H191="",I191,H191))),1)</f>
        <v>4</v>
      </c>
      <c r="K191" s="178" t="s">
        <v>212</v>
      </c>
      <c r="L191" s="965"/>
      <c r="M191" s="188">
        <f>IFERROR(IF(L191&lt;&gt;"","",VLOOKUP(C191&amp;D191&amp;K191,НН!A:J,10,)),"")</f>
        <v>1207.8</v>
      </c>
      <c r="N191" s="202">
        <f t="shared" si="18"/>
        <v>4831.2</v>
      </c>
      <c r="O191" s="214"/>
      <c r="P191" s="705"/>
    </row>
    <row r="192" spans="2:16" ht="15" outlineLevel="1">
      <c r="B192" s="179"/>
      <c r="C192" s="180" t="s">
        <v>72</v>
      </c>
      <c r="D192" s="180" t="s">
        <v>461</v>
      </c>
      <c r="E192" s="255"/>
      <c r="F192" s="212" t="str">
        <f t="array" ref="F192">IF(C192="","",IF(OR(C192=Списки!$AG$15:$AG$17),"нет","да"))</f>
        <v>нет</v>
      </c>
      <c r="G192" s="204"/>
      <c r="H192" s="966"/>
      <c r="I192" s="193">
        <f>F158*0.5</f>
        <v>4</v>
      </c>
      <c r="J192" s="194">
        <f t="shared" si="20"/>
        <v>4</v>
      </c>
      <c r="K192" s="178" t="s">
        <v>212</v>
      </c>
      <c r="L192" s="965"/>
      <c r="M192" s="188">
        <f>IFERROR(IF(L192&lt;&gt;"","",VLOOKUP(C192&amp;D192&amp;K192,НН!A:J,10,)),"")</f>
        <v>1207.8</v>
      </c>
      <c r="N192" s="202">
        <f t="shared" si="18"/>
        <v>4831.2</v>
      </c>
      <c r="O192" s="214"/>
      <c r="P192" s="705"/>
    </row>
    <row r="193" spans="2:16" ht="15">
      <c r="B193" s="179"/>
      <c r="C193" s="1361"/>
      <c r="D193" s="1362"/>
      <c r="E193" s="1362"/>
      <c r="F193" s="1362"/>
      <c r="G193" s="1362"/>
      <c r="H193" s="1362"/>
      <c r="I193" s="1362"/>
      <c r="J193" s="1362"/>
      <c r="K193" s="1362"/>
      <c r="L193" s="1362"/>
      <c r="M193" s="1362"/>
      <c r="N193" s="1373"/>
      <c r="O193" s="214"/>
      <c r="P193" s="705"/>
    </row>
    <row r="194" spans="2:16" ht="15">
      <c r="B194" s="179"/>
      <c r="C194" s="481"/>
      <c r="D194" s="426" t="s">
        <v>577</v>
      </c>
      <c r="E194" s="255"/>
      <c r="F194" s="215"/>
      <c r="G194" s="216"/>
      <c r="H194" s="227"/>
      <c r="I194" s="218"/>
      <c r="J194" s="219"/>
      <c r="K194" s="220"/>
      <c r="L194" s="221"/>
      <c r="M194" s="222" t="str">
        <f t="array" aca="1" ref="M194" ca="1">IF(D194="ФОТ",I194*#REF!,IFERROR(IF(L194&lt;&gt;"","",IF((VLOOKUP(D194&amp;K194,INDIRECT("'"&amp;INDEX(Списки!$AG$2:$AG$17,MATCH(TRUE,COUNTIF(INDIRECT("'"&amp;Списки!$AG$2:$AG$17 &amp;"'!A1:A2000"),D194&amp;K194)&gt;0,0))&amp;"'!A:h"),7,0))=0,"",VLOOKUP(D194&amp;K194,INDIRECT("'"&amp;INDEX(Списки!$AG$2:$AG$17,MATCH(TRUE,COUNTIF(INDIRECT("'"&amp;Списки!$AG$2:$AG$17 &amp;"'!A1:A2000"),D194&amp;K194)&gt;0,0))&amp;"'!A:h"),7,0))),""))</f>
        <v/>
      </c>
      <c r="N194" s="706" t="str">
        <f t="shared" ca="1" si="18"/>
        <v/>
      </c>
      <c r="O194" s="214"/>
      <c r="P194" s="705"/>
    </row>
    <row r="195" spans="2:16" ht="15" outlineLevel="1">
      <c r="B195" s="179"/>
      <c r="C195" s="180" t="s">
        <v>72</v>
      </c>
      <c r="D195" s="180" t="s">
        <v>587</v>
      </c>
      <c r="E195" s="255"/>
      <c r="F195" s="212" t="str">
        <f t="array" ref="F195">IF(C195="","",IF(OR(C195=Списки!$AG$15:$AG$17),"нет","да"))</f>
        <v>нет</v>
      </c>
      <c r="G195" s="204"/>
      <c r="H195" s="966"/>
      <c r="I195" s="193">
        <f>2*(ОЛ_ЕМКОСТИ!E60+ОЛ_ЕМКОСТИ!E61)</f>
        <v>4</v>
      </c>
      <c r="J195" s="194">
        <f>IF(C163="нет",0,IF(ОЛ_ЕМКОСТИ!$E$54="нет",0,ROUNDUP(IF(ISBLANK(D195),"",IF(H195="",I195,H195)),1)))</f>
        <v>4</v>
      </c>
      <c r="K195" s="178" t="s">
        <v>212</v>
      </c>
      <c r="L195" s="965"/>
      <c r="M195" s="188">
        <f>IFERROR(IF(L195&lt;&gt;"","",VLOOKUP(C195&amp;D195&amp;K195,НН!A:J,10,)),"")</f>
        <v>1207.8</v>
      </c>
      <c r="N195" s="202">
        <f t="shared" si="18"/>
        <v>4831.2</v>
      </c>
      <c r="O195" s="365" t="s">
        <v>588</v>
      </c>
      <c r="P195" s="214"/>
    </row>
    <row r="196" spans="2:16" ht="15" outlineLevel="1">
      <c r="B196" s="179"/>
      <c r="C196" s="180" t="s">
        <v>72</v>
      </c>
      <c r="D196" s="180" t="s">
        <v>589</v>
      </c>
      <c r="E196" s="255"/>
      <c r="F196" s="212" t="str">
        <f t="array" ref="F196">IF(C196="","",IF(OR(C196=Списки!$AG$15:$AG$17),"нет","да"))</f>
        <v>нет</v>
      </c>
      <c r="G196" s="204"/>
      <c r="H196" s="966"/>
      <c r="I196" s="193">
        <f>2*(ОЛ_ЕМКОСТИ!E60+ОЛ_ЕМКОСТИ!E61)</f>
        <v>4</v>
      </c>
      <c r="J196" s="194">
        <f>IF(C163="нет",0,IF(ОЛ_ЕМКОСТИ!$E$54="нет",0,ROUNDUP(IF(ISBLANK(D196),"",IF(H196="",I196,H196)),1)))</f>
        <v>4</v>
      </c>
      <c r="K196" s="178" t="s">
        <v>212</v>
      </c>
      <c r="L196" s="965"/>
      <c r="M196" s="188">
        <f>IFERROR(IF(L196&lt;&gt;"","",VLOOKUP(C196&amp;D196&amp;K196,НН!A:J,10,)),"")</f>
        <v>1207.8</v>
      </c>
      <c r="N196" s="202">
        <f t="shared" si="18"/>
        <v>4831.2</v>
      </c>
      <c r="O196" s="365"/>
      <c r="P196" s="705"/>
    </row>
    <row r="197" spans="2:16" ht="24" outlineLevel="1">
      <c r="B197" s="179"/>
      <c r="C197" s="180" t="s">
        <v>72</v>
      </c>
      <c r="D197" s="180" t="s">
        <v>590</v>
      </c>
      <c r="E197" s="255"/>
      <c r="F197" s="212" t="str">
        <f t="array" ref="F197">IF(C197="","",IF(OR(C197=Списки!$AG$15:$AG$17),"нет","да"))</f>
        <v>нет</v>
      </c>
      <c r="G197" s="204"/>
      <c r="H197" s="966"/>
      <c r="I197" s="193">
        <f>IF(G5&lt;2500,6,7)</f>
        <v>7</v>
      </c>
      <c r="J197" s="194">
        <f>IF(C163="нет",0,IF(ОЛ_ЕМКОСТИ!$E$54="нет",0,ROUNDUP(IF(ISBLANK(D197),"",IF(H197="",I197,H197)),1)))</f>
        <v>7</v>
      </c>
      <c r="K197" s="178" t="s">
        <v>212</v>
      </c>
      <c r="L197" s="965"/>
      <c r="M197" s="188">
        <f>IFERROR(IF(L197&lt;&gt;"","",VLOOKUP(C197&amp;D197&amp;K197,НН!A:J,10,)),"")</f>
        <v>1207.8</v>
      </c>
      <c r="N197" s="202">
        <f t="shared" si="18"/>
        <v>8454.6</v>
      </c>
      <c r="O197" s="365" t="s">
        <v>591</v>
      </c>
      <c r="P197" s="705"/>
    </row>
    <row r="198" spans="2:16" ht="24" outlineLevel="1">
      <c r="B198" s="179"/>
      <c r="C198" s="180" t="s">
        <v>72</v>
      </c>
      <c r="D198" s="180" t="s">
        <v>592</v>
      </c>
      <c r="E198" s="255"/>
      <c r="F198" s="212" t="str">
        <f t="array" ref="F198">IF(C198="","",IF(OR(C198=Списки!$AG$15:$AG$17),"нет","да"))</f>
        <v>нет</v>
      </c>
      <c r="G198" s="204"/>
      <c r="H198" s="966"/>
      <c r="I198" s="193">
        <f>IF(G5&lt;2500,5,6)</f>
        <v>6</v>
      </c>
      <c r="J198" s="194">
        <f>IF(C163="нет",0,IF(ОЛ_ЕМКОСТИ!$E$54="нет",0,ROUNDUP(IF(ISBLANK(D198),"",IF(H198="",I198,H198)),1)))</f>
        <v>6</v>
      </c>
      <c r="K198" s="178" t="s">
        <v>212</v>
      </c>
      <c r="L198" s="965"/>
      <c r="M198" s="188">
        <f>IFERROR(IF(L198&lt;&gt;"","",VLOOKUP(C198&amp;D198&amp;K198,НН!A:J,10,)),"")</f>
        <v>1207.8</v>
      </c>
      <c r="N198" s="202">
        <f t="shared" si="18"/>
        <v>7246.7999999999993</v>
      </c>
      <c r="O198" s="365" t="s">
        <v>593</v>
      </c>
      <c r="P198" s="705"/>
    </row>
    <row r="199" spans="2:16" ht="15">
      <c r="B199" s="179"/>
      <c r="C199" s="1361"/>
      <c r="D199" s="1362"/>
      <c r="E199" s="1362"/>
      <c r="F199" s="1362"/>
      <c r="G199" s="1362"/>
      <c r="H199" s="1362"/>
      <c r="I199" s="1362"/>
      <c r="J199" s="1362"/>
      <c r="K199" s="1362"/>
      <c r="L199" s="1362"/>
      <c r="M199" s="1362"/>
      <c r="N199" s="1373"/>
      <c r="O199" s="214"/>
      <c r="P199" s="705"/>
    </row>
    <row r="200" spans="2:16" ht="15">
      <c r="B200" s="179"/>
      <c r="C200" s="481"/>
      <c r="D200" s="426" t="s">
        <v>441</v>
      </c>
      <c r="E200" s="255"/>
      <c r="F200" s="215"/>
      <c r="G200" s="216"/>
      <c r="H200" s="227"/>
      <c r="I200" s="218"/>
      <c r="J200" s="219"/>
      <c r="K200" s="220"/>
      <c r="L200" s="221"/>
      <c r="M200" s="222" t="str">
        <f t="array" aca="1" ref="M200" ca="1">IF(D200="ФОТ",I200*#REF!,IFERROR(IF(L200&lt;&gt;"","",IF((VLOOKUP(D200&amp;K200,INDIRECT("'"&amp;INDEX(Списки!$AG$2:$AG$17,MATCH(TRUE,COUNTIF(INDIRECT("'"&amp;Списки!$AG$2:$AG$17 &amp;"'!A1:A2000"),D200&amp;K200)&gt;0,0))&amp;"'!A:h"),7,0))=0,"",VLOOKUP(D200&amp;K200,INDIRECT("'"&amp;INDEX(Списки!$AG$2:$AG$17,MATCH(TRUE,COUNTIF(INDIRECT("'"&amp;Списки!$AG$2:$AG$17 &amp;"'!A1:A2000"),D200&amp;K200)&gt;0,0))&amp;"'!A:h"),7,0))),""))</f>
        <v/>
      </c>
      <c r="N200" s="223" t="str">
        <f t="shared" ca="1" si="18"/>
        <v/>
      </c>
      <c r="O200" s="214"/>
      <c r="P200" s="705"/>
    </row>
    <row r="201" spans="2:16" ht="15" outlineLevel="1">
      <c r="B201" s="179"/>
      <c r="C201" s="180" t="s">
        <v>72</v>
      </c>
      <c r="D201" s="180" t="s">
        <v>2201</v>
      </c>
      <c r="E201" s="255"/>
      <c r="F201" s="212" t="str">
        <f t="array" ref="F201">IF(C201="","",IF(OR(C201=Списки!$AG$15:$AG$17),"нет","да"))</f>
        <v>нет</v>
      </c>
      <c r="G201" s="204"/>
      <c r="H201" s="966"/>
      <c r="I201" s="193">
        <f>0.5*J174</f>
        <v>7</v>
      </c>
      <c r="J201" s="194">
        <f>ROUNDUP(IF(C173="нет",0,IF(J174=0,0,IF($C$173="нет",0,IF(ISBLANK(D201),"",IF(H201="",I201,H201))))),1)</f>
        <v>7</v>
      </c>
      <c r="K201" s="178" t="s">
        <v>212</v>
      </c>
      <c r="L201" s="965"/>
      <c r="M201" s="188">
        <f>IFERROR(IF(L201&lt;&gt;"","",VLOOKUP(C201&amp;D201&amp;K201,НН!A:J,10,)),"")</f>
        <v>1207.8</v>
      </c>
      <c r="N201" s="189">
        <f t="shared" si="18"/>
        <v>8454.6</v>
      </c>
      <c r="O201" s="365" t="s">
        <v>464</v>
      </c>
      <c r="P201" s="705"/>
    </row>
    <row r="202" spans="2:16" ht="11.45" customHeight="1">
      <c r="B202" s="179"/>
      <c r="C202" s="306"/>
      <c r="D202" s="307" t="s">
        <v>377</v>
      </c>
      <c r="E202" s="362"/>
      <c r="F202" s="309"/>
      <c r="G202" s="310"/>
      <c r="H202" s="311"/>
      <c r="I202" s="363"/>
      <c r="J202" s="364"/>
      <c r="K202" s="314"/>
      <c r="L202" s="315"/>
      <c r="M202" s="316"/>
      <c r="N202" s="317"/>
      <c r="O202" s="365"/>
      <c r="P202" s="705"/>
    </row>
    <row r="203" spans="2:16" ht="18">
      <c r="B203" s="179"/>
      <c r="C203" s="319"/>
      <c r="D203" s="332"/>
      <c r="E203" s="405" t="s">
        <v>466</v>
      </c>
      <c r="F203" s="406"/>
      <c r="G203" s="407">
        <f>SUM(G133:G202)</f>
        <v>0</v>
      </c>
      <c r="H203" s="332"/>
      <c r="I203" s="332"/>
      <c r="J203" s="408"/>
      <c r="K203" s="408"/>
      <c r="L203" s="409"/>
      <c r="M203" s="410"/>
      <c r="N203" s="411">
        <f ca="1">SUM(N133:N202)</f>
        <v>389840.28799999994</v>
      </c>
      <c r="O203" s="214"/>
      <c r="P203" s="331"/>
    </row>
    <row r="204" spans="2:16" ht="15.75">
      <c r="B204" s="179"/>
      <c r="C204" s="319"/>
      <c r="D204" s="320"/>
      <c r="E204" s="333" t="s">
        <v>379</v>
      </c>
      <c r="F204" s="372"/>
      <c r="G204" s="373"/>
      <c r="H204" s="374"/>
      <c r="I204" s="374"/>
      <c r="J204" s="375"/>
      <c r="K204" s="376"/>
      <c r="L204" s="377"/>
      <c r="M204" s="378"/>
      <c r="N204" s="341">
        <f t="array" ref="N204">SUM(SUMIF(C133:C202,Списки!$AG$2:$AG$14,N133:N202))</f>
        <v>302748.68799999997</v>
      </c>
      <c r="O204" s="379"/>
      <c r="P204" s="331"/>
    </row>
    <row r="205" spans="2:16" ht="15.75">
      <c r="B205" s="179"/>
      <c r="C205" s="319"/>
      <c r="D205" s="320"/>
      <c r="E205" s="412" t="s">
        <v>382</v>
      </c>
      <c r="F205" s="372"/>
      <c r="G205" s="373"/>
      <c r="H205" s="374"/>
      <c r="I205" s="374"/>
      <c r="J205" s="382">
        <f>ROUNDUP(SUMIFS($J$133:$J$202,$K$133:$K$202,Списки!$S$5)-SUMIFS($J$133:$J$202,$K$133:$K$202,Списки!$S$5,$D$133:$D$202,"*изготов*"),1)</f>
        <v>45.4</v>
      </c>
      <c r="K205" s="414" t="s">
        <v>212</v>
      </c>
      <c r="L205" s="377"/>
      <c r="M205" s="378"/>
      <c r="N205" s="413">
        <f>SUMIF($K$133:$K$202,Списки!$S$5,$N$133:$N$202)-SUMIFS($N$133:$N$202,$K$133:$K$202,Списки!$S$5,$D$133:$D$202,"*изготов*")</f>
        <v>54834.119999999981</v>
      </c>
      <c r="O205" s="379"/>
      <c r="P205" s="331"/>
    </row>
    <row r="206" spans="2:16" ht="15.75">
      <c r="B206" s="179"/>
      <c r="C206" s="319"/>
      <c r="D206" s="320"/>
      <c r="E206" s="412" t="s">
        <v>383</v>
      </c>
      <c r="F206" s="372"/>
      <c r="G206" s="373"/>
      <c r="H206" s="374"/>
      <c r="I206" s="374"/>
      <c r="J206" s="382">
        <f>ROUNDUP(SUMIFS($J$133:$J$202,$K$133:$K$202,Списки!$S$5,$D$133:$D$202,"*изготов*"),1)</f>
        <v>21</v>
      </c>
      <c r="K206" s="414" t="s">
        <v>212</v>
      </c>
      <c r="L206" s="377"/>
      <c r="M206" s="378"/>
      <c r="N206" s="413">
        <f>SUMIFS($N$133:$N$202,$K$133:$K$202,Списки!$S$5,$D$133:$D$202,"*изготов*")</f>
        <v>25363.800000000003</v>
      </c>
      <c r="O206" s="379"/>
      <c r="P206" s="331"/>
    </row>
    <row r="207" spans="2:16" ht="15.75">
      <c r="B207" s="179"/>
      <c r="C207" s="319"/>
      <c r="D207" s="332"/>
      <c r="E207" s="333" t="s">
        <v>384</v>
      </c>
      <c r="F207" s="334"/>
      <c r="G207" s="335"/>
      <c r="H207" s="336"/>
      <c r="I207" s="336"/>
      <c r="J207" s="333">
        <f>SUMIFS($J$133:$J$202,$K$133:$K$202,Списки!$S$4)</f>
        <v>28.4</v>
      </c>
      <c r="K207" s="338" t="s">
        <v>193</v>
      </c>
      <c r="L207" s="692"/>
      <c r="M207" s="340"/>
      <c r="N207" s="341">
        <f>SUMIF($K$133:$K$202,Списки!$S$4,$N$133:$N$202)</f>
        <v>6893.6799999999994</v>
      </c>
      <c r="O207" s="379"/>
      <c r="P207" s="331"/>
    </row>
    <row r="208" spans="2:16" ht="15">
      <c r="B208" s="386">
        <v>5</v>
      </c>
      <c r="C208" s="264" t="s">
        <v>115</v>
      </c>
      <c r="D208" s="388" t="s">
        <v>594</v>
      </c>
      <c r="E208" s="389"/>
      <c r="F208" s="390"/>
      <c r="G208" s="391"/>
      <c r="H208" s="389"/>
      <c r="I208" s="392"/>
      <c r="J208" s="392"/>
      <c r="K208" s="393"/>
      <c r="L208" s="394"/>
      <c r="M208" s="395"/>
      <c r="N208" s="390"/>
      <c r="O208" s="214"/>
      <c r="P208" s="168"/>
    </row>
    <row r="209" spans="2:16" ht="15" outlineLevel="1">
      <c r="B209" s="169" t="s">
        <v>597</v>
      </c>
      <c r="C209" s="170"/>
      <c r="D209" s="291" t="s">
        <v>469</v>
      </c>
      <c r="E209" s="292"/>
      <c r="F209" s="293" t="str">
        <f t="array" ref="F209">IF(ISBLANK(C209),"",IF(OR(C209=Списки!$AG$15:$AG$17),"нет","да"))</f>
        <v/>
      </c>
      <c r="G209" s="230" t="s">
        <v>414</v>
      </c>
      <c r="H209" s="1337">
        <f>L8</f>
        <v>2</v>
      </c>
      <c r="I209" s="1338" t="s">
        <v>129</v>
      </c>
      <c r="J209" s="1394"/>
      <c r="K209" s="1395"/>
      <c r="L209" s="1395"/>
      <c r="M209" s="1395"/>
      <c r="N209" s="1396"/>
      <c r="O209" s="167"/>
      <c r="P209" s="168"/>
    </row>
    <row r="210" spans="2:16" ht="15" outlineLevel="1">
      <c r="B210" s="179"/>
      <c r="C210" s="180" t="s">
        <v>197</v>
      </c>
      <c r="D210" s="180" t="s">
        <v>471</v>
      </c>
      <c r="E210" s="255"/>
      <c r="F210" s="212" t="str">
        <f t="array" ref="F210">IF(C210="","",IF(OR(C210=Списки!$AG$15:$AG$17),"нет","да"))</f>
        <v>да</v>
      </c>
      <c r="G210" s="236"/>
      <c r="H210" s="210">
        <v>2</v>
      </c>
      <c r="I210" s="193"/>
      <c r="J210" s="186">
        <f>IF(C208="нет",0,IF(ISBLANK(D210),"",IF(H210="",I210,H210))*$H$209)</f>
        <v>4</v>
      </c>
      <c r="K210" s="178" t="s">
        <v>129</v>
      </c>
      <c r="L210" s="965"/>
      <c r="M210" s="188">
        <f>IFERROR(IF(L210&lt;&gt;"","",VLOOKUP(C210&amp;D210&amp;K210,НН!A:J,10,)),"")</f>
        <v>500</v>
      </c>
      <c r="N210" s="202">
        <f t="shared" ref="N210:N215" si="21">IFERROR(IF(L210="",M210*J210,J210*L210),"")</f>
        <v>2000</v>
      </c>
      <c r="O210" s="365"/>
      <c r="P210" s="168"/>
    </row>
    <row r="211" spans="2:16" ht="15" outlineLevel="1">
      <c r="B211" s="179"/>
      <c r="C211" s="180" t="s">
        <v>197</v>
      </c>
      <c r="D211" s="180" t="s">
        <v>472</v>
      </c>
      <c r="E211" s="255"/>
      <c r="F211" s="212" t="str">
        <f t="array" ref="F211">IF(C211="","",IF(OR(C211=Списки!$AG$15:$AG$17),"нет","да"))</f>
        <v>да</v>
      </c>
      <c r="G211" s="236"/>
      <c r="H211" s="210">
        <v>1</v>
      </c>
      <c r="I211" s="193"/>
      <c r="J211" s="186">
        <f>IF(C208="нет",0,IF(ISBLANK(D211),"",IF(H211="",I211,H211))*$H$209)</f>
        <v>2</v>
      </c>
      <c r="K211" s="178" t="s">
        <v>129</v>
      </c>
      <c r="L211" s="965"/>
      <c r="M211" s="188">
        <f>IFERROR(IF(L211&lt;&gt;"","",VLOOKUP(C211&amp;D211&amp;K211,НН!A:J,10,)),"")</f>
        <v>600</v>
      </c>
      <c r="N211" s="202">
        <f t="shared" si="21"/>
        <v>1200</v>
      </c>
      <c r="O211" s="365"/>
      <c r="P211" s="168"/>
    </row>
    <row r="212" spans="2:16" ht="15" outlineLevel="1">
      <c r="B212" s="179"/>
      <c r="C212" s="180" t="s">
        <v>197</v>
      </c>
      <c r="D212" s="180" t="s">
        <v>473</v>
      </c>
      <c r="E212" s="255"/>
      <c r="F212" s="212" t="str">
        <f t="array" ref="F212">IF(C212="","",IF(OR(C212=Списки!$AG$15:$AG$17),"нет","да"))</f>
        <v>да</v>
      </c>
      <c r="G212" s="236"/>
      <c r="H212" s="262">
        <v>1</v>
      </c>
      <c r="I212" s="185"/>
      <c r="J212" s="186">
        <f>IF(C208="нет",0,IF(ISBLANK(D212),"",IF(H212="",I212,H212))*$H$209)</f>
        <v>2</v>
      </c>
      <c r="K212" s="178" t="s">
        <v>163</v>
      </c>
      <c r="L212" s="965"/>
      <c r="M212" s="188">
        <f>IFERROR(IF(L212&lt;&gt;"","",VLOOKUP(C212&amp;D212&amp;K212,НН!A:J,10,)),"")</f>
        <v>920</v>
      </c>
      <c r="N212" s="468">
        <f t="shared" si="21"/>
        <v>1840</v>
      </c>
      <c r="O212" s="365"/>
      <c r="P212" s="168"/>
    </row>
    <row r="213" spans="2:16" ht="15" outlineLevel="1">
      <c r="B213" s="169" t="s">
        <v>606</v>
      </c>
      <c r="C213" s="170"/>
      <c r="D213" s="291" t="s">
        <v>475</v>
      </c>
      <c r="E213" s="292"/>
      <c r="F213" s="293" t="str">
        <f t="array" ref="F213">IF(ISBLANK(C213),"",IF(OR(C213=Списки!$AG$15:$AG$17),"нет","да"))</f>
        <v/>
      </c>
      <c r="G213" s="671"/>
      <c r="H213" s="230"/>
      <c r="I213" s="294"/>
      <c r="J213" s="219"/>
      <c r="K213" s="220"/>
      <c r="L213" s="255"/>
      <c r="M213" s="256"/>
      <c r="N213" s="256"/>
      <c r="O213" s="167"/>
      <c r="P213" s="168"/>
    </row>
    <row r="214" spans="2:16" ht="15" outlineLevel="1">
      <c r="B214" s="179"/>
      <c r="C214" s="180" t="s">
        <v>72</v>
      </c>
      <c r="D214" s="180" t="s">
        <v>476</v>
      </c>
      <c r="E214" s="231">
        <v>100</v>
      </c>
      <c r="F214" s="212" t="str">
        <f t="array" ref="F214">IF(C214="","",IF(OR(C214=Списки!$AG$15:$AG$17),"нет","да"))</f>
        <v>нет</v>
      </c>
      <c r="G214" s="236"/>
      <c r="H214" s="184"/>
      <c r="I214" s="193">
        <f>(E214*3.14/1000)*0.5*H209</f>
        <v>0.314</v>
      </c>
      <c r="J214" s="194">
        <f>IF(C208="нет",0,ROUNDUP(IF(ISBLANK(D214),"",IF(H214="",I214,H214)),1))</f>
        <v>0.4</v>
      </c>
      <c r="K214" s="178" t="s">
        <v>212</v>
      </c>
      <c r="L214" s="965"/>
      <c r="M214" s="188">
        <f>IFERROR(IF(L214&lt;&gt;"","",VLOOKUP(C214&amp;D214&amp;K214,НН!A:J,10,)),"")</f>
        <v>1207.8</v>
      </c>
      <c r="N214" s="202">
        <f t="shared" si="21"/>
        <v>483.12</v>
      </c>
      <c r="O214" s="500"/>
      <c r="P214" s="168"/>
    </row>
    <row r="215" spans="2:16" ht="15" outlineLevel="1">
      <c r="B215" s="179"/>
      <c r="C215" s="180" t="s">
        <v>72</v>
      </c>
      <c r="D215" s="180" t="s">
        <v>477</v>
      </c>
      <c r="E215" s="255"/>
      <c r="F215" s="212" t="str">
        <f t="array" ref="F215">IF(C215="","",IF(OR(C215=Списки!$AG$15:$AG$17),"нет","да"))</f>
        <v>нет</v>
      </c>
      <c r="G215" s="236"/>
      <c r="H215" s="184"/>
      <c r="I215" s="193">
        <f>3*H209</f>
        <v>6</v>
      </c>
      <c r="J215" s="194">
        <f>IF(C208="нет",0,ROUNDUP(IF(ISBLANK(D215),"",IF(H215="",I215,H215)),1))</f>
        <v>6</v>
      </c>
      <c r="K215" s="178" t="s">
        <v>212</v>
      </c>
      <c r="L215" s="965"/>
      <c r="M215" s="188">
        <f>IFERROR(IF(L215&lt;&gt;"","",VLOOKUP(C215&amp;D215&amp;K215,НН!A:J,10,)),"")</f>
        <v>1207.8</v>
      </c>
      <c r="N215" s="202">
        <f t="shared" si="21"/>
        <v>7246.7999999999993</v>
      </c>
      <c r="O215" s="365"/>
      <c r="P215" s="168"/>
    </row>
    <row r="216" spans="2:16" ht="15" outlineLevel="1">
      <c r="B216" s="179"/>
      <c r="C216" s="306"/>
      <c r="D216" s="307" t="s">
        <v>377</v>
      </c>
      <c r="E216" s="362"/>
      <c r="F216" s="309"/>
      <c r="G216" s="310"/>
      <c r="H216" s="311"/>
      <c r="I216" s="363"/>
      <c r="J216" s="364"/>
      <c r="K216" s="314"/>
      <c r="L216" s="315"/>
      <c r="M216" s="316"/>
      <c r="N216" s="317"/>
      <c r="O216" s="365"/>
      <c r="P216" s="298"/>
    </row>
    <row r="217" spans="2:16" ht="18" outlineLevel="1">
      <c r="B217" s="179"/>
      <c r="C217" s="319"/>
      <c r="D217" s="332"/>
      <c r="E217" s="405" t="s">
        <v>479</v>
      </c>
      <c r="F217" s="406"/>
      <c r="G217" s="407">
        <f>SUM(G210:G216)</f>
        <v>0</v>
      </c>
      <c r="H217" s="332"/>
      <c r="I217" s="332"/>
      <c r="J217" s="408"/>
      <c r="K217" s="408"/>
      <c r="L217" s="409"/>
      <c r="M217" s="501"/>
      <c r="N217" s="411">
        <f>SUM(N210:N216)</f>
        <v>12769.919999999998</v>
      </c>
      <c r="O217" s="214"/>
      <c r="P217" s="331"/>
    </row>
    <row r="218" spans="2:16" ht="15.75" outlineLevel="1">
      <c r="B218" s="179"/>
      <c r="C218" s="319"/>
      <c r="D218" s="320"/>
      <c r="E218" s="333" t="s">
        <v>379</v>
      </c>
      <c r="F218" s="372"/>
      <c r="G218" s="373"/>
      <c r="H218" s="374"/>
      <c r="I218" s="374"/>
      <c r="J218" s="375"/>
      <c r="K218" s="376"/>
      <c r="L218" s="377"/>
      <c r="M218" s="378"/>
      <c r="N218" s="341">
        <f t="array" ref="N218">SUM(SUMIF(C210:C216,Списки!$AG$2:$AG$14,N210:N216))</f>
        <v>5040</v>
      </c>
      <c r="O218" s="379"/>
      <c r="P218" s="331"/>
    </row>
    <row r="219" spans="2:16" ht="15.75" outlineLevel="1">
      <c r="B219" s="179"/>
      <c r="C219" s="319"/>
      <c r="D219" s="320"/>
      <c r="E219" s="412" t="s">
        <v>382</v>
      </c>
      <c r="F219" s="372"/>
      <c r="G219" s="373"/>
      <c r="H219" s="374"/>
      <c r="I219" s="374"/>
      <c r="J219" s="382">
        <f>ROUNDUP(SUMIFS($J$210:$J$216,$K$210:$K$216,Списки!$S$5)-SUMIFS($J$210:$J$216,$K$210:$K$216,Списки!$S$5,$D$210:$D$216,"*изготов*"),1)</f>
        <v>6.4</v>
      </c>
      <c r="K219" s="376" t="s">
        <v>212</v>
      </c>
      <c r="L219" s="377"/>
      <c r="M219" s="378"/>
      <c r="N219" s="413">
        <f>SUMIF($K$210:$K$216,Списки!$S$5,$N$210:$N$216)-SUMIFS($N$210:$N$216,$K$210:$K$216,Списки!$S$5,$D$210:$D$216,"*изготов*")</f>
        <v>7729.9199999999992</v>
      </c>
      <c r="O219" s="379"/>
      <c r="P219" s="331"/>
    </row>
    <row r="220" spans="2:16" ht="15.75" outlineLevel="1">
      <c r="B220" s="179"/>
      <c r="C220" s="319"/>
      <c r="D220" s="320"/>
      <c r="E220" s="412" t="s">
        <v>383</v>
      </c>
      <c r="F220" s="372"/>
      <c r="G220" s="373"/>
      <c r="H220" s="374"/>
      <c r="I220" s="374"/>
      <c r="J220" s="382">
        <f>ROUNDUP(SUMIFS($J$210:$J$216,$K$210:$K$216,Списки!$S$5,$D$210:$D$216,"*изготов*"),1)</f>
        <v>0</v>
      </c>
      <c r="K220" s="376" t="s">
        <v>212</v>
      </c>
      <c r="L220" s="377"/>
      <c r="M220" s="378"/>
      <c r="N220" s="413">
        <f>SUMIFS($N$210:$N$216,$K$210:$K$216,Списки!$S$5,$D$210:$D$216,"*изготов*")</f>
        <v>0</v>
      </c>
      <c r="O220" s="379"/>
      <c r="P220" s="331"/>
    </row>
    <row r="221" spans="2:16" ht="15.75" outlineLevel="1">
      <c r="B221" s="179"/>
      <c r="C221" s="319"/>
      <c r="D221" s="320"/>
      <c r="E221" s="412" t="s">
        <v>384</v>
      </c>
      <c r="F221" s="372"/>
      <c r="G221" s="373"/>
      <c r="H221" s="374"/>
      <c r="I221" s="374"/>
      <c r="J221" s="375">
        <f>SUMIFS($J$210:$J$216,$K$210:$K$216,Списки!$S$4)</f>
        <v>0</v>
      </c>
      <c r="K221" s="376" t="s">
        <v>193</v>
      </c>
      <c r="L221" s="377"/>
      <c r="M221" s="378"/>
      <c r="N221" s="413">
        <f>SUMIF($K$210:$K$216,Списки!$S$4,$N$210:$N$216)</f>
        <v>0</v>
      </c>
      <c r="O221" s="379"/>
      <c r="P221" s="331"/>
    </row>
    <row r="222" spans="2:16" ht="15">
      <c r="B222" s="386">
        <v>6</v>
      </c>
      <c r="C222" s="264" t="s">
        <v>115</v>
      </c>
      <c r="D222" s="388" t="s">
        <v>595</v>
      </c>
      <c r="E222" s="1339">
        <v>100</v>
      </c>
      <c r="F222" s="707" t="s">
        <v>284</v>
      </c>
      <c r="G222" s="708" t="s">
        <v>596</v>
      </c>
      <c r="H222" s="389"/>
      <c r="I222" s="392"/>
      <c r="J222" s="392"/>
      <c r="K222" s="393"/>
      <c r="L222" s="394"/>
      <c r="M222" s="395"/>
      <c r="N222" s="390"/>
      <c r="O222" s="167"/>
      <c r="P222" s="168"/>
    </row>
    <row r="223" spans="2:16" ht="15" outlineLevel="1">
      <c r="B223" s="169" t="s">
        <v>481</v>
      </c>
      <c r="C223" s="170"/>
      <c r="D223" s="291" t="s">
        <v>598</v>
      </c>
      <c r="E223" s="292"/>
      <c r="F223" s="293" t="str">
        <f t="array" ref="F223">IF(ISBLANK(C223),"",IF(OR(C223=Списки!$AG$15:$AG$17),"нет","да"))</f>
        <v/>
      </c>
      <c r="G223" s="216"/>
      <c r="H223" s="230"/>
      <c r="I223" s="294"/>
      <c r="J223" s="219"/>
      <c r="K223" s="220"/>
      <c r="L223" s="255"/>
      <c r="M223" s="256"/>
      <c r="N223" s="356"/>
      <c r="O223" s="214"/>
      <c r="P223" s="168"/>
    </row>
    <row r="224" spans="2:16" ht="15" outlineLevel="1">
      <c r="B224" s="179"/>
      <c r="C224" s="180" t="s">
        <v>197</v>
      </c>
      <c r="D224" s="180" t="s">
        <v>1038</v>
      </c>
      <c r="E224" s="255"/>
      <c r="F224" s="212" t="str">
        <f t="array" ref="F224">IF(C224="","",IF(OR(C224=Списки!$AG$15:$AG$17),"нет","да"))</f>
        <v>да</v>
      </c>
      <c r="G224" s="236"/>
      <c r="H224" s="210">
        <v>30</v>
      </c>
      <c r="I224" s="193"/>
      <c r="J224" s="186">
        <f t="shared" ref="J224:J232" si="22">IF($C$222="нет","",IF(ISBLANK(D224),"",IF(H224="",I224,H224)))</f>
        <v>30</v>
      </c>
      <c r="K224" s="178" t="s">
        <v>163</v>
      </c>
      <c r="L224" s="965"/>
      <c r="M224" s="188">
        <f>IFERROR(IF(L224&lt;&gt;"","",VLOOKUP(C224&amp;D224&amp;K224,НН!A:J,10,)),"")</f>
        <v>2120</v>
      </c>
      <c r="N224" s="202">
        <f t="shared" ref="N224:N235" si="23">IFERROR(IF(L224="",M224*J224,J224*L224),"")</f>
        <v>63600</v>
      </c>
      <c r="O224" s="167"/>
      <c r="P224" s="168"/>
    </row>
    <row r="225" spans="2:16" ht="15" outlineLevel="1">
      <c r="B225" s="179"/>
      <c r="C225" s="180" t="s">
        <v>197</v>
      </c>
      <c r="D225" s="180" t="s">
        <v>991</v>
      </c>
      <c r="E225" s="255"/>
      <c r="F225" s="212" t="str">
        <f t="array" ref="F225">IF(C225="","",IF(OR(C225=Списки!$AG$15:$AG$17),"нет","да"))</f>
        <v>да</v>
      </c>
      <c r="G225" s="236"/>
      <c r="H225" s="210">
        <v>12</v>
      </c>
      <c r="I225" s="193"/>
      <c r="J225" s="186">
        <f t="shared" si="22"/>
        <v>12</v>
      </c>
      <c r="K225" s="178" t="s">
        <v>129</v>
      </c>
      <c r="L225" s="965"/>
      <c r="M225" s="188">
        <f>IFERROR(IF(L225&lt;&gt;"","",VLOOKUP(C225&amp;D225&amp;K225,НН!A:J,10,)),"")</f>
        <v>1450</v>
      </c>
      <c r="N225" s="202">
        <f t="shared" si="23"/>
        <v>17400</v>
      </c>
      <c r="O225" s="365"/>
      <c r="P225" s="168"/>
    </row>
    <row r="226" spans="2:16" ht="16.5" customHeight="1" outlineLevel="1">
      <c r="B226" s="179"/>
      <c r="C226" s="180" t="s">
        <v>68</v>
      </c>
      <c r="D226" s="180" t="s">
        <v>601</v>
      </c>
      <c r="E226" s="255"/>
      <c r="F226" s="212" t="str">
        <f t="array" ref="F226">IF(C226="","",IF(OR(C226=Списки!$AG$15:$AG$17),"нет","да"))</f>
        <v>да</v>
      </c>
      <c r="G226" s="236"/>
      <c r="H226" s="210">
        <v>60</v>
      </c>
      <c r="I226" s="193"/>
      <c r="J226" s="186">
        <f t="shared" si="22"/>
        <v>60</v>
      </c>
      <c r="K226" s="178" t="s">
        <v>163</v>
      </c>
      <c r="L226" s="965"/>
      <c r="M226" s="188">
        <f>IFERROR(IF(L226&lt;&gt;"","",VLOOKUP(C226&amp;D226&amp;K226,НН!A:J,10,)),"")</f>
        <v>3600</v>
      </c>
      <c r="N226" s="202">
        <f t="shared" si="23"/>
        <v>216000</v>
      </c>
      <c r="O226" s="365"/>
      <c r="P226" s="168"/>
    </row>
    <row r="227" spans="2:16" ht="16.5" customHeight="1" outlineLevel="1">
      <c r="B227" s="179"/>
      <c r="C227" s="180" t="s">
        <v>66</v>
      </c>
      <c r="D227" s="180" t="s">
        <v>602</v>
      </c>
      <c r="E227" s="255"/>
      <c r="F227" s="212" t="str">
        <f t="array" ref="F227">IF(C227="","",IF(OR(C227=Списки!$AG$15:$AG$17),"нет","да"))</f>
        <v>да</v>
      </c>
      <c r="G227" s="236"/>
      <c r="H227" s="210">
        <f>3*2</f>
        <v>6</v>
      </c>
      <c r="I227" s="193"/>
      <c r="J227" s="186">
        <f t="shared" si="22"/>
        <v>6</v>
      </c>
      <c r="K227" s="178" t="s">
        <v>129</v>
      </c>
      <c r="L227" s="965"/>
      <c r="M227" s="188">
        <f>IFERROR(IF(L227&lt;&gt;"","",VLOOKUP(C227&amp;D227&amp;K227,НН!A:J,10,)),"")</f>
        <v>6572.16</v>
      </c>
      <c r="N227" s="202">
        <f t="shared" si="23"/>
        <v>39432.959999999999</v>
      </c>
      <c r="O227" s="365"/>
      <c r="P227" s="168"/>
    </row>
    <row r="228" spans="2:16" ht="15" outlineLevel="1">
      <c r="B228" s="179"/>
      <c r="C228" s="180" t="s">
        <v>66</v>
      </c>
      <c r="D228" s="180" t="s">
        <v>603</v>
      </c>
      <c r="E228" s="255"/>
      <c r="F228" s="212" t="str">
        <f t="array" ref="F228">IF(C228="","",IF(OR(C228=Списки!$AG$15:$AG$17),"нет","да"))</f>
        <v>да</v>
      </c>
      <c r="G228" s="236"/>
      <c r="H228" s="210">
        <v>9</v>
      </c>
      <c r="I228" s="193"/>
      <c r="J228" s="186">
        <f t="shared" si="22"/>
        <v>9</v>
      </c>
      <c r="K228" s="178" t="s">
        <v>129</v>
      </c>
      <c r="L228" s="965"/>
      <c r="M228" s="188">
        <f>IFERROR(IF(L228&lt;&gt;"","",VLOOKUP(C228&amp;D228&amp;K228,НН!A:J,10,)),"")</f>
        <v>6182.4</v>
      </c>
      <c r="N228" s="202">
        <f t="shared" si="23"/>
        <v>55641.599999999999</v>
      </c>
      <c r="O228" s="670"/>
      <c r="P228" s="168"/>
    </row>
    <row r="229" spans="2:16" ht="15" outlineLevel="1">
      <c r="B229" s="957"/>
      <c r="C229" s="180" t="s">
        <v>66</v>
      </c>
      <c r="D229" s="180" t="s">
        <v>721</v>
      </c>
      <c r="E229" s="255"/>
      <c r="F229" s="212" t="str">
        <f t="array" ref="F229">IF(C229="","",IF(OR(C229=Списки!$AG$15:$AG$17),"нет","да"))</f>
        <v>да</v>
      </c>
      <c r="G229" s="236"/>
      <c r="H229" s="210">
        <v>10</v>
      </c>
      <c r="I229" s="193"/>
      <c r="J229" s="186">
        <f t="shared" ref="J229:J230" si="24">IF($C$222="нет","",IF(ISBLANK(D229),"",IF(H229="",I229,H229)))</f>
        <v>10</v>
      </c>
      <c r="K229" s="178" t="s">
        <v>129</v>
      </c>
      <c r="L229" s="965"/>
      <c r="M229" s="188">
        <f>IFERROR(IF(L229&lt;&gt;"","",VLOOKUP(C229&amp;D229&amp;K229,НН!A:J,10,)),"")</f>
        <v>7900</v>
      </c>
      <c r="N229" s="202">
        <f t="shared" ref="N229:N230" si="25">IFERROR(IF(L229="",M229*J229,J229*L229),"")</f>
        <v>79000</v>
      </c>
      <c r="O229" s="670"/>
      <c r="P229" s="168"/>
    </row>
    <row r="230" spans="2:16" ht="15" outlineLevel="1">
      <c r="B230" s="957"/>
      <c r="C230" s="180" t="s">
        <v>66</v>
      </c>
      <c r="D230" s="180" t="s">
        <v>722</v>
      </c>
      <c r="E230" s="255"/>
      <c r="F230" s="212" t="str">
        <f t="array" ref="F230">IF(C230="","",IF(OR(C230=Списки!$AG$15:$AG$17),"нет","да"))</f>
        <v>да</v>
      </c>
      <c r="G230" s="236"/>
      <c r="H230" s="210">
        <v>10</v>
      </c>
      <c r="I230" s="193"/>
      <c r="J230" s="186">
        <f t="shared" si="24"/>
        <v>10</v>
      </c>
      <c r="K230" s="178" t="s">
        <v>129</v>
      </c>
      <c r="L230" s="965"/>
      <c r="M230" s="188">
        <f>IFERROR(IF(L230&lt;&gt;"","",VLOOKUP(C230&amp;D230&amp;K230,НН!A:J,10,)),"")</f>
        <v>550</v>
      </c>
      <c r="N230" s="202">
        <f t="shared" si="25"/>
        <v>5500</v>
      </c>
      <c r="O230" s="670"/>
      <c r="P230" s="168"/>
    </row>
    <row r="231" spans="2:16" ht="15" outlineLevel="1">
      <c r="B231" s="179"/>
      <c r="C231" s="180" t="s">
        <v>66</v>
      </c>
      <c r="D231" s="180" t="s">
        <v>1396</v>
      </c>
      <c r="E231" s="255"/>
      <c r="F231" s="212" t="str">
        <f t="array" ref="F231">IF(C231="","",IF(OR(C231=Списки!$AG$15:$AG$17),"нет","да"))</f>
        <v>да</v>
      </c>
      <c r="G231" s="236"/>
      <c r="H231" s="210">
        <v>16</v>
      </c>
      <c r="I231" s="193"/>
      <c r="J231" s="186">
        <f t="shared" si="22"/>
        <v>16</v>
      </c>
      <c r="K231" s="178" t="s">
        <v>129</v>
      </c>
      <c r="L231" s="965"/>
      <c r="M231" s="188">
        <f>IFERROR(IF(L231&lt;&gt;"","",VLOOKUP(C231&amp;D231&amp;K231,НН!A:J,10,)),"")</f>
        <v>44.577399999999997</v>
      </c>
      <c r="N231" s="202">
        <f t="shared" si="23"/>
        <v>713.23839999999996</v>
      </c>
      <c r="O231" s="365"/>
      <c r="P231" s="168"/>
    </row>
    <row r="232" spans="2:16" ht="24" outlineLevel="1">
      <c r="B232" s="179"/>
      <c r="C232" s="180" t="s">
        <v>197</v>
      </c>
      <c r="D232" s="180" t="s">
        <v>733</v>
      </c>
      <c r="E232" s="255"/>
      <c r="F232" s="212" t="str">
        <f t="array" ref="F232">IF(C232="","",IF(OR(C232=Списки!$AG$15:$AG$17),"нет","да"))</f>
        <v>да</v>
      </c>
      <c r="G232" s="236"/>
      <c r="H232" s="210">
        <v>2</v>
      </c>
      <c r="I232" s="193"/>
      <c r="J232" s="186">
        <f t="shared" si="22"/>
        <v>2</v>
      </c>
      <c r="K232" s="178" t="s">
        <v>129</v>
      </c>
      <c r="L232" s="965"/>
      <c r="M232" s="188">
        <f>IFERROR(IF(L232&lt;&gt;"","",VLOOKUP(C232&amp;D232&amp;K232,НН!A:J,10,)),"")</f>
        <v>2180</v>
      </c>
      <c r="N232" s="202">
        <f t="shared" si="23"/>
        <v>4360</v>
      </c>
      <c r="O232" s="365"/>
      <c r="P232" s="168"/>
    </row>
    <row r="233" spans="2:16" ht="15" outlineLevel="1">
      <c r="B233" s="169" t="s">
        <v>487</v>
      </c>
      <c r="C233" s="170"/>
      <c r="D233" s="291" t="s">
        <v>607</v>
      </c>
      <c r="E233" s="292"/>
      <c r="F233" s="293" t="str">
        <f t="array" ref="F233">IF(ISBLANK(C233),"",IF(OR(C233=Списки!$AG$15:$AG$17),"нет","да"))</f>
        <v/>
      </c>
      <c r="G233" s="671"/>
      <c r="H233" s="230"/>
      <c r="I233" s="294"/>
      <c r="J233" s="219"/>
      <c r="K233" s="220"/>
      <c r="L233" s="255"/>
      <c r="M233" s="256" t="str">
        <f t="array" aca="1" ref="M233" ca="1">IFERROR(IF((VLOOKUP(D233,INDIRECT("'"&amp;INDEX(Списки!$AG$2:$AG$17,MATCH(TRUE,COUNTIF(INDIRECT("'"&amp;Списки!$AG$2:$AG$17 &amp;"'!A1:A2000"),D233)&gt;0,0))&amp;"'!A:C"),3,0))=0,"",VLOOKUP(D233,INDIRECT("'"&amp;INDEX(Списки!$AG$2:$AG$17,MATCH(TRUE,COUNTIF(INDIRECT("'"&amp;Списки!$AG$2:$AG$17 &amp;"'!A1:A2000"),D233)&gt;0,0))&amp;"'!A:C"),3,0)),"")</f>
        <v/>
      </c>
      <c r="N233" s="356" t="str">
        <f t="shared" ca="1" si="23"/>
        <v/>
      </c>
      <c r="O233" s="167"/>
      <c r="P233" s="168"/>
    </row>
    <row r="234" spans="2:16" ht="15" outlineLevel="1">
      <c r="B234" s="179"/>
      <c r="C234" s="180" t="s">
        <v>72</v>
      </c>
      <c r="D234" s="180" t="s">
        <v>608</v>
      </c>
      <c r="E234" s="255"/>
      <c r="F234" s="212" t="str">
        <f t="array" ref="F234">IF(C234="","",IF(OR(C234=Списки!$AG$15:$AG$17),"нет","да"))</f>
        <v>нет</v>
      </c>
      <c r="G234" s="236"/>
      <c r="H234" s="184"/>
      <c r="I234" s="184">
        <f>IF(G222="сложный",28*1.2,28)</f>
        <v>33.6</v>
      </c>
      <c r="J234" s="184">
        <f t="shared" ref="J234:J235" si="26">ROUNDUP(IF($C$222="нет",0,IF(ISBLANK(D234),"",IF(H234="",I234,H234))),1)</f>
        <v>33.6</v>
      </c>
      <c r="K234" s="178" t="s">
        <v>212</v>
      </c>
      <c r="L234" s="965"/>
      <c r="M234" s="188">
        <f>IFERROR(IF(L234&lt;&gt;"","",VLOOKUP(C234&amp;D234&amp;K234,НН!A:J,10,)),"")</f>
        <v>1207.8</v>
      </c>
      <c r="N234" s="202">
        <f t="shared" si="23"/>
        <v>40582.080000000002</v>
      </c>
      <c r="O234" s="365" t="s">
        <v>609</v>
      </c>
      <c r="P234" s="688"/>
    </row>
    <row r="235" spans="2:16" ht="15" outlineLevel="1">
      <c r="B235" s="179"/>
      <c r="C235" s="180" t="s">
        <v>72</v>
      </c>
      <c r="D235" s="180" t="s">
        <v>610</v>
      </c>
      <c r="E235" s="255"/>
      <c r="F235" s="212" t="str">
        <f t="array" ref="F235">IF(C235="","",IF(OR(C235=Списки!$AG$15:$AG$17),"нет","да"))</f>
        <v>нет</v>
      </c>
      <c r="G235" s="236"/>
      <c r="H235" s="184"/>
      <c r="I235" s="184">
        <f>IF(G222="сложный",24*1.2,24)</f>
        <v>28.799999999999997</v>
      </c>
      <c r="J235" s="184">
        <f t="shared" si="26"/>
        <v>28.8</v>
      </c>
      <c r="K235" s="178" t="s">
        <v>212</v>
      </c>
      <c r="L235" s="965"/>
      <c r="M235" s="188">
        <f>IFERROR(IF(L235&lt;&gt;"","",VLOOKUP(C235&amp;D235&amp;K235,НН!A:J,10,)),"")</f>
        <v>1207.8</v>
      </c>
      <c r="N235" s="202">
        <f t="shared" si="23"/>
        <v>34784.639999999999</v>
      </c>
      <c r="O235" s="365" t="s">
        <v>611</v>
      </c>
      <c r="P235" s="168"/>
    </row>
    <row r="236" spans="2:16" ht="15" outlineLevel="1">
      <c r="B236" s="179"/>
      <c r="C236" s="306"/>
      <c r="D236" s="307" t="s">
        <v>377</v>
      </c>
      <c r="E236" s="362"/>
      <c r="F236" s="309"/>
      <c r="G236" s="310"/>
      <c r="H236" s="311"/>
      <c r="I236" s="363"/>
      <c r="J236" s="364"/>
      <c r="K236" s="314"/>
      <c r="L236" s="315"/>
      <c r="M236" s="316"/>
      <c r="N236" s="317"/>
      <c r="O236" s="365"/>
      <c r="P236" s="298"/>
    </row>
    <row r="237" spans="2:16" ht="22.5" customHeight="1" outlineLevel="1">
      <c r="B237" s="179"/>
      <c r="C237" s="319"/>
      <c r="D237" s="332"/>
      <c r="E237" s="405" t="s">
        <v>612</v>
      </c>
      <c r="F237" s="406"/>
      <c r="G237" s="407">
        <f>SUM(G224:G235)</f>
        <v>0</v>
      </c>
      <c r="H237" s="332"/>
      <c r="I237" s="332"/>
      <c r="J237" s="408"/>
      <c r="K237" s="503"/>
      <c r="L237" s="409"/>
      <c r="M237" s="501"/>
      <c r="N237" s="411">
        <f ca="1">SUM(N224:N236)</f>
        <v>557014.51839999994</v>
      </c>
      <c r="O237" s="329"/>
      <c r="P237" s="331"/>
    </row>
    <row r="238" spans="2:16" ht="15.75" outlineLevel="1">
      <c r="B238" s="179"/>
      <c r="C238" s="319"/>
      <c r="D238" s="320"/>
      <c r="E238" s="333" t="s">
        <v>379</v>
      </c>
      <c r="F238" s="372"/>
      <c r="G238" s="373"/>
      <c r="H238" s="374"/>
      <c r="I238" s="374"/>
      <c r="J238" s="375"/>
      <c r="K238" s="376"/>
      <c r="L238" s="377"/>
      <c r="M238" s="378"/>
      <c r="N238" s="341">
        <f t="array" ref="N238">SUM(SUMIF(C224:C236,Списки!$AG$2:$AG$14,N224:N236))</f>
        <v>481647.79839999997</v>
      </c>
      <c r="O238" s="379"/>
      <c r="P238" s="331"/>
    </row>
    <row r="239" spans="2:16" ht="15.75" outlineLevel="1">
      <c r="B239" s="179"/>
      <c r="C239" s="319"/>
      <c r="D239" s="320"/>
      <c r="E239" s="412" t="s">
        <v>382</v>
      </c>
      <c r="F239" s="372"/>
      <c r="G239" s="373"/>
      <c r="H239" s="374"/>
      <c r="I239" s="374"/>
      <c r="J239" s="382">
        <f>ROUNDUP(SUMIFS($J$224:$J$236,$K$224:$K$236,Списки!$S$5)-SUMIFS($J$224:$J$236,$K$224:$K$236,Списки!$S$5,$D$224:$D$236,"*изготов*"),1)</f>
        <v>28.8</v>
      </c>
      <c r="K239" s="376" t="s">
        <v>212</v>
      </c>
      <c r="L239" s="377"/>
      <c r="M239" s="378"/>
      <c r="N239" s="413">
        <f>SUMIF($K$224:$K$236,Списки!$S$5,$N$224:$N$236)-SUMIFS($N$224:$N$236,$K$224:$K$236,Списки!$S$5,$D$224:$D$236,"*изготов*")</f>
        <v>34784.639999999999</v>
      </c>
      <c r="O239" s="379"/>
      <c r="P239" s="331"/>
    </row>
    <row r="240" spans="2:16" ht="15.75" outlineLevel="1">
      <c r="B240" s="179"/>
      <c r="C240" s="319"/>
      <c r="D240" s="320"/>
      <c r="E240" s="412" t="s">
        <v>383</v>
      </c>
      <c r="F240" s="372"/>
      <c r="G240" s="373"/>
      <c r="H240" s="374"/>
      <c r="I240" s="374"/>
      <c r="J240" s="382">
        <f>ROUNDUP(SUMIFS($J$224:$J$236,$K$224:$K$236,Списки!$S$5,$D$224:$D$236,"*изготов*"),1)</f>
        <v>33.6</v>
      </c>
      <c r="K240" s="376" t="s">
        <v>212</v>
      </c>
      <c r="L240" s="377"/>
      <c r="M240" s="709"/>
      <c r="N240" s="413">
        <f>SUMIFS($N$224:$N$236,$K$224:$K$236,Списки!$S$5,$D$224:$D$236,"*изготов*")</f>
        <v>40582.080000000002</v>
      </c>
      <c r="O240" s="379"/>
      <c r="P240" s="331"/>
    </row>
    <row r="241" spans="2:16" ht="15">
      <c r="B241" s="386">
        <v>7</v>
      </c>
      <c r="C241" s="502"/>
      <c r="D241" s="388" t="s">
        <v>480</v>
      </c>
      <c r="E241" s="389"/>
      <c r="F241" s="390" t="str">
        <f t="array" ref="F241">IF(ISBLANK(C241),"",IF(OR(C241=Списки!$AG$15:$AG$17),"нет","да"))</f>
        <v/>
      </c>
      <c r="G241" s="391"/>
      <c r="H241" s="389"/>
      <c r="I241" s="392"/>
      <c r="J241" s="392"/>
      <c r="K241" s="393"/>
      <c r="L241" s="394"/>
      <c r="M241" s="395"/>
      <c r="N241" s="390"/>
      <c r="O241" s="167"/>
      <c r="P241" s="168"/>
    </row>
    <row r="242" spans="2:16" ht="15" outlineLevel="1">
      <c r="B242" s="169" t="s">
        <v>492</v>
      </c>
      <c r="C242" s="290"/>
      <c r="D242" s="291" t="s">
        <v>482</v>
      </c>
      <c r="E242" s="292"/>
      <c r="F242" s="293" t="str">
        <f t="array" ref="F242">IF(ISBLANK(C242),"",IF(OR(C242=Списки!$AG$15:$AG$17),"нет","да"))</f>
        <v/>
      </c>
      <c r="G242" s="216"/>
      <c r="H242" s="230"/>
      <c r="I242" s="294"/>
      <c r="J242" s="219"/>
      <c r="K242" s="220"/>
      <c r="L242" s="255"/>
      <c r="M242" s="256"/>
      <c r="N242" s="356"/>
      <c r="O242" s="167"/>
      <c r="P242" s="168"/>
    </row>
    <row r="243" spans="2:16" ht="15" outlineLevel="1">
      <c r="B243" s="1096"/>
      <c r="C243" s="208" t="s">
        <v>69</v>
      </c>
      <c r="D243" s="180" t="s">
        <v>483</v>
      </c>
      <c r="E243" s="255"/>
      <c r="F243" s="212" t="str">
        <f t="array" ref="F243">IF(C243="","",IF(OR(C243=Списки!$AG$15:$AG$17),"нет","да"))</f>
        <v>да</v>
      </c>
      <c r="G243" s="206">
        <f>8.022*J243/1000</f>
        <v>0.12835199999999999</v>
      </c>
      <c r="H243" s="210">
        <f>F158*2</f>
        <v>16</v>
      </c>
      <c r="I243" s="193"/>
      <c r="J243" s="186">
        <f t="shared" ref="J243:J246" si="27">IF(ISBLANK(D243),"",IF(H243="",I243,H243))</f>
        <v>16</v>
      </c>
      <c r="K243" s="178" t="s">
        <v>129</v>
      </c>
      <c r="L243" s="196"/>
      <c r="M243" s="188">
        <f>IFERROR(IF(L243&lt;&gt;"","",VLOOKUP(C243&amp;D243&amp;K243,НН!A:J,10,)),"")</f>
        <v>74</v>
      </c>
      <c r="N243" s="202">
        <f t="shared" ref="N243:N246" si="28">IFERROR(IF(L243="",M243*J243,J243*L243),"")</f>
        <v>1184</v>
      </c>
      <c r="O243" s="167"/>
      <c r="P243" s="168"/>
    </row>
    <row r="244" spans="2:16" ht="15" outlineLevel="1">
      <c r="B244" s="1096"/>
      <c r="C244" s="208" t="s">
        <v>69</v>
      </c>
      <c r="D244" s="180" t="s">
        <v>484</v>
      </c>
      <c r="E244" s="255"/>
      <c r="F244" s="212" t="str">
        <f t="array" ref="F244">IF(C244="","",IF(OR(C244=Списки!$AG$15:$AG$17),"нет","да"))</f>
        <v>да</v>
      </c>
      <c r="G244" s="206">
        <f>15.4*J244/1000</f>
        <v>0.49280000000000002</v>
      </c>
      <c r="H244" s="184"/>
      <c r="I244" s="193">
        <f>H243*2</f>
        <v>32</v>
      </c>
      <c r="J244" s="186">
        <f t="shared" si="27"/>
        <v>32</v>
      </c>
      <c r="K244" s="178" t="s">
        <v>129</v>
      </c>
      <c r="L244" s="196"/>
      <c r="M244" s="188">
        <f>IFERROR(IF(L244&lt;&gt;"","",VLOOKUP(C244&amp;D244&amp;K244,НН!A:J,10,)),"")</f>
        <v>4.41</v>
      </c>
      <c r="N244" s="202">
        <f t="shared" si="28"/>
        <v>141.12</v>
      </c>
      <c r="O244" s="167"/>
      <c r="P244" s="168"/>
    </row>
    <row r="245" spans="2:16" ht="15" outlineLevel="1">
      <c r="B245" s="1096"/>
      <c r="C245" s="208" t="s">
        <v>69</v>
      </c>
      <c r="D245" s="180" t="s">
        <v>485</v>
      </c>
      <c r="E245" s="255"/>
      <c r="F245" s="212" t="str">
        <f t="array" ref="F245">IF(C245="","",IF(OR(C245=Списки!$AG$15:$AG$17),"нет","да"))</f>
        <v>да</v>
      </c>
      <c r="G245" s="206">
        <f>0.62*0.09*J245</f>
        <v>0.89279999999999993</v>
      </c>
      <c r="H245" s="184"/>
      <c r="I245" s="193">
        <f>H243</f>
        <v>16</v>
      </c>
      <c r="J245" s="186">
        <f t="shared" si="27"/>
        <v>16</v>
      </c>
      <c r="K245" s="178" t="s">
        <v>129</v>
      </c>
      <c r="L245" s="196"/>
      <c r="M245" s="188">
        <f>IFERROR(IF(L245&lt;&gt;"","",VLOOKUP(C245&amp;D245&amp;K245,НН!A:J,10,)),"")</f>
        <v>4.24</v>
      </c>
      <c r="N245" s="202">
        <f t="shared" si="28"/>
        <v>67.84</v>
      </c>
      <c r="O245" s="167"/>
      <c r="P245" s="168"/>
    </row>
    <row r="246" spans="2:16" ht="15" outlineLevel="1">
      <c r="B246" s="1096"/>
      <c r="C246" s="208" t="s">
        <v>69</v>
      </c>
      <c r="D246" s="180" t="s">
        <v>486</v>
      </c>
      <c r="E246" s="255"/>
      <c r="F246" s="212" t="str">
        <f t="array" ref="F246">IF(C246="","",IF(OR(C246=Списки!$AG$15:$AG$17),"нет","да"))</f>
        <v>да</v>
      </c>
      <c r="G246" s="206">
        <f>3.36*J246/1000</f>
        <v>5.3759999999999995E-2</v>
      </c>
      <c r="H246" s="184"/>
      <c r="I246" s="193">
        <f>H243</f>
        <v>16</v>
      </c>
      <c r="J246" s="186">
        <f t="shared" si="27"/>
        <v>16</v>
      </c>
      <c r="K246" s="178" t="s">
        <v>129</v>
      </c>
      <c r="L246" s="196"/>
      <c r="M246" s="188">
        <f>IFERROR(IF(L246&lt;&gt;"","",VLOOKUP(C246&amp;D246&amp;K246,НН!A:J,10,)),"")</f>
        <v>14.98</v>
      </c>
      <c r="N246" s="202">
        <f t="shared" si="28"/>
        <v>239.68</v>
      </c>
      <c r="O246" s="167"/>
      <c r="P246" s="168"/>
    </row>
    <row r="247" spans="2:16" ht="15" outlineLevel="1">
      <c r="B247" s="179"/>
      <c r="C247" s="208" t="s">
        <v>69</v>
      </c>
      <c r="D247" s="180" t="s">
        <v>1577</v>
      </c>
      <c r="E247" s="255"/>
      <c r="F247" s="212" t="str">
        <f t="array" ref="F247">IF(C247="","",IF(OR(C247=Списки!$AG$15:$AG$17),"нет","да"))</f>
        <v>да</v>
      </c>
      <c r="G247" s="206">
        <f>8.022*J247/1000</f>
        <v>0.64176</v>
      </c>
      <c r="H247" s="210">
        <f>VLOOKUP(E222,'Для расчетов'!A33:I58,9,0)*H229</f>
        <v>80</v>
      </c>
      <c r="I247" s="193"/>
      <c r="J247" s="186">
        <f t="shared" ref="J247:J250" si="29">IF(ISBLANK(D247),"",IF(H247="",I247,H247))</f>
        <v>80</v>
      </c>
      <c r="K247" s="178" t="s">
        <v>129</v>
      </c>
      <c r="L247" s="196"/>
      <c r="M247" s="188">
        <f>IFERROR(IF(L247&lt;&gt;"","",VLOOKUP(C247&amp;D247&amp;K247,НН!A:J,10,)),"")</f>
        <v>270</v>
      </c>
      <c r="N247" s="202">
        <f t="shared" ref="N247:N250" si="30">IFERROR(IF(L247="",M247*J247,J247*L247),"")</f>
        <v>21600</v>
      </c>
      <c r="O247" s="167"/>
      <c r="P247" s="168"/>
    </row>
    <row r="248" spans="2:16" ht="15" outlineLevel="1">
      <c r="B248" s="179"/>
      <c r="C248" s="208" t="s">
        <v>69</v>
      </c>
      <c r="D248" s="180" t="s">
        <v>738</v>
      </c>
      <c r="E248" s="255"/>
      <c r="F248" s="212" t="str">
        <f t="array" ref="F248">IF(C248="","",IF(OR(C248=Списки!$AG$15:$AG$17),"нет","да"))</f>
        <v>да</v>
      </c>
      <c r="G248" s="206">
        <f>15.4*J248/1000</f>
        <v>2.464</v>
      </c>
      <c r="H248" s="184"/>
      <c r="I248" s="193">
        <f>H247*2</f>
        <v>160</v>
      </c>
      <c r="J248" s="186">
        <f t="shared" si="29"/>
        <v>160</v>
      </c>
      <c r="K248" s="178" t="s">
        <v>129</v>
      </c>
      <c r="L248" s="196"/>
      <c r="M248" s="188">
        <f>IFERROR(IF(L248&lt;&gt;"","",VLOOKUP(C248&amp;D248&amp;K248,НН!A:J,10,)),"")</f>
        <v>10.01</v>
      </c>
      <c r="N248" s="202">
        <f t="shared" si="30"/>
        <v>1601.6</v>
      </c>
      <c r="O248" s="167"/>
      <c r="P248" s="168"/>
    </row>
    <row r="249" spans="2:16" ht="15" outlineLevel="1">
      <c r="B249" s="179"/>
      <c r="C249" s="208" t="s">
        <v>69</v>
      </c>
      <c r="D249" s="180" t="s">
        <v>739</v>
      </c>
      <c r="E249" s="255"/>
      <c r="F249" s="212" t="str">
        <f t="array" ref="F249">IF(C249="","",IF(OR(C249=Списки!$AG$15:$AG$17),"нет","да"))</f>
        <v>да</v>
      </c>
      <c r="G249" s="206">
        <f>0.62*0.09*J249</f>
        <v>4.4639999999999995</v>
      </c>
      <c r="H249" s="184"/>
      <c r="I249" s="193">
        <f>H247</f>
        <v>80</v>
      </c>
      <c r="J249" s="186">
        <f t="shared" si="29"/>
        <v>80</v>
      </c>
      <c r="K249" s="178" t="s">
        <v>129</v>
      </c>
      <c r="L249" s="196"/>
      <c r="M249" s="188">
        <f>IFERROR(IF(L249&lt;&gt;"","",VLOOKUP(C249&amp;D249&amp;K249,НН!A:J,10,)),"")</f>
        <v>9.9700000000000006</v>
      </c>
      <c r="N249" s="202">
        <f t="shared" si="30"/>
        <v>797.6</v>
      </c>
      <c r="O249" s="167"/>
      <c r="P249" s="168"/>
    </row>
    <row r="250" spans="2:16" ht="15" outlineLevel="1">
      <c r="B250" s="179"/>
      <c r="C250" s="208" t="s">
        <v>69</v>
      </c>
      <c r="D250" s="180" t="s">
        <v>740</v>
      </c>
      <c r="E250" s="255"/>
      <c r="F250" s="212" t="str">
        <f t="array" ref="F250">IF(C250="","",IF(OR(C250=Списки!$AG$15:$AG$17),"нет","да"))</f>
        <v>да</v>
      </c>
      <c r="G250" s="206">
        <f>3.36*J250/1000</f>
        <v>0.26880000000000004</v>
      </c>
      <c r="H250" s="184"/>
      <c r="I250" s="193">
        <f>H247</f>
        <v>80</v>
      </c>
      <c r="J250" s="186">
        <f t="shared" si="29"/>
        <v>80</v>
      </c>
      <c r="K250" s="178" t="s">
        <v>129</v>
      </c>
      <c r="L250" s="196"/>
      <c r="M250" s="188">
        <f>IFERROR(IF(L250&lt;&gt;"","",VLOOKUP(C250&amp;D250&amp;K250,НН!A:J,10,)),"")</f>
        <v>51</v>
      </c>
      <c r="N250" s="202">
        <f t="shared" si="30"/>
        <v>4080</v>
      </c>
      <c r="O250" s="167"/>
      <c r="P250" s="168"/>
    </row>
    <row r="251" spans="2:16" ht="15" outlineLevel="1">
      <c r="B251" s="169" t="s">
        <v>494</v>
      </c>
      <c r="C251" s="290"/>
      <c r="D251" s="291" t="s">
        <v>488</v>
      </c>
      <c r="E251" s="292"/>
      <c r="F251" s="293"/>
      <c r="G251" s="671"/>
      <c r="H251" s="403"/>
      <c r="I251" s="403"/>
      <c r="J251" s="219"/>
      <c r="K251" s="220"/>
      <c r="L251" s="287"/>
      <c r="M251" s="479"/>
      <c r="N251" s="480"/>
      <c r="O251" s="365"/>
      <c r="P251" s="168"/>
    </row>
    <row r="252" spans="2:16" ht="24" outlineLevel="1">
      <c r="B252" s="179"/>
      <c r="C252" s="208"/>
      <c r="D252" s="180" t="s">
        <v>489</v>
      </c>
      <c r="E252" s="255"/>
      <c r="F252" s="485" t="str">
        <f t="array" ref="F252">IF(ISBLANK(C252),"",IF(OR(C252=Списки!$AG$15:$AG$17),"нет","да"))</f>
        <v/>
      </c>
      <c r="G252" s="671"/>
      <c r="H252" s="227"/>
      <c r="I252" s="218"/>
      <c r="J252" s="219"/>
      <c r="K252" s="220"/>
      <c r="L252" s="221"/>
      <c r="M252" s="222" t="str">
        <f t="array" aca="1" ref="M252" ca="1">IF(D252="ФОТ",I252*#REF!,IFERROR(IF(L252&lt;&gt;"","",IF((VLOOKUP(D252&amp;K252,INDIRECT("'"&amp;INDEX(Списки!$AG$2:$AG$17,MATCH(TRUE,COUNTIF(INDIRECT("'"&amp;Списки!$AG$2:$AG$17 &amp;"'!A1:A2000"),D252&amp;K252)&gt;0,0))&amp;"'!A:h"),7,0))=0,"",VLOOKUP(D252&amp;K252,INDIRECT("'"&amp;INDEX(Списки!$AG$2:$AG$17,MATCH(TRUE,COUNTIF(INDIRECT("'"&amp;Списки!$AG$2:$AG$17 &amp;"'!A1:A2000"),D252&amp;K252)&gt;0,0))&amp;"'!A:h"),7,0))),""))</f>
        <v/>
      </c>
      <c r="N252" s="223" t="str">
        <f t="shared" ref="N252" ca="1" si="31">IFERROR(IF(L252="",M252*J252,J252*L252),"")</f>
        <v/>
      </c>
      <c r="O252" s="365"/>
      <c r="P252" s="168"/>
    </row>
    <row r="253" spans="2:16" ht="12.75" customHeight="1" outlineLevel="1">
      <c r="B253" s="179"/>
      <c r="C253" s="306"/>
      <c r="D253" s="307" t="s">
        <v>377</v>
      </c>
      <c r="E253" s="362"/>
      <c r="F253" s="309"/>
      <c r="G253" s="310"/>
      <c r="H253" s="311"/>
      <c r="I253" s="363"/>
      <c r="J253" s="364"/>
      <c r="K253" s="314"/>
      <c r="L253" s="315"/>
      <c r="M253" s="316"/>
      <c r="N253" s="317"/>
      <c r="O253" s="365"/>
      <c r="P253" s="298"/>
    </row>
    <row r="254" spans="2:16" ht="18" outlineLevel="1">
      <c r="B254" s="179"/>
      <c r="C254" s="319"/>
      <c r="D254" s="332"/>
      <c r="E254" s="405" t="s">
        <v>490</v>
      </c>
      <c r="F254" s="406"/>
      <c r="G254" s="407">
        <f>SUM(G251:G252)</f>
        <v>0</v>
      </c>
      <c r="H254" s="332"/>
      <c r="I254" s="332"/>
      <c r="J254" s="408"/>
      <c r="K254" s="503"/>
      <c r="L254" s="409"/>
      <c r="M254" s="501"/>
      <c r="N254" s="411">
        <f ca="1">SUM(N242:N253)</f>
        <v>29711.839999999997</v>
      </c>
      <c r="O254" s="329"/>
      <c r="P254" s="331"/>
    </row>
    <row r="255" spans="2:16" ht="15.75" outlineLevel="1">
      <c r="B255" s="179"/>
      <c r="C255" s="319"/>
      <c r="D255" s="320"/>
      <c r="E255" s="333" t="s">
        <v>379</v>
      </c>
      <c r="F255" s="372"/>
      <c r="G255" s="373"/>
      <c r="H255" s="374"/>
      <c r="I255" s="374"/>
      <c r="J255" s="375"/>
      <c r="K255" s="376"/>
      <c r="L255" s="377"/>
      <c r="M255" s="378"/>
      <c r="N255" s="341">
        <f t="array" ref="N255">SUM(SUMIF(C242:C253,Списки!$AG$2:$AG$14,N242:N253))</f>
        <v>29711.839999999997</v>
      </c>
      <c r="O255" s="379"/>
      <c r="P255" s="331"/>
    </row>
    <row r="256" spans="2:16" ht="15.75" outlineLevel="1">
      <c r="B256" s="179"/>
      <c r="C256" s="319"/>
      <c r="D256" s="320"/>
      <c r="E256" s="412" t="s">
        <v>382</v>
      </c>
      <c r="F256" s="372"/>
      <c r="G256" s="373"/>
      <c r="H256" s="374"/>
      <c r="I256" s="374"/>
      <c r="J256" s="382">
        <f>ROUNDUP(SUMIFS($J$242:$J$253,$K$242:$K$253,Списки!$S$5)-SUMIFS($J$242:$J$253,$K$242:$K$253,Списки!$S$5,$D$242:$D$253,"*изготов*"),1)</f>
        <v>0</v>
      </c>
      <c r="K256" s="376" t="s">
        <v>212</v>
      </c>
      <c r="L256" s="377"/>
      <c r="M256" s="378"/>
      <c r="N256" s="413">
        <f>SUMIF($K$251:$K$253,Списки!$S$5,$N$242:$N$253)-SUMIFS($N$242:$N$253,$K$242:$K$253,Списки!$S$5,$D$242:$D$253,"*изготов*")</f>
        <v>0</v>
      </c>
      <c r="O256" s="379"/>
      <c r="P256" s="331"/>
    </row>
    <row r="257" spans="2:16" ht="15.75" outlineLevel="1">
      <c r="B257" s="179"/>
      <c r="C257" s="319"/>
      <c r="D257" s="320"/>
      <c r="E257" s="412" t="s">
        <v>383</v>
      </c>
      <c r="F257" s="372"/>
      <c r="G257" s="373"/>
      <c r="H257" s="374"/>
      <c r="I257" s="374"/>
      <c r="J257" s="382">
        <f>ROUNDUP(SUMIFS($J$242:$J$253,$K$242:$K$253,Списки!$S$5,$D$242:$D$253,"*изготов*"),1)</f>
        <v>0</v>
      </c>
      <c r="K257" s="376" t="s">
        <v>212</v>
      </c>
      <c r="L257" s="377"/>
      <c r="M257" s="378"/>
      <c r="N257" s="413">
        <f>SUMIFS($N$242:$N$253,$K$242:$K$253,Списки!$S$5,$D$242:$D$253,"*изготов*")</f>
        <v>0</v>
      </c>
      <c r="O257" s="379"/>
      <c r="P257" s="331"/>
    </row>
    <row r="258" spans="2:16" ht="15">
      <c r="B258" s="386">
        <v>8</v>
      </c>
      <c r="C258" s="250" t="s">
        <v>115</v>
      </c>
      <c r="D258" s="388" t="s">
        <v>491</v>
      </c>
      <c r="E258" s="92"/>
      <c r="F258" s="390"/>
      <c r="G258" s="391"/>
      <c r="H258" s="389"/>
      <c r="I258" s="392"/>
      <c r="J258" s="392"/>
      <c r="K258" s="393"/>
      <c r="L258" s="394"/>
      <c r="M258" s="395"/>
      <c r="N258" s="390"/>
      <c r="O258" s="214"/>
      <c r="P258" s="168"/>
    </row>
    <row r="259" spans="2:16" ht="15">
      <c r="B259" s="169" t="s">
        <v>2202</v>
      </c>
      <c r="C259" s="170"/>
      <c r="D259" s="291" t="s">
        <v>493</v>
      </c>
      <c r="E259" s="292"/>
      <c r="F259" s="293" t="str">
        <f t="array" ref="F259">IF(ISBLANK(C259),"",IF(OR(C259=Списки!$AG$15:$AG$17),"нет","да"))</f>
        <v/>
      </c>
      <c r="G259" s="216"/>
      <c r="H259" s="230"/>
      <c r="I259" s="294"/>
      <c r="J259" s="219"/>
      <c r="K259" s="220"/>
      <c r="L259" s="255"/>
      <c r="M259" s="256"/>
      <c r="N259" s="356"/>
      <c r="O259" s="167"/>
      <c r="P259" s="168"/>
    </row>
    <row r="260" spans="2:16" ht="39.75" customHeight="1">
      <c r="B260" s="179"/>
      <c r="C260" s="208" t="s">
        <v>67</v>
      </c>
      <c r="D260" s="180" t="str">
        <f>CONCATENATE("Задвижка шиберная с невыдв.шпинделем с ручным управлением DN",E260," PN10 и удлиненным штоком L=",'Калькулятор ЕМК'!I114*1000-(ОЛ_ЕМКОСТИ!E51)/2," мм (высота штока указана от оси трубы")</f>
        <v>Задвижка шиберная с невыдв.шпинделем с ручным управлением DN400 PN10 и удлиненным штоком L=3800 мм (высота штока указана от оси трубы</v>
      </c>
      <c r="E260" s="1116">
        <f>ОЛ_ЕМКОСТИ!E49</f>
        <v>400</v>
      </c>
      <c r="F260" s="212" t="str">
        <f t="array" ref="F260">IF(C260="","",IF(OR(C260=Списки!$AG$15:$AG$17),"нет","да"))</f>
        <v>да</v>
      </c>
      <c r="G260" s="204"/>
      <c r="H260" s="966"/>
      <c r="I260" s="193">
        <f>ОЛ_ЕМКОСТИ!E50</f>
        <v>1</v>
      </c>
      <c r="J260" s="186">
        <f>IF(C258="нет",0,IF(ISBLANK(D269),"",IF(H269="",I269,H269)))*IF(ОЛ_ЕМКОСТИ!E68="нет",0,IF(ISBLANK(D260),"",IF(H260="",I260,H260)))</f>
        <v>1</v>
      </c>
      <c r="K260" s="178" t="s">
        <v>129</v>
      </c>
      <c r="L260" s="187">
        <v>250000</v>
      </c>
      <c r="M260" s="188" t="str">
        <f>IFERROR(IF(L260&lt;&gt;"","",VLOOKUP(C260&amp;D260&amp;K260,НН!A:J,10,)),"")</f>
        <v/>
      </c>
      <c r="N260" s="799">
        <f t="shared" ref="N260:N261" si="32">IFERROR(IF(L260="",M260*J260,J260*L260),"")</f>
        <v>250000</v>
      </c>
      <c r="O260" s="167"/>
      <c r="P260" s="168"/>
    </row>
    <row r="261" spans="2:16" ht="24">
      <c r="B261" s="179"/>
      <c r="C261" s="208" t="s">
        <v>67</v>
      </c>
      <c r="D261" s="180" t="s">
        <v>2146</v>
      </c>
      <c r="E261" s="1227"/>
      <c r="F261" s="212" t="str">
        <f t="array" ref="F261">IF(C261="","",IF(OR(C261=Списки!$AG$15:$AG$17),"нет","да"))</f>
        <v>да</v>
      </c>
      <c r="G261" s="204"/>
      <c r="H261" s="210">
        <v>6</v>
      </c>
      <c r="I261" s="193"/>
      <c r="J261" s="186">
        <f>IF(C258="нет",0,IF(ISBLANK(D261),"",IF(H261="",I261,H261)))</f>
        <v>6</v>
      </c>
      <c r="K261" s="178" t="s">
        <v>129</v>
      </c>
      <c r="L261" s="801"/>
      <c r="M261" s="247">
        <f>IFERROR(IF(L261&lt;&gt;"","",VLOOKUP(C261&amp;D261&amp;K261,НН!A:J,10,)),"")</f>
        <v>45000</v>
      </c>
      <c r="N261" s="1109">
        <f t="shared" si="32"/>
        <v>270000</v>
      </c>
      <c r="O261" s="167"/>
      <c r="P261" s="168"/>
    </row>
    <row r="262" spans="2:16" ht="24">
      <c r="B262" s="179"/>
      <c r="C262" s="208" t="s">
        <v>67</v>
      </c>
      <c r="D262" s="180" t="s">
        <v>2154</v>
      </c>
      <c r="E262" s="1227"/>
      <c r="F262" s="212" t="str">
        <f t="array" ref="F262">IF(C262="","",IF(OR(C262=Списки!$AG$15:$AG$17),"нет","да"))</f>
        <v>да</v>
      </c>
      <c r="G262" s="204"/>
      <c r="H262" s="210">
        <v>3</v>
      </c>
      <c r="I262" s="193"/>
      <c r="J262" s="186">
        <f>IF(C258="нет",0,IF(ISBLANK(D262),"",IF(H262="",I262,H262)))</f>
        <v>3</v>
      </c>
      <c r="K262" s="178" t="s">
        <v>129</v>
      </c>
      <c r="L262" s="801"/>
      <c r="M262" s="247">
        <f>IFERROR(IF(L262&lt;&gt;"","",VLOOKUP(C262&amp;D262&amp;K262,НН!A:J,10,)),"")</f>
        <v>50000</v>
      </c>
      <c r="N262" s="1109">
        <f t="shared" ref="N262" si="33">IFERROR(IF(L262="",M262*J262,J262*L262),"")</f>
        <v>150000</v>
      </c>
      <c r="O262" s="167"/>
      <c r="P262" s="168"/>
    </row>
    <row r="263" spans="2:16" ht="39" customHeight="1">
      <c r="B263" s="800"/>
      <c r="C263" s="666" t="s">
        <v>234</v>
      </c>
      <c r="D263" s="1117" t="s">
        <v>2185</v>
      </c>
      <c r="E263" s="797"/>
      <c r="F263" s="242" t="str">
        <f t="array" ref="F263">IF(C263="","",IF(OR(C263=Списки!$AG$15:$AG$17),"нет","да"))</f>
        <v>да</v>
      </c>
      <c r="G263" s="301"/>
      <c r="H263" s="1115"/>
      <c r="I263" s="296">
        <f>ОЛ_ЕМКОСТИ!E60+ОЛ_ЕМКОСТИ!E61+ОЛ_ЕМКОСТИ!E62</f>
        <v>2</v>
      </c>
      <c r="J263" s="245">
        <f>IF(C258="нет",0,IF(C258="нет",0,IF(ISBLANK(D263),"",IF(H263="",I263,H263))))</f>
        <v>2</v>
      </c>
      <c r="K263" s="246" t="s">
        <v>129</v>
      </c>
      <c r="L263" s="987">
        <v>1</v>
      </c>
      <c r="M263" s="247" t="str">
        <f>IFERROR(IF(L263&lt;&gt;"","",VLOOKUP(C263&amp;D263&amp;K263,НН!A:J,10,)),"")</f>
        <v/>
      </c>
      <c r="N263" s="1109">
        <f t="shared" ref="N263:N265" si="34">IFERROR(IF(L263="",M263*J263,J263*L263),"")</f>
        <v>2</v>
      </c>
      <c r="O263" s="167"/>
      <c r="P263" s="168"/>
    </row>
    <row r="264" spans="2:16" ht="21" customHeight="1">
      <c r="B264" s="800"/>
      <c r="C264" s="666" t="s">
        <v>234</v>
      </c>
      <c r="D264" s="241" t="s">
        <v>1952</v>
      </c>
      <c r="E264" s="1116">
        <f>E222</f>
        <v>100</v>
      </c>
      <c r="F264" s="242" t="str">
        <f t="array" ref="F264">IF(C264="","",IF(OR(C264=Списки!$AG$15:$AG$17),"нет","да"))</f>
        <v>да</v>
      </c>
      <c r="G264" s="301"/>
      <c r="H264" s="1115"/>
      <c r="I264" s="296">
        <f>ОЛ_ЕМКОСТИ!E60+ОЛ_ЕМКОСТИ!E61</f>
        <v>2</v>
      </c>
      <c r="J264" s="245">
        <f>IF(C258="нет",0,IF(C258="нет",0,IF(ISBLANK(D264),"",IF(H264="",I264,H264))))</f>
        <v>2</v>
      </c>
      <c r="K264" s="246" t="s">
        <v>129</v>
      </c>
      <c r="L264" s="187">
        <v>1</v>
      </c>
      <c r="M264" s="247" t="str">
        <f>IFERROR(IF(L264&lt;&gt;"","",VLOOKUP(C264&amp;D264&amp;K264,НН!A:J,10,)),"")</f>
        <v/>
      </c>
      <c r="N264" s="1109">
        <f t="shared" ref="N264" si="35">IFERROR(IF(L264="",M264*J264,J264*L264),"")</f>
        <v>2</v>
      </c>
      <c r="O264" s="167"/>
      <c r="P264" s="168"/>
    </row>
    <row r="265" spans="2:16" ht="20.25" customHeight="1">
      <c r="B265" s="800"/>
      <c r="C265" s="666" t="s">
        <v>167</v>
      </c>
      <c r="D265" s="241" t="s">
        <v>742</v>
      </c>
      <c r="E265" s="227"/>
      <c r="F265" s="242" t="str">
        <f t="array" ref="F265">IF(C265="","",IF(OR(C265=Списки!$AG$15:$AG$17),"нет","да"))</f>
        <v>да</v>
      </c>
      <c r="G265" s="301"/>
      <c r="H265" s="1115"/>
      <c r="I265" s="296">
        <f>ОЛ_ЕМКОСТИ!E60+ОЛ_ЕМКОСТИ!E61+2</f>
        <v>4</v>
      </c>
      <c r="J265" s="245">
        <f>IF(C258="нет",0,IF(ОЛ_ЕМКОСТИ!E54="нет",0,IF(ISBLANK(D265),"",IF(H265="",I265,H265))))</f>
        <v>4</v>
      </c>
      <c r="K265" s="246" t="s">
        <v>129</v>
      </c>
      <c r="L265" s="801"/>
      <c r="M265" s="247">
        <f>IFERROR(IF(L265&lt;&gt;"","",VLOOKUP(C265&amp;D265&amp;K265,НН!A:J,10,)),"")</f>
        <v>7500</v>
      </c>
      <c r="N265" s="1109">
        <f t="shared" si="34"/>
        <v>30000</v>
      </c>
      <c r="O265" s="167"/>
      <c r="P265" s="168"/>
    </row>
    <row r="266" spans="2:16" ht="48" outlineLevel="1">
      <c r="B266" s="179"/>
      <c r="C266" s="208" t="s">
        <v>235</v>
      </c>
      <c r="D266" s="241" t="s">
        <v>2121</v>
      </c>
      <c r="E266" s="1234"/>
      <c r="F266" s="242" t="str">
        <f t="array" ref="F266">IF(C266="","",IF(OR(C266=Списки!$AG$15:$AG$17),"нет","да"))</f>
        <v>да</v>
      </c>
      <c r="G266" s="301"/>
      <c r="H266" s="1115"/>
      <c r="I266" s="296">
        <f>ОЛ_ЕМКОСТИ!I50</f>
        <v>2</v>
      </c>
      <c r="J266" s="245">
        <f>IF(C258="нет",0,IF(ОЛ_ЕМКОСТИ!I72="нет",0,IF(ISBLANK(D266),"",IF(H266="",I266,H266))))</f>
        <v>2</v>
      </c>
      <c r="K266" s="246" t="s">
        <v>129</v>
      </c>
      <c r="L266" s="801"/>
      <c r="M266" s="247">
        <f>IFERROR(IF(L266&lt;&gt;"","",VLOOKUP(C266&amp;D266&amp;K266,НН!A:J,10,)),"")</f>
        <v>40000</v>
      </c>
      <c r="N266" s="1109">
        <f t="shared" ref="N266" si="36">IFERROR(IF(L266="",M266*J266,J266*L266),"")</f>
        <v>80000</v>
      </c>
      <c r="O266" s="167"/>
      <c r="P266" s="168"/>
    </row>
    <row r="267" spans="2:16" ht="53.25" customHeight="1" outlineLevel="1">
      <c r="B267" s="179"/>
      <c r="C267" s="208" t="s">
        <v>235</v>
      </c>
      <c r="D267" s="180" t="s">
        <v>2123</v>
      </c>
      <c r="E267" s="227"/>
      <c r="F267" s="212" t="str">
        <f t="array" ref="F267">IF(C267="","",IF(OR(C267=Списки!$AG$15:$AG$17),"нет","да"))</f>
        <v>да</v>
      </c>
      <c r="G267" s="204"/>
      <c r="H267" s="966"/>
      <c r="I267" s="193">
        <v>1</v>
      </c>
      <c r="J267" s="186">
        <f>IF(C258="нет",0,IF(ОЛ_ЕМКОСТИ!I74="нет",0,IF(ISBLANK(D267),"",IF(H267="",I267,H267))))</f>
        <v>0</v>
      </c>
      <c r="K267" s="178" t="s">
        <v>129</v>
      </c>
      <c r="L267" s="801"/>
      <c r="M267" s="247">
        <f>IFERROR(IF(L267&lt;&gt;"","",VLOOKUP(C267&amp;D267&amp;K267,НН!A:J,10,)),"")</f>
        <v>80000</v>
      </c>
      <c r="N267" s="1109">
        <f t="shared" ref="N267" si="37">IFERROR(IF(L267="",M267*J267,J267*L267),"")</f>
        <v>0</v>
      </c>
      <c r="O267" s="167"/>
      <c r="P267" s="168"/>
    </row>
    <row r="268" spans="2:16" ht="42" customHeight="1" outlineLevel="1">
      <c r="B268" s="179"/>
      <c r="C268" s="208" t="s">
        <v>236</v>
      </c>
      <c r="D268" s="180" t="str">
        <f>CONCATENATE("Расходомер электромагнитный DN",E264," с фланцевым типом присоединения, с раздельным конструкционным исполнением, со степенью защиты IP68 ")</f>
        <v xml:space="preserve">Расходомер электромагнитный DN100 с фланцевым типом присоединения, с раздельным конструкционным исполнением, со степенью защиты IP68 </v>
      </c>
      <c r="E268" s="1116">
        <f>E264</f>
        <v>100</v>
      </c>
      <c r="F268" s="212" t="str">
        <f t="array" ref="F268">IF(C268="","",IF(OR(C268=Списки!$AG$15:$AG$17),"нет","да"))</f>
        <v>да</v>
      </c>
      <c r="G268" s="204"/>
      <c r="H268" s="966"/>
      <c r="I268" s="193">
        <f>ОЛ_ЕМКОСТИ!I50</f>
        <v>2</v>
      </c>
      <c r="J268" s="186">
        <f>IF(C258="нет",0,IF(ОЛ_ЕМКОСТИ!I76="нет",0,IF(ISBLANK(D268),"",IF(H268="",I268,H268))))</f>
        <v>0</v>
      </c>
      <c r="K268" s="178" t="s">
        <v>129</v>
      </c>
      <c r="L268" s="801"/>
      <c r="M268" s="247">
        <f>IFERROR(IF(L268&lt;&gt;"","",VLOOKUP(C268&amp;D268&amp;K268,НН!A:J,10,)),"")</f>
        <v>320000</v>
      </c>
      <c r="N268" s="1109">
        <f t="shared" ref="N268:N269" si="38">IFERROR(IF(L268="",M268*J268,J268*L268),"")</f>
        <v>0</v>
      </c>
      <c r="O268" s="167"/>
      <c r="P268" s="168"/>
    </row>
    <row r="269" spans="2:16" ht="15">
      <c r="B269" s="179"/>
      <c r="C269" s="208" t="s">
        <v>233</v>
      </c>
      <c r="D269" s="180" t="s">
        <v>2092</v>
      </c>
      <c r="E269" s="227"/>
      <c r="F269" s="212" t="str">
        <f t="array" ref="F269">IF(C269="","",IF(OR(C269=Списки!$AG$15:$AG$17),"нет","да"))</f>
        <v>да</v>
      </c>
      <c r="G269" s="204"/>
      <c r="H269" s="966"/>
      <c r="I269" s="193">
        <v>1</v>
      </c>
      <c r="J269" s="186">
        <f>IF(C258="нет",0,IF(ISBLANK(D269),"",IF(H269="",I269,H269)))</f>
        <v>1</v>
      </c>
      <c r="K269" s="178" t="s">
        <v>129</v>
      </c>
      <c r="L269" s="801"/>
      <c r="M269" s="247">
        <f>IFERROR(IF(L269&lt;&gt;"","",VLOOKUP(C269&amp;D269&amp;K269,НН!A:J,10,)),"")</f>
        <v>320000</v>
      </c>
      <c r="N269" s="1109">
        <f t="shared" si="38"/>
        <v>320000</v>
      </c>
      <c r="O269" s="167"/>
      <c r="P269" s="168"/>
    </row>
    <row r="270" spans="2:16" ht="19.5" customHeight="1">
      <c r="B270" s="179"/>
      <c r="C270" s="208" t="s">
        <v>237</v>
      </c>
      <c r="D270" s="180" t="s">
        <v>2119</v>
      </c>
      <c r="E270" s="1028"/>
      <c r="F270" s="212" t="str">
        <f t="array" ref="F270">IF(C270="","",IF(OR(C270=Списки!$AG$15:$AG$17),"нет","да"))</f>
        <v>да</v>
      </c>
      <c r="G270" s="204"/>
      <c r="H270" s="966"/>
      <c r="I270" s="193">
        <v>1</v>
      </c>
      <c r="J270" s="186">
        <f>IF(C258="нет",0,IF(ISBLANK(D270),"",IF(H270="",I270,H270)))</f>
        <v>1</v>
      </c>
      <c r="K270" s="178" t="s">
        <v>129</v>
      </c>
      <c r="L270" s="987">
        <v>1</v>
      </c>
      <c r="M270" s="247" t="str">
        <f>IFERROR(IF(L270&lt;&gt;"","",VLOOKUP(C270&amp;D270&amp;K270,НН!A:J,10,)),"")</f>
        <v/>
      </c>
      <c r="N270" s="1109">
        <f t="shared" ref="N270:N273" si="39">IFERROR(IF(L270="",M270*J270,J270*L270),"")</f>
        <v>1</v>
      </c>
      <c r="O270" s="167"/>
      <c r="P270" s="168"/>
    </row>
    <row r="271" spans="2:16" ht="56.25" outlineLevel="1">
      <c r="B271" s="800"/>
      <c r="C271" s="666" t="s">
        <v>197</v>
      </c>
      <c r="D271" s="241" t="s">
        <v>748</v>
      </c>
      <c r="E271" s="1228" t="s">
        <v>2080</v>
      </c>
      <c r="F271" s="242" t="str">
        <f t="array" ref="F271">IF(C271="","",IF(OR(C271=Списки!$AG$15:$AG$17),"нет","да"))</f>
        <v>да</v>
      </c>
      <c r="G271" s="301"/>
      <c r="H271" s="1115"/>
      <c r="I271" s="296">
        <f>I114</f>
        <v>5</v>
      </c>
      <c r="J271" s="245">
        <f>IF(C258="нет",0,IF(ОЛ_ЕМКОСТИ!I74="нет",0,IF(ISBLANK(D271),"",IF(H271="",I271,H271))))</f>
        <v>0</v>
      </c>
      <c r="K271" s="246" t="s">
        <v>163</v>
      </c>
      <c r="L271" s="801"/>
      <c r="M271" s="247">
        <f>IFERROR(IF(L271&lt;&gt;"","",VLOOKUP(C271&amp;D271&amp;K271,НН!A:J,10,)),"")</f>
        <v>1201</v>
      </c>
      <c r="N271" s="1109">
        <f t="shared" si="39"/>
        <v>0</v>
      </c>
      <c r="O271" s="167"/>
      <c r="P271" s="168"/>
    </row>
    <row r="272" spans="2:16" ht="18.75" customHeight="1">
      <c r="B272" s="179"/>
      <c r="C272" s="208" t="s">
        <v>64</v>
      </c>
      <c r="D272" s="180" t="s">
        <v>978</v>
      </c>
      <c r="E272" s="216"/>
      <c r="F272" s="212" t="str">
        <f t="array" ref="F272">IF(C272="","",IF(OR(C272=Списки!$AG$15:$AG$17),"нет","да"))</f>
        <v>да</v>
      </c>
      <c r="G272" s="204"/>
      <c r="H272" s="966"/>
      <c r="I272" s="193">
        <v>1</v>
      </c>
      <c r="J272" s="186">
        <f>IF(C258="нет",0,IF(ISBLANK(D272),"",IF(H272="",I272,H272)))</f>
        <v>1</v>
      </c>
      <c r="K272" s="178" t="s">
        <v>129</v>
      </c>
      <c r="L272" s="801"/>
      <c r="M272" s="247">
        <f>IFERROR(IF(L272&lt;&gt;"","",VLOOKUP(C272&amp;D272&amp;K272,НН!A:J,10,)),"")</f>
        <v>30000</v>
      </c>
      <c r="N272" s="1109">
        <f t="shared" si="39"/>
        <v>30000</v>
      </c>
      <c r="O272" s="167"/>
      <c r="P272" s="168"/>
    </row>
    <row r="273" spans="2:16" ht="16.5" customHeight="1">
      <c r="B273" s="179"/>
      <c r="C273" s="208" t="s">
        <v>64</v>
      </c>
      <c r="D273" s="180" t="s">
        <v>2139</v>
      </c>
      <c r="E273" s="216"/>
      <c r="F273" s="212" t="str">
        <f t="array" ref="F273">IF(C273="","",IF(OR(C273=Списки!$AG$15:$AG$17),"нет","да"))</f>
        <v>да</v>
      </c>
      <c r="G273" s="204"/>
      <c r="H273" s="966"/>
      <c r="I273" s="193">
        <v>1</v>
      </c>
      <c r="J273" s="186">
        <f>IF(C258="нет",0,IF(ISBLANK(D273),"",IF(H273="",I273,H273)))</f>
        <v>1</v>
      </c>
      <c r="K273" s="178" t="s">
        <v>129</v>
      </c>
      <c r="L273" s="801"/>
      <c r="M273" s="247">
        <f>IFERROR(IF(L273&lt;&gt;"","",VLOOKUP(C273&amp;D273&amp;K273,НН!A:J,10,)),"")</f>
        <v>2000</v>
      </c>
      <c r="N273" s="1109">
        <f t="shared" si="39"/>
        <v>2000</v>
      </c>
      <c r="O273" s="167"/>
      <c r="P273" s="168"/>
    </row>
    <row r="274" spans="2:16" ht="16.5" customHeight="1">
      <c r="B274" s="957"/>
      <c r="C274" s="208"/>
      <c r="D274" s="180"/>
      <c r="E274" s="216"/>
      <c r="F274" s="215"/>
      <c r="G274" s="216"/>
      <c r="H274" s="1220"/>
      <c r="I274" s="218"/>
      <c r="J274" s="219"/>
      <c r="K274" s="220"/>
      <c r="L274" s="1216"/>
      <c r="M274" s="1217"/>
      <c r="N274" s="1477"/>
      <c r="O274" s="167"/>
      <c r="P274" s="168"/>
    </row>
    <row r="275" spans="2:16" ht="15">
      <c r="B275" s="169" t="s">
        <v>2203</v>
      </c>
      <c r="C275" s="170"/>
      <c r="D275" s="291" t="s">
        <v>495</v>
      </c>
      <c r="E275" s="292"/>
      <c r="F275" s="293" t="str">
        <f t="array" ref="F275">IF(ISBLANK(C275),"",IF(OR(C275=Списки!$AG$15:$AG$17),"нет","да"))</f>
        <v/>
      </c>
      <c r="G275" s="710"/>
      <c r="H275" s="230"/>
      <c r="I275" s="230"/>
      <c r="J275" s="230"/>
      <c r="K275" s="440"/>
      <c r="L275" s="255"/>
      <c r="M275" s="256"/>
      <c r="N275" s="356"/>
      <c r="O275" s="167"/>
      <c r="P275" s="168"/>
    </row>
    <row r="276" spans="2:16" ht="15">
      <c r="B276" s="179"/>
      <c r="C276" s="180" t="s">
        <v>72</v>
      </c>
      <c r="D276" s="180" t="s">
        <v>496</v>
      </c>
      <c r="E276" s="504">
        <f>J260</f>
        <v>1</v>
      </c>
      <c r="F276" s="212" t="str">
        <f t="array" ref="F276">IF(C276="","",IF(OR(C276=Списки!$AG$15:$AG$17),"нет","да"))</f>
        <v>нет</v>
      </c>
      <c r="G276" s="204"/>
      <c r="H276" s="966"/>
      <c r="I276" s="193">
        <f>1*E276</f>
        <v>1</v>
      </c>
      <c r="J276" s="194">
        <f>IF(C258="нет",0,ROUNDUP(IF(ISBLANK(D276),"",IF(H276="",I276,H276)),1))</f>
        <v>1</v>
      </c>
      <c r="K276" s="178" t="s">
        <v>212</v>
      </c>
      <c r="L276" s="801"/>
      <c r="M276" s="247">
        <f>IFERROR(IF(L276&lt;&gt;"","",VLOOKUP(C276&amp;D276&amp;K276,НН!A:J,10,)),"")</f>
        <v>1207.8</v>
      </c>
      <c r="N276" s="1109">
        <f t="shared" ref="N276" si="40">IFERROR(IF(L276="",M276*J276,J276*L276),"")</f>
        <v>1207.8</v>
      </c>
      <c r="O276" s="167"/>
      <c r="P276" s="168"/>
    </row>
    <row r="277" spans="2:16" ht="15">
      <c r="B277" s="179"/>
      <c r="C277" s="180" t="s">
        <v>72</v>
      </c>
      <c r="D277" s="180" t="s">
        <v>749</v>
      </c>
      <c r="E277" s="504">
        <f>J261</f>
        <v>6</v>
      </c>
      <c r="F277" s="212" t="str">
        <f t="array" ref="F277">IF(C277="","",IF(OR(C277=Списки!$AG$15:$AG$17),"нет","да"))</f>
        <v>нет</v>
      </c>
      <c r="G277" s="204"/>
      <c r="H277" s="966"/>
      <c r="I277" s="193">
        <f>1*E277</f>
        <v>6</v>
      </c>
      <c r="J277" s="194">
        <f>IF(C258="нет",0,ROUNDUP(IF(ISBLANK(D277),"",IF(H277="",I277,H277)),1))</f>
        <v>6</v>
      </c>
      <c r="K277" s="178" t="s">
        <v>212</v>
      </c>
      <c r="L277" s="801"/>
      <c r="M277" s="247">
        <f>IFERROR(IF(L277&lt;&gt;"","",VLOOKUP(C277&amp;D277&amp;K277,НН!A:J,10,)),"")</f>
        <v>1207.8</v>
      </c>
      <c r="N277" s="1109">
        <f t="shared" ref="N277:N284" si="41">IFERROR(IF(L277="",M277*J277,J277*L277),"")</f>
        <v>7246.7999999999993</v>
      </c>
      <c r="O277" s="167"/>
      <c r="P277" s="168"/>
    </row>
    <row r="278" spans="2:16" ht="15">
      <c r="B278" s="179"/>
      <c r="C278" s="180" t="s">
        <v>72</v>
      </c>
      <c r="D278" s="180" t="s">
        <v>498</v>
      </c>
      <c r="E278" s="504">
        <f>J263</f>
        <v>2</v>
      </c>
      <c r="F278" s="212" t="str">
        <f t="array" ref="F278">IF(C278="","",IF(OR(C278=Списки!$AG$15:$AG$17),"нет","да"))</f>
        <v>нет</v>
      </c>
      <c r="G278" s="204"/>
      <c r="H278" s="966"/>
      <c r="I278" s="193">
        <f>1*E278</f>
        <v>2</v>
      </c>
      <c r="J278" s="194">
        <f>IF(C258="нет",0,ROUNDUP(IF(ISBLANK(D278),"",IF(H278="",I278,H278)),1))</f>
        <v>2</v>
      </c>
      <c r="K278" s="178" t="s">
        <v>212</v>
      </c>
      <c r="L278" s="801"/>
      <c r="M278" s="247">
        <f>IFERROR(IF(L278&lt;&gt;"","",VLOOKUP(C278&amp;D278&amp;K278,НН!A:J,10,)),"")</f>
        <v>1207.8</v>
      </c>
      <c r="N278" s="1109">
        <f t="shared" si="41"/>
        <v>2415.6</v>
      </c>
      <c r="O278" s="167"/>
      <c r="P278" s="168"/>
    </row>
    <row r="279" spans="2:16" ht="15">
      <c r="B279" s="179"/>
      <c r="C279" s="180" t="s">
        <v>72</v>
      </c>
      <c r="D279" s="180" t="s">
        <v>965</v>
      </c>
      <c r="E279" s="504">
        <f>J264</f>
        <v>2</v>
      </c>
      <c r="F279" s="212" t="str">
        <f t="array" ref="F279">IF(C279="","",IF(OR(C279=Списки!$AG$15:$AG$17),"нет","да"))</f>
        <v>нет</v>
      </c>
      <c r="G279" s="204"/>
      <c r="H279" s="966"/>
      <c r="I279" s="193">
        <f>2*E279</f>
        <v>4</v>
      </c>
      <c r="J279" s="194">
        <f>IF(C258="нет",0,ROUNDUP(IF(ISBLANK(D279),"",IF(H279="",I279,H279)),1))</f>
        <v>4</v>
      </c>
      <c r="K279" s="178" t="s">
        <v>212</v>
      </c>
      <c r="L279" s="801"/>
      <c r="M279" s="247">
        <f>IFERROR(IF(L279&lt;&gt;"","",VLOOKUP(C279&amp;D279&amp;K279,НН!A:J,10,)),"")</f>
        <v>1207.8</v>
      </c>
      <c r="N279" s="1109">
        <f t="shared" si="41"/>
        <v>4831.2</v>
      </c>
      <c r="O279" s="167"/>
      <c r="P279" s="168"/>
    </row>
    <row r="280" spans="2:16" ht="15">
      <c r="B280" s="179"/>
      <c r="C280" s="180" t="s">
        <v>72</v>
      </c>
      <c r="D280" s="180" t="s">
        <v>752</v>
      </c>
      <c r="E280" s="504">
        <f>J264</f>
        <v>2</v>
      </c>
      <c r="F280" s="212" t="str">
        <f t="array" ref="F280">IF(C280="","",IF(OR(C280=Списки!$AG$15:$AG$17),"нет","да"))</f>
        <v>нет</v>
      </c>
      <c r="G280" s="204"/>
      <c r="H280" s="966"/>
      <c r="I280" s="193">
        <f>3*E280</f>
        <v>6</v>
      </c>
      <c r="J280" s="194">
        <f>IF(C258="нет",0,ROUNDUP(IF(ISBLANK(D280),"",IF(H280="",I280,H280)),1))</f>
        <v>6</v>
      </c>
      <c r="K280" s="178" t="s">
        <v>212</v>
      </c>
      <c r="L280" s="801"/>
      <c r="M280" s="247">
        <f>IFERROR(IF(L280&lt;&gt;"","",VLOOKUP(C280&amp;D280&amp;K280,НН!A:J,10,)),"")</f>
        <v>1207.8</v>
      </c>
      <c r="N280" s="1109">
        <f t="shared" si="41"/>
        <v>7246.7999999999993</v>
      </c>
      <c r="O280" s="167"/>
      <c r="P280" s="168"/>
    </row>
    <row r="281" spans="2:16" ht="15">
      <c r="B281" s="179"/>
      <c r="C281" s="180" t="s">
        <v>72</v>
      </c>
      <c r="D281" s="180" t="s">
        <v>754</v>
      </c>
      <c r="E281" s="504">
        <f>J265</f>
        <v>4</v>
      </c>
      <c r="F281" s="212" t="str">
        <f t="array" ref="F281">IF(C281="","",IF(OR(C281=Списки!$AG$15:$AG$17),"нет","да"))</f>
        <v>нет</v>
      </c>
      <c r="G281" s="204"/>
      <c r="H281" s="966"/>
      <c r="I281" s="193">
        <f>1*E281</f>
        <v>4</v>
      </c>
      <c r="J281" s="194">
        <f>IF(C258="нет",0,ROUNDUP(IF(ISBLANK(D281),"",IF(H281="",I281,H281)),1))</f>
        <v>4</v>
      </c>
      <c r="K281" s="178" t="s">
        <v>212</v>
      </c>
      <c r="L281" s="801"/>
      <c r="M281" s="247">
        <f>IFERROR(IF(L281&lt;&gt;"","",VLOOKUP(C281&amp;D281&amp;K281,НН!A:J,10,)),"")</f>
        <v>1207.8</v>
      </c>
      <c r="N281" s="1109">
        <f t="shared" si="41"/>
        <v>4831.2</v>
      </c>
      <c r="O281" s="167"/>
      <c r="P281" s="168"/>
    </row>
    <row r="282" spans="2:16" ht="15">
      <c r="B282" s="179"/>
      <c r="C282" s="180" t="s">
        <v>72</v>
      </c>
      <c r="D282" s="180" t="s">
        <v>756</v>
      </c>
      <c r="E282" s="803">
        <f>J266+J267</f>
        <v>2</v>
      </c>
      <c r="F282" s="212" t="str">
        <f t="array" ref="F282">IF(C282="","",IF(OR(C282=Списки!$AG$15:$AG$17),"нет","да"))</f>
        <v>нет</v>
      </c>
      <c r="G282" s="204"/>
      <c r="H282" s="966"/>
      <c r="I282" s="193">
        <f>1*E282</f>
        <v>2</v>
      </c>
      <c r="J282" s="194">
        <f>IF(C258="нет",0,ROUNDUP(IF(ISBLANK(D282),"",IF(H282="",I282,H282)),1))</f>
        <v>2</v>
      </c>
      <c r="K282" s="178" t="s">
        <v>212</v>
      </c>
      <c r="L282" s="801"/>
      <c r="M282" s="247">
        <f>IFERROR(IF(L282&lt;&gt;"","",VLOOKUP(C282&amp;D282&amp;K282,НН!A:J,10,)),"")</f>
        <v>1207.8</v>
      </c>
      <c r="N282" s="1109">
        <f t="shared" si="41"/>
        <v>2415.6</v>
      </c>
      <c r="O282" s="167"/>
      <c r="P282" s="168"/>
    </row>
    <row r="283" spans="2:16" ht="15">
      <c r="B283" s="179"/>
      <c r="C283" s="180" t="s">
        <v>72</v>
      </c>
      <c r="D283" s="180" t="s">
        <v>2043</v>
      </c>
      <c r="E283" s="803">
        <f>J268</f>
        <v>0</v>
      </c>
      <c r="F283" s="212" t="str">
        <f t="array" ref="F283">IF(C283="","",IF(OR(C283=Списки!$AG$15:$AG$17),"нет","да"))</f>
        <v>нет</v>
      </c>
      <c r="G283" s="204"/>
      <c r="H283" s="966"/>
      <c r="I283" s="193">
        <f>1*E283</f>
        <v>0</v>
      </c>
      <c r="J283" s="194">
        <f>IF(C258="нет",0,ROUNDUP(IF(ISBLANK(D283),"",IF(H283="",I283,H283)),1))</f>
        <v>0</v>
      </c>
      <c r="K283" s="178" t="s">
        <v>212</v>
      </c>
      <c r="L283" s="801"/>
      <c r="M283" s="247">
        <f>IFERROR(IF(L283&lt;&gt;"","",VLOOKUP(C283&amp;D283&amp;K283,НН!A:J,10,)),"")</f>
        <v>1207.8</v>
      </c>
      <c r="N283" s="1109">
        <f t="shared" si="41"/>
        <v>0</v>
      </c>
      <c r="O283" s="167"/>
      <c r="P283" s="168"/>
    </row>
    <row r="284" spans="2:16" ht="15">
      <c r="B284" s="179"/>
      <c r="C284" s="180" t="s">
        <v>72</v>
      </c>
      <c r="D284" s="180" t="s">
        <v>969</v>
      </c>
      <c r="E284" s="803">
        <f>J270</f>
        <v>1</v>
      </c>
      <c r="F284" s="212" t="str">
        <f t="array" ref="F284">IF(C284="","",IF(OR(C284=Списки!$AG$15:$AG$17),"нет","да"))</f>
        <v>нет</v>
      </c>
      <c r="G284" s="204"/>
      <c r="H284" s="966"/>
      <c r="I284" s="193">
        <f>6*J270</f>
        <v>6</v>
      </c>
      <c r="J284" s="194">
        <f>IF(C258="нет",0,ROUNDUP(IF(ISBLANK(D284),"",IF(H284="",I284,H284)),1))</f>
        <v>6</v>
      </c>
      <c r="K284" s="178" t="s">
        <v>212</v>
      </c>
      <c r="L284" s="801"/>
      <c r="M284" s="247">
        <f>IFERROR(IF(L284&lt;&gt;"","",VLOOKUP(C284&amp;D284&amp;K284,НН!A:J,10,)),"")</f>
        <v>1207.8</v>
      </c>
      <c r="N284" s="1109">
        <f t="shared" si="41"/>
        <v>7246.7999999999993</v>
      </c>
      <c r="O284" s="167"/>
      <c r="P284" s="168"/>
    </row>
    <row r="285" spans="2:16" ht="15">
      <c r="B285" s="179"/>
      <c r="C285" s="306"/>
      <c r="D285" s="307" t="s">
        <v>377</v>
      </c>
      <c r="E285" s="362"/>
      <c r="F285" s="309"/>
      <c r="G285" s="310"/>
      <c r="H285" s="311"/>
      <c r="I285" s="363"/>
      <c r="J285" s="364"/>
      <c r="K285" s="314"/>
      <c r="L285" s="315"/>
      <c r="M285" s="316"/>
      <c r="N285" s="317"/>
      <c r="O285" s="365"/>
      <c r="P285" s="298"/>
    </row>
    <row r="286" spans="2:16" ht="18">
      <c r="B286" s="179"/>
      <c r="C286" s="506"/>
      <c r="D286" s="332"/>
      <c r="E286" s="405" t="s">
        <v>500</v>
      </c>
      <c r="F286" s="332"/>
      <c r="G286" s="407">
        <f>SUM(G275:G285)</f>
        <v>0</v>
      </c>
      <c r="H286" s="332"/>
      <c r="I286" s="332"/>
      <c r="J286" s="408"/>
      <c r="K286" s="503"/>
      <c r="L286" s="409"/>
      <c r="M286" s="501"/>
      <c r="N286" s="509">
        <f>SUM(N260:N285)</f>
        <v>1169446.8000000003</v>
      </c>
      <c r="O286" s="711">
        <f>N287+N288</f>
        <v>1169446.8</v>
      </c>
      <c r="P286" s="712"/>
    </row>
    <row r="287" spans="2:16" ht="15.75">
      <c r="B287" s="179"/>
      <c r="C287" s="506"/>
      <c r="D287" s="332"/>
      <c r="E287" s="333" t="s">
        <v>379</v>
      </c>
      <c r="F287" s="336"/>
      <c r="G287" s="713"/>
      <c r="H287" s="336"/>
      <c r="I287" s="336"/>
      <c r="J287" s="511"/>
      <c r="K287" s="512"/>
      <c r="L287" s="713"/>
      <c r="M287" s="714"/>
      <c r="N287" s="715" cm="1">
        <f t="array" ref="N287">SUM(SUMIF(C260:C285,Списки!$AG$2:$AG$14,N260:N285))</f>
        <v>1132005</v>
      </c>
      <c r="P287" s="331"/>
    </row>
    <row r="288" spans="2:16" ht="15.75">
      <c r="B288" s="179"/>
      <c r="C288" s="513"/>
      <c r="D288" s="342"/>
      <c r="E288" s="343" t="s">
        <v>382</v>
      </c>
      <c r="F288" s="346"/>
      <c r="G288" s="716"/>
      <c r="H288" s="346"/>
      <c r="I288" s="346"/>
      <c r="J288" s="514">
        <f>ROUNDUP(SUMIFS($J$275:$J$285,$K$275:$K$285,Списки!$S$5)-SUMIFS($J$275:$J$285,$K$275:$K$285,Списки!$S$5,$D$275:$D$285,"*изготов*"),1)</f>
        <v>31</v>
      </c>
      <c r="K288" s="515" t="s">
        <v>212</v>
      </c>
      <c r="L288" s="716"/>
      <c r="M288" s="717"/>
      <c r="N288" s="718">
        <f>SUMIF($K$260:$K$285,Списки!$S$5,$N$260:$N$285)-SUMIFS($N$260:$N$285,$K$260:$K$285,Списки!$S$5,$D$260:$D$285,"*изготов*")</f>
        <v>37441.799999999996</v>
      </c>
      <c r="O288" s="329"/>
      <c r="P288" s="331"/>
    </row>
    <row r="289" spans="2:16" ht="15.75">
      <c r="B289" s="179"/>
      <c r="C289" s="513"/>
      <c r="D289" s="342"/>
      <c r="E289" s="343" t="s">
        <v>383</v>
      </c>
      <c r="F289" s="346"/>
      <c r="G289" s="345"/>
      <c r="H289" s="346"/>
      <c r="I289" s="346"/>
      <c r="J289" s="514">
        <f>ROUNDUP(SUMIFS($J$275:$J$285,$K$275:$K$285,Списки!$S$5,$D$275:$D$285,"*изготов*"),1)</f>
        <v>0</v>
      </c>
      <c r="K289" s="515" t="s">
        <v>212</v>
      </c>
      <c r="L289" s="345"/>
      <c r="M289" s="719"/>
      <c r="N289" s="516">
        <f>SUMIFS($N$260:$N$285,$K$260:$K$285,Списки!$S$5,$D$260:$D$285,"*изготов*")</f>
        <v>0</v>
      </c>
      <c r="O289" s="379"/>
      <c r="P289" s="331"/>
    </row>
    <row r="290" spans="2:16" ht="11.25" customHeight="1" thickBot="1">
      <c r="B290" s="318"/>
      <c r="C290" s="519"/>
      <c r="D290" s="520"/>
      <c r="E290" s="521"/>
      <c r="F290" s="522"/>
      <c r="G290" s="523"/>
      <c r="H290" s="522"/>
      <c r="I290" s="522"/>
      <c r="J290" s="524"/>
      <c r="K290" s="525"/>
      <c r="L290" s="523"/>
      <c r="M290" s="523"/>
      <c r="N290" s="720"/>
      <c r="O290" s="526"/>
      <c r="P290" s="331"/>
    </row>
    <row r="291" spans="2:16" ht="9.6" customHeight="1">
      <c r="B291" s="318"/>
      <c r="C291" s="527"/>
      <c r="D291" s="528"/>
      <c r="E291" s="529"/>
      <c r="F291" s="530"/>
      <c r="G291" s="531"/>
      <c r="H291" s="530"/>
      <c r="I291" s="530"/>
      <c r="J291" s="532"/>
      <c r="K291" s="533"/>
      <c r="L291" s="531"/>
      <c r="M291" s="721"/>
      <c r="N291" s="534"/>
      <c r="O291" s="535"/>
      <c r="P291" s="536"/>
    </row>
    <row r="292" spans="2:16" ht="15.75">
      <c r="B292" s="318"/>
      <c r="C292" s="537"/>
      <c r="D292" s="538"/>
      <c r="E292" s="539" t="s">
        <v>501</v>
      </c>
      <c r="F292" s="538"/>
      <c r="G292" s="540"/>
      <c r="H292" s="538"/>
      <c r="I292" s="538"/>
      <c r="J292" s="541">
        <f>ROUNDUP(SUMIF($E$13:$E$290,"в т.ч. Работы участка фитингов, ФОТ:",$J$13:$J$290),1)</f>
        <v>542.4</v>
      </c>
      <c r="K292" s="542" t="s">
        <v>212</v>
      </c>
      <c r="L292" s="543"/>
      <c r="M292" s="582"/>
      <c r="N292" s="544">
        <f>SUMIF($E$14:$E$290,"в т.ч. Работы участка фитингов, ФОТ:",$N$14:$N$290)</f>
        <v>653661.36</v>
      </c>
      <c r="O292" s="722"/>
      <c r="P292" s="546"/>
    </row>
    <row r="293" spans="2:16" ht="15.75">
      <c r="B293" s="318"/>
      <c r="C293" s="537"/>
      <c r="D293" s="538"/>
      <c r="E293" s="539" t="s">
        <v>502</v>
      </c>
      <c r="F293" s="538"/>
      <c r="G293" s="540"/>
      <c r="H293" s="538"/>
      <c r="I293" s="538"/>
      <c r="J293" s="541">
        <f>ROUNDUP(SUMIF($E$13:$E$313,"в т.ч. Работы участка РМУ, ФОТ:",$J$13:$J$313),1)</f>
        <v>70.900000000000006</v>
      </c>
      <c r="K293" s="542" t="s">
        <v>212</v>
      </c>
      <c r="L293" s="543"/>
      <c r="M293" s="582"/>
      <c r="N293" s="544">
        <f>SUMIF($E$14:$E$290,"в т.ч. Работы участка РМУ, ФОТ:",$N$14:$N$290)</f>
        <v>78023.88</v>
      </c>
      <c r="O293" s="722"/>
      <c r="P293" s="546"/>
    </row>
    <row r="294" spans="2:16" ht="15.75">
      <c r="B294" s="318"/>
      <c r="C294" s="537"/>
      <c r="D294" s="538"/>
      <c r="E294" s="539" t="s">
        <v>503</v>
      </c>
      <c r="F294" s="538"/>
      <c r="G294" s="540"/>
      <c r="H294" s="538"/>
      <c r="I294" s="538"/>
      <c r="J294" s="541">
        <f>ROUNDUP(SUMIF($E$13:$E$290,"в т.ч. Работы участка фитингов, ФОТ:",$J$13:$J$290)/11,1)</f>
        <v>49.4</v>
      </c>
      <c r="K294" s="542" t="s">
        <v>212</v>
      </c>
      <c r="L294" s="962">
        <v>1207.8</v>
      </c>
      <c r="M294" s="582"/>
      <c r="N294" s="544">
        <f>J294*L294</f>
        <v>59665.319999999992</v>
      </c>
      <c r="O294" s="722"/>
      <c r="P294" s="546"/>
    </row>
    <row r="295" spans="2:16" ht="15.75">
      <c r="B295" s="318"/>
      <c r="C295" s="537"/>
      <c r="D295" s="538"/>
      <c r="E295" s="547" t="s">
        <v>504</v>
      </c>
      <c r="F295" s="538"/>
      <c r="G295" s="540"/>
      <c r="H295" s="538"/>
      <c r="I295" s="538"/>
      <c r="J295" s="549"/>
      <c r="K295" s="549"/>
      <c r="L295" s="963"/>
      <c r="M295" s="548"/>
      <c r="N295" s="544"/>
      <c r="O295" s="535"/>
      <c r="P295" s="546"/>
    </row>
    <row r="296" spans="2:16" ht="18">
      <c r="B296" s="318"/>
      <c r="C296" s="537"/>
      <c r="D296" s="538"/>
      <c r="E296" s="550" t="s">
        <v>505</v>
      </c>
      <c r="F296" s="538"/>
      <c r="G296" s="540"/>
      <c r="H296" s="538"/>
      <c r="I296" s="538"/>
      <c r="J296" s="551">
        <f>IF($N$8&lt;2,ROUNDUP(K303*0.05,1),ROUNDUP(K303*0.05,1)/$N$8)</f>
        <v>29.5</v>
      </c>
      <c r="K296" s="552" t="s">
        <v>193</v>
      </c>
      <c r="L296" s="964">
        <v>109.4</v>
      </c>
      <c r="M296" s="577"/>
      <c r="N296" s="723">
        <f t="shared" ref="N296:N298" si="42">J296*L296</f>
        <v>3227.3</v>
      </c>
      <c r="O296" s="724"/>
      <c r="P296" s="546"/>
    </row>
    <row r="297" spans="2:16" ht="15.75">
      <c r="B297" s="318"/>
      <c r="C297" s="537"/>
      <c r="D297" s="538"/>
      <c r="E297" s="550" t="s">
        <v>506</v>
      </c>
      <c r="F297" s="538"/>
      <c r="G297" s="540"/>
      <c r="H297" s="538"/>
      <c r="I297" s="538"/>
      <c r="J297" s="554">
        <f>ROUNDUP(J292+J294,)</f>
        <v>592</v>
      </c>
      <c r="K297" s="552" t="s">
        <v>507</v>
      </c>
      <c r="L297" s="964">
        <v>122</v>
      </c>
      <c r="M297" s="577"/>
      <c r="N297" s="544">
        <f t="shared" si="42"/>
        <v>72224</v>
      </c>
      <c r="O297" s="555"/>
      <c r="P297" s="556"/>
    </row>
    <row r="298" spans="2:16" ht="15.75">
      <c r="C298" s="537"/>
      <c r="D298" s="538"/>
      <c r="E298" s="550" t="s">
        <v>508</v>
      </c>
      <c r="F298" s="538"/>
      <c r="G298" s="540"/>
      <c r="H298" s="538"/>
      <c r="I298" s="538"/>
      <c r="J298" s="557">
        <f>ROUNDUP(J292+J294,1)</f>
        <v>591.79999999999995</v>
      </c>
      <c r="K298" s="552" t="s">
        <v>212</v>
      </c>
      <c r="L298" s="1008">
        <v>1584.73</v>
      </c>
      <c r="M298" s="553"/>
      <c r="N298" s="544">
        <f t="shared" si="42"/>
        <v>937843.21399999992</v>
      </c>
      <c r="O298" s="558"/>
    </row>
    <row r="299" spans="2:16" ht="15.75">
      <c r="C299" s="537"/>
      <c r="D299" s="538"/>
      <c r="E299" s="550"/>
      <c r="F299" s="538"/>
      <c r="G299" s="725" t="str">
        <f>IF($N$8&lt;2,"","за 1 корп:")</f>
        <v/>
      </c>
      <c r="H299" s="561" t="str">
        <f>IF($N$8&lt;2,"","за "&amp;$N$8&amp;" корп:")</f>
        <v/>
      </c>
      <c r="I299" s="565"/>
      <c r="J299" s="725" t="str">
        <f>IF($N$8&lt;2,"","за 1 корп:")</f>
        <v/>
      </c>
      <c r="K299" s="561" t="str">
        <f>IF($N$8&lt;2,"","за "&amp;$N$8&amp;" корп:")</f>
        <v/>
      </c>
      <c r="L299" s="726"/>
      <c r="M299" s="725" t="str">
        <f>IF($N$8&lt;2,"","за 1 корп:")</f>
        <v/>
      </c>
      <c r="N299" s="561" t="str">
        <f>IF($N$8&lt;2,"","за "&amp;$N$8&amp;" корп:")</f>
        <v/>
      </c>
      <c r="O299" s="555"/>
    </row>
    <row r="300" spans="2:16" ht="18">
      <c r="C300" s="537"/>
      <c r="D300" s="538"/>
      <c r="E300" s="562" t="s">
        <v>509</v>
      </c>
      <c r="F300" s="538"/>
      <c r="G300" s="727" t="str">
        <f>IF($N$8&lt;2,"",G286+G254+G237+G217+G203+G125+G88)</f>
        <v/>
      </c>
      <c r="H300" s="728">
        <f>IF($N$8&lt;2,G286+G254+G237+G217+G203+G125+G88,(G286+G254+G237+G217+G203+G125+G88)*$N$8)</f>
        <v>14497.119085714288</v>
      </c>
      <c r="I300" s="565"/>
      <c r="J300" s="566"/>
      <c r="K300" s="567"/>
      <c r="L300" s="568"/>
      <c r="M300" s="568" t="str">
        <f>IF($N$8&lt;2,"",M305+M302+M303+M306+M304)</f>
        <v/>
      </c>
      <c r="N300" s="570">
        <f>N305+N302+N303+N306+N304</f>
        <v>3971555.6366864312</v>
      </c>
      <c r="O300" s="558">
        <f ca="1">SUMIF(E13:E290,"Итого:*",N13:N290)+SUM(N296:N298)+N294</f>
        <v>3971555.6366864312</v>
      </c>
    </row>
    <row r="301" spans="2:16" ht="18">
      <c r="C301" s="537"/>
      <c r="D301" s="538"/>
      <c r="E301" s="571" t="s">
        <v>510</v>
      </c>
      <c r="F301" s="572"/>
      <c r="G301" s="573"/>
      <c r="H301" s="574"/>
      <c r="I301" s="574"/>
      <c r="J301" s="575"/>
      <c r="K301" s="576"/>
      <c r="L301" s="577"/>
      <c r="M301" s="577"/>
      <c r="N301" s="578"/>
      <c r="O301" s="535"/>
    </row>
    <row r="302" spans="2:16" ht="15.75">
      <c r="C302" s="537"/>
      <c r="D302" s="538"/>
      <c r="E302" s="579" t="s">
        <v>511</v>
      </c>
      <c r="F302" s="572"/>
      <c r="G302" s="573"/>
      <c r="H302" s="574"/>
      <c r="I302" s="574"/>
      <c r="J302" s="580"/>
      <c r="K302" s="581"/>
      <c r="L302" s="582"/>
      <c r="M302" s="583" t="str">
        <f>IF($N$8&lt;2,"",SUMIF($E$13:$E$290,"в т.ч. Труба, муфта:",$N$13:$N$290))</f>
        <v/>
      </c>
      <c r="N302" s="584">
        <f>IF($N$8&lt;2,SUMIF($E$13:$E$290,"в т.ч. Труба, муфта:",$N$13:$N$290),SUMIF($E$13:$E$290,"в т.ч. Труба, муфта:",$N$13:$N$290)*$N$8)</f>
        <v>23.4</v>
      </c>
      <c r="O302" s="535"/>
    </row>
    <row r="303" spans="2:16" ht="15.75">
      <c r="C303" s="537"/>
      <c r="D303" s="538"/>
      <c r="E303" s="579" t="s">
        <v>512</v>
      </c>
      <c r="F303" s="572"/>
      <c r="G303" s="573"/>
      <c r="H303" s="574"/>
      <c r="I303" s="574"/>
      <c r="J303" s="585" t="str">
        <f>IF($N$8&lt;2,"",SUMIF($E$14:$E$290,"в т.ч. Формовка:",$J$14:$J$290))</f>
        <v/>
      </c>
      <c r="K303" s="586">
        <f>IF($N$8&lt;2,SUMIF($E$14:$E$290,"в т.ч. Формовка:",$J$14:$J$290),$N$8*(SUMIF($E$14:$E$290,"в т.ч. Формовка:",$J$14:$J$290)))</f>
        <v>589.56388637834164</v>
      </c>
      <c r="L303" s="582"/>
      <c r="M303" s="583" t="str">
        <f>IF($N$8&lt;2,"",SUMIF($E$13:$E$290,"в т.ч. Формовка:",$N$13:$N$290))</f>
        <v/>
      </c>
      <c r="N303" s="584">
        <f>IF($N$8&lt;2,SUMIF($E$13:$E$290,"в т.ч. Формовка:",$N$13:$N$290),SUMIF($E$13:$E$290,"в т.ч. Формовка:",$N$13:$N$290)*$N$8)</f>
        <v>139884.64230703682</v>
      </c>
      <c r="O303" s="535"/>
    </row>
    <row r="304" spans="2:16" ht="15.75">
      <c r="C304" s="537"/>
      <c r="D304" s="538"/>
      <c r="E304" s="587" t="s">
        <v>513</v>
      </c>
      <c r="F304" s="572"/>
      <c r="G304" s="573"/>
      <c r="H304" s="574"/>
      <c r="I304" s="574"/>
      <c r="J304" s="729" t="str">
        <f>IFERROR(ROUNDUP(IF($N$8&lt;2,"",SUMIF($E$14:$E$290,"в т.ч. Работы участка фитингов, ФОТ:",$J$14:$J$290)+SUMIF($E$14:$E$290,"в т.ч. Работы участка РМУ, ФОТ:",$J$14:$J$290)+#REF!+J294),1),"")</f>
        <v/>
      </c>
      <c r="K304" s="730">
        <f>ROUNDUP(IF($N$8&lt;2,SUMIF($E$14:$E$290,"в т.ч. Работы участка фитингов, ФОТ:",$J$14:$J$290)+SUMIF($E$14:$E$290,"в т.ч. Работы участка РМУ, ФОТ:",$J$14:$J$290)+J294,$N$8*(SUMIF($E$14:$E$290,"в т.ч. Работы участка фитингов, ФОТ:",$J$14:$J$290)+SUMIF($E$14:$E$290,"в т.ч. Работы участка РМУ, ФОТ:",$J$14:$J$290)+J294)),1)</f>
        <v>662.7</v>
      </c>
      <c r="L304" s="582"/>
      <c r="M304" s="583" t="str">
        <f>IF($N$8&lt;2,"",N292+N294+N293)</f>
        <v/>
      </c>
      <c r="N304" s="584">
        <f>IF($N$8&lt;2,N292+N294+N293,(N292+N294+N293)*$N$8)</f>
        <v>791350.55999999994</v>
      </c>
      <c r="O304" s="558"/>
    </row>
    <row r="305" spans="3:15" ht="15.75">
      <c r="C305" s="537"/>
      <c r="D305" s="538"/>
      <c r="E305" s="579" t="s">
        <v>514</v>
      </c>
      <c r="F305" s="572"/>
      <c r="G305" s="573"/>
      <c r="H305" s="574"/>
      <c r="I305" s="574"/>
      <c r="J305" s="580"/>
      <c r="K305" s="581"/>
      <c r="L305" s="582"/>
      <c r="M305" s="583" t="str">
        <f>IF($N$8&lt;2,"",SUMIF($E$13:$E$290,"в т.ч. Материалы на закупку:",$N$13:$N$290))</f>
        <v/>
      </c>
      <c r="N305" s="584">
        <f>IF($N$8&lt;2,SUMIF($E$13:$E$290,"в т.ч. Материалы на закупку:",$N$13:$N$290),SUMIF($E$13:$E$290,"в т.ч. Материалы на закупку:",$N$13:$N$290)*$N$8)</f>
        <v>2027002.5203793943</v>
      </c>
      <c r="O305" s="558"/>
    </row>
    <row r="306" spans="3:15" ht="15.75">
      <c r="C306" s="537"/>
      <c r="D306" s="538"/>
      <c r="E306" s="579" t="s">
        <v>504</v>
      </c>
      <c r="F306" s="572"/>
      <c r="G306" s="573"/>
      <c r="H306" s="574"/>
      <c r="I306" s="574"/>
      <c r="J306" s="580"/>
      <c r="K306" s="581"/>
      <c r="L306" s="582"/>
      <c r="M306" s="590" t="str">
        <f>IF($N$8&lt;2,"",N296+N297+N298)</f>
        <v/>
      </c>
      <c r="N306" s="584">
        <f>IF($N$8&lt;2,N296+N297+N298,(N296+N297+N298)*$N$8)</f>
        <v>1013294.514</v>
      </c>
      <c r="O306" s="558"/>
    </row>
    <row r="307" spans="3:15" ht="22.5" customHeight="1">
      <c r="C307" s="537"/>
      <c r="D307" s="538"/>
      <c r="E307" s="591" t="s">
        <v>515</v>
      </c>
      <c r="F307" s="528"/>
      <c r="G307" s="592"/>
      <c r="H307" s="528"/>
      <c r="I307" s="528"/>
      <c r="J307" s="528"/>
      <c r="K307" s="528"/>
      <c r="L307" s="528"/>
      <c r="M307" s="593"/>
      <c r="N307" s="594">
        <v>0.43</v>
      </c>
      <c r="O307" s="535"/>
    </row>
    <row r="308" spans="3:15" ht="22.5" customHeight="1">
      <c r="C308" s="537"/>
      <c r="D308" s="538"/>
      <c r="E308" s="595" t="s">
        <v>516</v>
      </c>
      <c r="F308" s="538"/>
      <c r="G308" s="596"/>
      <c r="H308" s="538"/>
      <c r="I308" s="538"/>
      <c r="J308" s="596"/>
      <c r="K308" s="596"/>
      <c r="L308" s="596"/>
      <c r="M308" s="596"/>
      <c r="N308" s="570">
        <f>ROUNDUP(N300*N307+N300,-2)</f>
        <v>5679400</v>
      </c>
      <c r="O308" s="535"/>
    </row>
    <row r="309" spans="3:15" ht="14.45" customHeight="1">
      <c r="C309" s="598"/>
      <c r="D309" s="598"/>
      <c r="E309" s="599" t="s">
        <v>517</v>
      </c>
      <c r="F309" s="598"/>
      <c r="G309" s="600"/>
      <c r="H309" s="598"/>
      <c r="I309" s="598"/>
      <c r="J309" s="600"/>
      <c r="K309" s="600"/>
      <c r="L309" s="600"/>
      <c r="M309" s="600"/>
      <c r="N309" s="602">
        <f>(N308-N300)/N308</f>
        <v>0.30070858951888735</v>
      </c>
      <c r="O309" s="118"/>
    </row>
  </sheetData>
  <sheetProtection deleteRows="0"/>
  <autoFilter ref="B10:Q308" xr:uid="{00000000-0009-0000-0000-000006000000}"/>
  <mergeCells count="24">
    <mergeCell ref="J209:N209"/>
    <mergeCell ref="K131:N132"/>
    <mergeCell ref="K140:N140"/>
    <mergeCell ref="H154:N154"/>
    <mergeCell ref="C167:N167"/>
    <mergeCell ref="C162:N162"/>
    <mergeCell ref="C157:N157"/>
    <mergeCell ref="C184:N184"/>
    <mergeCell ref="C153:N153"/>
    <mergeCell ref="C189:N189"/>
    <mergeCell ref="C193:N193"/>
    <mergeCell ref="C199:N199"/>
    <mergeCell ref="C172:N172"/>
    <mergeCell ref="C177:N177"/>
    <mergeCell ref="K54:N54"/>
    <mergeCell ref="F24:N24"/>
    <mergeCell ref="E72:N72"/>
    <mergeCell ref="H53:N53"/>
    <mergeCell ref="H61:N61"/>
    <mergeCell ref="C47:N47"/>
    <mergeCell ref="K113:N114"/>
    <mergeCell ref="B118:N118"/>
    <mergeCell ref="C148:N148"/>
    <mergeCell ref="H149:N149"/>
  </mergeCells>
  <phoneticPr fontId="169" type="noConversion"/>
  <conditionalFormatting sqref="B23:N23">
    <cfRule type="expression" dxfId="404" priority="157">
      <formula>$I$23=0</formula>
    </cfRule>
  </conditionalFormatting>
  <conditionalFormatting sqref="B31:N34">
    <cfRule type="expression" dxfId="403" priority="156">
      <formula>$C$30="нет"</formula>
    </cfRule>
  </conditionalFormatting>
  <conditionalFormatting sqref="B73:N77">
    <cfRule type="expression" dxfId="401" priority="155">
      <formula>$C$72="нет"</formula>
    </cfRule>
  </conditionalFormatting>
  <conditionalFormatting sqref="B115:N115">
    <cfRule type="expression" dxfId="398" priority="2865">
      <formula>$I$113=1</formula>
    </cfRule>
  </conditionalFormatting>
  <conditionalFormatting sqref="B116:N117">
    <cfRule type="expression" dxfId="397" priority="114">
      <formula>$N$116=0</formula>
    </cfRule>
  </conditionalFormatting>
  <conditionalFormatting sqref="B119:N119">
    <cfRule type="expression" dxfId="396" priority="97">
      <formula>$N$119=0</formula>
    </cfRule>
    <cfRule type="expression" dxfId="395" priority="107">
      <formula>$C$113="Нержавеющая сталь"</formula>
    </cfRule>
  </conditionalFormatting>
  <conditionalFormatting sqref="B121:N122">
    <cfRule type="expression" dxfId="394" priority="98">
      <formula>$N$121=0</formula>
    </cfRule>
    <cfRule type="expression" dxfId="393" priority="100">
      <formula>$C$113="Алюминиевая"</formula>
    </cfRule>
  </conditionalFormatting>
  <conditionalFormatting sqref="B123:N123">
    <cfRule type="expression" dxfId="392" priority="96">
      <formula>$N$123=0</formula>
    </cfRule>
    <cfRule type="expression" dxfId="391" priority="99">
      <formula>$C$113="Нержавеющая сталь"</formula>
    </cfRule>
  </conditionalFormatting>
  <conditionalFormatting sqref="B150:N152 B153:C153">
    <cfRule type="expression" dxfId="390" priority="93">
      <formula>$J$150=0</formula>
    </cfRule>
  </conditionalFormatting>
  <conditionalFormatting sqref="B155:N156">
    <cfRule type="expression" dxfId="389" priority="91">
      <formula>$J$155=0</formula>
    </cfRule>
  </conditionalFormatting>
  <conditionalFormatting sqref="B159:N161">
    <cfRule type="expression" dxfId="388" priority="90">
      <formula>$J$159=0</formula>
    </cfRule>
  </conditionalFormatting>
  <conditionalFormatting sqref="B169:N171">
    <cfRule type="expression" dxfId="387" priority="89">
      <formula>$J$169=0</formula>
    </cfRule>
  </conditionalFormatting>
  <conditionalFormatting sqref="C30 C54:N60">
    <cfRule type="expression" dxfId="386" priority="166">
      <formula>$C$53="нет"</formula>
    </cfRule>
  </conditionalFormatting>
  <conditionalFormatting sqref="C112">
    <cfRule type="expression" dxfId="385" priority="268">
      <formula>$E$59="нет"</formula>
    </cfRule>
    <cfRule type="expression" dxfId="384" priority="269">
      <formula>$C$56="нет"</formula>
    </cfRule>
  </conditionalFormatting>
  <conditionalFormatting sqref="C114">
    <cfRule type="containsErrors" dxfId="383" priority="116">
      <formula>ISERROR(C114)</formula>
    </cfRule>
    <cfRule type="expression" dxfId="382" priority="117">
      <formula>$C$227="нет"</formula>
    </cfRule>
  </conditionalFormatting>
  <conditionalFormatting sqref="C222:E222 H222:N222 C223:N235 C237:N240">
    <cfRule type="expression" dxfId="381" priority="2231">
      <formula>$C$222="нет"</formula>
    </cfRule>
  </conditionalFormatting>
  <conditionalFormatting sqref="C53:H53">
    <cfRule type="expression" dxfId="380" priority="115">
      <formula>$C$53="нет"</formula>
    </cfRule>
  </conditionalFormatting>
  <conditionalFormatting sqref="C114:J114 C112:N112 D113:K113 C115:N117 C120:N120 C124:N128">
    <cfRule type="expression" dxfId="379" priority="262">
      <formula>$C$112="нет"</formula>
    </cfRule>
  </conditionalFormatting>
  <conditionalFormatting sqref="C14:N14">
    <cfRule type="expression" dxfId="376" priority="313">
      <formula>$E$13="труба частями"</formula>
    </cfRule>
  </conditionalFormatting>
  <conditionalFormatting sqref="C27:N29 E30:N30 C35:N35">
    <cfRule type="expression" dxfId="374" priority="167">
      <formula>$C$24="новый способ"</formula>
    </cfRule>
  </conditionalFormatting>
  <conditionalFormatting sqref="C38:N38">
    <cfRule type="expression" dxfId="373" priority="125">
      <formula>$J$38=0</formula>
    </cfRule>
  </conditionalFormatting>
  <conditionalFormatting sqref="C44:N44">
    <cfRule type="expression" dxfId="372" priority="124">
      <formula>$J$44=0</formula>
    </cfRule>
  </conditionalFormatting>
  <conditionalFormatting sqref="C57:N57">
    <cfRule type="expression" dxfId="371" priority="267">
      <formula>$E$57="нет"</formula>
    </cfRule>
  </conditionalFormatting>
  <conditionalFormatting sqref="C80:N80">
    <cfRule type="expression" dxfId="370" priority="266">
      <formula>$C$53="нет"</formula>
    </cfRule>
  </conditionalFormatting>
  <conditionalFormatting sqref="C94:N111">
    <cfRule type="containsErrors" dxfId="369" priority="120">
      <formula>ISERROR(C94)</formula>
    </cfRule>
  </conditionalFormatting>
  <conditionalFormatting sqref="C115:N115">
    <cfRule type="expression" dxfId="367" priority="315">
      <formula>$J$115=0</formula>
    </cfRule>
  </conditionalFormatting>
  <conditionalFormatting sqref="C119:N119">
    <cfRule type="expression" dxfId="366" priority="106">
      <formula>$C$113="Алюминиевая"</formula>
    </cfRule>
    <cfRule type="expression" dxfId="365" priority="109">
      <formula>$C$111="нет"</formula>
    </cfRule>
  </conditionalFormatting>
  <conditionalFormatting sqref="C121:N123">
    <cfRule type="expression" dxfId="364" priority="101">
      <formula>$C$111="нет"</formula>
    </cfRule>
  </conditionalFormatting>
  <conditionalFormatting sqref="C133:N136">
    <cfRule type="expression" dxfId="363" priority="86">
      <formula>$C$132="нет"</formula>
    </cfRule>
  </conditionalFormatting>
  <conditionalFormatting sqref="C137:N137">
    <cfRule type="expression" dxfId="362" priority="254">
      <formula>$E$137="нет"</formula>
    </cfRule>
  </conditionalFormatting>
  <conditionalFormatting sqref="C164:N164 C165:D166 F165:N166">
    <cfRule type="expression" dxfId="361" priority="657">
      <formula>$C$163="нет"</formula>
    </cfRule>
  </conditionalFormatting>
  <conditionalFormatting sqref="C174:N176">
    <cfRule type="expression" dxfId="360" priority="88">
      <formula>$J$174=0</formula>
    </cfRule>
  </conditionalFormatting>
  <conditionalFormatting sqref="C180:N181">
    <cfRule type="expression" dxfId="359" priority="87">
      <formula>$E$137="нет"</formula>
    </cfRule>
  </conditionalFormatting>
  <conditionalFormatting sqref="C186:N188">
    <cfRule type="expression" dxfId="358" priority="82">
      <formula>$C$154="нет"</formula>
    </cfRule>
  </conditionalFormatting>
  <conditionalFormatting sqref="C191:N192">
    <cfRule type="expression" dxfId="357" priority="84">
      <formula>$C$158="нет"</formula>
    </cfRule>
  </conditionalFormatting>
  <conditionalFormatting sqref="C195:N198">
    <cfRule type="expression" dxfId="356" priority="606">
      <formula>$C$163="нет"</formula>
    </cfRule>
  </conditionalFormatting>
  <conditionalFormatting sqref="C201:N201">
    <cfRule type="expression" dxfId="355" priority="83">
      <formula>$C$173="нет"</formula>
    </cfRule>
  </conditionalFormatting>
  <conditionalFormatting sqref="C208:N208 C209:J209 C210:N213 C214:D214 F214:N214 C215:N221">
    <cfRule type="expression" dxfId="354" priority="261">
      <formula>$C$208="НЕТ"</formula>
    </cfRule>
  </conditionalFormatting>
  <conditionalFormatting sqref="C258:N259 C275:N275">
    <cfRule type="expression" dxfId="353" priority="260">
      <formula>$C$258="нет"</formula>
    </cfRule>
  </conditionalFormatting>
  <conditionalFormatting sqref="C260:N260">
    <cfRule type="expression" dxfId="352" priority="67">
      <formula>$J$260=0</formula>
    </cfRule>
  </conditionalFormatting>
  <conditionalFormatting sqref="C260:N274">
    <cfRule type="expression" dxfId="351" priority="19">
      <formula>$C$258="нет"</formula>
    </cfRule>
  </conditionalFormatting>
  <conditionalFormatting sqref="C266:N266">
    <cfRule type="expression" dxfId="350" priority="16">
      <formula>$J$266=0</formula>
    </cfRule>
  </conditionalFormatting>
  <conditionalFormatting sqref="C267:N267">
    <cfRule type="expression" dxfId="349" priority="15">
      <formula>$J$267=0</formula>
    </cfRule>
  </conditionalFormatting>
  <conditionalFormatting sqref="C268:N268">
    <cfRule type="expression" dxfId="348" priority="14">
      <formula>$J$268=0</formula>
    </cfRule>
  </conditionalFormatting>
  <conditionalFormatting sqref="C271:N271">
    <cfRule type="expression" dxfId="347" priority="13">
      <formula>$J$271=0</formula>
    </cfRule>
  </conditionalFormatting>
  <conditionalFormatting sqref="C286:N289">
    <cfRule type="expression" dxfId="346" priority="2230">
      <formula>$C$258="нет"</formula>
    </cfRule>
  </conditionalFormatting>
  <conditionalFormatting sqref="C291:N293 M294:N298 E299:N309 E294:K298 C294:D309">
    <cfRule type="containsErrors" dxfId="345" priority="187">
      <formula>ISERROR(C291)</formula>
    </cfRule>
  </conditionalFormatting>
  <conditionalFormatting sqref="D20:D21">
    <cfRule type="expression" dxfId="344" priority="150">
      <formula>$C$53="нет"</formula>
    </cfRule>
  </conditionalFormatting>
  <conditionalFormatting sqref="D38">
    <cfRule type="expression" dxfId="343" priority="137">
      <formula>$E$13="труба частями"</formula>
    </cfRule>
  </conditionalFormatting>
  <conditionalFormatting sqref="D44">
    <cfRule type="expression" dxfId="342" priority="129">
      <formula>$E$13="труба частями"</formula>
    </cfRule>
  </conditionalFormatting>
  <conditionalFormatting sqref="D243">
    <cfRule type="containsErrors" dxfId="341" priority="81">
      <formula>ISERROR(D243)</formula>
    </cfRule>
  </conditionalFormatting>
  <conditionalFormatting sqref="D81:N81">
    <cfRule type="expression" dxfId="340" priority="303">
      <formula>OR(#REF!="нет",$M$5=1)</formula>
    </cfRule>
  </conditionalFormatting>
  <conditionalFormatting sqref="E141">
    <cfRule type="expression" dxfId="339" priority="203">
      <formula>$C$132="нет"</formula>
    </cfRule>
  </conditionalFormatting>
  <conditionalFormatting sqref="E165:E166">
    <cfRule type="expression" dxfId="338" priority="191">
      <formula>$C$132="нет"</formula>
    </cfRule>
    <cfRule type="expression" dxfId="337" priority="192">
      <formula>$C$139="нет"</formula>
    </cfRule>
  </conditionalFormatting>
  <conditionalFormatting sqref="E214">
    <cfRule type="expression" dxfId="335" priority="188">
      <formula>$C$137="нет"</formula>
    </cfRule>
    <cfRule type="containsErrors" dxfId="333" priority="190">
      <formula>ISERROR(E214)</formula>
    </cfRule>
  </conditionalFormatting>
  <conditionalFormatting sqref="E139:J139 M141:M147">
    <cfRule type="expression" dxfId="331" priority="435">
      <formula>$L$139="квадратный (прямоугольный)"</formula>
    </cfRule>
  </conditionalFormatting>
  <conditionalFormatting sqref="E80:N80">
    <cfRule type="expression" dxfId="330" priority="263">
      <formula>$C$54="нет"</formula>
    </cfRule>
  </conditionalFormatting>
  <conditionalFormatting sqref="F36:G36">
    <cfRule type="expression" dxfId="328" priority="135">
      <formula>$C$53="нет"</formula>
    </cfRule>
  </conditionalFormatting>
  <conditionalFormatting sqref="F42:G42">
    <cfRule type="expression" dxfId="327" priority="127">
      <formula>$C$53="нет"</formula>
    </cfRule>
  </conditionalFormatting>
  <conditionalFormatting sqref="F119:N119">
    <cfRule type="expression" dxfId="324" priority="108">
      <formula>$C$113="Алюминиевая"</formula>
    </cfRule>
  </conditionalFormatting>
  <conditionalFormatting sqref="F150:N152">
    <cfRule type="expression" dxfId="323" priority="691">
      <formula>$C$154="нет"</formula>
    </cfRule>
  </conditionalFormatting>
  <conditionalFormatting sqref="G61">
    <cfRule type="expression" dxfId="322" priority="140">
      <formula>$C$53="нет"</formula>
    </cfRule>
  </conditionalFormatting>
  <conditionalFormatting sqref="H22">
    <cfRule type="expression" dxfId="321" priority="1264">
      <formula>OR(AND($G$5&gt;=2600,$I$5&gt;=6000),$I$5&gt;=12000)</formula>
    </cfRule>
  </conditionalFormatting>
  <conditionalFormatting sqref="H46">
    <cfRule type="expression" dxfId="320" priority="130">
      <formula>$I46&lt;&gt;""</formula>
    </cfRule>
    <cfRule type="expression" dxfId="319" priority="131">
      <formula>D46=""</formula>
    </cfRule>
  </conditionalFormatting>
  <conditionalFormatting sqref="H96:H98 H103:H106">
    <cfRule type="expression" dxfId="318" priority="123">
      <formula>$I96&lt;&gt;""</formula>
    </cfRule>
  </conditionalFormatting>
  <conditionalFormatting sqref="H119">
    <cfRule type="expression" dxfId="317" priority="111">
      <formula>$I119&lt;&gt;""</formula>
    </cfRule>
    <cfRule type="expression" dxfId="316" priority="113">
      <formula>D119=""</formula>
    </cfRule>
  </conditionalFormatting>
  <conditionalFormatting sqref="H121:H123 J121:J123">
    <cfRule type="expression" dxfId="315" priority="105">
      <formula>$K121="шт"</formula>
    </cfRule>
  </conditionalFormatting>
  <conditionalFormatting sqref="H121:H123">
    <cfRule type="expression" dxfId="314" priority="103">
      <formula>$I121&lt;&gt;""</formula>
    </cfRule>
    <cfRule type="expression" dxfId="313" priority="104">
      <formula>D121=""</formula>
    </cfRule>
  </conditionalFormatting>
  <conditionalFormatting sqref="H141">
    <cfRule type="expression" dxfId="312" priority="312">
      <formula>$I$141&lt;&gt;""</formula>
    </cfRule>
  </conditionalFormatting>
  <conditionalFormatting sqref="H119:J119">
    <cfRule type="expression" dxfId="311" priority="112">
      <formula>$K119="шт"</formula>
    </cfRule>
  </conditionalFormatting>
  <conditionalFormatting sqref="I133">
    <cfRule type="expression" dxfId="310" priority="94">
      <formula>$C$139="нет"</formula>
    </cfRule>
  </conditionalFormatting>
  <conditionalFormatting sqref="I131:J131">
    <cfRule type="expression" dxfId="309" priority="95">
      <formula>$C$112="нет"</formula>
    </cfRule>
  </conditionalFormatting>
  <conditionalFormatting sqref="L23">
    <cfRule type="expression" dxfId="308" priority="158">
      <formula>$M23&lt;&gt;""</formula>
    </cfRule>
  </conditionalFormatting>
  <conditionalFormatting sqref="L37">
    <cfRule type="expression" dxfId="305" priority="2862">
      <formula>$E$39="нет"</formula>
    </cfRule>
    <cfRule type="expression" dxfId="304" priority="2863">
      <formula>$M37&lt;&gt;""</formula>
    </cfRule>
    <cfRule type="expression" dxfId="303" priority="2864">
      <formula>$C$36="нет"</formula>
    </cfRule>
  </conditionalFormatting>
  <conditionalFormatting sqref="L43">
    <cfRule type="expression" dxfId="302" priority="132">
      <formula>$E$39="нет"</formula>
    </cfRule>
    <cfRule type="expression" dxfId="301" priority="133">
      <formula>$M43&lt;&gt;""</formula>
    </cfRule>
    <cfRule type="expression" dxfId="300" priority="134">
      <formula>$C$36="нет"</formula>
    </cfRule>
  </conditionalFormatting>
  <conditionalFormatting sqref="L94:L106">
    <cfRule type="expression" dxfId="299" priority="121">
      <formula>$M94&lt;&gt;""</formula>
    </cfRule>
  </conditionalFormatting>
  <conditionalFormatting sqref="L108:L111">
    <cfRule type="expression" dxfId="298" priority="119">
      <formula>$M108&lt;&gt;""</formula>
    </cfRule>
  </conditionalFormatting>
  <conditionalFormatting sqref="L119">
    <cfRule type="expression" dxfId="297" priority="110">
      <formula>$M119&lt;&gt;""</formula>
    </cfRule>
  </conditionalFormatting>
  <conditionalFormatting sqref="L121:L123">
    <cfRule type="expression" dxfId="296" priority="102">
      <formula>$M121&lt;&gt;""</formula>
    </cfRule>
  </conditionalFormatting>
  <conditionalFormatting sqref="L141:L147 L224:L235">
    <cfRule type="expression" dxfId="295" priority="815">
      <formula>D141=""</formula>
    </cfRule>
  </conditionalFormatting>
  <conditionalFormatting sqref="L294:L298">
    <cfRule type="containsErrors" dxfId="294" priority="164">
      <formula>ISERROR(L294)</formula>
    </cfRule>
  </conditionalFormatting>
  <conditionalFormatting sqref="C276:N276">
    <cfRule type="expression" dxfId="292" priority="4">
      <formula>$J$276=0</formula>
    </cfRule>
  </conditionalFormatting>
  <conditionalFormatting sqref="C276:N284">
    <cfRule type="expression" dxfId="291" priority="3">
      <formula>$C$258="нет"</formula>
    </cfRule>
  </conditionalFormatting>
  <conditionalFormatting sqref="C282:N282">
    <cfRule type="expression" dxfId="290" priority="2">
      <formula>$J$282=0</formula>
    </cfRule>
  </conditionalFormatting>
  <conditionalFormatting sqref="C283:N283">
    <cfRule type="expression" dxfId="289" priority="1">
      <formula>$J$283=0</formula>
    </cfRule>
  </conditionalFormatting>
  <dataValidations count="20">
    <dataValidation allowBlank="1" showInputMessage="1" sqref="D25 D27 D154 D158 D163 D173 D168 D53 D149 D37 D43" xr:uid="{24E4B819-0425-43BE-BBF1-A31D3CB51F41}"/>
    <dataValidation type="custom"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78 K120 K213 K233 K251 E286 K238:K242 E254 E237 E217 E203 E125 E88 K126:K127 K204 K218:K223 K255:K259 K73 K207:K208 K178 J131 K89:K94 E108 J113 K109:K112 K129:K131 I209 K275" xr:uid="{4242DE54-69AB-4138-8139-87BE7514EF59}">
      <formula1>E73=#REF!</formula1>
    </dataValidation>
    <dataValidation allowBlank="1" sqref="G5 E79:E87" xr:uid="{BBDFB768-4111-4DED-8BF5-4EA2330B0501}"/>
    <dataValidation type="list"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234:K236 K74:K77 K79:K87 K210:K212 K252:K253 K133:K138 K214:K216 K121:K124 K141:K147 K243:K250 K48:K52 K119 K95:K107 J114 K115:K117 K150:K152 K155:K156 G158 J158 K163:K166 K159:K161 K168:K171 K173:K176 K179:K183 K185:K188 K190:K192 K194:K198 K200:K202 K224:K232 K260:K274 K276:K285" xr:uid="{7199A1AE-DF6D-48B1-A897-7B25E9BB4E44}">
      <formula1>ЕИ</formula1>
    </dataValidation>
    <dataValidation type="list" allowBlank="1" showInputMessage="1" showErrorMessage="1" sqref="K63:K71 K73 G154 G53 G149 K13:K23 G61 K55:K60 G36 K25:K36 K38:K42 G42 K44:K46" xr:uid="{9194058C-2EBF-4BC4-B356-D636C4DEC902}">
      <formula1>ЕИ</formula1>
    </dataValidation>
    <dataValidation type="list" allowBlank="1" showInputMessage="1" sqref="D87 D202 D236 D124 D138 D62:D69 D71 D216 D285 D253 D36 D42 D107" xr:uid="{E874EA13-A713-443A-9A60-12BB2BDEA902}">
      <formula1>INDIRECT(SUBSTITUTE(C36," ","_"))</formula1>
    </dataValidation>
    <dataValidation type="list" allowBlank="1" showInputMessage="1" showErrorMessage="1" sqref="C31:C52 C96:C101 C210:C212 C253:C254 C73:C77 C133:C138 C169:C171 C159:C161 C141:C147 C214:C217 C191:C192 C186:C188 C62:C71 C180:C183 C234:C237 C54:C60 C13:C23 C224:C232 C121:C124 C150:C153 C25:C29 C79:C87 C119 C103:C107 C116:C117 C155:C157 C164:C166 C174:C176 C195:C198 C201:C203 C243:C250 C260:C274 C276:C286" xr:uid="{09B2DD9F-622D-4F0B-9F2D-80715090FCF1}">
      <formula1>Категории</formula1>
    </dataValidation>
    <dataValidation type="list" allowBlank="1" showInputMessage="1" showErrorMessage="1" sqref="C8" xr:uid="{044793EA-9494-4070-B4C5-DD1960DF8E73}">
      <formula1>Изделие</formula1>
    </dataValidation>
    <dataValidation type="list" allowBlank="1" showInputMessage="1" showErrorMessage="1" sqref="E8" xr:uid="{DBB608E1-39C8-4791-8132-97D622FC669F}">
      <formula1>Среда</formula1>
    </dataValidation>
    <dataValidation type="list" allowBlank="1" showInputMessage="1" showErrorMessage="1" sqref="D8" xr:uid="{5B6AE72E-93BC-487A-8EAA-EEDEC4F225F5}">
      <formula1>Материал</formula1>
    </dataValidation>
    <dataValidation type="list" allowBlank="1" showInputMessage="1" showErrorMessage="1" sqref="E36 E42" xr:uid="{A95F2018-69DA-46CF-9DB9-72C3F191ABE9}">
      <formula1>DN_подвод_патрубка</formula1>
    </dataValidation>
    <dataValidation type="list" allowBlank="1" showInputMessage="1" showErrorMessage="1" sqref="H54 H132 H139:H140" xr:uid="{2BF63305-4C92-4CA3-AAB2-43C4F07CAB1B}">
      <formula1>Жесткость</formula1>
    </dataValidation>
    <dataValidation type="list" allowBlank="1" showInputMessage="1" showErrorMessage="1" sqref="J54 J132 J139" xr:uid="{3BFCF633-1249-4144-9E00-29C6F56292CD}">
      <formula1>Давление</formula1>
    </dataValidation>
    <dataValidation type="list" allowBlank="1" showInputMessage="1" sqref="H36 H42" xr:uid="{1A78B756-DDEB-43C4-89C0-37FC47ECFBC1}">
      <formula1>Материал_трубы</formula1>
    </dataValidation>
    <dataValidation type="list" allowBlank="1" showInputMessage="1" showErrorMessage="1" sqref="L139" xr:uid="{7ECA30D5-7D1D-4805-B0C0-97887C011FC5}">
      <formula1>"Квадратный (прямоугольный),Круглый"</formula1>
    </dataValidation>
    <dataValidation type="list" allowBlank="1" showInputMessage="1" showErrorMessage="1" sqref="G222" xr:uid="{349145C2-C1A7-4D67-918C-AFCBD6571C99}">
      <formula1>"Простой,Сложный"</formula1>
    </dataValidation>
    <dataValidation type="list" allowBlank="1" showInputMessage="1" showErrorMessage="1" sqref="E137 E57 C112 C53 C30" xr:uid="{FF4E0A4E-6AD8-465D-ACEF-0B5C854ECB6D}">
      <formula1>"Да,Нет"</formula1>
    </dataValidation>
    <dataValidation type="list" allowBlank="1" showInputMessage="1" showErrorMessage="1" sqref="C24" xr:uid="{2E88AD90-E01D-4D61-86E8-FEFB0712C935}">
      <formula1>"Старый способ,Новый способ"</formula1>
    </dataValidation>
    <dataValidation type="list" allowBlank="1" showInputMessage="1" showErrorMessage="1" sqref="C114" xr:uid="{B2DE3347-AFEB-448C-AB9E-3CE2A1D1826A}">
      <formula1>"Нержавеющая сталь,Алюминиевая"</formula1>
    </dataValidation>
    <dataValidation type="list" allowBlank="1" showInputMessage="1" sqref="D185 D190 D194 D200" xr:uid="{D457FF59-3776-4316-9408-58324DD22EFB}">
      <formula1>INDIRECT(SUBSTITUTE(#REF!," ","_"))</formula1>
    </dataValidation>
  </dataValidations>
  <hyperlinks>
    <hyperlink ref="M1" location="'Содержание'!A1" display="к содержанию" xr:uid="{00000000-0004-0000-0600-000000000000}"/>
  </hyperlinks>
  <pageMargins left="0.25" right="0.25" top="0.75" bottom="0.75" header="0.3" footer="0.3"/>
  <pageSetup paperSize="9" orientation="landscape" horizontalDpi="2147483648"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51" id="{37FD9CC0-D1A3-493E-9D3A-412A5AC0D004}">
            <xm:f>ОЛ_ЕМКОСТИ!$E$80="нет"</xm:f>
            <x14:dxf>
              <font>
                <color theme="0"/>
              </font>
              <fill>
                <patternFill>
                  <bgColor theme="2"/>
                </patternFill>
              </fill>
            </x14:dxf>
          </x14:cfRule>
          <xm:sqref>B49:N52</xm:sqref>
        </x14:conditionalFormatting>
        <x14:conditionalFormatting xmlns:xm="http://schemas.microsoft.com/office/excel/2006/main">
          <x14:cfRule type="expression" priority="153" id="{1FA7B985-B4AC-48D3-A9F7-D0734EAB5834}">
            <xm:f>ОЛ_ЕМКОСТИ!$E$80="нет"</xm:f>
            <x14:dxf>
              <font>
                <color theme="0"/>
              </font>
              <fill>
                <patternFill>
                  <bgColor theme="2"/>
                </patternFill>
              </fill>
            </x14:dxf>
          </x14:cfRule>
          <xm:sqref>B86:N86</xm:sqref>
        </x14:conditionalFormatting>
        <x14:conditionalFormatting xmlns:xm="http://schemas.microsoft.com/office/excel/2006/main">
          <x14:cfRule type="expression" priority="118" id="{DD4A85DF-3881-499D-A900-2DFCA4318080}">
            <xm:f>ОЛ_ЕМКОСТИ!$E$67="нет"</xm:f>
            <x14:dxf>
              <font>
                <color theme="0"/>
              </font>
              <fill>
                <patternFill>
                  <bgColor theme="2"/>
                </patternFill>
              </fill>
            </x14:dxf>
          </x14:cfRule>
          <xm:sqref>B95:N111</xm:sqref>
        </x14:conditionalFormatting>
        <x14:conditionalFormatting xmlns:xm="http://schemas.microsoft.com/office/excel/2006/main">
          <x14:cfRule type="expression" priority="2418" id="{00BA00E0-008A-4F30-B077-00AE001C00B4}">
            <xm:f>$E$131=Списки!$AW$2</xm:f>
            <x14:dxf>
              <font>
                <color theme="0"/>
              </font>
              <fill>
                <patternFill patternType="solid">
                  <fgColor theme="2"/>
                  <bgColor theme="2"/>
                </patternFill>
              </fill>
            </x14:dxf>
          </x14:cfRule>
          <xm:sqref>C132:J132 C133:G133 I133:N133 C134:N139 C140:J140 C141:N147</xm:sqref>
        </x14:conditionalFormatting>
        <x14:conditionalFormatting xmlns:xm="http://schemas.microsoft.com/office/excel/2006/main">
          <x14:cfRule type="expression" priority="2408" id="{006300E8-0077-4A6F-B6DE-0065000A00B4}">
            <xm:f>$E$13=Списки!$AI$3</xm:f>
            <x14:dxf>
              <fill>
                <patternFill patternType="solid">
                  <fgColor theme="0" tint="-0.14996795556505021"/>
                  <bgColor theme="0" tint="-0.14996795556505021"/>
                </patternFill>
              </fill>
            </x14:dxf>
          </x14:cfRule>
          <xm:sqref>C13:N13</xm:sqref>
        </x14:conditionalFormatting>
        <x14:conditionalFormatting xmlns:xm="http://schemas.microsoft.com/office/excel/2006/main">
          <x14:cfRule type="expression" priority="2410" id="{00DB00DB-0014-4451-998C-007F008F007A}">
            <xm:f>$E$13=Списки!$AI$2</xm:f>
            <x14:dxf>
              <font>
                <color theme="0"/>
              </font>
              <fill>
                <patternFill patternType="solid">
                  <fgColor theme="2"/>
                  <bgColor theme="2"/>
                </patternFill>
              </fill>
            </x14:dxf>
          </x14:cfRule>
          <xm:sqref>C15:N19 C20:C21 E20:N21</xm:sqref>
        </x14:conditionalFormatting>
        <x14:conditionalFormatting xmlns:xm="http://schemas.microsoft.com/office/excel/2006/main">
          <x14:cfRule type="expression" priority="122" id="{D53DEB1D-C9AC-4234-9D0C-2AE9E3F38747}">
            <xm:f>OR(ОЛ_КОЛОДЦА!$E$48=Списки!$H$3,ОЛ_КОЛОДЦА!$E$48=Списки!$H$5)</xm:f>
            <x14:dxf>
              <font>
                <color theme="0"/>
              </font>
              <fill>
                <patternFill patternType="solid">
                  <fgColor theme="2"/>
                  <bgColor theme="2"/>
                </patternFill>
              </fill>
            </x14:dxf>
          </x14:cfRule>
          <xm:sqref>C94:N111</xm:sqref>
        </x14:conditionalFormatting>
        <x14:conditionalFormatting xmlns:xm="http://schemas.microsoft.com/office/excel/2006/main">
          <x14:cfRule type="expression" priority="193" id="{00B500DA-007F-44DD-BEEA-0045008D009E}">
            <xm:f>$E$131=Списки!$AW$2</xm:f>
            <x14:dxf>
              <font>
                <color theme="0"/>
              </font>
              <fill>
                <patternFill patternType="solid">
                  <fgColor theme="2"/>
                  <bgColor theme="2"/>
                </patternFill>
              </fill>
            </x14:dxf>
          </x14:cfRule>
          <xm:sqref>E165:E166</xm:sqref>
        </x14:conditionalFormatting>
        <x14:conditionalFormatting xmlns:xm="http://schemas.microsoft.com/office/excel/2006/main">
          <x14:cfRule type="expression" priority="189" id="{006700E3-00D9-49F1-925E-008B009700F6}">
            <xm:f>$E$136=Списки!$AW$2</xm:f>
            <x14:dxf>
              <font>
                <color theme="0"/>
              </font>
              <fill>
                <patternFill patternType="solid">
                  <fgColor theme="2"/>
                  <bgColor theme="2"/>
                </patternFill>
              </fill>
            </x14:dxf>
          </x14:cfRule>
          <xm:sqref>E214</xm:sqref>
        </x14:conditionalFormatting>
        <x14:conditionalFormatting xmlns:xm="http://schemas.microsoft.com/office/excel/2006/main">
          <x14:cfRule type="expression" priority="302" id="{005E00AD-006F-4171-9D71-000E003A00D6}">
            <xm:f>ОЛ_ЕМКОСТИ!$E$40=""</xm:f>
            <x14:dxf>
              <font>
                <color theme="0"/>
              </font>
              <fill>
                <patternFill patternType="solid">
                  <fgColor theme="2"/>
                  <bgColor theme="2"/>
                </patternFill>
              </fill>
            </x14:dxf>
          </x14:cfRule>
          <xm:sqref>E83:H83 J83:N83</xm:sqref>
        </x14:conditionalFormatting>
        <x14:conditionalFormatting xmlns:xm="http://schemas.microsoft.com/office/excel/2006/main">
          <x14:cfRule type="expression" priority="304" id="{004000FD-00EA-41A1-A361-008A00FB00E5}">
            <xm:f>ОЛ_ЕМКОСТИ!$E$40=""</xm:f>
            <x14:dxf>
              <font>
                <color theme="0"/>
              </font>
              <fill>
                <patternFill patternType="solid">
                  <fgColor theme="2"/>
                  <bgColor theme="2"/>
                </patternFill>
              </fill>
            </x14:dxf>
          </x14:cfRule>
          <xm:sqref>E80:N80</xm:sqref>
        </x14:conditionalFormatting>
        <x14:conditionalFormatting xmlns:xm="http://schemas.microsoft.com/office/excel/2006/main">
          <x14:cfRule type="expression" priority="136" id="{4A9F1000-F24C-4685-91CD-04BE09D025FB}">
            <xm:f>ОЛ_КОЛОДЦА!$E$26="нет"</xm:f>
            <x14:dxf>
              <font>
                <color theme="0"/>
              </font>
            </x14:dxf>
          </x14:cfRule>
          <xm:sqref>F38:N38</xm:sqref>
        </x14:conditionalFormatting>
        <x14:conditionalFormatting xmlns:xm="http://schemas.microsoft.com/office/excel/2006/main">
          <x14:cfRule type="expression" priority="128" id="{B98B1BE2-99F9-44CE-B1F2-94884097BE83}">
            <xm:f>ОЛ_КОЛОДЦА!$E$26="нет"</xm:f>
            <x14:dxf>
              <font>
                <color theme="0"/>
              </font>
            </x14:dxf>
          </x14:cfRule>
          <xm:sqref>F44:N44</xm:sqref>
        </x14:conditionalFormatting>
        <x14:conditionalFormatting xmlns:xm="http://schemas.microsoft.com/office/excel/2006/main">
          <x14:cfRule type="expression" priority="159" id="{7EA6BC94-46DB-403F-B751-494A3D35077E}">
            <xm:f>$E$13=Списки!$AI$3</xm:f>
            <x14:dxf>
              <fill>
                <patternFill patternType="solid">
                  <fgColor theme="0" tint="-0.14996795556505021"/>
                  <bgColor theme="0" tint="-0.14996795556505021"/>
                </patternFill>
              </fill>
            </x14:dxf>
          </x14:cfRule>
          <x14:cfRule type="expression" priority="160" id="{274EE009-50A5-46D8-A9ED-6D9FB2593BD6}">
            <xm:f>$E$13=Списки!$AI$3</xm:f>
            <x14:dxf>
              <font>
                <color theme="0" tint="-0.14996795556505021"/>
              </font>
            </x14:dxf>
          </x14:cfRule>
          <xm:sqref>L23</xm:sqref>
        </x14:conditionalFormatting>
        <x14:conditionalFormatting xmlns:xm="http://schemas.microsoft.com/office/excel/2006/main">
          <x14:cfRule type="expression" priority="2409" id="{00B7000A-0071-4FC1-BC69-009700420077}">
            <xm:f>$E$13=Списки!$AI$3</xm:f>
            <x14:dxf>
              <font>
                <color theme="0" tint="-0.14996795556505021"/>
              </font>
            </x14:dxf>
          </x14:cfRule>
          <xm:sqref>L13:N13</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0AB26D6D-1E56-41B6-83B2-6FB67FBAAEDE}">
          <x14:formula1>
            <xm:f>Списки!$A$2:$A$3</xm:f>
          </x14:formula1>
          <xm:sqref>C222 C258 C61 C132 E73 C173 C154 C158 C163 C168 C72 C139:C140 C208 C149</xm:sqref>
        </x14:dataValidation>
        <x14:dataValidation type="list" allowBlank="1" showInputMessage="1" xr:uid="{060A5B06-F309-424B-BD6D-62EEC7163FA9}">
          <x14:formula1>
            <xm:f>Списки!$A$7:$A$8</xm:f>
          </x14:formula1>
          <xm:sqref>H22 E23:E24</xm:sqref>
        </x14:dataValidation>
        <x14:dataValidation type="list" allowBlank="1" showInputMessage="1" showErrorMessage="1" xr:uid="{DA4B92D9-7A6A-45C3-A31F-B84E44A0D03C}">
          <x14:formula1>
            <xm:f>Списки!$AW$2:$AW$3</xm:f>
          </x14:formula1>
          <xm:sqref>E131</xm:sqref>
        </x14:dataValidation>
        <x14:dataValidation type="list" allowBlank="1" showInputMessage="1" showErrorMessage="1" xr:uid="{04AF0F6D-C68B-47F5-9899-54343AEFA9F3}">
          <x14:formula1>
            <xm:f>Списки!$Z$2:$Z$31</xm:f>
          </x14:formula1>
          <xm:sqref>F54 F132 F139:F140</xm:sqref>
        </x14:dataValidation>
        <x14:dataValidation type="list" allowBlank="1" showInputMessage="1" showErrorMessage="1" xr:uid="{A3195DBB-D6B3-4AF8-AF8D-A6834558B925}">
          <x14:formula1>
            <xm:f>Списки!$AI$2:$AI$3</xm:f>
          </x14:formula1>
          <xm:sqref>E13:E14</xm:sqref>
        </x14:dataValidation>
        <x14:dataValidation type="list" allowBlank="1" showInputMessage="1" xr:uid="{6CA62886-7A0D-4E27-B8C3-8484F2969E35}">
          <x14:formula1>
            <xm:f>OFFSET(НН!$B$1,MATCH(C20,Группа,0),2,COUNTIF(Группа,C20),1)</xm:f>
          </x14:formula1>
          <xm:sqref>D26 D70 D103:D106 D45:D46 D133:D137 D159:D161 D186:D188 D191:D192 D195:D198 D210:D212 D234:D235 D174:D176 D180:D183 D224:D232 D58:D60 D28:D29 D49:D52 D73:D77 D79:D86 D20:D21 D31:D35 D39:D41 D119 D96:D101 D116:D117 D121:D123 D164:D166 D155:D156 D150:D152 D201 D243:D250 D276:D284 D260:D274</xm:sqref>
        </x14:dataValidation>
        <x14:dataValidation type="list" allowBlank="1" showInputMessage="1" showErrorMessage="1" xr:uid="{04F60B44-E2F9-4F6D-8418-6F3456F53797}">
          <x14:formula1>
            <xm:f>OFFSET(НН!$B$1,MATCH(C14,Группа,0),2,COUNTIF(Группа,C14),1)</xm:f>
          </x14:formula1>
          <xm:sqref>D14 D16 D18 D141:D147 D38 D44 D169:D171</xm:sqref>
        </x14:dataValidation>
        <x14:dataValidation type="list" allowBlank="1" showInputMessage="1" xr:uid="{396BEAA5-47DC-43D7-8659-1CDE9F19FB69}">
          <x14:formula1>
            <xm:f>OFFSET(НН!$B$1,MATCH(C215,Группа,0),2,COUNTIF(Группа,C214),1)</xm:f>
          </x14:formula1>
          <xm:sqref>D214:D215</xm:sqref>
        </x14:dataValidation>
        <x14:dataValidation type="list" allowBlank="1" showInputMessage="1" showErrorMessage="1" xr:uid="{81D2035B-7768-4B16-86AD-4F81C0EE3E8D}">
          <x14:formula1>
            <xm:f>Списки!$Y$5:$Y$29</xm:f>
          </x14:formula1>
          <xm:sqref>E214</xm:sqref>
        </x14:dataValidation>
        <x14:dataValidation type="list" errorStyle="warning" allowBlank="1" showInputMessage="1" showErrorMessage="1" xr:uid="{81D7DD2A-C649-4314-9BA6-F478B7DBF99F}">
          <x14:formula1>
            <xm:f>Списки!$Y$2:$Y$29</xm:f>
          </x14:formula1>
          <xm:sqref>E222</xm:sqref>
        </x14:dataValidation>
        <x14:dataValidation type="list" errorStyle="warning" allowBlank="1" showInputMessage="1" showErrorMessage="1" xr:uid="{71F60C47-32A4-4D21-8361-6C6BEFA5BBBA}">
          <x14:formula1>
            <xm:f>Списки!$BM$2:$BM$12</xm:f>
          </x14:formula1>
          <xm:sqref>E266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L9"/>
  <sheetViews>
    <sheetView zoomScale="90" workbookViewId="0">
      <selection activeCell="C7" sqref="C7"/>
    </sheetView>
  </sheetViews>
  <sheetFormatPr defaultRowHeight="15"/>
  <cols>
    <col min="2" max="2" width="27.85546875" bestFit="1" customWidth="1"/>
    <col min="3" max="3" width="16.5703125" bestFit="1" customWidth="1"/>
    <col min="4" max="4" width="21.85546875" bestFit="1" customWidth="1"/>
    <col min="5" max="5" width="21.85546875" customWidth="1"/>
    <col min="6" max="7" width="18.42578125" customWidth="1"/>
    <col min="8" max="8" width="18.42578125" bestFit="1" customWidth="1"/>
    <col min="9" max="9" width="11.85546875" bestFit="1" customWidth="1"/>
    <col min="10" max="10" width="12.42578125" bestFit="1" customWidth="1"/>
    <col min="16" max="16" width="15.42578125" customWidth="1"/>
  </cols>
  <sheetData>
    <row r="1" spans="2:12" s="731" customFormat="1" ht="116.25" customHeight="1">
      <c r="C1" s="732" t="s">
        <v>551</v>
      </c>
      <c r="D1" s="732" t="s">
        <v>621</v>
      </c>
      <c r="E1" s="732" t="s">
        <v>622</v>
      </c>
      <c r="F1" s="732" t="s">
        <v>623</v>
      </c>
      <c r="G1" s="732" t="s">
        <v>624</v>
      </c>
      <c r="H1" s="732" t="s">
        <v>527</v>
      </c>
      <c r="I1" s="732" t="s">
        <v>552</v>
      </c>
      <c r="J1" s="732" t="s">
        <v>555</v>
      </c>
      <c r="K1" s="732" t="s">
        <v>532</v>
      </c>
      <c r="L1" s="733" t="s">
        <v>625</v>
      </c>
    </row>
    <row r="2" spans="2:12">
      <c r="B2" t="s">
        <v>626</v>
      </c>
      <c r="C2" s="734">
        <f>D2</f>
        <v>4000</v>
      </c>
      <c r="D2" s="734">
        <f>IF(AND(ОЛ_ЕМКОСТИ!E19&lt;&gt;"",ОЛ_ЕМКОСТИ!E29&lt;&gt;""),ОЛ_ЕМКОСТИ!E29,IF(ОЛ_ЕМКОСТИ!$E$19="",ОЛ_ЕМКОСТИ!$E$29,IF(AND(ОЛ_ЕМКОСТИ!$E$19&lt;&gt;"",ОЛ_ЕМКОСТИ!$E$29=""),CEILING((4*I2/(PI()*(('Калькулятор ЕМК'!$G$5/1000)^2)))*1000,100))))</f>
        <v>4000</v>
      </c>
      <c r="E2" s="734"/>
      <c r="F2" s="734"/>
      <c r="G2" s="734"/>
      <c r="H2" s="734">
        <f>ОЛ_ЕМКОСТИ!$E$26</f>
        <v>300</v>
      </c>
      <c r="I2" s="735">
        <f>IF(AND(ОЛ_ЕМКОСТИ!E19&lt;&gt;"",ОЛ_ЕМКОСТИ!E29&lt;&gt;""),ОЛ_ЕМКОСТИ!E19,IF(ОЛ_ЕМКОСТИ!$E$19="",ROUNDUP((D2/1000*PI()*(('Калькулятор ЕМК'!$G$5/1000)^2))/4,),ОЛ_ЕМКОСТИ!E19))</f>
        <v>100</v>
      </c>
      <c r="J2" s="734">
        <f>ОЛ_ЕМКОСТИ!$E$40</f>
        <v>1200</v>
      </c>
      <c r="K2" s="736">
        <f>ОЛ_ЕМКОСТИ!$E$41+H2</f>
        <v>2300</v>
      </c>
      <c r="L2" s="737">
        <f>D2</f>
        <v>4000</v>
      </c>
    </row>
    <row r="3" spans="2:12">
      <c r="B3" s="738" t="s">
        <v>627</v>
      </c>
      <c r="C3" s="739">
        <f>E3+H3</f>
        <v>4300</v>
      </c>
      <c r="D3" s="740"/>
      <c r="E3" s="740">
        <f>IF(AND(ОЛ_ЕМКОСТИ!E19&lt;&gt;"",ОЛ_ЕМКОСТИ!E29&lt;&gt;""),ОЛ_ЕМКОСТИ!E29,IF(ОЛ_ЕМКОСТИ!$E$19="",ОЛ_ЕМКОСТИ!$E$29,IF(AND(ОЛ_ЕМКОСТИ!$E$19&lt;&gt;"",ОЛ_ЕМКОСТИ!$E$29=""),CEILING((4*I3/(PI()*(('Калькулятор ЕМК'!$G$5/1000)^2)))*1000,100))))</f>
        <v>4000</v>
      </c>
      <c r="F3" s="740"/>
      <c r="G3" s="740"/>
      <c r="H3" s="740">
        <f>ОЛ_ЕМКОСТИ!$E$26</f>
        <v>300</v>
      </c>
      <c r="I3" s="741">
        <f>IF(AND(ОЛ_ЕМКОСТИ!E19&lt;&gt;"",ОЛ_ЕМКОСТИ!E29&lt;&gt;""),ОЛ_ЕМКОСТИ!E19,IF(ОЛ_ЕМКОСТИ!$E$19=0,ROUNDUP((E3/1000*PI()*(('Калькулятор ЕМК'!$G$5/1000)^2))/4,),ОЛ_ЕМКОСТИ!E19))</f>
        <v>100</v>
      </c>
      <c r="J3" s="738">
        <v>0</v>
      </c>
      <c r="K3" s="738">
        <v>0</v>
      </c>
      <c r="L3" s="742">
        <f>C3</f>
        <v>4300</v>
      </c>
    </row>
    <row r="4" spans="2:12">
      <c r="B4" t="s">
        <v>628</v>
      </c>
      <c r="C4" s="734">
        <f>D4</f>
        <v>4000</v>
      </c>
      <c r="D4" s="734">
        <f>IF(AND(ОЛ_ЕМКОСТИ!E19&lt;&gt;"",ОЛ_ЕМКОСТИ!E29&lt;&gt;""),ОЛ_ЕМКОСТИ!E29,IF(ОЛ_ЕМКОСТИ!$E$19="",ОЛ_ЕМКОСТИ!$E$29,IF(AND(ОЛ_ЕМКОСТИ!$E$19&lt;&gt;"",ОЛ_ЕМКОСТИ!$E$29=""),CEILING((4*I4/(PI()*(('Калькулятор ЕМК'!$G$5/1000)^2)))*1000,100))))</f>
        <v>4000</v>
      </c>
      <c r="E4" s="734"/>
      <c r="H4">
        <v>0</v>
      </c>
      <c r="I4" s="735">
        <f>IF(AND(ОЛ_ЕМКОСТИ!E19&lt;&gt;"",ОЛ_ЕМКОСТИ!E29&lt;&gt;""),ОЛ_ЕМКОСТИ!E19,IF(ОЛ_ЕМКОСТИ!$E$19=0,ROUNDUP((D4/1000*PI()*(('Калькулятор ЕМК'!$G$5/1000)^2))/4,),ОЛ_ЕМКОСТИ!E19))</f>
        <v>100</v>
      </c>
      <c r="J4" s="734">
        <f>ОЛ_ЕМКОСТИ!$E$40</f>
        <v>1200</v>
      </c>
      <c r="K4" s="734">
        <f>ОЛ_ЕМКОСТИ!$E$41</f>
        <v>2000</v>
      </c>
      <c r="L4" s="737">
        <f>D4</f>
        <v>4000</v>
      </c>
    </row>
    <row r="5" spans="2:12">
      <c r="B5" t="s">
        <v>629</v>
      </c>
      <c r="C5" s="734">
        <f>E5</f>
        <v>4000</v>
      </c>
      <c r="D5" s="734"/>
      <c r="E5" s="734">
        <f>IF(AND(ОЛ_ЕМКОСТИ!E19&lt;&gt;"",ОЛ_ЕМКОСТИ!E29&lt;&gt;""),ОЛ_ЕМКОСТИ!E29,IF(ОЛ_ЕМКОСТИ!$E$19="",ОЛ_ЕМКОСТИ!$E$29,IF(AND(ОЛ_ЕМКОСТИ!$E$19&lt;&gt;"",ОЛ_ЕМКОСТИ!$E$29=""),CEILING((4*I4/(PI()*(('Калькулятор ЕМК'!$G$5/1000)^2)))*1000,100))))</f>
        <v>4000</v>
      </c>
      <c r="H5">
        <v>0</v>
      </c>
      <c r="I5" s="735">
        <f>IF(AND(ОЛ_ЕМКОСТИ!E19&lt;&gt;"",ОЛ_ЕМКОСТИ!E29&lt;&gt;""),ОЛ_ЕМКОСТИ!E19,IF(ОЛ_ЕМКОСТИ!$E$19=0,ROUNDUP((E5/1000*PI()*(('Калькулятор ЕМК'!$G$5/1000)^2))/4,),ОЛ_ЕМКОСТИ!E19))</f>
        <v>100</v>
      </c>
      <c r="J5">
        <v>0</v>
      </c>
      <c r="K5">
        <v>0</v>
      </c>
      <c r="L5" s="737">
        <f>E5</f>
        <v>4000</v>
      </c>
    </row>
    <row r="6" spans="2:12">
      <c r="B6" t="s">
        <v>630</v>
      </c>
      <c r="C6" s="743">
        <f>F6</f>
        <v>13400</v>
      </c>
      <c r="F6" s="743">
        <f>IF(AND(ОЛ_ЕМКОСТИ!E19&lt;&gt;"",ОЛ_ЕМКОСТИ!E28&lt;&gt;""),ОЛ_ЕМКОСТИ!E28,IF(ОЛ_ЕМКОСТИ!$E$19="",ОЛ_ЕМКОСТИ!$E$28,IF(AND(ОЛ_ЕМКОСТИ!E19&lt;&gt;"",ОЛ_ЕМКОСТИ!E28=""),CEILING((4*(I6-'Калькулятор ЕМК'!$L$5)/(PI()*(('Калькулятор ЕМК'!$G$5/1000)^2)))*1000,100))))</f>
        <v>13400</v>
      </c>
      <c r="G6" s="743"/>
      <c r="H6" s="734">
        <f>ОЛ_ЕМКОСТИ!$E$26</f>
        <v>300</v>
      </c>
      <c r="I6" s="735">
        <f>IF(AND(ОЛ_ЕМКОСТИ!E19&lt;&gt;"",ОЛ_ЕМКОСТИ!E28&lt;&gt;""),ОЛ_ЕМКОСТИ!E19,IF(ОЛ_ЕМКОСТИ!$E$19=0,ROUNDUP((F6/1000*PI()*(('Калькулятор ЕМК'!$G$5/1000)^2))/4+'Калькулятор ЕМК'!L5,),ОЛ_ЕМКОСТИ!E19))</f>
        <v>100</v>
      </c>
      <c r="J6" s="734">
        <f>ОЛ_ЕМКОСТИ!$E$40</f>
        <v>1200</v>
      </c>
      <c r="K6" s="736">
        <f>ОЛ_ЕМКОСТИ!$E$41+H6</f>
        <v>2300</v>
      </c>
      <c r="L6" s="744">
        <f>F6</f>
        <v>13400</v>
      </c>
    </row>
    <row r="7" spans="2:12">
      <c r="B7" t="s">
        <v>631</v>
      </c>
      <c r="C7" s="743">
        <f>G7</f>
        <v>13400</v>
      </c>
      <c r="F7" s="743"/>
      <c r="G7" s="745">
        <f>IF(AND(ОЛ_ЕМКОСТИ!E19&lt;&gt;"",ОЛ_ЕМКОСТИ!E28&lt;&gt;""),ОЛ_ЕМКОСТИ!E28,IF(ОЛ_ЕМКОСТИ!$E$19="",ОЛ_ЕМКОСТИ!$E$28,CEILING((4*(I7-'Калькулятор ЕМК'!$L$5)/(PI()*(('Калькулятор ЕМК'!$G$5/1000)^2)))*1000,100)))</f>
        <v>13400</v>
      </c>
      <c r="H7" s="734">
        <f>ОЛ_ЕМКОСТИ!$E$26</f>
        <v>300</v>
      </c>
      <c r="I7" s="735">
        <f>IF(AND(ОЛ_ЕМКОСТИ!E19&lt;&gt;"",ОЛ_ЕМКОСТИ!E28&lt;&gt;""),ОЛ_ЕМКОСТИ!E19,IF(ОЛ_ЕМКОСТИ!$E$19=0,ROUNDUP((G7/1000*PI()*(('Калькулятор ЕМК'!$G$5/1000)^2))/4+'Калькулятор ЕМК'!L5,),ОЛ_ЕМКОСТИ!E19))</f>
        <v>100</v>
      </c>
      <c r="J7">
        <v>0</v>
      </c>
      <c r="K7">
        <v>0</v>
      </c>
      <c r="L7" s="744">
        <f>G7</f>
        <v>13400</v>
      </c>
    </row>
    <row r="8" spans="2:12">
      <c r="B8" t="s">
        <v>632</v>
      </c>
      <c r="C8" s="743">
        <f>F8+'Калькулятор ЕМК'!G5/2</f>
        <v>14900</v>
      </c>
      <c r="F8" s="743">
        <f>IF(AND(ОЛ_ЕМКОСТИ!E19&lt;&gt;"",ОЛ_ЕМКОСТИ!E28&lt;&gt;""),ОЛ_ЕМКОСТИ!E28,IF(ОЛ_ЕМКОСТИ!$E$19="",ОЛ_ЕМКОСТИ!$E$28,IF(AND(ОЛ_ЕМКОСТИ!E19&lt;&gt;"",ОЛ_ЕМКОСТИ!E28=""),CEILING((4*(I8-'Калькулятор ЕМК'!$L$5)/(PI()*(('Калькулятор ЕМК'!$G$5/1000)^2)))*1000,100))))</f>
        <v>13400</v>
      </c>
      <c r="G8" s="743"/>
      <c r="H8" s="734">
        <v>0</v>
      </c>
      <c r="I8" s="735">
        <f>IF(AND(ОЛ_ЕМКОСТИ!E19&lt;&gt;"",ОЛ_ЕМКОСТИ!E28&lt;&gt;""),ОЛ_ЕМКОСТИ!E19,IF(ОЛ_ЕМКОСТИ!$E$19=0,ROUNDUP((F8/1000*PI()*(('Калькулятор ЕМК'!$G$5/1000)^2))/4+'Калькулятор ЕМК'!L5,),ОЛ_ЕМКОСТИ!E19))</f>
        <v>100</v>
      </c>
      <c r="J8" s="734">
        <f>ОЛ_ЕМКОСТИ!$E$40</f>
        <v>1200</v>
      </c>
      <c r="K8" s="734">
        <f>ОЛ_ЕМКОСТИ!$E$41</f>
        <v>2000</v>
      </c>
      <c r="L8" s="744">
        <f>F8</f>
        <v>13400</v>
      </c>
    </row>
    <row r="9" spans="2:12">
      <c r="B9" t="s">
        <v>633</v>
      </c>
      <c r="C9" s="743">
        <f>G9+'Калькулятор ЕМК'!G5/2</f>
        <v>14900</v>
      </c>
      <c r="F9" s="743"/>
      <c r="G9" s="743">
        <f>IF(AND(ОЛ_ЕМКОСТИ!E19&lt;&gt;"",ОЛ_ЕМКОСТИ!E28&lt;&gt;""),ОЛ_ЕМКОСТИ!E28,IF(ОЛ_ЕМКОСТИ!$E$19="",ОЛ_ЕМКОСТИ!$E$28,CEILING((4*(I9-'Калькулятор ЕМК'!$L$5)/(PI()*(('Калькулятор ЕМК'!$G$5/1000)^2)))*1000,100)))</f>
        <v>13400</v>
      </c>
      <c r="H9" s="734">
        <v>0</v>
      </c>
      <c r="I9" s="735">
        <f>IF(AND(ОЛ_ЕМКОСТИ!E19&lt;&gt;"",ОЛ_ЕМКОСТИ!E28&lt;&gt;""),ОЛ_ЕМКОСТИ!E19,IF(ОЛ_ЕМКОСТИ!$E$19=0,ROUNDUP((G9/1000*PI()*(('Калькулятор ЕМК'!$G$5/1000)^2))/4+'Калькулятор ЕМК'!L5,),ОЛ_ЕМКОСТИ!E19))</f>
        <v>100</v>
      </c>
      <c r="J9">
        <v>0</v>
      </c>
      <c r="K9">
        <v>0</v>
      </c>
      <c r="L9" s="744">
        <f>G9</f>
        <v>13400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U86"/>
  <sheetViews>
    <sheetView showGridLines="0" view="pageBreakPreview" topLeftCell="A48" zoomScale="90" zoomScaleSheetLayoutView="90" workbookViewId="0">
      <selection activeCell="H57" sqref="H57:H58"/>
    </sheetView>
  </sheetViews>
  <sheetFormatPr defaultColWidth="8.7109375" defaultRowHeight="14.45" customHeight="1" outlineLevelRow="2"/>
  <cols>
    <col min="1" max="2" width="2.140625" customWidth="1"/>
    <col min="3" max="3" width="40.5703125" customWidth="1"/>
    <col min="4" max="4" width="16.42578125" customWidth="1"/>
    <col min="5" max="5" width="32.28515625" style="603" customWidth="1"/>
    <col min="6" max="6" width="13" customWidth="1"/>
    <col min="7" max="7" width="9.28515625" customWidth="1"/>
    <col min="8" max="8" width="39.85546875" customWidth="1"/>
    <col min="9" max="9" width="31.85546875" customWidth="1"/>
    <col min="10" max="10" width="8.140625" customWidth="1"/>
    <col min="11" max="11" width="3.85546875" customWidth="1"/>
    <col min="12" max="12" width="3.140625" customWidth="1"/>
    <col min="13" max="13" width="38" customWidth="1"/>
    <col min="14" max="14" width="10.42578125" bestFit="1" customWidth="1"/>
  </cols>
  <sheetData>
    <row r="1" spans="1:10" ht="78" customHeight="1">
      <c r="A1" s="604"/>
      <c r="B1" s="1409" t="s">
        <v>1932</v>
      </c>
      <c r="C1" s="1410"/>
      <c r="D1" s="1410"/>
      <c r="E1" s="1410"/>
      <c r="F1" s="1410"/>
      <c r="G1" s="1410"/>
      <c r="H1" s="1410"/>
      <c r="I1" s="1410"/>
      <c r="J1" s="40"/>
    </row>
    <row r="2" spans="1:10" ht="14.45" customHeight="1">
      <c r="A2" s="5"/>
      <c r="B2" s="5"/>
      <c r="C2" s="42"/>
      <c r="D2" s="42"/>
      <c r="E2" s="43"/>
      <c r="F2" s="42"/>
      <c r="G2" s="42"/>
      <c r="H2" s="42"/>
      <c r="I2" s="604"/>
      <c r="J2" s="604"/>
    </row>
    <row r="3" spans="1:10" ht="14.45" customHeight="1">
      <c r="A3" s="5"/>
      <c r="B3" s="5"/>
      <c r="C3" s="42"/>
      <c r="D3" s="42"/>
      <c r="E3" s="43"/>
      <c r="F3" s="42"/>
      <c r="G3" s="42"/>
      <c r="H3" s="42"/>
      <c r="I3" s="604"/>
      <c r="J3" s="604"/>
    </row>
    <row r="4" spans="1:10" ht="15.75">
      <c r="A4" s="5"/>
      <c r="B4" s="5"/>
      <c r="C4" s="1343" t="s">
        <v>634</v>
      </c>
      <c r="D4" s="1343"/>
      <c r="E4" s="1343"/>
      <c r="F4" s="1343"/>
      <c r="G4" s="1343"/>
      <c r="H4" s="1343"/>
      <c r="I4" s="1343"/>
      <c r="J4" s="604"/>
    </row>
    <row r="5" spans="1:10" ht="15.75">
      <c r="A5" s="5"/>
      <c r="B5" s="5"/>
      <c r="C5" s="46"/>
      <c r="D5" s="46"/>
      <c r="E5" s="46"/>
      <c r="F5" s="46"/>
      <c r="G5" s="46"/>
      <c r="H5" s="46"/>
      <c r="I5" s="47"/>
      <c r="J5" s="47"/>
    </row>
    <row r="6" spans="1:10" ht="15.75">
      <c r="A6" s="5"/>
      <c r="B6" s="5"/>
      <c r="C6" s="49" t="s">
        <v>241</v>
      </c>
      <c r="D6" s="49"/>
      <c r="E6" s="50" t="s">
        <v>1935</v>
      </c>
      <c r="F6" s="46"/>
      <c r="G6" s="46"/>
      <c r="H6" s="46"/>
      <c r="I6" s="47"/>
      <c r="J6" s="47"/>
    </row>
    <row r="7" spans="1:10" ht="15.75">
      <c r="A7" s="5"/>
      <c r="B7" s="5"/>
      <c r="C7" s="49" t="s">
        <v>635</v>
      </c>
      <c r="D7" s="51"/>
      <c r="E7" s="54" t="s">
        <v>1936</v>
      </c>
      <c r="F7" s="47"/>
      <c r="G7" s="47"/>
    </row>
    <row r="8" spans="1:10" ht="15.75">
      <c r="A8" s="5"/>
      <c r="B8" s="5"/>
      <c r="C8" s="49" t="s">
        <v>243</v>
      </c>
      <c r="D8" s="51" t="s">
        <v>244</v>
      </c>
      <c r="E8" s="54" t="s">
        <v>146</v>
      </c>
      <c r="F8" s="47"/>
      <c r="G8" s="47"/>
    </row>
    <row r="9" spans="1:10" ht="30">
      <c r="A9" s="5"/>
      <c r="B9" s="5"/>
      <c r="C9" s="605" t="s">
        <v>245</v>
      </c>
      <c r="D9" s="51" t="s">
        <v>244</v>
      </c>
      <c r="E9" s="54"/>
      <c r="F9" s="47"/>
      <c r="G9" s="47"/>
    </row>
    <row r="10" spans="1:10" ht="15.75">
      <c r="A10" s="5"/>
      <c r="B10" s="5"/>
      <c r="C10" s="49"/>
      <c r="D10" s="51" t="s">
        <v>244</v>
      </c>
      <c r="E10" s="52"/>
      <c r="F10" s="47"/>
      <c r="G10" s="47"/>
    </row>
    <row r="11" spans="1:10" ht="15.75">
      <c r="A11" s="5"/>
      <c r="B11" s="5"/>
      <c r="C11" s="49"/>
      <c r="D11" s="51" t="s">
        <v>244</v>
      </c>
      <c r="E11" s="54"/>
      <c r="F11" s="47"/>
      <c r="G11" s="47"/>
    </row>
    <row r="12" spans="1:10" ht="15.75">
      <c r="A12" s="5"/>
      <c r="B12" s="5"/>
      <c r="C12" s="49" t="s">
        <v>246</v>
      </c>
      <c r="D12" s="49"/>
      <c r="E12" s="960"/>
      <c r="F12" s="47"/>
      <c r="G12" s="47"/>
    </row>
    <row r="13" spans="1:10" ht="15.75">
      <c r="A13" s="5"/>
      <c r="B13" s="5"/>
      <c r="C13" s="49" t="s">
        <v>247</v>
      </c>
      <c r="D13" s="49"/>
      <c r="E13" s="960"/>
      <c r="F13" s="47"/>
      <c r="G13" s="47"/>
      <c r="H13" s="47"/>
      <c r="I13" s="47"/>
      <c r="J13" s="47"/>
    </row>
    <row r="14" spans="1:10" ht="15.75">
      <c r="A14" s="5"/>
      <c r="B14" s="5"/>
      <c r="C14" s="56" t="s">
        <v>248</v>
      </c>
      <c r="D14" s="56"/>
      <c r="E14" s="1044" t="s">
        <v>116</v>
      </c>
      <c r="F14" s="47"/>
      <c r="G14" s="47"/>
      <c r="H14" s="47"/>
      <c r="I14" s="47"/>
      <c r="J14" s="47"/>
    </row>
    <row r="15" spans="1:10" ht="15.75">
      <c r="A15" s="5"/>
      <c r="B15" s="5"/>
      <c r="C15" s="49" t="s">
        <v>249</v>
      </c>
      <c r="D15" s="42"/>
      <c r="E15" s="960"/>
      <c r="F15" s="47"/>
      <c r="G15" s="47"/>
      <c r="H15" s="47"/>
      <c r="I15" s="47"/>
      <c r="J15" s="47"/>
    </row>
    <row r="16" spans="1:10" ht="15.75">
      <c r="A16" s="5"/>
      <c r="B16" s="5"/>
      <c r="C16" s="49" t="s">
        <v>250</v>
      </c>
      <c r="D16" s="42"/>
      <c r="E16" s="1043"/>
      <c r="F16" s="47"/>
      <c r="G16" s="47"/>
      <c r="H16" s="47"/>
      <c r="I16" s="47"/>
      <c r="J16" s="47"/>
    </row>
    <row r="17" spans="1:10" ht="15.75">
      <c r="A17" s="5"/>
      <c r="B17" s="5"/>
      <c r="C17" s="56"/>
      <c r="D17" s="56"/>
      <c r="E17" s="746"/>
      <c r="F17" s="47"/>
      <c r="G17" s="47"/>
      <c r="H17" s="47"/>
      <c r="I17" s="47"/>
      <c r="J17" s="47"/>
    </row>
    <row r="18" spans="1:10" ht="15.75">
      <c r="C18" s="60" t="s">
        <v>636</v>
      </c>
      <c r="D18" s="46"/>
      <c r="E18" s="58"/>
      <c r="F18" s="47"/>
      <c r="G18" s="47"/>
      <c r="H18" s="47"/>
      <c r="I18" s="47"/>
      <c r="J18" s="47"/>
    </row>
    <row r="19" spans="1:10" ht="15.75">
      <c r="C19" s="58"/>
      <c r="D19" s="46"/>
      <c r="E19" s="58"/>
      <c r="F19" s="47"/>
      <c r="G19" s="47"/>
      <c r="H19" s="47"/>
      <c r="I19" s="47"/>
      <c r="J19" s="47"/>
    </row>
    <row r="20" spans="1:10" ht="24" customHeight="1">
      <c r="C20" s="56" t="s">
        <v>524</v>
      </c>
      <c r="D20" s="56"/>
      <c r="E20" s="62">
        <v>3000</v>
      </c>
      <c r="F20" s="47"/>
      <c r="G20" s="47"/>
    </row>
    <row r="21" spans="1:10" ht="18.75" customHeight="1">
      <c r="C21" s="56" t="s">
        <v>253</v>
      </c>
      <c r="D21" s="56"/>
      <c r="E21" s="63">
        <v>0.1</v>
      </c>
      <c r="F21" s="47"/>
      <c r="G21" s="47"/>
    </row>
    <row r="22" spans="1:10" ht="22.5" customHeight="1">
      <c r="C22" s="56" t="s">
        <v>254</v>
      </c>
      <c r="D22" s="56"/>
      <c r="E22" s="62">
        <v>10000</v>
      </c>
      <c r="F22" s="47"/>
      <c r="G22" s="47"/>
    </row>
    <row r="23" spans="1:10" ht="23.25" customHeight="1">
      <c r="C23" s="64" t="s">
        <v>526</v>
      </c>
      <c r="D23" s="65" t="str">
        <f>IF(C23="Производство","Общий метраж выпуска →","Номер заказа →")</f>
        <v>Общий метраж выпуска →</v>
      </c>
      <c r="E23" s="66"/>
      <c r="F23" s="47"/>
      <c r="G23" s="47"/>
    </row>
    <row r="24" spans="1:10" ht="26.25" customHeight="1">
      <c r="C24" s="49" t="s">
        <v>1937</v>
      </c>
      <c r="D24" s="56"/>
      <c r="E24" s="1278">
        <f>P46</f>
        <v>11500</v>
      </c>
      <c r="F24" s="67"/>
      <c r="G24" s="1020" t="s">
        <v>2020</v>
      </c>
    </row>
    <row r="25" spans="1:10" ht="37.5" customHeight="1">
      <c r="C25" s="56" t="s">
        <v>637</v>
      </c>
      <c r="D25" s="56"/>
      <c r="E25" s="67">
        <v>300</v>
      </c>
      <c r="F25" s="1020" t="s">
        <v>1938</v>
      </c>
      <c r="G25" s="47"/>
      <c r="H25" s="68"/>
      <c r="I25" s="69"/>
      <c r="J25" s="89"/>
    </row>
    <row r="26" spans="1:10" ht="15.75">
      <c r="C26" s="68" t="s">
        <v>257</v>
      </c>
      <c r="D26" s="69"/>
      <c r="E26" s="747" t="s">
        <v>150</v>
      </c>
      <c r="F26" s="47"/>
      <c r="G26" s="47"/>
      <c r="H26" s="68"/>
      <c r="I26" s="69"/>
      <c r="J26" s="89"/>
    </row>
    <row r="27" spans="1:10" ht="21.75" customHeight="1">
      <c r="C27" s="68" t="s">
        <v>1939</v>
      </c>
      <c r="D27" s="69"/>
      <c r="E27" s="70" t="s">
        <v>115</v>
      </c>
      <c r="F27" s="1229"/>
      <c r="G27" s="47"/>
      <c r="H27" s="68"/>
      <c r="I27" s="69"/>
      <c r="J27" s="89"/>
    </row>
    <row r="28" spans="1:10" ht="15.75">
      <c r="C28" s="68"/>
      <c r="D28" s="69"/>
      <c r="E28" s="89"/>
      <c r="F28" s="47"/>
      <c r="G28" s="47"/>
      <c r="H28" s="68"/>
      <c r="I28" s="69"/>
      <c r="J28" s="89"/>
    </row>
    <row r="29" spans="1:10" ht="15.75">
      <c r="C29" s="60" t="s">
        <v>263</v>
      </c>
      <c r="D29" s="61"/>
      <c r="E29" s="47"/>
      <c r="F29" s="47"/>
      <c r="G29" s="47"/>
      <c r="H29" s="47"/>
      <c r="I29" s="47"/>
      <c r="J29" s="47"/>
    </row>
    <row r="30" spans="1:10" ht="15.75">
      <c r="C30" s="61"/>
      <c r="D30" s="61"/>
      <c r="E30" s="47"/>
      <c r="F30" s="47"/>
      <c r="G30" s="47"/>
      <c r="H30" s="47"/>
      <c r="I30" s="47"/>
      <c r="J30" s="47"/>
    </row>
    <row r="31" spans="1:10" ht="15.75">
      <c r="C31" s="68" t="s">
        <v>112</v>
      </c>
      <c r="D31" s="69"/>
      <c r="E31" s="748" t="s">
        <v>147</v>
      </c>
      <c r="F31" s="47"/>
      <c r="G31" s="47"/>
      <c r="H31" s="47"/>
      <c r="I31" s="47"/>
      <c r="J31" s="47"/>
    </row>
    <row r="32" spans="1:10" ht="15.75">
      <c r="C32" s="68" t="s">
        <v>113</v>
      </c>
      <c r="D32" s="69"/>
      <c r="E32" s="747" t="str">
        <f>VLOOKUP(E31,Списки!$BH$1:$BI$4,2,)</f>
        <v>ИЗО</v>
      </c>
      <c r="F32" s="47"/>
      <c r="G32" s="47"/>
      <c r="H32" s="47"/>
      <c r="I32" s="47"/>
      <c r="J32" s="47"/>
    </row>
    <row r="33" spans="3:21" ht="18">
      <c r="C33" s="68" t="s">
        <v>264</v>
      </c>
      <c r="D33" s="69"/>
      <c r="E33" s="747"/>
      <c r="F33" s="47"/>
      <c r="G33" s="47"/>
      <c r="H33" s="47"/>
      <c r="I33" s="47"/>
      <c r="J33" s="47"/>
    </row>
    <row r="34" spans="3:21" ht="15.75">
      <c r="C34" s="68" t="s">
        <v>265</v>
      </c>
      <c r="D34" s="69"/>
      <c r="E34" s="747" t="s">
        <v>2082</v>
      </c>
      <c r="F34" s="47"/>
      <c r="G34" s="47"/>
      <c r="H34" s="47"/>
      <c r="I34" s="47"/>
      <c r="J34" s="47"/>
      <c r="K34" s="47"/>
    </row>
    <row r="35" spans="3:21" ht="15.75">
      <c r="C35" s="68" t="s">
        <v>267</v>
      </c>
      <c r="D35" s="69"/>
      <c r="E35" s="747"/>
      <c r="F35" s="47"/>
      <c r="G35" s="47"/>
      <c r="H35" s="47"/>
      <c r="I35" s="47"/>
      <c r="J35" s="47"/>
      <c r="K35" s="47"/>
    </row>
    <row r="36" spans="3:21" ht="15.75">
      <c r="C36" s="73"/>
      <c r="D36" s="73"/>
      <c r="E36" s="59"/>
      <c r="F36" s="47"/>
      <c r="G36" s="47"/>
      <c r="H36" s="47"/>
      <c r="I36" s="47"/>
      <c r="J36" s="47"/>
      <c r="K36" s="47"/>
    </row>
    <row r="37" spans="3:21" ht="15.75">
      <c r="C37" s="60" t="s">
        <v>268</v>
      </c>
      <c r="D37" s="61"/>
      <c r="E37" s="58"/>
      <c r="F37" s="47"/>
      <c r="G37" s="47"/>
      <c r="H37" s="47"/>
      <c r="I37" s="47"/>
      <c r="J37" s="47"/>
      <c r="K37" s="47"/>
    </row>
    <row r="38" spans="3:21" ht="15.75">
      <c r="C38" s="61"/>
      <c r="D38" s="61"/>
      <c r="E38" s="58"/>
      <c r="F38" s="47"/>
      <c r="G38" s="47"/>
      <c r="H38" s="47"/>
      <c r="I38" s="47"/>
      <c r="J38" s="47"/>
      <c r="K38" s="47"/>
    </row>
    <row r="39" spans="3:21" ht="15.75">
      <c r="C39" s="82" t="s">
        <v>638</v>
      </c>
      <c r="D39" s="620"/>
      <c r="E39" s="620"/>
      <c r="F39" s="47"/>
      <c r="G39" s="74" t="s">
        <v>639</v>
      </c>
      <c r="H39" s="49"/>
      <c r="I39" s="620"/>
      <c r="J39" s="47"/>
      <c r="K39" s="47"/>
    </row>
    <row r="40" spans="3:21" ht="24" customHeight="1">
      <c r="C40" s="49" t="s">
        <v>640</v>
      </c>
      <c r="D40" s="49"/>
      <c r="E40" s="66" t="s">
        <v>124</v>
      </c>
      <c r="F40" s="47"/>
      <c r="G40" s="49" t="s">
        <v>641</v>
      </c>
      <c r="H40" s="49"/>
      <c r="I40" s="66" t="s">
        <v>124</v>
      </c>
      <c r="J40" s="47"/>
      <c r="K40" s="47"/>
      <c r="M40" s="1242" t="s">
        <v>642</v>
      </c>
      <c r="N40" s="1243">
        <f>(E51)/(4*P40*E55)</f>
        <v>2.0124</v>
      </c>
      <c r="O40" s="1244" t="s">
        <v>643</v>
      </c>
      <c r="P40" s="1245">
        <v>5</v>
      </c>
      <c r="Q40" s="1246">
        <v>10</v>
      </c>
      <c r="R40" s="1247">
        <v>20</v>
      </c>
      <c r="S40" s="1248" t="s">
        <v>644</v>
      </c>
      <c r="T40" s="1249"/>
      <c r="U40" s="1249"/>
    </row>
    <row r="41" spans="3:21" ht="33" customHeight="1">
      <c r="C41" s="1344" t="s">
        <v>645</v>
      </c>
      <c r="D41" s="1345"/>
      <c r="E41" s="1276">
        <v>9910</v>
      </c>
      <c r="F41" s="1272">
        <f>162.1-152.19</f>
        <v>9.9099999999999966</v>
      </c>
      <c r="G41" s="1344" t="s">
        <v>646</v>
      </c>
      <c r="H41" s="1345"/>
      <c r="I41" s="1276">
        <v>2300</v>
      </c>
      <c r="J41" s="1273">
        <f>162.1-159.8</f>
        <v>2.2999999999999829</v>
      </c>
      <c r="K41" s="47"/>
      <c r="M41" s="1244" t="s">
        <v>647</v>
      </c>
      <c r="N41" s="1250">
        <f>(E51/2)*P41/60</f>
        <v>3.3539999999999996</v>
      </c>
      <c r="O41" s="1244" t="s">
        <v>643</v>
      </c>
      <c r="P41" s="1251">
        <v>5</v>
      </c>
      <c r="Q41" s="1252">
        <v>10</v>
      </c>
      <c r="R41" s="1253">
        <v>20</v>
      </c>
      <c r="S41" s="1248" t="s">
        <v>648</v>
      </c>
      <c r="T41" s="1249"/>
      <c r="U41" s="1249"/>
    </row>
    <row r="42" spans="3:21" ht="27.95" customHeight="1">
      <c r="C42" s="1344" t="s">
        <v>649</v>
      </c>
      <c r="D42" s="1345"/>
      <c r="E42" s="622">
        <v>400</v>
      </c>
      <c r="F42" s="47"/>
      <c r="G42" s="1344" t="s">
        <v>650</v>
      </c>
      <c r="H42" s="1345"/>
      <c r="I42" s="622">
        <v>150</v>
      </c>
      <c r="J42" s="47"/>
      <c r="K42" s="47"/>
      <c r="M42" s="1244" t="s">
        <v>651</v>
      </c>
      <c r="N42" s="1250">
        <f>N41</f>
        <v>3.3539999999999996</v>
      </c>
      <c r="O42" s="1244" t="s">
        <v>643</v>
      </c>
      <c r="P42" s="1249"/>
      <c r="Q42" s="1249"/>
      <c r="R42" s="1249"/>
      <c r="S42" s="1249"/>
      <c r="T42" s="1249"/>
      <c r="U42" s="1249"/>
    </row>
    <row r="43" spans="3:21" ht="33" customHeight="1">
      <c r="C43" s="56" t="s">
        <v>652</v>
      </c>
      <c r="D43" s="49"/>
      <c r="E43" s="66"/>
      <c r="F43" s="1025"/>
      <c r="G43" s="1344" t="s">
        <v>653</v>
      </c>
      <c r="H43" s="1345"/>
      <c r="I43" s="622"/>
      <c r="J43" s="1025"/>
      <c r="K43" s="47"/>
      <c r="L43" s="1025"/>
      <c r="M43" s="1249"/>
      <c r="N43" s="1249"/>
      <c r="O43" s="1249"/>
      <c r="P43" s="1249"/>
      <c r="Q43" s="1249"/>
      <c r="R43" s="1249"/>
      <c r="S43" s="1249"/>
      <c r="T43" s="1249"/>
      <c r="U43" s="1249"/>
    </row>
    <row r="44" spans="3:21" ht="24.75" customHeight="1">
      <c r="C44" s="49" t="s">
        <v>654</v>
      </c>
      <c r="D44" s="49"/>
      <c r="E44" s="52">
        <v>1</v>
      </c>
      <c r="F44" s="47"/>
      <c r="G44" s="49" t="s">
        <v>655</v>
      </c>
      <c r="H44" s="49"/>
      <c r="I44" s="622">
        <v>2</v>
      </c>
      <c r="J44" s="47"/>
      <c r="K44" s="47"/>
      <c r="M44" s="1244" t="s">
        <v>656</v>
      </c>
      <c r="N44" s="1254">
        <f>4*N42/(PI()*POWER(E20/1000,2))</f>
        <v>0.47449393700463727</v>
      </c>
      <c r="O44" s="1244" t="s">
        <v>163</v>
      </c>
      <c r="P44" s="1249"/>
      <c r="Q44" s="1249"/>
      <c r="R44" s="1249"/>
      <c r="S44" s="1249"/>
      <c r="T44" s="1249"/>
      <c r="U44" s="1249"/>
    </row>
    <row r="45" spans="3:21" ht="30.75" thickBot="1">
      <c r="C45" s="1344" t="s">
        <v>657</v>
      </c>
      <c r="D45" s="1345"/>
      <c r="E45" s="66" t="s">
        <v>139</v>
      </c>
      <c r="F45" s="47"/>
      <c r="G45" s="49" t="s">
        <v>658</v>
      </c>
      <c r="H45" s="49"/>
      <c r="I45" s="52" t="s">
        <v>123</v>
      </c>
      <c r="J45" s="750"/>
      <c r="K45" s="750"/>
      <c r="M45" s="1244" t="s">
        <v>659</v>
      </c>
      <c r="N45" s="1254">
        <f>N44+0.3+N50+N47</f>
        <v>1.5344939370046373</v>
      </c>
      <c r="O45" s="1244" t="s">
        <v>163</v>
      </c>
      <c r="P45" s="1248" t="s">
        <v>660</v>
      </c>
      <c r="Q45" s="1249"/>
      <c r="R45" s="1249"/>
      <c r="S45" s="1249"/>
      <c r="T45" s="1249"/>
      <c r="U45" s="1249"/>
    </row>
    <row r="46" spans="3:21" ht="35.25" customHeight="1" thickBot="1">
      <c r="C46" s="49" t="s">
        <v>282</v>
      </c>
      <c r="D46" s="49"/>
      <c r="E46" s="66" t="s">
        <v>122</v>
      </c>
      <c r="F46" s="47"/>
      <c r="G46" s="49" t="s">
        <v>661</v>
      </c>
      <c r="H46" s="49"/>
      <c r="I46" s="66">
        <v>7</v>
      </c>
      <c r="J46" s="47"/>
      <c r="K46" s="47"/>
      <c r="M46" s="1244" t="s">
        <v>662</v>
      </c>
      <c r="N46" s="1255">
        <f>E41/1000+N45</f>
        <v>11.444493937004637</v>
      </c>
      <c r="O46" s="1245" t="s">
        <v>663</v>
      </c>
      <c r="P46" s="1256">
        <f>ROUNDUP(N46*1000,-2)</f>
        <v>11500</v>
      </c>
      <c r="Q46" s="1249"/>
      <c r="R46" s="1249"/>
      <c r="S46" s="1249"/>
      <c r="T46" s="1249"/>
      <c r="U46" s="1249"/>
    </row>
    <row r="47" spans="3:21" ht="60">
      <c r="C47" s="56" t="s">
        <v>664</v>
      </c>
      <c r="D47" s="49"/>
      <c r="E47" s="66" t="s">
        <v>115</v>
      </c>
      <c r="F47" s="47"/>
      <c r="G47" s="49" t="s">
        <v>665</v>
      </c>
      <c r="H47" s="49"/>
      <c r="I47" s="66" t="s">
        <v>115</v>
      </c>
      <c r="J47" s="1224">
        <v>1</v>
      </c>
      <c r="K47" s="47"/>
      <c r="M47" s="1257" t="s">
        <v>2130</v>
      </c>
      <c r="N47" s="1277">
        <v>0.6</v>
      </c>
      <c r="O47" s="1244" t="s">
        <v>163</v>
      </c>
      <c r="P47" s="1249"/>
      <c r="Q47" s="1249"/>
      <c r="R47" s="1249"/>
      <c r="S47" s="1249"/>
      <c r="T47" s="1249"/>
      <c r="U47" s="1249"/>
    </row>
    <row r="48" spans="3:21" ht="33" customHeight="1">
      <c r="C48" s="49"/>
      <c r="D48" s="49"/>
      <c r="E48" s="746"/>
      <c r="F48" s="47"/>
      <c r="G48" s="49" t="s">
        <v>2085</v>
      </c>
      <c r="H48" s="49"/>
      <c r="I48" s="66" t="s">
        <v>150</v>
      </c>
      <c r="J48" s="1224">
        <v>1</v>
      </c>
      <c r="K48" s="47"/>
      <c r="M48" s="1259" t="s">
        <v>2124</v>
      </c>
      <c r="N48" s="1260">
        <f>N47+N50</f>
        <v>0.76</v>
      </c>
      <c r="O48" s="1244" t="s">
        <v>163</v>
      </c>
      <c r="P48" s="1249"/>
      <c r="Q48" s="1249"/>
      <c r="R48" s="1249"/>
      <c r="S48" s="1249"/>
      <c r="T48" s="1249"/>
      <c r="U48" s="1249"/>
    </row>
    <row r="49" spans="3:21" ht="28.5" customHeight="1">
      <c r="C49" s="60" t="s">
        <v>666</v>
      </c>
      <c r="D49" s="61"/>
      <c r="E49" s="58"/>
      <c r="F49" s="610"/>
      <c r="G49" s="47"/>
      <c r="H49" s="47"/>
      <c r="I49" s="47"/>
      <c r="J49" s="47"/>
      <c r="K49" s="47"/>
      <c r="M49" s="1261" t="s">
        <v>2053</v>
      </c>
      <c r="N49" s="1262">
        <f>P46/1000-N47-N50-I41/1000</f>
        <v>8.4400000000000013</v>
      </c>
      <c r="O49" s="1244" t="s">
        <v>163</v>
      </c>
      <c r="P49" s="1249"/>
      <c r="Q49" s="1249"/>
      <c r="R49" s="1249"/>
      <c r="S49" s="1249"/>
      <c r="T49" s="1249"/>
      <c r="U49" s="1249"/>
    </row>
    <row r="50" spans="3:21" ht="18.75" customHeight="1">
      <c r="C50" s="58"/>
      <c r="D50" s="61"/>
      <c r="E50" s="58"/>
      <c r="G50" s="47"/>
      <c r="H50" s="47"/>
      <c r="I50" s="47"/>
      <c r="J50" s="47"/>
      <c r="M50" s="1263" t="s">
        <v>1958</v>
      </c>
      <c r="N50" s="1258">
        <v>0.16</v>
      </c>
      <c r="O50" s="1264" t="s">
        <v>163</v>
      </c>
      <c r="P50" s="1249"/>
      <c r="Q50" s="1249"/>
      <c r="R50" s="1249"/>
      <c r="S50" s="1249"/>
      <c r="T50" s="1249"/>
      <c r="U50" s="1249"/>
    </row>
    <row r="51" spans="3:21" ht="21.75" customHeight="1">
      <c r="C51" s="49" t="s">
        <v>540</v>
      </c>
      <c r="D51" s="630" t="str">
        <f>IF(F51=[3]Списки!$U$2,CONCATENATE("(",ROUND(E51/1000*3600,2)," м3/ч)"),IF(F51=[3]Списки!$U$3,"",CONCATENATE("(",ROUND(E51/24,2)," м3/ч)")))</f>
        <v/>
      </c>
      <c r="E51" s="1021">
        <f>22.36*3.6</f>
        <v>80.495999999999995</v>
      </c>
      <c r="F51" s="631" t="s">
        <v>1933</v>
      </c>
      <c r="G51" s="49" t="s">
        <v>667</v>
      </c>
      <c r="H51" s="47"/>
      <c r="I51" s="47"/>
      <c r="J51" s="47"/>
      <c r="M51" s="1157"/>
      <c r="N51" s="1158"/>
      <c r="O51" s="1159"/>
    </row>
    <row r="52" spans="3:21" ht="21.75" customHeight="1">
      <c r="C52" s="1344" t="s">
        <v>542</v>
      </c>
      <c r="D52" s="1345"/>
      <c r="E52" s="1279">
        <v>12.8</v>
      </c>
      <c r="F52" s="47"/>
      <c r="G52" s="47"/>
      <c r="H52" s="47"/>
      <c r="I52" s="750"/>
      <c r="J52" s="47"/>
    </row>
    <row r="53" spans="3:21" ht="25.5" customHeight="1">
      <c r="C53" s="56" t="s">
        <v>543</v>
      </c>
      <c r="D53" s="56"/>
      <c r="E53" s="1021"/>
      <c r="F53" s="47"/>
      <c r="G53" s="47"/>
      <c r="H53" s="47"/>
      <c r="I53" s="47"/>
      <c r="J53" s="47"/>
    </row>
    <row r="54" spans="3:21" ht="15.75">
      <c r="C54" s="68" t="s">
        <v>544</v>
      </c>
      <c r="D54" s="47"/>
      <c r="E54" s="607"/>
      <c r="F54" s="47"/>
      <c r="G54" s="47"/>
      <c r="H54" s="47"/>
      <c r="I54" s="47"/>
      <c r="J54" s="47"/>
    </row>
    <row r="55" spans="3:21" ht="15.75">
      <c r="C55" s="69"/>
      <c r="D55" s="616" t="s">
        <v>545</v>
      </c>
      <c r="E55" s="66">
        <v>2</v>
      </c>
      <c r="F55" s="47"/>
      <c r="G55" s="47" t="s">
        <v>2125</v>
      </c>
      <c r="H55" s="47"/>
      <c r="I55" s="1224" t="s">
        <v>2127</v>
      </c>
      <c r="J55" s="47"/>
    </row>
    <row r="56" spans="3:21" ht="15.75">
      <c r="C56" s="69"/>
      <c r="D56" s="616" t="s">
        <v>546</v>
      </c>
      <c r="E56" s="66">
        <v>1</v>
      </c>
      <c r="F56" s="47"/>
      <c r="G56" s="47"/>
      <c r="H56" s="47"/>
      <c r="I56" s="47"/>
      <c r="J56" s="47"/>
    </row>
    <row r="57" spans="3:21" ht="30">
      <c r="C57" s="69"/>
      <c r="D57" s="616" t="s">
        <v>547</v>
      </c>
      <c r="E57" s="66">
        <v>1</v>
      </c>
      <c r="F57" s="47"/>
      <c r="G57" s="47"/>
      <c r="H57" s="47"/>
      <c r="I57" s="47"/>
      <c r="J57" s="47"/>
    </row>
    <row r="58" spans="3:21" ht="37.5" customHeight="1">
      <c r="C58" s="69" t="s">
        <v>2089</v>
      </c>
      <c r="D58" s="616"/>
      <c r="E58" s="1280">
        <v>100</v>
      </c>
      <c r="F58" s="47"/>
      <c r="G58" s="47"/>
      <c r="H58" s="47"/>
      <c r="I58" s="47"/>
      <c r="J58" s="47"/>
    </row>
    <row r="59" spans="3:21" ht="15.75">
      <c r="C59" s="49" t="s">
        <v>548</v>
      </c>
      <c r="D59" s="56"/>
      <c r="E59" s="751" t="s">
        <v>150</v>
      </c>
      <c r="F59" s="47"/>
      <c r="G59" s="47"/>
      <c r="H59" s="47"/>
      <c r="I59" s="47"/>
      <c r="J59" s="47"/>
    </row>
    <row r="60" spans="3:21" ht="14.1" customHeight="1">
      <c r="C60" s="49"/>
      <c r="D60" s="56"/>
      <c r="E60" s="89"/>
      <c r="F60" s="47"/>
      <c r="G60" s="47"/>
      <c r="H60" s="47"/>
      <c r="I60" s="47"/>
      <c r="J60" s="47"/>
    </row>
    <row r="61" spans="3:21" ht="14.1" customHeight="1">
      <c r="C61" s="60" t="s">
        <v>281</v>
      </c>
      <c r="D61" s="42"/>
      <c r="E61" s="54" t="s">
        <v>115</v>
      </c>
      <c r="F61" s="47"/>
      <c r="G61" s="47"/>
      <c r="H61" s="47"/>
      <c r="I61" s="47"/>
      <c r="J61" s="47"/>
    </row>
    <row r="62" spans="3:21" ht="15.75" outlineLevel="1">
      <c r="C62" s="49"/>
      <c r="D62" s="56"/>
      <c r="E62" s="89"/>
      <c r="F62" s="47"/>
      <c r="G62" s="47"/>
      <c r="H62" s="47"/>
      <c r="I62" s="47"/>
      <c r="J62" s="47"/>
    </row>
    <row r="63" spans="3:21" ht="24" customHeight="1" outlineLevel="1">
      <c r="C63" s="82" t="s">
        <v>76</v>
      </c>
      <c r="D63" s="56"/>
      <c r="E63" s="66" t="s">
        <v>115</v>
      </c>
      <c r="F63" s="47"/>
      <c r="G63" s="82" t="s">
        <v>283</v>
      </c>
      <c r="H63" s="83"/>
      <c r="I63" s="66" t="s">
        <v>115</v>
      </c>
      <c r="J63" s="47"/>
    </row>
    <row r="64" spans="3:21" ht="21.75" customHeight="1" outlineLevel="2">
      <c r="C64" s="84" t="s">
        <v>284</v>
      </c>
      <c r="D64" s="42"/>
      <c r="E64" s="54" t="s">
        <v>152</v>
      </c>
      <c r="F64" s="47"/>
      <c r="G64" s="85" t="s">
        <v>285</v>
      </c>
      <c r="H64" s="83"/>
      <c r="I64" s="66" t="s">
        <v>115</v>
      </c>
      <c r="J64" s="47"/>
    </row>
    <row r="65" spans="3:10" ht="21.75" customHeight="1" outlineLevel="2">
      <c r="C65" s="56" t="s">
        <v>286</v>
      </c>
      <c r="D65" s="42"/>
      <c r="E65" s="54"/>
      <c r="F65" s="47"/>
      <c r="G65" s="85" t="s">
        <v>289</v>
      </c>
      <c r="H65" s="83"/>
      <c r="I65" s="66" t="s">
        <v>115</v>
      </c>
      <c r="J65" s="47"/>
    </row>
    <row r="66" spans="3:10" ht="25.5" customHeight="1" outlineLevel="2">
      <c r="C66" s="85" t="s">
        <v>288</v>
      </c>
      <c r="D66" s="42"/>
      <c r="E66" s="54" t="s">
        <v>118</v>
      </c>
      <c r="F66" s="47"/>
      <c r="G66" s="85" t="s">
        <v>293</v>
      </c>
      <c r="H66" s="83"/>
      <c r="I66" s="66" t="s">
        <v>115</v>
      </c>
      <c r="J66" s="47"/>
    </row>
    <row r="67" spans="3:10" ht="15.75" outlineLevel="2">
      <c r="C67" s="84" t="s">
        <v>290</v>
      </c>
      <c r="D67" s="42"/>
      <c r="E67" s="54" t="s">
        <v>154</v>
      </c>
      <c r="F67" s="47"/>
      <c r="G67" s="85"/>
      <c r="H67" s="83"/>
      <c r="I67" s="83"/>
      <c r="J67" s="47"/>
    </row>
    <row r="68" spans="3:10" ht="30" outlineLevel="2">
      <c r="C68" s="84" t="s">
        <v>292</v>
      </c>
      <c r="D68" s="42"/>
      <c r="E68" s="54" t="s">
        <v>186</v>
      </c>
      <c r="F68" s="47"/>
      <c r="G68" s="85"/>
      <c r="H68" s="83"/>
      <c r="I68" s="83"/>
      <c r="J68" s="47"/>
    </row>
    <row r="69" spans="3:10" ht="15.75">
      <c r="C69" s="42"/>
      <c r="D69" s="42"/>
      <c r="E69" s="752"/>
      <c r="F69" s="47"/>
      <c r="G69" s="753"/>
      <c r="H69" s="47"/>
      <c r="I69" s="47"/>
      <c r="J69" s="47"/>
    </row>
    <row r="70" spans="3:10" ht="30">
      <c r="C70" s="60" t="s">
        <v>549</v>
      </c>
      <c r="D70" s="83"/>
      <c r="E70" s="66" t="s">
        <v>2192</v>
      </c>
      <c r="F70" s="47"/>
      <c r="G70" s="47"/>
      <c r="H70" s="47"/>
      <c r="I70" s="47"/>
      <c r="J70" s="47"/>
    </row>
    <row r="71" spans="3:10" ht="15.75">
      <c r="C71" s="754"/>
      <c r="D71" s="83"/>
      <c r="E71" s="86"/>
      <c r="F71" s="47"/>
      <c r="G71" s="47"/>
      <c r="H71" s="47"/>
      <c r="I71" s="47"/>
      <c r="J71" s="47"/>
    </row>
    <row r="72" spans="3:10" ht="15.75">
      <c r="C72" s="60" t="s">
        <v>294</v>
      </c>
      <c r="D72" s="87"/>
      <c r="E72" s="54" t="s">
        <v>115</v>
      </c>
      <c r="F72" s="47"/>
      <c r="G72" s="80"/>
      <c r="H72" s="47"/>
      <c r="I72" s="47"/>
      <c r="J72" s="47"/>
    </row>
    <row r="73" spans="3:10" ht="20.25" customHeight="1">
      <c r="C73" s="49" t="s">
        <v>295</v>
      </c>
      <c r="D73" s="88"/>
      <c r="E73" s="63">
        <v>2000</v>
      </c>
      <c r="F73" s="47"/>
      <c r="G73" s="47"/>
      <c r="H73" s="47"/>
      <c r="I73" s="47"/>
      <c r="J73" s="47"/>
    </row>
    <row r="74" spans="3:10" ht="15.75">
      <c r="C74" s="49"/>
      <c r="D74" s="88"/>
      <c r="E74" s="629"/>
      <c r="F74" s="47"/>
      <c r="G74" s="47"/>
      <c r="H74" s="47"/>
      <c r="I74" s="47"/>
      <c r="J74" s="47"/>
    </row>
    <row r="75" spans="3:10" ht="15.75">
      <c r="C75" s="61" t="s">
        <v>296</v>
      </c>
      <c r="D75" s="61"/>
      <c r="E75" s="58"/>
      <c r="F75" s="47"/>
      <c r="G75" s="47"/>
      <c r="H75" s="47"/>
      <c r="I75" s="47"/>
      <c r="J75" s="47"/>
    </row>
    <row r="76" spans="3:10" ht="45.75" customHeight="1">
      <c r="C76" s="1411"/>
      <c r="D76" s="1412"/>
      <c r="E76" s="1412"/>
      <c r="F76" s="1412"/>
      <c r="G76" s="1412"/>
      <c r="H76" s="1412"/>
      <c r="I76" s="1413"/>
      <c r="J76" s="47"/>
    </row>
    <row r="77" spans="3:10" ht="15.75">
      <c r="C77" s="49" t="s">
        <v>297</v>
      </c>
      <c r="D77" s="49"/>
      <c r="E77" s="59"/>
      <c r="F77" s="47"/>
      <c r="G77" s="47"/>
      <c r="H77" s="47"/>
      <c r="I77" s="47"/>
      <c r="J77" s="47"/>
    </row>
    <row r="78" spans="3:10" ht="15.75">
      <c r="C78" s="49"/>
      <c r="D78" s="49"/>
      <c r="E78" s="59"/>
      <c r="F78" s="47"/>
      <c r="G78" s="47"/>
      <c r="H78" s="47"/>
      <c r="I78" s="47"/>
      <c r="J78" s="47"/>
    </row>
    <row r="79" spans="3:10" ht="15.75">
      <c r="C79" s="49" t="s">
        <v>298</v>
      </c>
      <c r="D79" s="49"/>
      <c r="E79" s="90"/>
      <c r="F79" s="49" t="s">
        <v>668</v>
      </c>
      <c r="G79" s="47"/>
      <c r="H79" s="47"/>
      <c r="I79" s="47"/>
      <c r="J79" s="47"/>
    </row>
    <row r="80" spans="3:10" ht="15.75">
      <c r="C80" s="49"/>
      <c r="D80" s="49"/>
      <c r="E80" s="59"/>
      <c r="F80" s="47"/>
      <c r="G80" s="47"/>
      <c r="H80" s="47"/>
      <c r="I80" s="47"/>
      <c r="J80" s="47"/>
    </row>
    <row r="81" spans="1:10" ht="15.75">
      <c r="C81" s="49"/>
      <c r="D81" s="49"/>
      <c r="E81" s="59"/>
      <c r="F81" s="47"/>
      <c r="G81" s="47"/>
      <c r="H81" s="47"/>
      <c r="I81" s="47"/>
      <c r="J81" s="47"/>
    </row>
    <row r="82" spans="1:10" ht="15.75">
      <c r="C82" s="68"/>
      <c r="D82" s="68"/>
      <c r="E82" s="59"/>
      <c r="F82" s="59" t="s">
        <v>300</v>
      </c>
      <c r="G82" s="47"/>
      <c r="H82" s="47"/>
      <c r="I82" s="47"/>
      <c r="J82" s="47"/>
    </row>
    <row r="83" spans="1:10" ht="15.75">
      <c r="A83" s="5"/>
      <c r="B83" s="5"/>
      <c r="C83" s="49"/>
      <c r="D83" s="49"/>
      <c r="E83" s="59"/>
      <c r="F83" s="59"/>
      <c r="G83" s="47"/>
      <c r="H83" s="47"/>
      <c r="I83" s="47"/>
      <c r="J83" s="47"/>
    </row>
    <row r="84" spans="1:10" ht="15.75">
      <c r="A84" s="5"/>
      <c r="B84" s="5"/>
      <c r="C84" s="68"/>
      <c r="D84" s="68"/>
      <c r="E84" s="59"/>
      <c r="F84" s="59" t="s">
        <v>300</v>
      </c>
      <c r="G84" s="47"/>
      <c r="H84" s="47"/>
      <c r="I84" s="47"/>
      <c r="J84" s="47"/>
    </row>
    <row r="86" spans="1:10" ht="14.45" customHeight="1">
      <c r="C86" s="68"/>
      <c r="F86" s="59"/>
    </row>
  </sheetData>
  <mergeCells count="10">
    <mergeCell ref="B1:I1"/>
    <mergeCell ref="G43:H43"/>
    <mergeCell ref="C45:D45"/>
    <mergeCell ref="C52:D52"/>
    <mergeCell ref="C76:I76"/>
    <mergeCell ref="C4:I4"/>
    <mergeCell ref="C41:D41"/>
    <mergeCell ref="G41:H41"/>
    <mergeCell ref="C42:D42"/>
    <mergeCell ref="G42:H42"/>
  </mergeCells>
  <conditionalFormatting sqref="C64:E68">
    <cfRule type="expression" dxfId="288" priority="24">
      <formula>$E$63="нет"</formula>
    </cfRule>
  </conditionalFormatting>
  <conditionalFormatting sqref="C73:E73">
    <cfRule type="expression" dxfId="287" priority="13">
      <formula>$E$72="нет"</formula>
    </cfRule>
  </conditionalFormatting>
  <conditionalFormatting sqref="C62:I68">
    <cfRule type="expression" dxfId="286" priority="10">
      <formula>$E$61="нет"</formula>
    </cfRule>
  </conditionalFormatting>
  <conditionalFormatting sqref="E24">
    <cfRule type="expression" dxfId="283" priority="3">
      <formula>$P$46&gt;14000</formula>
    </cfRule>
  </conditionalFormatting>
  <conditionalFormatting sqref="E65:E68">
    <cfRule type="expression" dxfId="281" priority="14">
      <formula>$E$63="нет"</formula>
    </cfRule>
  </conditionalFormatting>
  <conditionalFormatting sqref="G64:I68">
    <cfRule type="expression" dxfId="278" priority="26">
      <formula>$I$63="нет"</formula>
    </cfRule>
  </conditionalFormatting>
  <conditionalFormatting sqref="I45">
    <cfRule type="expression" dxfId="277" priority="12">
      <formula>$E$48="нет"</formula>
    </cfRule>
  </conditionalFormatting>
  <conditionalFormatting sqref="I55">
    <cfRule type="expression" dxfId="276" priority="2">
      <formula>$I$47="нет"</formula>
    </cfRule>
  </conditionalFormatting>
  <conditionalFormatting sqref="I66">
    <cfRule type="expression" dxfId="275" priority="7">
      <formula>$I$63="нет"</formula>
    </cfRule>
  </conditionalFormatting>
  <conditionalFormatting sqref="I68">
    <cfRule type="expression" dxfId="274" priority="15">
      <formula>$I$63="нет"</formula>
    </cfRule>
  </conditionalFormatting>
  <conditionalFormatting sqref="I65:J67">
    <cfRule type="expression" dxfId="273" priority="25">
      <formula>$I$63="нет"</formula>
    </cfRule>
  </conditionalFormatting>
  <conditionalFormatting sqref="J47">
    <cfRule type="expression" dxfId="272" priority="1">
      <formula>$I$47="нет"</formula>
    </cfRule>
  </conditionalFormatting>
  <conditionalFormatting sqref="J48">
    <cfRule type="expression" dxfId="271" priority="4">
      <formula>$I$48="нет"</formula>
    </cfRule>
  </conditionalFormatting>
  <conditionalFormatting sqref="P46">
    <cfRule type="expression" dxfId="270" priority="8">
      <formula>$P$46&gt;14500</formula>
    </cfRule>
  </conditionalFormatting>
  <dataValidations count="12">
    <dataValidation allowBlank="1" showInputMessage="1" sqref="I46" xr:uid="{00000000-0002-0000-0800-000000000000}"/>
    <dataValidation type="list" allowBlank="1" showInputMessage="1" showErrorMessage="1" sqref="I45" xr:uid="{00A10013-004E-4943-9029-00F000A1002C}">
      <formula1>"Задвижка клиновая с обрезиненным клином,Задвижка шиберная,Задвижка шиберная с электроприводом,Задвижка клиновая с обрезиненным клином с электроприводом,Обратный клапан"</formula1>
    </dataValidation>
    <dataValidation type="list" allowBlank="1" showInputMessage="1" showErrorMessage="1" sqref="E7" xr:uid="{006C001E-009B-4D15-B460-00E0005000B8}">
      <formula1>"Канализационная,Дренажная,Повышения давления,Пожаротушения"</formula1>
    </dataValidation>
    <dataValidation type="list" allowBlank="1" showInputMessage="1" showErrorMessage="1" sqref="E71" xr:uid="{009D0083-0079-46A7-B952-00B300B8007F}">
      <formula1>"Естественная,Принудительная,Естественно-принудительная"</formula1>
    </dataValidation>
    <dataValidation type="list" allowBlank="1" showInputMessage="1" sqref="E47:E48 I39 I46:I48" xr:uid="{002D0035-00BC-4A01-81E2-001C0087002A}">
      <formula1>"Да,Нет"</formula1>
    </dataValidation>
    <dataValidation type="list" allowBlank="1" showInputMessage="1" showErrorMessage="1" sqref="E34" xr:uid="{002C0041-003A-4F73-A89F-00270025005D}">
      <formula1>"Хозяйственно-бытовые,Дождевые,Производственные"</formula1>
    </dataValidation>
    <dataValidation type="list" allowBlank="1" showInputMessage="1" showErrorMessage="1" sqref="C23" xr:uid="{003D000C-007D-4ABD-ABC2-005E0022008A}">
      <formula1>"Склад,Производство"</formula1>
    </dataValidation>
    <dataValidation type="list" allowBlank="1" showInputMessage="1" sqref="E40 I40" xr:uid="{0063007A-0009-4A39-9889-008600C00035}">
      <formula1>Материал_трубы</formula1>
    </dataValidation>
    <dataValidation type="list" allowBlank="1" showInputMessage="1" showErrorMessage="1" sqref="E22" xr:uid="{00B000BF-0048-4653-94C9-001300960090}">
      <formula1>Жесткость</formula1>
    </dataValidation>
    <dataValidation type="list" allowBlank="1" showInputMessage="1" showErrorMessage="1" sqref="E21" xr:uid="{00AB000D-0092-4021-AD63-005100E6006D}">
      <formula1>Давление</formula1>
    </dataValidation>
    <dataValidation type="list" allowBlank="1" showInputMessage="1" showErrorMessage="1" sqref="E72 E59 E61 E63 E26:E27 I63:I68" xr:uid="{001E00AF-0058-48E8-8C04-004B006B00B4}">
      <formula1>"Да,Нет"</formula1>
    </dataValidation>
    <dataValidation type="list" allowBlank="1" showInputMessage="1" showErrorMessage="1" sqref="E70" xr:uid="{B4C3B716-CDEF-47F7-83DB-3378FB68EA91}">
      <formula1>"Приточная,Приточно-вытяжная,Приточно-вытяжная с мех. побуждением"</formula1>
    </dataValidation>
  </dataValidations>
  <pageMargins left="0.7" right="0.7" top="0.75" bottom="0.75" header="0.3" footer="0.3"/>
  <pageSetup paperSize="9" scale="4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9" id="{007F00CD-00CC-40DC-82A6-00CF0030006A}">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A7:G11 F12:G12 A12:D16</xm:sqref>
        </x14:conditionalFormatting>
        <x14:conditionalFormatting xmlns:xm="http://schemas.microsoft.com/office/excel/2006/main">
          <x14:cfRule type="expression" priority="27" id="{00A600BC-005E-4B3C-8C9D-00090062009A}">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A29:K40</xm:sqref>
        </x14:conditionalFormatting>
        <x14:conditionalFormatting xmlns:xm="http://schemas.microsoft.com/office/excel/2006/main">
          <x14:cfRule type="expression" priority="22" id="{00640004-0025-40D8-84BA-001B00300087}">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C5</xm:sqref>
        </x14:conditionalFormatting>
        <x14:conditionalFormatting xmlns:xm="http://schemas.microsoft.com/office/excel/2006/main">
          <x14:cfRule type="expression" priority="18" id="{00AD00EB-0080-4E58-96AE-00B3008B008F}">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C72</xm:sqref>
        </x14:conditionalFormatting>
        <x14:conditionalFormatting xmlns:xm="http://schemas.microsoft.com/office/excel/2006/main">
          <x14:cfRule type="expression" priority="20" id="{00F300A1-001B-496C-9323-003C00290098}">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C6:E6</xm:sqref>
        </x14:conditionalFormatting>
        <x14:conditionalFormatting xmlns:xm="http://schemas.microsoft.com/office/excel/2006/main">
          <x14:cfRule type="expression" priority="16" id="{007B0088-0010-48E1-833D-000B00BC004B}">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C76:I76</xm:sqref>
        </x14:conditionalFormatting>
        <x14:conditionalFormatting xmlns:xm="http://schemas.microsoft.com/office/excel/2006/main">
          <x14:cfRule type="expression" priority="19" id="{007F0054-00E5-42F0-B4E9-002900910072}">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D72:E72</xm:sqref>
        </x14:conditionalFormatting>
        <x14:conditionalFormatting xmlns:xm="http://schemas.microsoft.com/office/excel/2006/main">
          <x14:cfRule type="expression" priority="11" id="{00210076-00D5-4588-B88B-00EA00080071}">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E61</xm:sqref>
        </x14:conditionalFormatting>
        <x14:conditionalFormatting xmlns:xm="http://schemas.microsoft.com/office/excel/2006/main">
          <x14:cfRule type="expression" priority="29" id="{0019005E-00A2-4CCD-BA93-000100B200FF}">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1"/>
              </font>
            </x14:dxf>
          </x14:cfRule>
          <xm:sqref>G51</xm:sqref>
        </x14:conditionalFormatting>
        <x14:conditionalFormatting xmlns:xm="http://schemas.microsoft.com/office/excel/2006/main">
          <x14:cfRule type="expression" priority="17" id="{00EC00BB-00C5-407A-882B-003D006A005E}">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G72</xm:sqref>
        </x14:conditionalFormatting>
        <x14:conditionalFormatting xmlns:xm="http://schemas.microsoft.com/office/excel/2006/main">
          <x14:cfRule type="expression" priority="21" id="{008500A0-007A-4686-BEE7-000300B000F6}">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K7:K12</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800-000001000000}">
          <x14:formula1>
            <xm:f>Списки!$Z$2:$Z$31</xm:f>
          </x14:formula1>
          <xm:sqref>E20</xm:sqref>
        </x14:dataValidation>
        <x14:dataValidation type="list" allowBlank="1" showInputMessage="1" showErrorMessage="1" xr:uid="{00000000-0002-0000-0800-000002000000}">
          <x14:formula1>
            <xm:f>'C:\Users\Кристина\Documents\Работа\НТТ\Новый калькулятор\от Инны\финальные варианты\[с новыми ОЛ Калькулятор емк оборуд от 09.08.21 (1).xlsx]Списки'!#REF!</xm:f>
          </x14:formula1>
          <xm:sqref>E17 E28 J25:J28</xm:sqref>
        </x14:dataValidation>
        <x14:dataValidation type="list" allowBlank="1" showInputMessage="1" showErrorMessage="1" xr:uid="{00000000-0002-0000-0800-000003000000}">
          <x14:formula1>
            <xm:f>Списки!$BH$2:$BH$4</xm:f>
          </x14:formula1>
          <xm:sqref>E31</xm:sqref>
        </x14:dataValidation>
        <x14:dataValidation type="list" allowBlank="1" showInputMessage="1" showErrorMessage="1" xr:uid="{00000000-0002-0000-0800-000004000000}">
          <x14:formula1>
            <xm:f>Списки!$BF$2:$BF$5</xm:f>
          </x14:formula1>
          <xm:sqref>E8:E11</xm:sqref>
        </x14:dataValidation>
        <x14:dataValidation type="list" allowBlank="1" showInputMessage="1" showErrorMessage="1" xr:uid="{00000000-0002-0000-0800-000005000000}">
          <x14:formula1>
            <xm:f>Списки!$AU$2:$AU$6</xm:f>
          </x14:formula1>
          <xm:sqref>E45</xm:sqref>
        </x14:dataValidation>
        <x14:dataValidation type="list" allowBlank="1" showInputMessage="1" showErrorMessage="1" xr:uid="{00000000-0002-0000-0800-000006000000}">
          <x14:formula1>
            <xm:f>Списки!$F$2:$F$4</xm:f>
          </x14:formula1>
          <xm:sqref>E68</xm:sqref>
        </x14:dataValidation>
        <x14:dataValidation type="list" allowBlank="1" showInputMessage="1" xr:uid="{00000000-0002-0000-0800-000007000000}">
          <x14:formula1>
            <xm:f>Списки!$E$2:$E$4</xm:f>
          </x14:formula1>
          <xm:sqref>E67</xm:sqref>
        </x14:dataValidation>
        <x14:dataValidation type="list" allowBlank="1" showInputMessage="1" xr:uid="{00000000-0002-0000-0800-000008000000}">
          <x14:formula1>
            <xm:f>Списки!$D$2:$D$3</xm:f>
          </x14:formula1>
          <xm:sqref>E66</xm:sqref>
        </x14:dataValidation>
        <x14:dataValidation type="list" allowBlank="1" showInputMessage="1" xr:uid="{00000000-0002-0000-0800-000009000000}">
          <x14:formula1>
            <xm:f>Списки!$C$2:$C$3</xm:f>
          </x14:formula1>
          <xm:sqref>E64</xm:sqref>
        </x14:dataValidation>
        <x14:dataValidation type="list" showInputMessage="1" showErrorMessage="1" xr:uid="{00000000-0002-0000-0800-00000A000000}">
          <x14:formula1>
            <xm:f>Списки!$H$2:$H$5</xm:f>
          </x14:formula1>
          <xm:sqref>E46</xm:sqref>
        </x14:dataValidation>
        <x14:dataValidation type="list" allowBlank="1" showInputMessage="1" showErrorMessage="1" xr:uid="{00000000-0002-0000-0800-00000D000000}">
          <x14:formula1>
            <xm:f>Списки!$U$2:$U$4</xm:f>
          </x14:formula1>
          <xm:sqref>F51</xm:sqref>
        </x14:dataValidation>
        <x14:dataValidation type="list" errorStyle="warning" allowBlank="1" showInputMessage="1" showErrorMessage="1" xr:uid="{63A1B2B5-EF97-4FA7-822F-C85341E2AA49}">
          <x14:formula1>
            <xm:f>Списки!$Y$2:$Y$29</xm:f>
          </x14:formula1>
          <xm:sqref>E42 I42 E58</xm:sqref>
        </x14:dataValidation>
        <x14:dataValidation type="list" allowBlank="1" showInputMessage="1" showErrorMessage="1" xr:uid="{6A361404-C9BD-4257-BFA6-79F567B8B846}">
          <x14:formula1>
            <xm:f>Списки!$BP$1:$BP$2</xm:f>
          </x14:formula1>
          <xm:sqref>J47:J48</xm:sqref>
        </x14:dataValidation>
        <x14:dataValidation type="list" allowBlank="1" showInputMessage="1" showErrorMessage="1" xr:uid="{25C9BAE5-4293-43C5-A4F3-A6A21E3CD246}">
          <x14:formula1>
            <xm:f>Списки!$BQ$1:$BQ$3</xm:f>
          </x14:formula1>
          <xm:sqref>I55</xm:sqref>
        </x14:dataValidation>
        <x14:dataValidation type="list" allowBlank="1" showInputMessage="1" showErrorMessage="1" xr:uid="{8AE516B6-A3C3-4A3C-9C0F-CDF1B42D5813}">
          <x14:formula1>
            <xm:f>Списки!$B$2:$B$6</xm:f>
          </x14:formula1>
          <xm:sqref>E14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2">
    <outlinePr summaryBelow="0"/>
    <pageSetUpPr fitToPage="1"/>
  </sheetPr>
  <dimension ref="A1:Q458"/>
  <sheetViews>
    <sheetView showGridLines="0" topLeftCell="A422" zoomScaleNormal="100" workbookViewId="0">
      <selection activeCell="N435" sqref="N435"/>
    </sheetView>
  </sheetViews>
  <sheetFormatPr defaultColWidth="18.7109375" defaultRowHeight="14.45" customHeight="1" outlineLevelRow="3"/>
  <cols>
    <col min="1" max="1" width="1.28515625" style="91" customWidth="1"/>
    <col min="2" max="2" width="3.7109375" style="91" customWidth="1"/>
    <col min="3" max="3" width="27.7109375" style="91" customWidth="1"/>
    <col min="4" max="4" width="59.7109375" style="91" customWidth="1"/>
    <col min="5" max="5" width="22" style="91" customWidth="1"/>
    <col min="6" max="6" width="8.42578125" style="91" customWidth="1"/>
    <col min="7" max="7" width="13.7109375" style="91" customWidth="1"/>
    <col min="8" max="8" width="14.42578125" style="91" customWidth="1"/>
    <col min="9" max="9" width="15" style="91" customWidth="1"/>
    <col min="10" max="11" width="14.5703125" style="91" customWidth="1"/>
    <col min="12" max="12" width="13" style="91" customWidth="1"/>
    <col min="13" max="13" width="19.28515625" style="91" customWidth="1"/>
    <col min="14" max="14" width="26.42578125" style="91" bestFit="1" customWidth="1"/>
    <col min="15" max="15" width="43.85546875" style="91" customWidth="1"/>
    <col min="16" max="16" width="34.7109375" style="91" bestFit="1" customWidth="1"/>
    <col min="17" max="17" width="30" style="91" customWidth="1"/>
    <col min="18" max="16384" width="18.7109375" style="91"/>
  </cols>
  <sheetData>
    <row r="1" spans="2:17" ht="24.6" customHeight="1">
      <c r="B1" s="93"/>
      <c r="C1" s="94" t="s">
        <v>146</v>
      </c>
      <c r="D1" s="95"/>
      <c r="E1" s="96"/>
      <c r="F1" s="97"/>
      <c r="G1" s="97"/>
      <c r="H1" s="98"/>
      <c r="I1" s="96"/>
      <c r="J1" s="97"/>
      <c r="K1" s="99"/>
      <c r="L1" s="96"/>
      <c r="M1" s="100" t="s">
        <v>1</v>
      </c>
      <c r="N1" s="92"/>
      <c r="O1" s="101"/>
      <c r="P1" s="102"/>
      <c r="Q1" s="102"/>
    </row>
    <row r="2" spans="2:17" ht="6.6" customHeight="1">
      <c r="B2" s="103"/>
      <c r="C2" s="103"/>
      <c r="D2" s="104"/>
      <c r="E2" s="104"/>
      <c r="F2" s="105"/>
      <c r="G2" s="105"/>
      <c r="H2" s="106"/>
      <c r="I2" s="104"/>
      <c r="J2" s="105"/>
      <c r="K2" s="107"/>
      <c r="L2" s="104"/>
      <c r="M2" s="104"/>
      <c r="N2" s="108"/>
      <c r="O2" s="109"/>
      <c r="P2" s="110"/>
      <c r="Q2" s="110"/>
    </row>
    <row r="3" spans="2:17" ht="38.25" customHeight="1">
      <c r="B3" s="111"/>
      <c r="C3" s="112" t="s">
        <v>302</v>
      </c>
      <c r="D3" s="113" t="s">
        <v>303</v>
      </c>
      <c r="E3" s="114"/>
      <c r="F3" s="115"/>
      <c r="G3" s="116" t="s">
        <v>304</v>
      </c>
      <c r="H3" s="116" t="s">
        <v>1949</v>
      </c>
      <c r="I3" s="116" t="s">
        <v>1950</v>
      </c>
      <c r="J3" s="116" t="s">
        <v>306</v>
      </c>
      <c r="K3" s="116" t="s">
        <v>307</v>
      </c>
      <c r="L3" s="116" t="s">
        <v>669</v>
      </c>
      <c r="M3" s="755" t="s">
        <v>670</v>
      </c>
      <c r="O3" s="118"/>
      <c r="P3" s="119"/>
      <c r="Q3" s="119"/>
    </row>
    <row r="4" spans="2:17" ht="17.100000000000001" hidden="1" customHeight="1">
      <c r="B4" s="120"/>
      <c r="C4" s="121"/>
      <c r="G4" s="122"/>
      <c r="H4" s="123">
        <f>IF(H5&lt;3000,3000,IF(H5&gt;7000,12000,CEILING(H5,500)))</f>
        <v>12000</v>
      </c>
      <c r="I4" s="756" t="str">
        <f>CONCATENATE(G5,"-b")</f>
        <v>3000-b</v>
      </c>
      <c r="J4" s="125"/>
      <c r="K4" s="125"/>
      <c r="L4" s="125"/>
      <c r="M4" s="122"/>
      <c r="O4" s="118"/>
      <c r="P4" s="119"/>
      <c r="Q4" s="119"/>
    </row>
    <row r="5" spans="2:17" ht="47.25" customHeight="1">
      <c r="B5" s="126"/>
      <c r="C5" s="1130"/>
      <c r="D5" s="128" t="str">
        <f>"Заявка № "&amp;ОЛ_НАСОСНАЯ_СТАНЦИЯ!E6&amp;" Заказчик: "&amp;ОЛ_НАСОСНАЯ_СТАНЦИЯ!E13&amp;" "&amp;ОЛ_НАСОСНАЯ_СТАНЦИЯ!E15&amp;" "&amp;ОЛ_НАСОСНАЯ_СТАНЦИЯ!E7&amp;" "&amp;G5&amp;"х"&amp;H5&amp;"мм"</f>
        <v>Заявка № ОЛ/ Заказчик:   Канализационная 3000х11800мм</v>
      </c>
      <c r="E5" s="129"/>
      <c r="F5" s="129"/>
      <c r="G5" s="130">
        <f>ОЛ_НАСОСНАЯ_СТАНЦИЯ!E20</f>
        <v>3000</v>
      </c>
      <c r="H5" s="130">
        <f>I5+ОЛ_НАСОСНАЯ_СТАНЦИЯ!E25</f>
        <v>11800</v>
      </c>
      <c r="I5" s="130">
        <f>IF(ОЛ_НАСОСНАЯ_СТАНЦИЯ!F24="",ОЛ_НАСОСНАЯ_СТАНЦИЯ!E24,ОЛ_НАСОСНАЯ_СТАНЦИЯ!F24)</f>
        <v>11500</v>
      </c>
      <c r="J5" s="130">
        <f>ОЛ_НАСОСНАЯ_СТАНЦИЯ!E42</f>
        <v>400</v>
      </c>
      <c r="K5" s="130">
        <f>ОЛ_НАСОСНАЯ_СТАНЦИЯ!E44</f>
        <v>1</v>
      </c>
      <c r="L5" s="130">
        <f>ОЛ_НАСОСНАЯ_СТАНЦИЯ!I42</f>
        <v>150</v>
      </c>
      <c r="M5" s="130">
        <f>ОЛ_НАСОСНАЯ_СТАНЦИЯ!I44</f>
        <v>2</v>
      </c>
      <c r="O5" s="118"/>
      <c r="P5" s="119"/>
      <c r="Q5" s="119"/>
    </row>
    <row r="6" spans="2:17" ht="19.5">
      <c r="B6" s="134"/>
      <c r="C6" s="135" t="s">
        <v>85</v>
      </c>
      <c r="D6" s="116" t="s">
        <v>311</v>
      </c>
      <c r="E6" s="116" t="s">
        <v>312</v>
      </c>
      <c r="F6" s="136" t="s">
        <v>313</v>
      </c>
      <c r="G6" s="137"/>
      <c r="H6" s="136" t="s">
        <v>314</v>
      </c>
      <c r="I6" s="137"/>
      <c r="J6" s="136" t="s">
        <v>315</v>
      </c>
      <c r="K6" s="137"/>
      <c r="L6" s="136" t="s">
        <v>671</v>
      </c>
      <c r="M6" s="137"/>
      <c r="O6" s="118"/>
      <c r="P6" s="119"/>
      <c r="Q6" s="138"/>
    </row>
    <row r="7" spans="2:17" ht="15.6" hidden="1" customHeight="1">
      <c r="B7" s="134"/>
      <c r="C7" s="139"/>
      <c r="D7" s="122"/>
      <c r="E7" s="122"/>
      <c r="F7" s="125">
        <f>IF(AND('Калькулятор КНС'!G8&gt;0.6,OR(CONCATENATE('Калькулятор КНС'!G5,'Калькулятор КНС'!I8)=CONCATENATE('Вес трубы, ПЭ трубы'!B51,'Вес трубы, ПЭ трубы'!C51),CONCATENATE('Калькулятор КНС'!G5,'Калькулятор КНС'!I8)=CONCATENATE('Вес трубы, ПЭ трубы'!B55,'Вес трубы, ПЭ трубы'!C55),CONCATENATE('Калькулятор КНС'!G5,'Калькулятор КНС'!I8)=CONCATENATE('Вес трубы, ПЭ трубы'!B57,'Вес трубы, ПЭ трубы'!C57))),1.6,IF(AND(G5=1300,OR(I8=5000,I8=10000),'Калькулятор КНС'!G8&lt;=0.4),0.4,IF(G8&lt;=0.6,0.6,1)))</f>
        <v>0.6</v>
      </c>
      <c r="G7" s="126"/>
      <c r="H7" s="125"/>
      <c r="I7" s="126"/>
      <c r="J7" s="140" t="s">
        <v>318</v>
      </c>
      <c r="K7" s="141" t="s">
        <v>319</v>
      </c>
      <c r="L7" s="140" t="s">
        <v>318</v>
      </c>
      <c r="M7" s="141" t="s">
        <v>319</v>
      </c>
      <c r="O7" s="118"/>
      <c r="P7" s="119"/>
      <c r="Q7" s="138"/>
    </row>
    <row r="8" spans="2:17" ht="15">
      <c r="B8" s="134"/>
      <c r="C8" s="142" t="s">
        <v>126</v>
      </c>
      <c r="D8" s="143" t="s">
        <v>127</v>
      </c>
      <c r="E8" s="143" t="s">
        <v>128</v>
      </c>
      <c r="F8" s="143"/>
      <c r="G8" s="144">
        <f>ОЛ_НАСОСНАЯ_СТАНЦИЯ!E21</f>
        <v>0.1</v>
      </c>
      <c r="H8" s="145"/>
      <c r="I8" s="130">
        <f>ОЛ_НАСОСНАЯ_СТАНЦИЯ!E22</f>
        <v>10000</v>
      </c>
      <c r="J8" s="145"/>
      <c r="K8" s="130">
        <f>IF(J5&gt;=200,_xlfn.CEILING.MATH(IF(J5&lt;100,J5,J5+100),100),_xlfn.CEILING.MATH(IF(J5&lt;100,J5,J5+100),50))</f>
        <v>500</v>
      </c>
      <c r="L8" s="145"/>
      <c r="M8" s="130">
        <f>IF(L5&gt;=200,_xlfn.CEILING.MATH(IF(L5&lt;100,L5,L5+100),100),_xlfn.CEILING.MATH(IF(L5&lt;100,L5,L5+100),50))</f>
        <v>250</v>
      </c>
      <c r="O8" s="118"/>
      <c r="P8" s="119"/>
      <c r="Q8" s="138"/>
    </row>
    <row r="9" spans="2:17" ht="14.1" customHeight="1">
      <c r="B9" s="146" t="s">
        <v>57</v>
      </c>
      <c r="C9" s="147" t="s">
        <v>320</v>
      </c>
      <c r="D9" s="148" t="s">
        <v>321</v>
      </c>
      <c r="E9" s="149"/>
      <c r="F9" s="150" t="s">
        <v>322</v>
      </c>
      <c r="G9" s="146" t="s">
        <v>323</v>
      </c>
      <c r="H9" s="148" t="s">
        <v>324</v>
      </c>
      <c r="I9" s="149"/>
      <c r="J9" s="146" t="s">
        <v>325</v>
      </c>
      <c r="K9" s="146" t="s">
        <v>88</v>
      </c>
      <c r="L9" s="148" t="s">
        <v>326</v>
      </c>
      <c r="M9" s="149"/>
      <c r="N9" s="147" t="s">
        <v>327</v>
      </c>
      <c r="O9" s="151" t="s">
        <v>328</v>
      </c>
      <c r="P9" s="151" t="s">
        <v>329</v>
      </c>
      <c r="Q9" s="151" t="s">
        <v>330</v>
      </c>
    </row>
    <row r="10" spans="2:17" ht="8.4499999999999993" customHeight="1">
      <c r="B10" s="152"/>
      <c r="C10" s="153"/>
      <c r="D10" s="154"/>
      <c r="E10" s="154"/>
      <c r="F10" s="155"/>
      <c r="G10" s="155"/>
      <c r="H10" s="156"/>
      <c r="I10" s="156"/>
      <c r="J10" s="155"/>
      <c r="K10" s="155"/>
      <c r="L10" s="156"/>
      <c r="M10" s="156"/>
      <c r="N10" s="155"/>
      <c r="O10" s="157"/>
      <c r="P10" s="158"/>
      <c r="Q10" s="158"/>
    </row>
    <row r="11" spans="2:17" ht="29.1" customHeight="1">
      <c r="B11" s="159">
        <v>1</v>
      </c>
      <c r="C11" s="161"/>
      <c r="D11" s="162" t="str">
        <f>CONCATENATE("Корпус ",ОЛ_НАСОСНАЯ_СТАНЦИЯ!E7," ",G5,"х",H5,"мм"," ","(где ",I5,"мм"," - подземная часть), в т.ч.:")</f>
        <v>Корпус Канализационная 3000х11800мм (где 11500мм - подземная часть), в т.ч.:</v>
      </c>
      <c r="E11" s="162"/>
      <c r="F11" s="163"/>
      <c r="G11" s="164"/>
      <c r="H11" s="163"/>
      <c r="I11" s="165"/>
      <c r="J11" s="165"/>
      <c r="K11" s="166"/>
      <c r="L11" s="165"/>
      <c r="M11" s="165"/>
      <c r="N11" s="165"/>
      <c r="O11" s="670"/>
      <c r="P11" s="168"/>
      <c r="Q11" s="168"/>
    </row>
    <row r="12" spans="2:17" ht="15" outlineLevel="1">
      <c r="B12" s="169" t="s">
        <v>331</v>
      </c>
      <c r="C12" s="290"/>
      <c r="D12" s="171" t="s">
        <v>672</v>
      </c>
      <c r="E12" s="171"/>
      <c r="F12" s="172"/>
      <c r="G12" s="173"/>
      <c r="H12" s="172"/>
      <c r="I12" s="174"/>
      <c r="J12" s="174"/>
      <c r="K12" s="175"/>
      <c r="L12" s="174"/>
      <c r="M12" s="174"/>
      <c r="N12" s="174"/>
      <c r="O12" s="167"/>
      <c r="P12" s="168"/>
      <c r="Q12" s="168"/>
    </row>
    <row r="13" spans="2:17" ht="19.5" customHeight="1" outlineLevel="1">
      <c r="B13" s="169"/>
      <c r="C13" s="290"/>
      <c r="D13" s="171"/>
      <c r="E13" s="171"/>
      <c r="F13" s="172"/>
      <c r="G13" s="173"/>
      <c r="H13" s="172"/>
      <c r="I13" s="176" t="s">
        <v>333</v>
      </c>
      <c r="J13" s="177">
        <v>1</v>
      </c>
      <c r="K13" s="178" t="s">
        <v>129</v>
      </c>
      <c r="L13" s="174"/>
      <c r="M13" s="174" t="str">
        <f t="array" aca="1" ref="M13" ca="1">IFERROR(IF(L13&lt;&gt;"","",IF((VLOOKUP(D13&amp;K13,INDIRECT("'"&amp;INDEX(Списки!$AG$2:$AG$17,MATCH(TRUE,COUNTIF(INDIRECT("'"&amp;Списки!$AG$2:$AG$17 &amp;"'!A1:A300000"),D13&amp;K13)&gt;0,0))&amp;"'!A:h"),7,0))=0,"",VLOOKUP(D13&amp;K13,INDIRECT("'"&amp;INDEX(Списки!$AG$2:$AG$17,MATCH(TRUE,COUNTIF(INDIRECT("'"&amp;Списки!$AG$2:$AG$17 &amp;"'!A1:A300000"),D13&amp;K13)&gt;0,0))&amp;"'!A:h"),7,0))),"")</f>
        <v/>
      </c>
      <c r="N13" s="174"/>
      <c r="O13" s="167"/>
      <c r="P13" s="168"/>
      <c r="Q13" s="168"/>
    </row>
    <row r="14" spans="2:17" ht="19.5" customHeight="1" outlineLevel="1">
      <c r="B14" s="179"/>
      <c r="C14" s="208"/>
      <c r="D14" s="160" t="str">
        <f>IF(C8="","",CONCATENATE(C8," ",D8,"-",E8," ",G5,"-",G8,"-",I8))</f>
        <v>Труба СК/НПС-К 3000-0,1-10000</v>
      </c>
      <c r="E14" s="181" t="s">
        <v>134</v>
      </c>
      <c r="F14" s="647" t="str">
        <f>IF(E14=Списки!AI3,"Справочно","")</f>
        <v/>
      </c>
      <c r="G14" s="183">
        <f>IFERROR(I14*INDEX('Вес трубы, ПЭ трубы'!E:G,MATCH(CONCATENATE(G5&amp;";"&amp;F7&amp;";"&amp;I8),'Вес трубы, ПЭ трубы'!E:E,),3),"")</f>
        <v>11157.300000000001</v>
      </c>
      <c r="H14" s="184"/>
      <c r="I14" s="185">
        <f>I5/1000</f>
        <v>11.5</v>
      </c>
      <c r="J14" s="186">
        <f>IF(H14="",I14,H14)</f>
        <v>11.5</v>
      </c>
      <c r="K14" s="178" t="s">
        <v>163</v>
      </c>
      <c r="L14" s="187">
        <v>1</v>
      </c>
      <c r="M14" s="188" t="str">
        <f t="array" aca="1" ref="M14" ca="1">IFERROR(IF(L14&lt;&gt;"","",IF((VLOOKUP(D14&amp;K14,INDIRECT("'"&amp;INDEX(Списки!$AG$2:$AG$17,MATCH(TRUE,COUNTIF(INDIRECT("'"&amp;Списки!$AG$2:$AG$17 &amp;"'!A1:A300000"),D14&amp;K14)&gt;0,0))&amp;"'!A:h"),7,0))=0,"",VLOOKUP(D14&amp;K14,INDIRECT("'"&amp;INDEX(Списки!$AG$2:$AG$17,MATCH(TRUE,COUNTIF(INDIRECT("'"&amp;Списки!$AG$2:$AG$17 &amp;"'!A1:A300000"),D14&amp;K14)&gt;0,0))&amp;"'!A:h"),7,0))),"")</f>
        <v/>
      </c>
      <c r="N14" s="202">
        <f t="shared" ref="N14:N15" si="0">IFERROR(IF(L14="",M14*J14,J14*L14),"")</f>
        <v>11.5</v>
      </c>
      <c r="O14" s="1124" t="s">
        <v>2047</v>
      </c>
      <c r="P14" s="492"/>
      <c r="Q14" s="168"/>
    </row>
    <row r="15" spans="2:17" ht="22.5" customHeight="1" outlineLevel="1" collapsed="1">
      <c r="B15" s="179"/>
      <c r="C15" s="180" t="s">
        <v>72</v>
      </c>
      <c r="D15" s="180" t="s">
        <v>334</v>
      </c>
      <c r="E15" s="199"/>
      <c r="F15" s="191" t="str">
        <f t="array" ref="F15">IF(C15="","",IF(OR(C15=Списки!$AG$15:$AG$17),"нет","да"))</f>
        <v>нет</v>
      </c>
      <c r="G15" s="204"/>
      <c r="H15" s="1292"/>
      <c r="I15" s="757">
        <f>G5/1300*J14</f>
        <v>26.538461538461537</v>
      </c>
      <c r="J15" s="194">
        <f>ROUNDUP(IF($E$14=Списки!$AI$2,IF(H15="",I15,H15),0),1)</f>
        <v>26.6</v>
      </c>
      <c r="K15" s="178" t="s">
        <v>212</v>
      </c>
      <c r="L15" s="187"/>
      <c r="M15" s="188">
        <f>IFERROR(IF(L15&lt;&gt;"","",VLOOKUP(C15&amp;'Калькулятор КНС'!D15&amp;'Калькулятор КНС'!K15,НН!A:J,10,)),"")</f>
        <v>1207.8</v>
      </c>
      <c r="N15" s="202">
        <f t="shared" si="0"/>
        <v>32127.48</v>
      </c>
      <c r="O15" s="214"/>
      <c r="P15" s="492"/>
      <c r="Q15" s="168"/>
    </row>
    <row r="16" spans="2:17" ht="27" hidden="1" customHeight="1" outlineLevel="3">
      <c r="B16" s="179"/>
      <c r="C16" s="180" t="s">
        <v>72</v>
      </c>
      <c r="D16" s="198" t="str">
        <f>IF(C8="","",CONCATENATE(C8," ",D8,"-",E8," ",G5,"-",G8,"-",I8))</f>
        <v>Труба СК/НПС-К 3000-0,1-10000</v>
      </c>
      <c r="E16" s="199"/>
      <c r="F16" s="191" t="s">
        <v>209</v>
      </c>
      <c r="G16" s="183" t="str">
        <f>IFERROR(I16*INDEX('Вес трубы, ПЭ трубы'!E:G,MATCH(CONCATENATE(#REF!&amp;";"&amp;F8&amp;";"&amp;#REF!),'Вес трубы, ПЭ трубы'!E:E,),3),"")</f>
        <v/>
      </c>
      <c r="H16" s="1056">
        <v>7</v>
      </c>
      <c r="I16" s="185"/>
      <c r="J16" s="186">
        <f>IF($E$14=Списки!$AI$2,0,IF(H16="",I16,H16))</f>
        <v>0</v>
      </c>
      <c r="K16" s="178" t="s">
        <v>163</v>
      </c>
      <c r="L16" s="226"/>
      <c r="M16" s="188" t="str">
        <f>IFERROR(IF(L16&lt;&gt;"","",VLOOKUP(C16&amp;'Калькулятор КНС'!D16&amp;'Калькулятор КНС'!K16,НН!A:J,10,)),"")</f>
        <v/>
      </c>
      <c r="N16" s="189">
        <f>IFERROR(J16*L16,0)</f>
        <v>0</v>
      </c>
      <c r="O16" s="758"/>
      <c r="P16" s="168"/>
      <c r="Q16" s="168"/>
    </row>
    <row r="17" spans="2:16" ht="27" hidden="1" customHeight="1" outlineLevel="3">
      <c r="B17" s="179"/>
      <c r="C17" s="180" t="s">
        <v>72</v>
      </c>
      <c r="D17" s="198" t="s">
        <v>334</v>
      </c>
      <c r="E17" s="199"/>
      <c r="F17" s="191" t="str">
        <f t="array" ref="F17">IF(C17="","",IF(OR(C17=Списки!$AG$15:$AG$17),"нет","да"))</f>
        <v>нет</v>
      </c>
      <c r="G17" s="183"/>
      <c r="H17" s="1056"/>
      <c r="I17" s="185">
        <f>$G$5/1300*J16</f>
        <v>0</v>
      </c>
      <c r="J17" s="194">
        <f>ROUNDUP(IF(H17="",I17,H17),1)</f>
        <v>0</v>
      </c>
      <c r="K17" s="178" t="s">
        <v>212</v>
      </c>
      <c r="L17" s="226"/>
      <c r="M17" s="188">
        <f>IFERROR(IF(L17&lt;&gt;"","",VLOOKUP(C17&amp;'Калькулятор КНС'!D17&amp;'Калькулятор КНС'!K17,НН!A:J,10,)),"")</f>
        <v>1207.8</v>
      </c>
      <c r="N17" s="189">
        <f>IFERROR(IF(L17="",M17*J17,J17*L17),"")</f>
        <v>0</v>
      </c>
      <c r="O17" s="758"/>
      <c r="P17" s="168"/>
    </row>
    <row r="18" spans="2:16" ht="19.5" hidden="1" customHeight="1" outlineLevel="3">
      <c r="B18" s="179"/>
      <c r="C18" s="180" t="s">
        <v>72</v>
      </c>
      <c r="D18" s="198" t="str">
        <f>IF(C8="","",CONCATENATE(C8," ",D8,"-",E8," ",G5,"-",G8,"-",I8))</f>
        <v>Труба СК/НПС-К 3000-0,1-10000</v>
      </c>
      <c r="E18" s="199"/>
      <c r="F18" s="191" t="s">
        <v>209</v>
      </c>
      <c r="G18" s="183"/>
      <c r="H18" s="1056">
        <v>5.5</v>
      </c>
      <c r="I18" s="185"/>
      <c r="J18" s="186">
        <f>IF($E$14=Списки!$AI$2,0,IF(H18="",I18,H18))</f>
        <v>0</v>
      </c>
      <c r="K18" s="178" t="s">
        <v>163</v>
      </c>
      <c r="L18" s="226"/>
      <c r="M18" s="188" t="str">
        <f>IFERROR(IF(L18&lt;&gt;"","",VLOOKUP(C18&amp;'Калькулятор КНС'!D18&amp;'Калькулятор КНС'!K18,НН!A:J,10,)),"")</f>
        <v/>
      </c>
      <c r="N18" s="189">
        <f>IFERROR(J18*L18,0)</f>
        <v>0</v>
      </c>
      <c r="O18" s="167"/>
      <c r="P18" s="168"/>
    </row>
    <row r="19" spans="2:16" ht="19.5" hidden="1" customHeight="1" outlineLevel="3">
      <c r="B19" s="179"/>
      <c r="C19" s="180" t="s">
        <v>72</v>
      </c>
      <c r="D19" s="198" t="s">
        <v>334</v>
      </c>
      <c r="E19" s="199"/>
      <c r="F19" s="191" t="str">
        <f t="array" ref="F19">IF(C19="","",IF(OR(C19=Списки!$AG$15:$AG$17),"нет","да"))</f>
        <v>нет</v>
      </c>
      <c r="G19" s="183"/>
      <c r="H19" s="1056"/>
      <c r="I19" s="185">
        <f>$G$5/1300*J18</f>
        <v>0</v>
      </c>
      <c r="J19" s="194">
        <f>ROUNDUP(IF(H19="",I19,H19),1)</f>
        <v>0</v>
      </c>
      <c r="K19" s="178" t="s">
        <v>212</v>
      </c>
      <c r="L19" s="226"/>
      <c r="M19" s="188">
        <f>IFERROR(IF(L19&lt;&gt;"","",VLOOKUP(C19&amp;'Калькулятор КНС'!D19&amp;'Калькулятор КНС'!K19,НН!A:J,10,)),"")</f>
        <v>1207.8</v>
      </c>
      <c r="N19" s="189">
        <f>IFERROR(IF(L19="",M19*J19,J19*L19),"")</f>
        <v>0</v>
      </c>
      <c r="O19" s="167"/>
      <c r="P19" s="168"/>
    </row>
    <row r="20" spans="2:16" ht="18.75" hidden="1" customHeight="1" outlineLevel="3">
      <c r="B20" s="179"/>
      <c r="C20" s="180" t="s">
        <v>72</v>
      </c>
      <c r="D20" s="208" t="s">
        <v>958</v>
      </c>
      <c r="E20" s="199"/>
      <c r="F20" s="191" t="s">
        <v>209</v>
      </c>
      <c r="G20" s="183"/>
      <c r="H20" s="1293"/>
      <c r="I20" s="185">
        <f>VLOOKUP(IF(G5="",G5,G5),'Для расчетов'!J36:S143,10,)</f>
        <v>112</v>
      </c>
      <c r="J20" s="186">
        <f>IF($E$14=Списки!$AI$2,0,IF(H20="",I20,H20))</f>
        <v>0</v>
      </c>
      <c r="K20" s="178" t="s">
        <v>193</v>
      </c>
      <c r="L20" s="226"/>
      <c r="M20" s="188">
        <f>IFERROR(IF(L20&lt;&gt;"","",VLOOKUP(C20&amp;'Калькулятор КНС'!D20&amp;'Калькулятор КНС'!K20,НН!A:J,10,)),"")</f>
        <v>310.2</v>
      </c>
      <c r="N20" s="189">
        <f>IFERROR(IF(L20="",M20*J20,J20*L20),0)</f>
        <v>0</v>
      </c>
      <c r="O20" s="167"/>
      <c r="P20" s="168"/>
    </row>
    <row r="21" spans="2:16" ht="15" hidden="1" outlineLevel="3">
      <c r="B21" s="179"/>
      <c r="C21" s="180" t="s">
        <v>238</v>
      </c>
      <c r="D21" s="208" t="s">
        <v>238</v>
      </c>
      <c r="E21" s="199"/>
      <c r="F21" s="191" t="s">
        <v>209</v>
      </c>
      <c r="G21" s="183"/>
      <c r="H21" s="1293"/>
      <c r="I21" s="185">
        <f>IF(COUNTIF(D20,"*мех*")=1,0.28,IF(COUNTIF(D20,"*ламин*")=1,1))</f>
        <v>1</v>
      </c>
      <c r="J21" s="186">
        <f>IF($E$14=Списки!$AI$2,0,IF(H21="",I21,H21))</f>
        <v>0</v>
      </c>
      <c r="K21" s="178" t="s">
        <v>212</v>
      </c>
      <c r="L21" s="226"/>
      <c r="M21" s="188">
        <f>IFERROR(IF(L21&lt;&gt;"","",VLOOKUP(C21&amp;'Калькулятор КНС'!D21&amp;'Калькулятор КНС'!K21,НН!A:J,10,)),"")</f>
        <v>1207.8</v>
      </c>
      <c r="N21" s="189">
        <f>IFERROR(IF(L21="",M21*J21,J21*L21),0)</f>
        <v>0</v>
      </c>
      <c r="O21" s="167"/>
      <c r="P21" s="168"/>
    </row>
    <row r="22" spans="2:16" ht="15" outlineLevel="1">
      <c r="B22" s="179"/>
      <c r="C22" s="180" t="s">
        <v>72</v>
      </c>
      <c r="D22" s="180" t="str">
        <f>IF(C50="да","Механическое формованное дно","Механическая формовка плоского днища")</f>
        <v>Механическое формованное дно</v>
      </c>
      <c r="E22" s="199"/>
      <c r="F22" s="191" t="str">
        <f t="array" ref="F22">IF(C22="","",IF(OR(C22=Списки!$AG$15:$AG$17),"нет","да"))</f>
        <v>нет</v>
      </c>
      <c r="G22" s="204"/>
      <c r="H22" s="1292"/>
      <c r="I22" s="185">
        <f>((PI()*(($G$5+300)/(1000*2))^2)*0.01*1850)+(((G5/1000)^2*PI()*0.008*1850)/4)</f>
        <v>262.84527635340697</v>
      </c>
      <c r="J22" s="694">
        <f>IF(H22="",I22,H22)</f>
        <v>262.84527635340697</v>
      </c>
      <c r="K22" s="178" t="s">
        <v>193</v>
      </c>
      <c r="L22" s="187"/>
      <c r="M22" s="188">
        <f>IFERROR(IF(L22&lt;&gt;"","",VLOOKUP(C22&amp;'Калькулятор КНС'!D22&amp;'Калькулятор КНС'!K22,НН!A:J,10,)),"")</f>
        <v>214.4</v>
      </c>
      <c r="N22" s="202">
        <f t="shared" ref="N22:N93" si="1">IFERROR(IF(L22="",M22*J22,J22*L22),"")</f>
        <v>56354.027250170453</v>
      </c>
      <c r="O22" s="167" t="s">
        <v>1940</v>
      </c>
      <c r="P22" s="168"/>
    </row>
    <row r="23" spans="2:16" ht="15" outlineLevel="1">
      <c r="B23" s="179"/>
      <c r="C23" s="180" t="s">
        <v>238</v>
      </c>
      <c r="D23" s="208" t="s">
        <v>238</v>
      </c>
      <c r="E23" s="209"/>
      <c r="F23" s="191" t="str">
        <f t="array" ref="F23">IF(C23="","",IF(OR(C23=Списки!$AG$15:$AG$17),"нет","да"))</f>
        <v>нет</v>
      </c>
      <c r="G23" s="204"/>
      <c r="H23" s="966"/>
      <c r="I23" s="206">
        <f>IF(COUNTIF(D22,"*мех*")=1,0.28,IF(COUNTIF(D22,"*ламин*")=1,0.56,1))</f>
        <v>0.28000000000000003</v>
      </c>
      <c r="J23" s="194">
        <f>ROUNDUP(IF(H23="",IFERROR(J22*I23,""),H23),1)</f>
        <v>73.599999999999994</v>
      </c>
      <c r="K23" s="178" t="s">
        <v>212</v>
      </c>
      <c r="L23" s="226"/>
      <c r="M23" s="188">
        <f>IFERROR(IF(L23&lt;&gt;"","",VLOOKUP(C23&amp;'Калькулятор КНС'!D23&amp;'Калькулятор КНС'!K23,НН!A:J,10,)),"")</f>
        <v>1207.8</v>
      </c>
      <c r="N23" s="202">
        <f t="shared" si="1"/>
        <v>88894.079999999987</v>
      </c>
      <c r="O23" s="167"/>
      <c r="P23" s="168"/>
    </row>
    <row r="24" spans="2:16" ht="15" outlineLevel="1">
      <c r="B24" s="179"/>
      <c r="C24" s="180" t="s">
        <v>72</v>
      </c>
      <c r="D24" s="208" t="str">
        <f>IF(C50="да","Ламинирование дна к фальшполу","Ламинирование плоского днища")</f>
        <v>Ламинирование дна к фальшполу</v>
      </c>
      <c r="E24" s="211"/>
      <c r="F24" s="212" t="str">
        <f t="array" ref="F24">IF(C24="","",IF(OR(C24=Списки!$AG$15:$AG$17),"нет","да"))</f>
        <v>нет</v>
      </c>
      <c r="G24" s="204"/>
      <c r="H24" s="966"/>
      <c r="I24" s="225">
        <f>IF(H24="",IFERROR(IF(H22="",J22,H22)*3/10,""),"")</f>
        <v>78.853582906022098</v>
      </c>
      <c r="J24" s="186">
        <f>IF(H24="",I24,H24)</f>
        <v>78.853582906022098</v>
      </c>
      <c r="K24" s="178" t="s">
        <v>193</v>
      </c>
      <c r="L24" s="187"/>
      <c r="M24" s="188">
        <f>IFERROR(IF(L24&lt;&gt;"","",VLOOKUP(C24&amp;'Калькулятор КНС'!D24&amp;'Калькулятор КНС'!K24,НН!A:J,10,)),"")</f>
        <v>310.2</v>
      </c>
      <c r="N24" s="202">
        <f t="shared" si="1"/>
        <v>24460.381417448054</v>
      </c>
      <c r="O24" s="167"/>
      <c r="P24" s="168"/>
    </row>
    <row r="25" spans="2:16" ht="15" outlineLevel="1">
      <c r="B25" s="179"/>
      <c r="C25" s="180" t="s">
        <v>238</v>
      </c>
      <c r="D25" s="208" t="s">
        <v>238</v>
      </c>
      <c r="E25" s="211"/>
      <c r="F25" s="212" t="str">
        <f t="array" ref="F25">IF(C25="","",IF(OR(C25=Списки!$AG$15:$AG$17),"нет","да"))</f>
        <v>нет</v>
      </c>
      <c r="G25" s="204"/>
      <c r="H25" s="966"/>
      <c r="I25" s="193">
        <f>IF(COUNTIF(D24,"*мех*")=1,0.28,IF(COUNTIF(D24,"*ламин*")=1,0.56,1))</f>
        <v>0.56000000000000005</v>
      </c>
      <c r="J25" s="194">
        <f>ROUNDUP(IF(H25="",IFERROR(J24*I25,""),H25),1)</f>
        <v>44.2</v>
      </c>
      <c r="K25" s="178" t="s">
        <v>212</v>
      </c>
      <c r="L25" s="226"/>
      <c r="M25" s="188">
        <f>IFERROR(IF(L25&lt;&gt;"","",VLOOKUP(C25&amp;'Калькулятор КНС'!D25&amp;'Калькулятор КНС'!K25,НН!A:J,10,)),"")</f>
        <v>1207.8</v>
      </c>
      <c r="N25" s="202">
        <f t="shared" si="1"/>
        <v>53384.76</v>
      </c>
      <c r="O25" s="167"/>
      <c r="P25" s="168"/>
    </row>
    <row r="26" spans="2:16" ht="15" outlineLevel="2">
      <c r="B26" s="179"/>
      <c r="C26" s="180"/>
      <c r="D26" s="161" t="s">
        <v>335</v>
      </c>
      <c r="E26" s="211"/>
      <c r="F26" s="215"/>
      <c r="G26" s="216"/>
      <c r="H26" s="227"/>
      <c r="I26" s="218"/>
      <c r="J26" s="219"/>
      <c r="K26" s="220"/>
      <c r="L26" s="221"/>
      <c r="M26" s="222" t="str">
        <f t="array" aca="1" ref="M26" ca="1">IFERROR(IF(L26&lt;&gt;"","",IF((VLOOKUP(D26&amp;K26,INDIRECT("'"&amp;INDEX(Списки!$AG$2:$AG$17,MATCH(TRUE,COUNTIF(INDIRECT("'"&amp;Списки!$AG$2:$AG$17 &amp;"'!A1:A300000"),D26&amp;K26)&gt;0,0))&amp;"'!A:h"),7,0))=0,"",VLOOKUP(D26&amp;K26,INDIRECT("'"&amp;INDEX(Списки!$AG$2:$AG$17,MATCH(TRUE,COUNTIF(INDIRECT("'"&amp;Списки!$AG$2:$AG$17 &amp;"'!A1:A300000"),D26&amp;K26)&gt;0,0))&amp;"'!A:h"),7,0))),"")</f>
        <v/>
      </c>
      <c r="N26" s="223"/>
      <c r="O26" s="167"/>
      <c r="P26" s="168"/>
    </row>
    <row r="27" spans="2:16" ht="30" customHeight="1" outlineLevel="2">
      <c r="B27" s="179"/>
      <c r="C27" s="180" t="s">
        <v>72</v>
      </c>
      <c r="D27" s="180" t="str">
        <f>IF(ОЛ_НАСОСНАЯ_СТАНЦИЯ!E40="Труба стеклокомпозитная","Муфта-2 СК/НПС-К "&amp;J$5&amp;"-1",IF(ОЛ_НАСОСНАЯ_СТАНЦИЯ!E40=Списки!L$8,IF(J$5&gt;=300,"Труба СК/НПС-К "&amp;K$8&amp;"-0,1-2500","Ручная формовка патрубка"),IF(J$5&gt;=200,"Труба СК/НПС-К "&amp;_xlfn.CEILING.MATH(IF(J$8="",K$8,J$8),50)&amp;"-0,1-2500","Ручная формовка патрубка")))</f>
        <v>Труба СК/НПС-К 500-0,1-2500</v>
      </c>
      <c r="E27" s="759" t="str">
        <f>IF(ОЛ_НАСОСНАЯ_СТАНЦИЯ!E40="Труба стеклокомпозитная","Муфта-2 СК/НПС-К "&amp;J$5&amp;"-1","Стеклокомпозитная гильза Ø"&amp;K$8)</f>
        <v>Стеклокомпозитная гильза Ø500</v>
      </c>
      <c r="F27" s="212" t="str">
        <f t="array" ref="F27">IF(C27="","",IF(OR(C27=Списки!$AG$15:$AG$17),"нет","да"))</f>
        <v>нет</v>
      </c>
      <c r="G27" s="204"/>
      <c r="H27" s="184"/>
      <c r="I27" s="225"/>
      <c r="J27" s="194">
        <f>IFERROR(IF(SEARCH("*гильза*",E27)=1,0.5*$K$5),VLOOKUP(IF(J8="",K8,J8),'Для расчетов'!$A$36:$F$60,4,)*$K$5)</f>
        <v>0.5</v>
      </c>
      <c r="K27" s="178" t="str">
        <f>IFERROR(IF(SEARCH("*труба*",D27)=1,"м"),"кг")</f>
        <v>м</v>
      </c>
      <c r="L27" s="1218" t="str">
        <f>IFERROR(IF(SEARCH("м",K27)=1,"1,00"),"")</f>
        <v>1,00</v>
      </c>
      <c r="M27" s="188" t="str">
        <f>IFERROR(IF(L27&lt;&gt;"","",VLOOKUP(C27&amp;'Калькулятор КНС'!D27&amp;'Калькулятор КНС'!K27,НН!A:J,10,)),"")</f>
        <v/>
      </c>
      <c r="N27" s="202">
        <f>IFERROR(IF(L27="",M27*J27,J27*L27),0)</f>
        <v>0.5</v>
      </c>
      <c r="O27" s="1124" t="s">
        <v>1954</v>
      </c>
      <c r="P27" s="168"/>
    </row>
    <row r="28" spans="2:16" ht="15" outlineLevel="2">
      <c r="B28" s="179"/>
      <c r="C28" s="180" t="s">
        <v>72</v>
      </c>
      <c r="D28" s="180" t="s">
        <v>334</v>
      </c>
      <c r="E28" s="224"/>
      <c r="F28" s="212" t="str">
        <f t="array" ref="F28">IF(C28="","",IF(OR(C28=Списки!$AG$15:$AG$17),"нет","да"))</f>
        <v>нет</v>
      </c>
      <c r="G28" s="204"/>
      <c r="H28" s="184"/>
      <c r="I28" s="225">
        <f>K8/1300*J27</f>
        <v>0.19230769230769232</v>
      </c>
      <c r="J28" s="194">
        <f>IF(COUNTIF(D27,"*труба*")=1,K8/1300*J27,0)</f>
        <v>0.19230769230769232</v>
      </c>
      <c r="K28" s="178" t="s">
        <v>212</v>
      </c>
      <c r="L28" s="965"/>
      <c r="M28" s="188">
        <f>IFERROR(IF(L28&lt;&gt;"","",VLOOKUP(C28&amp;'Калькулятор КНС'!D28&amp;'Калькулятор КНС'!K28,НН!A:J,10,)),"")</f>
        <v>1207.8</v>
      </c>
      <c r="N28" s="202">
        <f>IFERROR(IF(L28="",M28*J28,J28*L28),"")</f>
        <v>232.26923076923077</v>
      </c>
      <c r="O28" s="167"/>
      <c r="P28" s="168"/>
    </row>
    <row r="29" spans="2:16" ht="15" outlineLevel="2">
      <c r="B29" s="179"/>
      <c r="C29" s="180" t="s">
        <v>72</v>
      </c>
      <c r="D29" s="208" t="s">
        <v>561</v>
      </c>
      <c r="E29" s="211"/>
      <c r="F29" s="212" t="str">
        <f t="array" ref="F29">IF(C29="","",IF(OR(C29=Списки!$AG$15:$AG$17),"нет","да"))</f>
        <v>нет</v>
      </c>
      <c r="G29" s="204"/>
      <c r="H29" s="966"/>
      <c r="I29" s="193"/>
      <c r="J29" s="194">
        <f>IFERROR(IF(SEARCH("*труба*",E27)=1,VLOOKUP(IF(J8="",K8,J8),'Для расчетов'!$A$36:$F$60,4,)*3/10*$K$5),VLOOKUP(IF(J8="",K8,J8),'Для расчетов'!$A$36:$F$60,4,)*$K$5*3/10)</f>
        <v>0.56999999999999995</v>
      </c>
      <c r="K29" s="178" t="s">
        <v>193</v>
      </c>
      <c r="L29" s="226"/>
      <c r="M29" s="188">
        <f>IFERROR(IF(L29&lt;&gt;"","",VLOOKUP(C29&amp;'Калькулятор КНС'!D29&amp;'Калькулятор КНС'!K29,НН!A:J,10,)),"")</f>
        <v>310.2</v>
      </c>
      <c r="N29" s="202">
        <f t="shared" ref="N29" si="2">IFERROR(IF(L29="",M29*J29,J29*L29),"")</f>
        <v>176.81399999999996</v>
      </c>
      <c r="O29" s="167"/>
      <c r="P29" s="168"/>
    </row>
    <row r="30" spans="2:16" ht="22.5" customHeight="1" outlineLevel="2">
      <c r="B30" s="179"/>
      <c r="C30" s="180" t="s">
        <v>238</v>
      </c>
      <c r="D30" s="208" t="s">
        <v>238</v>
      </c>
      <c r="E30" s="211"/>
      <c r="F30" s="212" t="str">
        <f t="array" ref="F30">IF(C30="","",IF(OR(C30=Списки!$AG$15:$AG$17),"нет","да"))</f>
        <v>нет</v>
      </c>
      <c r="G30" s="204"/>
      <c r="H30" s="184"/>
      <c r="I30" s="296">
        <f>IF(COUNTIF(D29,"*мех*")=1,0.28,IF(COUNTIF(D29,"*ламин*")=1,1))</f>
        <v>1</v>
      </c>
      <c r="J30" s="194">
        <f>ROUNDUP(IF(H30="",IFERROR(J29*I30,""),H30),1)</f>
        <v>0.6</v>
      </c>
      <c r="K30" s="178" t="s">
        <v>212</v>
      </c>
      <c r="L30" s="226"/>
      <c r="M30" s="188">
        <f>IFERROR(IF(L30&lt;&gt;"","",VLOOKUP(C30&amp;'Калькулятор КНС'!D30&amp;'Калькулятор КНС'!K30,НН!A:J,10,)),"")</f>
        <v>1207.8</v>
      </c>
      <c r="N30" s="202">
        <f t="shared" si="1"/>
        <v>724.68</v>
      </c>
      <c r="O30" s="167" t="s">
        <v>336</v>
      </c>
      <c r="P30" s="168"/>
    </row>
    <row r="31" spans="2:16" ht="15" outlineLevel="1" collapsed="1">
      <c r="B31" s="957"/>
      <c r="C31" s="180"/>
      <c r="D31" s="208"/>
      <c r="E31" s="211"/>
      <c r="F31" s="215"/>
      <c r="G31" s="216"/>
      <c r="H31" s="227"/>
      <c r="I31" s="1060"/>
      <c r="J31" s="672"/>
      <c r="K31" s="220"/>
      <c r="L31" s="977"/>
      <c r="M31" s="222"/>
      <c r="N31" s="289"/>
      <c r="O31" s="167"/>
      <c r="P31" s="168"/>
    </row>
    <row r="32" spans="2:16" ht="15" hidden="1" outlineLevel="2">
      <c r="B32" s="179"/>
      <c r="C32" s="180"/>
      <c r="D32" s="161" t="s">
        <v>1955</v>
      </c>
      <c r="E32" s="211"/>
      <c r="F32" s="215"/>
      <c r="G32" s="216"/>
      <c r="H32" s="227"/>
      <c r="I32" s="465">
        <f>2*K5</f>
        <v>2</v>
      </c>
      <c r="J32" s="178" t="s">
        <v>129</v>
      </c>
      <c r="K32" s="220"/>
      <c r="L32" s="221"/>
      <c r="M32" s="222" t="str">
        <f t="array" aca="1" ref="M32" ca="1">IFERROR(IF(L32&lt;&gt;"","",IF((VLOOKUP(D32&amp;K32,INDIRECT("'"&amp;INDEX(Списки!$AG$2:$AG$17,MATCH(TRUE,COUNTIF(INDIRECT("'"&amp;Списки!$AG$2:$AG$17 &amp;"'!A1:A300000"),D32&amp;K32)&gt;0,0))&amp;"'!A:h"),7,0))=0,"",VLOOKUP(D32&amp;K32,INDIRECT("'"&amp;INDEX(Списки!$AG$2:$AG$17,MATCH(TRUE,COUNTIF(INDIRECT("'"&amp;Списки!$AG$2:$AG$17 &amp;"'!A1:A300000"),D32&amp;K32)&gt;0,0))&amp;"'!A:h"),7,0))),"")</f>
        <v/>
      </c>
      <c r="N32" s="223"/>
      <c r="O32" s="167"/>
      <c r="P32" s="168"/>
    </row>
    <row r="33" spans="2:16" ht="24" hidden="1" outlineLevel="2">
      <c r="B33" s="179"/>
      <c r="C33" s="180" t="s">
        <v>72</v>
      </c>
      <c r="D33" s="180" t="str">
        <f>IF(ОЛ_НАСОСНАЯ_СТАНЦИЯ!E39=Списки!L$8,IF(J$5&gt;=300,"Труба СК/НПС-К "&amp;K$8&amp;"-0,1-2500","Ручная формовка патрубка"),IF(J$5&gt;=200,"Труба СК/НПС-К "&amp;_xlfn.CEILING.MATH(IF(J$8="",K$8,J$8),50)&amp;"-0,1-2500","Ручная формовка патрубка"))</f>
        <v>Труба СК/НПС-К 500-0,1-2500</v>
      </c>
      <c r="E33" s="759" t="str">
        <f>IF(ОЛ_НАСОСНАЯ_СТАНЦИЯ!E46="Труба стеклокомпозитная","Муфта-2 СК/НПС-К "&amp;J$5&amp;"-1","Стеклокомпозитная гильза Ø"&amp;K$8)</f>
        <v>Стеклокомпозитная гильза Ø500</v>
      </c>
      <c r="F33" s="212" t="str">
        <f t="array" ref="F33">IF(C33="","",IF(OR(C33=Списки!$AG$15:$AG$17),"нет","да"))</f>
        <v>нет</v>
      </c>
      <c r="G33" s="204"/>
      <c r="H33" s="184"/>
      <c r="I33" s="225"/>
      <c r="J33" s="194">
        <f>IF(ОЛ_НАСОСНАЯ_СТАНЦИЯ!$E$47="нет",0,IF(J$5&gt;=300,(0.3*$K$5),(PI()*J5/1000*0.005*0.3*1850))*I32)</f>
        <v>0.6</v>
      </c>
      <c r="K33" s="178" t="str">
        <f>IFERROR(IF(SEARCH("*труба*",D33)=1,"м"),"кг")</f>
        <v>м</v>
      </c>
      <c r="L33" s="1218" t="str">
        <f>IFERROR(IF(SEARCH("м",K33)=1,"1.00"),"")</f>
        <v>1.00</v>
      </c>
      <c r="M33" s="188" t="str">
        <f>IFERROR(IF(L33&lt;&gt;"","",VLOOKUP(C33&amp;'Калькулятор КНС'!D33&amp;'Калькулятор КНС'!K33,НН!A:J,10,)),"")</f>
        <v/>
      </c>
      <c r="N33" s="202">
        <f>IFERROR(IF(L33="",M33*J33,J33*L33),0)</f>
        <v>0</v>
      </c>
      <c r="O33" s="1124" t="s">
        <v>1954</v>
      </c>
      <c r="P33" s="168"/>
    </row>
    <row r="34" spans="2:16" ht="15" hidden="1" outlineLevel="2">
      <c r="B34" s="179"/>
      <c r="C34" s="180" t="s">
        <v>72</v>
      </c>
      <c r="D34" s="180" t="s">
        <v>334</v>
      </c>
      <c r="E34" s="224"/>
      <c r="F34" s="212" t="str">
        <f t="array" ref="F34">IF(C34="","",IF(OR(C34=Списки!$AG$15:$AG$17),"нет","да"))</f>
        <v>нет</v>
      </c>
      <c r="G34" s="204"/>
      <c r="H34" s="184"/>
      <c r="I34" s="225">
        <f>K8/1300*J33</f>
        <v>0.23076923076923078</v>
      </c>
      <c r="J34" s="194">
        <f>IF(ОЛ_НАСОСНАЯ_СТАНЦИЯ!$E$47="нет",0,IF(COUNTIF(D33,"*труба*")=1,K8/1300*J33,0))</f>
        <v>0.23076923076923078</v>
      </c>
      <c r="K34" s="178" t="s">
        <v>212</v>
      </c>
      <c r="L34" s="965"/>
      <c r="M34" s="188">
        <f>IFERROR(IF(L34&lt;&gt;"","",VLOOKUP(C34&amp;'Калькулятор КНС'!D34&amp;'Калькулятор КНС'!K34,НН!A:J,10,)),"")</f>
        <v>1207.8</v>
      </c>
      <c r="N34" s="202">
        <f>IFERROR(IF(L34="",M34*J34,J34*L34),"")</f>
        <v>278.72307692307692</v>
      </c>
      <c r="O34" s="167"/>
      <c r="P34" s="168"/>
    </row>
    <row r="35" spans="2:16" ht="15" hidden="1" outlineLevel="2">
      <c r="B35" s="179"/>
      <c r="C35" s="180" t="s">
        <v>72</v>
      </c>
      <c r="D35" s="208" t="s">
        <v>1956</v>
      </c>
      <c r="E35" s="211"/>
      <c r="F35" s="212" t="str">
        <f t="array" ref="F35">IF(C35="","",IF(OR(C35=Списки!$AG$15:$AG$17),"нет","да"))</f>
        <v>нет</v>
      </c>
      <c r="G35" s="204"/>
      <c r="H35" s="210"/>
      <c r="I35" s="193">
        <f>VLOOKUP(IF(J8="",J5,J8),'Для расчетов'!A36:G61,7,)*I32</f>
        <v>9.1999999999999993</v>
      </c>
      <c r="J35" s="194">
        <f>IF(ОЛ_НАСОСНАЯ_СТАНЦИЯ!$E$47="нет",0,IF(H35="",I35,H35))</f>
        <v>9.1999999999999993</v>
      </c>
      <c r="K35" s="178" t="s">
        <v>193</v>
      </c>
      <c r="L35" s="226"/>
      <c r="M35" s="188">
        <f>IFERROR(IF(L35&lt;&gt;"","",VLOOKUP(C35&amp;'Калькулятор КНС'!D35&amp;'Калькулятор КНС'!K35,НН!A:J,10,)),"")</f>
        <v>310.2</v>
      </c>
      <c r="N35" s="202">
        <f t="shared" ref="N35:N36" si="3">IFERROR(IF(L35="",M35*J35,J35*L35),"")</f>
        <v>2853.8399999999997</v>
      </c>
      <c r="O35" s="167"/>
      <c r="P35" s="168"/>
    </row>
    <row r="36" spans="2:16" ht="15" hidden="1" outlineLevel="2">
      <c r="B36" s="179"/>
      <c r="C36" s="180" t="s">
        <v>238</v>
      </c>
      <c r="D36" s="208" t="s">
        <v>238</v>
      </c>
      <c r="E36" s="211"/>
      <c r="F36" s="212" t="str">
        <f t="array" ref="F36">IF(C36="","",IF(OR(C36=Списки!$AG$15:$AG$17),"нет","да"))</f>
        <v>нет</v>
      </c>
      <c r="G36" s="204"/>
      <c r="H36" s="184"/>
      <c r="I36" s="296">
        <f>IF(COUNTIF(D35,"*руч*")=1,1,IF(COUNTIF(D35,"*ламин*")=1,1))</f>
        <v>1</v>
      </c>
      <c r="J36" s="194">
        <f>ROUNDUP(IF(H36="",IFERROR(J35*I36,""),H36),1)</f>
        <v>9.1999999999999993</v>
      </c>
      <c r="K36" s="178" t="s">
        <v>212</v>
      </c>
      <c r="L36" s="226"/>
      <c r="M36" s="188">
        <f>IFERROR(IF(L36&lt;&gt;"","",VLOOKUP(C36&amp;'Калькулятор КНС'!D36&amp;'Калькулятор КНС'!K36,НН!A:J,10,)),"")</f>
        <v>1207.8</v>
      </c>
      <c r="N36" s="202">
        <f t="shared" si="3"/>
        <v>11111.759999999998</v>
      </c>
      <c r="O36" s="167"/>
      <c r="P36" s="168"/>
    </row>
    <row r="37" spans="2:16" ht="15" hidden="1" outlineLevel="2">
      <c r="B37" s="179"/>
      <c r="C37" s="180" t="s">
        <v>72</v>
      </c>
      <c r="D37" s="208" t="s">
        <v>561</v>
      </c>
      <c r="E37" s="211"/>
      <c r="F37" s="212" t="str">
        <f t="array" ref="F37">IF(C37="","",IF(OR(C37=Списки!$AG$15:$AG$17),"нет","да"))</f>
        <v>нет</v>
      </c>
      <c r="G37" s="204"/>
      <c r="H37" s="210"/>
      <c r="I37" s="193">
        <f>IF(COUNTIF(D35,"*мех*")=1,0.28,IF(COUNTIF(D35,"*ламин*")=1,0.56,1))</f>
        <v>1</v>
      </c>
      <c r="J37" s="194">
        <f>IF(ОЛ_НАСОСНАЯ_СТАНЦИЯ!$E$47="нет",0,IFERROR(IF(SEARCH("*труба*",E33)=1,VLOOKUP(IF(J8="",J5,J8),'Для расчетов'!$A$36:$F$60,4,)*3/10*$K$5),VLOOKUP(IF(J8="",J5,J8),'Для расчетов'!$A$36:$F$60,4,)*$K$5*3/10))</f>
        <v>0.33</v>
      </c>
      <c r="K37" s="178" t="s">
        <v>193</v>
      </c>
      <c r="L37" s="226"/>
      <c r="M37" s="188">
        <f>IFERROR(IF(L37&lt;&gt;"","",VLOOKUP(C37&amp;'Калькулятор КНС'!D37&amp;'Калькулятор КНС'!K37,НН!A:J,10,)),"")</f>
        <v>310.2</v>
      </c>
      <c r="N37" s="202">
        <f t="shared" ref="N37:N38" si="4">IFERROR(IF(L37="",M37*J37,J37*L37),"")</f>
        <v>102.366</v>
      </c>
      <c r="O37" s="167"/>
      <c r="P37" s="168"/>
    </row>
    <row r="38" spans="2:16" ht="15" hidden="1" outlineLevel="2">
      <c r="B38" s="179"/>
      <c r="C38" s="180" t="s">
        <v>238</v>
      </c>
      <c r="D38" s="208" t="s">
        <v>238</v>
      </c>
      <c r="E38" s="211"/>
      <c r="F38" s="212" t="str">
        <f t="array" ref="F38">IF(C38="","",IF(OR(C38=Списки!$AG$15:$AG$17),"нет","да"))</f>
        <v>нет</v>
      </c>
      <c r="G38" s="204"/>
      <c r="H38" s="184"/>
      <c r="I38" s="296">
        <f>IF(COUNTIF(D37,"*мех*")=1,0.28,IF(COUNTIF(D37,"*ламин*")=1,1))</f>
        <v>1</v>
      </c>
      <c r="J38" s="194">
        <f>ROUNDUP(IF(H38="",IFERROR(J37*I38,""),H38),1)</f>
        <v>0.4</v>
      </c>
      <c r="K38" s="178" t="s">
        <v>212</v>
      </c>
      <c r="L38" s="226"/>
      <c r="M38" s="188">
        <f>IFERROR(IF(L38&lt;&gt;"","",VLOOKUP(C38&amp;'Калькулятор КНС'!D38&amp;'Калькулятор КНС'!K38,НН!A:J,10,)),"")</f>
        <v>1207.8</v>
      </c>
      <c r="N38" s="202">
        <f t="shared" si="4"/>
        <v>483.12</v>
      </c>
      <c r="O38" s="167"/>
      <c r="P38" s="168"/>
    </row>
    <row r="39" spans="2:16" ht="15" outlineLevel="1">
      <c r="B39" s="957"/>
      <c r="C39" s="180"/>
      <c r="D39" s="208"/>
      <c r="E39" s="211"/>
      <c r="F39" s="215"/>
      <c r="G39" s="216"/>
      <c r="H39" s="227"/>
      <c r="I39" s="1060"/>
      <c r="J39" s="672"/>
      <c r="K39" s="220"/>
      <c r="L39" s="977"/>
      <c r="M39" s="222"/>
      <c r="N39" s="289"/>
      <c r="O39" s="167"/>
      <c r="P39" s="168"/>
    </row>
    <row r="40" spans="2:16" ht="15" outlineLevel="2">
      <c r="B40" s="179"/>
      <c r="C40" s="180"/>
      <c r="D40" s="161" t="s">
        <v>337</v>
      </c>
      <c r="E40" s="211"/>
      <c r="F40" s="215"/>
      <c r="G40" s="216"/>
      <c r="H40" s="227"/>
      <c r="I40" s="218"/>
      <c r="J40" s="219"/>
      <c r="K40" s="220"/>
      <c r="L40" s="221"/>
      <c r="M40" s="222" t="str">
        <f t="array" aca="1" ref="M40" ca="1">IFERROR(IF(L40&lt;&gt;"","",IF((VLOOKUP(D40&amp;K40,INDIRECT("'"&amp;INDEX(Списки!$AG$2:$AG$17,MATCH(TRUE,COUNTIF(INDIRECT("'"&amp;Списки!$AG$2:$AG$17 &amp;"'!A1:A300000"),D40&amp;K40)&gt;0,0))&amp;"'!A:h"),7,0))=0,"",VLOOKUP(D40&amp;K40,INDIRECT("'"&amp;INDEX(Списки!$AG$2:$AG$17,MATCH(TRUE,COUNTIF(INDIRECT("'"&amp;Списки!$AG$2:$AG$17 &amp;"'!A1:A300000"),D40&amp;K40)&gt;0,0))&amp;"'!A:h"),7,0))),"")</f>
        <v/>
      </c>
      <c r="N40" s="223"/>
      <c r="O40" s="167"/>
      <c r="P40" s="168"/>
    </row>
    <row r="41" spans="2:16" ht="24" outlineLevel="2">
      <c r="B41" s="179"/>
      <c r="C41" s="180" t="s">
        <v>72</v>
      </c>
      <c r="D41" s="180" t="str">
        <f>IF(ОЛ_НАСОСНАЯ_СТАНЦИЯ!E40="Труба стеклокомпозитная","Муфта-2 СК/НПС-К "&amp;L$5&amp;"-1",IF(ОЛ_НАСОСНАЯ_СТАНЦИЯ!E40=Списки!L$8,IF(L$5&gt;=300,"Труба СК/НПС-К "&amp;M$8&amp;"-0,1-2500","Ручная формовка патрубка"),IF(L$5&gt;=200,"Труба СК/НПС-К "&amp;_xlfn.CEILING.MATH(IF(L$8="",M$8,L$8),50)&amp;"-0,1-2500","Ручная формовка патрубка")))</f>
        <v>Ручная формовка патрубка</v>
      </c>
      <c r="E41" s="759" t="str">
        <f>IF(ОЛ_НАСОСНАЯ_СТАНЦИЯ!E46="Труба стеклокомпозитная","Муфта-2 СК/НПС-К "&amp;L$5&amp;"-1","Стеклокомпозитная гильза Ø"&amp;M$8)</f>
        <v>Стеклокомпозитная гильза Ø250</v>
      </c>
      <c r="F41" s="212" t="str">
        <f t="array" ref="F41">IF(C41="","",IF(OR(C41=Списки!$AG$15:$AG$17),"нет","да"))</f>
        <v>нет</v>
      </c>
      <c r="G41" s="204"/>
      <c r="H41" s="184"/>
      <c r="I41" s="225"/>
      <c r="J41" s="194">
        <f>IFERROR(IF(SEARCH("*гильза*",E41)=1,0.5*$M$5),VLOOKUP(IF(L8="",M8,L8),'Для расчетов'!$A$36:$F$60,4,)*$M$5)</f>
        <v>1</v>
      </c>
      <c r="K41" s="178" t="str">
        <f>IFERROR(IF(SEARCH("*труба*",D41)=1,"м"),"кг")</f>
        <v>кг</v>
      </c>
      <c r="L41" s="1218" t="str">
        <f>IFERROR(IF(SEARCH("м",K41)=1,"1,00"),"")</f>
        <v/>
      </c>
      <c r="M41" s="188">
        <f>IFERROR(IF(L41&lt;&gt;"","",VLOOKUP(C41&amp;'Калькулятор КНС'!D41&amp;'Калькулятор КНС'!K41,НН!A:J,10,)),"")</f>
        <v>310.2</v>
      </c>
      <c r="N41" s="202">
        <f>IFERROR(IF(L41="",M41*J41,J41*L41),0)</f>
        <v>310.2</v>
      </c>
      <c r="O41" s="167"/>
      <c r="P41" s="168"/>
    </row>
    <row r="42" spans="2:16" ht="15" outlineLevel="2">
      <c r="B42" s="179"/>
      <c r="C42" s="180" t="s">
        <v>72</v>
      </c>
      <c r="D42" s="180" t="s">
        <v>334</v>
      </c>
      <c r="E42" s="224"/>
      <c r="F42" s="212" t="str">
        <f t="array" ref="F42">IF(C42="","",IF(OR(C42=Списки!$AG$15:$AG$17),"нет","да"))</f>
        <v>нет</v>
      </c>
      <c r="G42" s="204"/>
      <c r="H42" s="184"/>
      <c r="I42" s="225">
        <f>M8/1300*J41</f>
        <v>0.19230769230769232</v>
      </c>
      <c r="J42" s="194">
        <f>IF(COUNTIF(D41,"*труба*")=1,M8/1300*J41,0)</f>
        <v>0</v>
      </c>
      <c r="K42" s="178" t="s">
        <v>212</v>
      </c>
      <c r="L42" s="965"/>
      <c r="M42" s="188">
        <f>IFERROR(IF(L42&lt;&gt;"","",VLOOKUP(C42&amp;'Калькулятор КНС'!D42&amp;'Калькулятор КНС'!K42,НН!A:J,10,)),"")</f>
        <v>1207.8</v>
      </c>
      <c r="N42" s="202">
        <f>IFERROR(IF(L42="",M42*J42,J42*L42),"")</f>
        <v>0</v>
      </c>
      <c r="O42" s="167"/>
      <c r="P42" s="168"/>
    </row>
    <row r="43" spans="2:16" ht="15" outlineLevel="2">
      <c r="B43" s="179"/>
      <c r="C43" s="180" t="s">
        <v>72</v>
      </c>
      <c r="D43" s="208" t="s">
        <v>561</v>
      </c>
      <c r="E43" s="211"/>
      <c r="F43" s="212" t="str">
        <f t="array" ref="F43">IF(C43="","",IF(OR(C43=Списки!$AG$15:$AG$17),"нет","да"))</f>
        <v>нет</v>
      </c>
      <c r="G43" s="204"/>
      <c r="H43" s="966"/>
      <c r="I43" s="193"/>
      <c r="J43" s="194">
        <f>IFERROR(IF(SEARCH("*труба*",E41)=1,VLOOKUP(IF(L8="",M8,L8),'Для расчетов'!$A$36:$F$60,4,)*3/10*$M$5),VLOOKUP(IF(L8="",M8,L8),'Для расчетов'!$A$36:$F$60,4,)*$M$5*3/10)</f>
        <v>0.36</v>
      </c>
      <c r="K43" s="178" t="s">
        <v>193</v>
      </c>
      <c r="L43" s="226"/>
      <c r="M43" s="188">
        <f>IFERROR(IF(L43&lt;&gt;"","",VLOOKUP(C43&amp;'Калькулятор КНС'!D43&amp;'Калькулятор КНС'!K43,НН!A:J,10,)),"")</f>
        <v>310.2</v>
      </c>
      <c r="N43" s="202">
        <f t="shared" ref="N43:N44" si="5">IFERROR(IF(L43="",M43*J43,J43*L43),"")</f>
        <v>111.672</v>
      </c>
      <c r="O43" s="167"/>
      <c r="P43" s="168"/>
    </row>
    <row r="44" spans="2:16" ht="15" outlineLevel="2">
      <c r="B44" s="179"/>
      <c r="C44" s="180" t="s">
        <v>238</v>
      </c>
      <c r="D44" s="208" t="s">
        <v>238</v>
      </c>
      <c r="E44" s="211"/>
      <c r="F44" s="212" t="str">
        <f t="array" ref="F44">IF(C44="","",IF(OR(C44=Списки!$AG$15:$AG$17),"нет","да"))</f>
        <v>нет</v>
      </c>
      <c r="G44" s="204"/>
      <c r="H44" s="184"/>
      <c r="I44" s="296">
        <f>IF(COUNTIF(D43,"*мех*")=1,0.28,IF(COUNTIF(D43,"*ламин*")=1,1))</f>
        <v>1</v>
      </c>
      <c r="J44" s="194">
        <f>ROUNDUP(IF(H44="",IFERROR(J43*I44,""),H44),1)</f>
        <v>0.4</v>
      </c>
      <c r="K44" s="178" t="s">
        <v>212</v>
      </c>
      <c r="L44" s="226"/>
      <c r="M44" s="188">
        <f>IFERROR(IF(L44&lt;&gt;"","",VLOOKUP(C44&amp;'Калькулятор КНС'!D44&amp;'Калькулятор КНС'!K44,НН!A:J,10,)),"")</f>
        <v>1207.8</v>
      </c>
      <c r="N44" s="202">
        <f t="shared" si="5"/>
        <v>483.12</v>
      </c>
      <c r="O44" s="167"/>
      <c r="P44" s="168"/>
    </row>
    <row r="45" spans="2:16" ht="15" outlineLevel="1">
      <c r="B45" s="957"/>
      <c r="C45" s="180"/>
      <c r="D45" s="208"/>
      <c r="E45" s="224"/>
      <c r="F45" s="1022"/>
      <c r="G45" s="1023"/>
      <c r="H45" s="184"/>
      <c r="I45" s="296"/>
      <c r="J45" s="1009"/>
      <c r="K45" s="1007"/>
      <c r="L45" s="1024"/>
      <c r="M45" s="1011"/>
      <c r="N45" s="202"/>
      <c r="O45" s="167"/>
      <c r="P45" s="168"/>
    </row>
    <row r="46" spans="2:16" ht="15" outlineLevel="1">
      <c r="B46" s="179"/>
      <c r="C46" s="180" t="s">
        <v>72</v>
      </c>
      <c r="D46" s="180" t="s">
        <v>673</v>
      </c>
      <c r="E46" s="760">
        <v>110</v>
      </c>
      <c r="F46" s="212" t="str">
        <f t="array" ref="F46">IF(C46="","",IF(OR(C46=Списки!$AG$15:$AG$17),"нет","да"))</f>
        <v>нет</v>
      </c>
      <c r="G46" s="204"/>
      <c r="H46" s="184">
        <f>I48*3</f>
        <v>6</v>
      </c>
      <c r="I46" s="225" t="str">
        <f>IF(H46="",0.5,"")</f>
        <v/>
      </c>
      <c r="J46" s="186">
        <f>IF(H46="",I46,H46)</f>
        <v>6</v>
      </c>
      <c r="K46" s="178" t="s">
        <v>193</v>
      </c>
      <c r="L46" s="187"/>
      <c r="M46" s="188">
        <f>IFERROR(IF(L46&lt;&gt;"","",VLOOKUP(C46&amp;'Калькулятор КНС'!D46&amp;'Калькулятор КНС'!K46,НН!A:J,10,)),"")</f>
        <v>310.2</v>
      </c>
      <c r="N46" s="202">
        <f t="shared" si="1"/>
        <v>1861.1999999999998</v>
      </c>
      <c r="O46" s="167"/>
      <c r="P46" s="168"/>
    </row>
    <row r="47" spans="2:16" ht="15" outlineLevel="1">
      <c r="B47" s="179"/>
      <c r="C47" s="180" t="s">
        <v>238</v>
      </c>
      <c r="D47" s="180" t="s">
        <v>238</v>
      </c>
      <c r="E47" s="211"/>
      <c r="F47" s="212" t="str">
        <f t="array" ref="F47">IF(C47="","",IF(OR(C47=Списки!$AG$15:$AG$17),"нет","да"))</f>
        <v>нет</v>
      </c>
      <c r="G47" s="204"/>
      <c r="H47" s="184"/>
      <c r="I47" s="193">
        <f>IF(COUNTIF(D46,"*мех*")=1,0.28,IF(COUNTIF(D46,"*ламин*")=1,0.56,1))</f>
        <v>1</v>
      </c>
      <c r="J47" s="194">
        <f>ROUNDUP(IF(H47="",IFERROR(J46*I47,""),H47),1)</f>
        <v>6</v>
      </c>
      <c r="K47" s="178" t="s">
        <v>212</v>
      </c>
      <c r="L47" s="226"/>
      <c r="M47" s="188">
        <f>IFERROR(IF(L47&lt;&gt;"","",VLOOKUP(C47&amp;'Калькулятор КНС'!D47&amp;'Калькулятор КНС'!K47,НН!A:J,10,)),"")</f>
        <v>1207.8</v>
      </c>
      <c r="N47" s="202">
        <f t="shared" si="1"/>
        <v>7246.7999999999993</v>
      </c>
      <c r="O47" s="167"/>
      <c r="P47" s="168"/>
    </row>
    <row r="48" spans="2:16" ht="15" outlineLevel="1">
      <c r="B48" s="179"/>
      <c r="C48" s="180" t="s">
        <v>71</v>
      </c>
      <c r="D48" s="180" t="s">
        <v>1664</v>
      </c>
      <c r="E48" s="1114"/>
      <c r="F48" s="212" t="str">
        <f t="array" ref="F48">IF(C48="","",IF(OR(C48=Списки!$AG$15:$AG$17),"нет","да"))</f>
        <v>да</v>
      </c>
      <c r="G48" s="204"/>
      <c r="H48" s="184"/>
      <c r="I48" s="225">
        <v>2</v>
      </c>
      <c r="J48" s="186">
        <f>IF(H48="",I48,H48)</f>
        <v>2</v>
      </c>
      <c r="K48" s="178" t="s">
        <v>129</v>
      </c>
      <c r="L48" s="1289"/>
      <c r="M48" s="188" t="str">
        <f>IFERROR(IF(L48&lt;&gt;"","",VLOOKUP(C48&amp;'Калькулятор КНС'!D48&amp;'Калькулятор КНС'!K48,НН!A:J,10,)),"")</f>
        <v/>
      </c>
      <c r="N48" s="202" t="str">
        <f t="shared" ref="N48" si="6">IFERROR(IF(L48="",M48*J48,J48*L48),"")</f>
        <v/>
      </c>
      <c r="O48" s="167"/>
      <c r="P48" s="168"/>
    </row>
    <row r="49" spans="2:16" ht="15" outlineLevel="1">
      <c r="B49" s="179"/>
      <c r="C49" s="180"/>
      <c r="D49" s="180"/>
      <c r="E49" s="211"/>
      <c r="F49" s="212" t="str">
        <f t="array" ref="F49">IF(ISBLANK(C49),"",IF(OR(C49=Списки!$AG$15:$AG$17),"нет","да"))</f>
        <v/>
      </c>
      <c r="G49" s="204"/>
      <c r="H49" s="184"/>
      <c r="I49" s="193"/>
      <c r="J49" s="186" t="str">
        <f>IF(ISBLANK(D49),"",IF(H49="",I49,H49))</f>
        <v/>
      </c>
      <c r="K49" s="178"/>
      <c r="L49" s="196"/>
      <c r="M49" s="188" t="str">
        <f>IFERROR(IF(L49&lt;&gt;"","",VLOOKUP(C49&amp;'Калькулятор КНС'!D49&amp;'Калькулятор КНС'!K49,НН!A:J,10,)),"")</f>
        <v/>
      </c>
      <c r="N49" s="189" t="str">
        <f t="shared" si="1"/>
        <v/>
      </c>
      <c r="O49" s="167"/>
      <c r="P49" s="168"/>
    </row>
    <row r="50" spans="2:16" ht="15" outlineLevel="1">
      <c r="B50" s="179"/>
      <c r="C50" s="761" t="s">
        <v>115</v>
      </c>
      <c r="D50" s="674" t="s">
        <v>346</v>
      </c>
      <c r="E50" s="92"/>
      <c r="F50" s="762"/>
      <c r="G50" s="763"/>
      <c r="H50" s="763"/>
      <c r="I50" s="763"/>
      <c r="J50" s="763"/>
      <c r="K50" s="763"/>
      <c r="L50" s="763"/>
      <c r="M50" s="762" t="str">
        <f t="array" aca="1" ref="M50" ca="1">IFERROR(IF(L50&lt;&gt;"","",IF((VLOOKUP(D50&amp;K50,INDIRECT("'"&amp;INDEX(Списки!$AG$2:$AG$17,MATCH(TRUE,COUNTIF(INDIRECT("'"&amp;Списки!$AG$2:$AG$17 &amp;"'!A1:A300000"),D50&amp;K50)&gt;0,0))&amp;"'!A:h"),7,0))=0,"",VLOOKUP(D50&amp;K50,INDIRECT("'"&amp;INDEX(Списки!$AG$2:$AG$17,MATCH(TRUE,COUNTIF(INDIRECT("'"&amp;Списки!$AG$2:$AG$17 &amp;"'!A1:A300000"),D50&amp;K50)&gt;0,0))&amp;"'!A:h"),7,0))),"")</f>
        <v/>
      </c>
      <c r="N50" s="764"/>
      <c r="O50" s="214"/>
      <c r="P50" s="168"/>
    </row>
    <row r="51" spans="2:16" ht="24" outlineLevel="2">
      <c r="B51" s="179"/>
      <c r="C51" s="180" t="s">
        <v>197</v>
      </c>
      <c r="D51" s="180" t="s">
        <v>347</v>
      </c>
      <c r="E51" s="224" t="s">
        <v>348</v>
      </c>
      <c r="F51" s="212" t="str">
        <f t="array" ref="F51">IF(C51="","",IF(OR(C51=Списки!$AG$15:$AG$17),"нет","да"))</f>
        <v>да</v>
      </c>
      <c r="G51" s="204"/>
      <c r="H51" s="184"/>
      <c r="I51" s="193">
        <v>1</v>
      </c>
      <c r="J51" s="186">
        <f>IF(C50="НЕТ",0,I51)</f>
        <v>1</v>
      </c>
      <c r="K51" s="178" t="s">
        <v>163</v>
      </c>
      <c r="L51" s="226"/>
      <c r="M51" s="188">
        <f>IFERROR(IF(L51&lt;&gt;"","",VLOOKUP(C51&amp;'Калькулятор КНС'!D51&amp;'Калькулятор КНС'!K51,НН!A:J,10,)),"")</f>
        <v>2901</v>
      </c>
      <c r="N51" s="202">
        <f t="shared" si="1"/>
        <v>2901</v>
      </c>
      <c r="O51" s="167"/>
      <c r="P51" s="168"/>
    </row>
    <row r="52" spans="2:16" ht="15" outlineLevel="2">
      <c r="B52" s="179"/>
      <c r="C52" s="180" t="s">
        <v>72</v>
      </c>
      <c r="D52" s="180" t="s">
        <v>349</v>
      </c>
      <c r="E52" s="257"/>
      <c r="F52" s="212" t="str">
        <f t="array" ref="F52">IF(C52="","",IF($C$50="нет","-",IF(OR(C52=Списки!$AG$15:$AG$17),"нет","да")))</f>
        <v>нет</v>
      </c>
      <c r="G52" s="204"/>
      <c r="H52" s="210">
        <v>70</v>
      </c>
      <c r="I52" s="225"/>
      <c r="J52" s="258">
        <f>IF($C$50="нет",0,IF(H52="",I52,H52))</f>
        <v>70</v>
      </c>
      <c r="K52" s="178" t="s">
        <v>193</v>
      </c>
      <c r="L52" s="187"/>
      <c r="M52" s="188">
        <f>IFERROR(IF(L52&lt;&gt;"","",VLOOKUP(C52&amp;'Калькулятор КНС'!D52&amp;'Калькулятор КНС'!K52,НН!A:J,10,)),"")</f>
        <v>214.4</v>
      </c>
      <c r="N52" s="202">
        <f t="shared" si="1"/>
        <v>15008</v>
      </c>
      <c r="O52" s="167"/>
      <c r="P52" s="168"/>
    </row>
    <row r="53" spans="2:16" ht="16.5" customHeight="1" outlineLevel="2">
      <c r="B53" s="179"/>
      <c r="C53" s="180" t="s">
        <v>238</v>
      </c>
      <c r="D53" s="180" t="s">
        <v>238</v>
      </c>
      <c r="E53" s="259"/>
      <c r="F53" s="212" t="str">
        <f t="array" ref="F53">IF(C53="","",IF($C$50="нет","-",IF(OR(C53=Списки!$AG$15:$AG$17),"нет","да")))</f>
        <v>нет</v>
      </c>
      <c r="G53" s="204"/>
      <c r="H53" s="184"/>
      <c r="I53" s="225">
        <f>IF(COUNTIF(D52,"*мех*")=1,0.28,IF(COUNTIF(D52,"*ламин*")=1,0.56,1))</f>
        <v>0.28000000000000003</v>
      </c>
      <c r="J53" s="260">
        <f>ROUNDUP(IF(H53="",IFERROR(J52*I53,""),H53),1)</f>
        <v>19.600000000000001</v>
      </c>
      <c r="K53" s="178" t="s">
        <v>212</v>
      </c>
      <c r="L53" s="196"/>
      <c r="M53" s="188">
        <f>IFERROR(IF(L53&lt;&gt;"","",VLOOKUP(C53&amp;'Калькулятор КНС'!D53&amp;'Калькулятор КНС'!K53,НН!A:J,10,)),"")</f>
        <v>1207.8</v>
      </c>
      <c r="N53" s="202">
        <f t="shared" si="1"/>
        <v>23672.880000000001</v>
      </c>
      <c r="O53" s="167"/>
      <c r="P53" s="168"/>
    </row>
    <row r="54" spans="2:16" ht="15" outlineLevel="2">
      <c r="B54" s="179"/>
      <c r="C54" s="180" t="s">
        <v>72</v>
      </c>
      <c r="D54" s="180" t="s">
        <v>350</v>
      </c>
      <c r="E54" s="259"/>
      <c r="F54" s="212" t="str">
        <f t="array" ref="F54">IF(C54="","",IF($C$50="нет","-",IF(OR(C54=Списки!$AG$15:$AG$17),"нет","да")))</f>
        <v>нет</v>
      </c>
      <c r="G54" s="204"/>
      <c r="H54" s="184"/>
      <c r="I54" s="225">
        <f>IF(H54="",3*J52/10,"")</f>
        <v>21</v>
      </c>
      <c r="J54" s="258">
        <f>IF($C$50="нет",0,IF(H54="",I54,H54))</f>
        <v>21</v>
      </c>
      <c r="K54" s="178" t="s">
        <v>193</v>
      </c>
      <c r="L54" s="187"/>
      <c r="M54" s="188">
        <f>IFERROR(IF(L54&lt;&gt;"","",VLOOKUP(C54&amp;'Калькулятор КНС'!D54&amp;'Калькулятор КНС'!K54,НН!A:J,10,)),"")</f>
        <v>310.2</v>
      </c>
      <c r="N54" s="202">
        <f t="shared" si="1"/>
        <v>6514.2</v>
      </c>
      <c r="O54" s="167"/>
      <c r="P54" s="168"/>
    </row>
    <row r="55" spans="2:16" ht="13.15" customHeight="1" outlineLevel="2">
      <c r="B55" s="179"/>
      <c r="C55" s="180" t="s">
        <v>238</v>
      </c>
      <c r="D55" s="180" t="s">
        <v>238</v>
      </c>
      <c r="E55" s="259"/>
      <c r="F55" s="212" t="str">
        <f t="array" ref="F55">IF(C55="","",IF($C$50="нет","-",IF(OR(C55=Списки!$AG$15:$AG$17),"нет","да")))</f>
        <v>нет</v>
      </c>
      <c r="G55" s="204"/>
      <c r="H55" s="184"/>
      <c r="I55" s="225">
        <f>IF(COUNTIF(D54,"*мех*")=1,0.28,IF(COUNTIF(D54,"*ламин*")=1,0.56,1))</f>
        <v>0.56000000000000005</v>
      </c>
      <c r="J55" s="194">
        <f>ROUNDUP(IF(H55="",IFERROR(J54*I55,""),H55),1)</f>
        <v>11.799999999999999</v>
      </c>
      <c r="K55" s="178" t="s">
        <v>212</v>
      </c>
      <c r="L55" s="226"/>
      <c r="M55" s="188">
        <f>IFERROR(IF(L55&lt;&gt;"","",VLOOKUP(C55&amp;'Калькулятор КНС'!D55&amp;'Калькулятор КНС'!K55,НН!A:J,10,)),"")</f>
        <v>1207.8</v>
      </c>
      <c r="N55" s="202">
        <f t="shared" si="1"/>
        <v>14252.039999999999</v>
      </c>
      <c r="O55" s="167"/>
      <c r="P55" s="168"/>
    </row>
    <row r="56" spans="2:16" ht="13.15" customHeight="1" outlineLevel="1">
      <c r="B56" s="179"/>
      <c r="C56" s="180"/>
      <c r="D56" s="180"/>
      <c r="E56" s="259"/>
      <c r="F56" s="212" t="str">
        <f t="array" ref="F56">IF(ISBLANK(C56),"",IF($C$50="нет","-",IF(OR(C56=Списки!$AG$15:$AG$17),"нет","да")))</f>
        <v/>
      </c>
      <c r="G56" s="204"/>
      <c r="H56" s="184"/>
      <c r="I56" s="225"/>
      <c r="J56" s="186" t="str">
        <f>IF(ISBLANK(D56),"",IF(H56="",I56,H56))</f>
        <v/>
      </c>
      <c r="K56" s="178"/>
      <c r="L56" s="196"/>
      <c r="M56" s="188" t="str">
        <f>IFERROR(IF(L56&lt;&gt;"","",VLOOKUP(C56&amp;'Калькулятор КНС'!D56&amp;'Калькулятор КНС'!K56,НН!A:J,10,)),"")</f>
        <v/>
      </c>
      <c r="N56" s="189" t="str">
        <f t="shared" si="1"/>
        <v/>
      </c>
      <c r="O56" s="167"/>
      <c r="P56" s="168"/>
    </row>
    <row r="57" spans="2:16" ht="18.75" customHeight="1" outlineLevel="2">
      <c r="B57" s="179"/>
      <c r="C57" s="180"/>
      <c r="D57" s="674" t="s">
        <v>351</v>
      </c>
      <c r="E57" s="259"/>
      <c r="F57" s="215" t="str">
        <f t="array" ref="F57">IF(ISBLANK(C57),"",IF(OR(C57=Списки!$AG$15:$AG$17),"нет","да"))</f>
        <v/>
      </c>
      <c r="G57" s="216"/>
      <c r="H57" s="227"/>
      <c r="I57" s="261"/>
      <c r="J57" s="219"/>
      <c r="K57" s="220"/>
      <c r="L57" s="221"/>
      <c r="M57" s="222" t="str">
        <f t="array" aca="1" ref="M57" ca="1">IFERROR(IF(L57&lt;&gt;"","",IF((VLOOKUP(D57&amp;K57,INDIRECT("'"&amp;INDEX(Списки!$AG$2:$AG$17,MATCH(TRUE,COUNTIF(INDIRECT("'"&amp;Списки!$AG$2:$AG$17 &amp;"'!A1:A300000"),D57&amp;K57)&gt;0,0))&amp;"'!A:h"),7,0))=0,"",VLOOKUP(D57&amp;K57,INDIRECT("'"&amp;INDEX(Списки!$AG$2:$AG$17,MATCH(TRUE,COUNTIF(INDIRECT("'"&amp;Списки!$AG$2:$AG$17 &amp;"'!A1:A300000"),D57&amp;K57)&gt;0,0))&amp;"'!A:h"),7,0))),"")</f>
        <v/>
      </c>
      <c r="N57" s="223" t="str">
        <f t="shared" ca="1" si="1"/>
        <v/>
      </c>
      <c r="O57" s="167"/>
      <c r="P57" s="168"/>
    </row>
    <row r="58" spans="2:16" ht="24.75" outlineLevel="2">
      <c r="B58" s="179"/>
      <c r="C58" s="180" t="s">
        <v>71</v>
      </c>
      <c r="D58" s="180" t="s">
        <v>352</v>
      </c>
      <c r="E58" s="259" t="s">
        <v>353</v>
      </c>
      <c r="F58" s="212" t="str">
        <f t="array" ref="F58">IF(ОЛ_НАСОСНАЯ_СТАНЦИЯ!E72="","",IF(OR(ОЛ_НАСОСНАЯ_СТАНЦИЯ!E72=Списки!$AG$15:$AG$17),"нет","да"))</f>
        <v>да</v>
      </c>
      <c r="G58" s="204"/>
      <c r="H58" s="184"/>
      <c r="I58" s="206">
        <f>_xlfn.CEILING.MATH(PI()*(G5/1000)*(ОЛ_НАСОСНАЯ_СТАНЦИЯ!E73/1000),0.01)</f>
        <v>18.850000000000001</v>
      </c>
      <c r="J58" s="186">
        <f>IF(ОЛ_НАСОСНАЯ_СТАНЦИЯ!$E$72="нет",0,IF(ISBLANK(D58),"",IF(H58="",I58,H58)))+((((1.5+1.5)*2)+(PI()*(650/1000)))*0.94)</f>
        <v>26.409513111343365</v>
      </c>
      <c r="K58" s="178" t="s">
        <v>223</v>
      </c>
      <c r="L58" s="226"/>
      <c r="M58" s="188">
        <f>IFERROR(IF(L58&lt;&gt;"","",VLOOKUP(C58&amp;'Калькулятор КНС'!D58&amp;'Калькулятор КНС'!K58,НН!A:J,10,)),"")</f>
        <v>750</v>
      </c>
      <c r="N58" s="202">
        <f t="shared" si="1"/>
        <v>19807.134833507524</v>
      </c>
      <c r="O58" s="214"/>
      <c r="P58" s="168"/>
    </row>
    <row r="59" spans="2:16" ht="15" outlineLevel="2">
      <c r="B59" s="179"/>
      <c r="C59" s="180" t="s">
        <v>71</v>
      </c>
      <c r="D59" s="180" t="s">
        <v>352</v>
      </c>
      <c r="E59" s="257" t="s">
        <v>354</v>
      </c>
      <c r="F59" s="212" t="str">
        <f t="array" ref="F59">IF(ОЛ_НАСОСНАЯ_СТАНЦИЯ!E72="","",IF(OR(ОЛ_НАСОСНАЯ_СТАНЦИЯ!E72=Списки!$AG$15:$AG$17),"нет","да"))</f>
        <v>да</v>
      </c>
      <c r="G59" s="204"/>
      <c r="H59" s="184"/>
      <c r="I59" s="206">
        <f>PI()*($G$5/(1000*2))^2</f>
        <v>7.0685834705770345</v>
      </c>
      <c r="J59" s="186">
        <f>IF(ОЛ_НАСОСНАЯ_СТАНЦИЯ!$E$72="нет",0,IF(ISBLANK(D59),"",IF(H59="",I59,H59)))</f>
        <v>7.0685834705770345</v>
      </c>
      <c r="K59" s="178" t="s">
        <v>223</v>
      </c>
      <c r="L59" s="226"/>
      <c r="M59" s="188">
        <f>IFERROR(IF(L59&lt;&gt;"","",VLOOKUP(C59&amp;'Калькулятор КНС'!D59&amp;'Калькулятор КНС'!K59,НН!A:J,10,)),"")</f>
        <v>750</v>
      </c>
      <c r="N59" s="202">
        <f t="shared" si="1"/>
        <v>5301.4376029327759</v>
      </c>
      <c r="O59" s="214"/>
      <c r="P59" s="168"/>
    </row>
    <row r="60" spans="2:16" ht="15" outlineLevel="2">
      <c r="B60" s="179"/>
      <c r="C60" s="180" t="s">
        <v>72</v>
      </c>
      <c r="D60" s="180" t="s">
        <v>355</v>
      </c>
      <c r="E60" s="259"/>
      <c r="F60" s="212" t="str">
        <f t="array" ref="F60">IF(ОЛ_НАСОСНАЯ_СТАНЦИЯ!E72="","",IF(OR(ОЛ_НАСОСНАЯ_СТАНЦИЯ!E72=Списки!$AG$15:$AG$17),"нет","да"))</f>
        <v>да</v>
      </c>
      <c r="G60" s="204"/>
      <c r="H60" s="184"/>
      <c r="I60" s="206">
        <f>(J58+J59)*0.005*1850</f>
        <v>309.67239338276369</v>
      </c>
      <c r="J60" s="186">
        <f>IF(ОЛ_НАСОСНАЯ_СТАНЦИЯ!$E$72="нет",0,IF(ISBLANK(D60),"",IF(H60="",I60,H60)))</f>
        <v>309.67239338276369</v>
      </c>
      <c r="K60" s="178" t="s">
        <v>193</v>
      </c>
      <c r="L60" s="187"/>
      <c r="M60" s="188">
        <f>IFERROR(IF(L60&lt;&gt;"","",VLOOKUP(C60&amp;'Калькулятор КНС'!D60&amp;'Калькулятор КНС'!K60,НН!A:J,10,)),"")</f>
        <v>310.2</v>
      </c>
      <c r="N60" s="202">
        <f t="shared" si="1"/>
        <v>96060.376427333293</v>
      </c>
      <c r="O60" s="214"/>
      <c r="P60" s="168"/>
    </row>
    <row r="61" spans="2:16" ht="13.15" customHeight="1" outlineLevel="2">
      <c r="B61" s="179"/>
      <c r="C61" s="241" t="s">
        <v>238</v>
      </c>
      <c r="D61" s="241" t="s">
        <v>238</v>
      </c>
      <c r="E61" s="675"/>
      <c r="F61" s="242" t="str">
        <f t="array" ref="F61">IF(C61="","",IF($C$50="нет","-",IF(OR(C61=Списки!$AG$15:$AG$17),"нет","да")))</f>
        <v>нет</v>
      </c>
      <c r="G61" s="301"/>
      <c r="H61" s="244"/>
      <c r="I61" s="213">
        <f>IF(COUNTIF(D60,"*мех*")=1,0.28,IF(COUNTIF(D60,"*ламин*")=1,0.56,1))</f>
        <v>0.56000000000000005</v>
      </c>
      <c r="J61" s="277">
        <f>ROUNDUP(IF(H61="",IFERROR(J60*I61,""),H61),1)</f>
        <v>173.5</v>
      </c>
      <c r="K61" s="246" t="s">
        <v>212</v>
      </c>
      <c r="L61" s="303"/>
      <c r="M61" s="247">
        <f>IFERROR(IF(L61&lt;&gt;"","",VLOOKUP(C61&amp;'Калькулятор КНС'!D61&amp;'Калькулятор КНС'!K61,НН!A:J,10,)),"")</f>
        <v>1207.8</v>
      </c>
      <c r="N61" s="237">
        <f t="shared" si="1"/>
        <v>209553.3</v>
      </c>
      <c r="O61" s="214"/>
      <c r="P61" s="168"/>
    </row>
    <row r="62" spans="2:16" ht="13.15" customHeight="1" outlineLevel="1">
      <c r="B62" s="179"/>
      <c r="C62" s="180"/>
      <c r="D62" s="180"/>
      <c r="E62" s="259"/>
      <c r="F62" s="215"/>
      <c r="G62" s="204"/>
      <c r="H62" s="227"/>
      <c r="I62" s="225"/>
      <c r="J62" s="186"/>
      <c r="K62" s="178"/>
      <c r="L62" s="196"/>
      <c r="M62" s="188" t="str">
        <f>IFERROR(IF(L62&lt;&gt;"","",VLOOKUP(C62&amp;'Калькулятор КНС'!D62&amp;'Калькулятор КНС'!K62,НН!A:J,10,)),"")</f>
        <v/>
      </c>
      <c r="N62" s="189"/>
      <c r="O62" s="167"/>
      <c r="P62" s="168"/>
    </row>
    <row r="63" spans="2:16" ht="18" customHeight="1" outlineLevel="1">
      <c r="B63" s="179"/>
      <c r="C63" s="475" t="s">
        <v>115</v>
      </c>
      <c r="D63" s="265" t="str">
        <f>IF(G5&lt;2000,"Петли монтажные по чертежу НТТ 648, в т.ч.:","Петли монтажные усиленные по чертежу НТТ 1959, в т.ч.:")</f>
        <v>Петли монтажные усиленные по чертежу НТТ 1959, в т.ч.:</v>
      </c>
      <c r="E63" s="266"/>
      <c r="F63" s="267"/>
      <c r="G63" s="204"/>
      <c r="H63" s="268"/>
      <c r="I63" s="269"/>
      <c r="J63" s="358">
        <v>4</v>
      </c>
      <c r="K63" s="178" t="s">
        <v>129</v>
      </c>
      <c r="L63" s="270"/>
      <c r="M63" s="256" t="str">
        <f t="array" aca="1" ref="M63" ca="1">IFERROR(IF(L63&lt;&gt;"","",IF((VLOOKUP(D63&amp;K63,INDIRECT("'"&amp;INDEX(Списки!$AG$2:$AG$17,MATCH(TRUE,COUNTIF(INDIRECT("'"&amp;Списки!$AG$2:$AG$17 &amp;"'!A1:A300000"),D63&amp;K63)&gt;0,0))&amp;"'!A:h"),7,0))=0,"",VLOOKUP(D63&amp;K63,INDIRECT("'"&amp;INDEX(Списки!$AG$2:$AG$17,MATCH(TRUE,COUNTIF(INDIRECT("'"&amp;Списки!$AG$2:$AG$17 &amp;"'!A1:A300000"),D63&amp;K63)&gt;0,0))&amp;"'!A:h"),7,0))),"")</f>
        <v/>
      </c>
      <c r="N63" s="223"/>
      <c r="O63" s="167"/>
      <c r="P63" s="168"/>
    </row>
    <row r="64" spans="2:16" ht="15" outlineLevel="2">
      <c r="B64" s="179"/>
      <c r="C64" s="241" t="str">
        <f>IF(D64="","","Метизы")</f>
        <v>Метизы</v>
      </c>
      <c r="D64" s="241" t="str">
        <f>_xlfn.IFNA(IF(ОЛ_НАСОСНАЯ_СТАНЦИЯ!$E$20&lt;2000,'Вспомогат. таблицы'!$A$14,'Вспомогат. таблицы'!$A$2),"")</f>
        <v>Болт М24-6ɡх100.21.Ст20 ГОСТ 7798-70</v>
      </c>
      <c r="E64" s="271" t="str">
        <f>IFERROR(IF(SEARCH("*петель*",D64)=1,IF(ОЛ_НАСОСНАЯ_СТАНЦИЯ!$E$20&lt;2000,"Прим. - Петля простая","Прим. - Петля усиленная"),""),"")</f>
        <v/>
      </c>
      <c r="F64" s="212" t="str">
        <f t="array" ref="F64">IF(C64="","",IF(OR(C64=Списки!$AG$15:$AG$17),"нет","да"))</f>
        <v>да</v>
      </c>
      <c r="G64" s="272">
        <f>IFERROR(3.56*0.14*J64,"")</f>
        <v>3.9872000000000005</v>
      </c>
      <c r="H64" s="184"/>
      <c r="I64" s="213">
        <f>IFERROR(IF(H64="",IF($G$5&gt;=2000,VLOOKUP(D64,'Вспомогат. таблицы'!$A$2:$B$11,2,),VLOOKUP(D64,'Вспомогат. таблицы'!$A$15:$B$24,2,)),""),"")</f>
        <v>2</v>
      </c>
      <c r="J64" s="245">
        <f>IF($C$63="нет",0,IF(C64="","",IFERROR(IF(H64="",I64,H64)*$J$63,"")))</f>
        <v>8</v>
      </c>
      <c r="K64" s="246" t="str">
        <f>IF(C64="","","шт")</f>
        <v>шт</v>
      </c>
      <c r="L64" s="965"/>
      <c r="M64" s="188">
        <f>IFERROR(IF(L64&lt;&gt;"","",VLOOKUP(C64&amp;'Калькулятор КНС'!D64&amp;'Калькулятор КНС'!K64,НН!A:J,10,)),"")</f>
        <v>105</v>
      </c>
      <c r="N64" s="202">
        <f t="shared" si="1"/>
        <v>840</v>
      </c>
      <c r="O64" s="214"/>
      <c r="P64" s="273"/>
    </row>
    <row r="65" spans="2:16" ht="15" outlineLevel="2">
      <c r="B65" s="179"/>
      <c r="C65" s="241" t="s">
        <v>69</v>
      </c>
      <c r="D65" s="241" t="str">
        <f>IF(ОЛ_НАСОСНАЯ_СТАНЦИЯ!$E$20&lt;2000,'Вспомогат. таблицы'!$A$15,'Вспомогат. таблицы'!$A$3)</f>
        <v>Шайба 24.21.Ст20 ГОСТ 11371-78</v>
      </c>
      <c r="E65" s="271" t="str">
        <f>IFERROR(IF(SEARCH("*петель*",D65)=1,IF(ОЛ_НАСОСНАЯ_СТАНЦИЯ!$E$20&lt;2000,"Прим. - Петля простая","Прим. - Петля усиленная"),""),"")</f>
        <v/>
      </c>
      <c r="F65" s="212" t="str">
        <f t="array" ref="F65">IF(C65="","",IF(OR(C65=Списки!$AG$15:$AG$17),"нет","да"))</f>
        <v>да</v>
      </c>
      <c r="G65" s="272">
        <f>32.3*J65/1000</f>
        <v>0.25839999999999996</v>
      </c>
      <c r="H65" s="184"/>
      <c r="I65" s="213">
        <f>IF(H65="",IF($G$5&gt;=2000,VLOOKUP(D65,'Вспомогат. таблицы'!$A$2:$B$11,2,),VLOOKUP(D65,'Вспомогат. таблицы'!$A$15:$B$24,2,)),"")</f>
        <v>2</v>
      </c>
      <c r="J65" s="245">
        <f t="shared" ref="J65:J71" si="7">IF($C$63="нет",0,IF(H65="",I65,H65)*$J$63)</f>
        <v>8</v>
      </c>
      <c r="K65" s="246" t="s">
        <v>129</v>
      </c>
      <c r="L65" s="226"/>
      <c r="M65" s="188">
        <f>IFERROR(IF(L65&lt;&gt;"","",VLOOKUP(C65&amp;'Калькулятор КНС'!D65&amp;'Калькулятор КНС'!K65,НН!A:J,10,)),"")</f>
        <v>6</v>
      </c>
      <c r="N65" s="202">
        <f t="shared" si="1"/>
        <v>48</v>
      </c>
      <c r="O65" s="167"/>
      <c r="P65" s="273"/>
    </row>
    <row r="66" spans="2:16" ht="15" outlineLevel="2">
      <c r="B66" s="179"/>
      <c r="C66" s="241" t="s">
        <v>69</v>
      </c>
      <c r="D66" s="241" t="str">
        <f>IF(ОЛ_НАСОСНАЯ_СТАНЦИЯ!$E$20&lt;2000,'Вспомогат. таблицы'!$A$16,'Вспомогат. таблицы'!$A$4)</f>
        <v xml:space="preserve">Шайба 24.30х13 Ст20 ГОСТ 6402-70 </v>
      </c>
      <c r="E66" s="271" t="str">
        <f>IFERROR(IF(SEARCH("*петель*",D66)=1,IF(ОЛ_НАСОСНАЯ_СТАНЦИЯ!$E$20&lt;2000,"Прим. - Петля простая","Прим. - Петля усиленная"),""),"")</f>
        <v/>
      </c>
      <c r="F66" s="212" t="str">
        <f t="array" ref="F66">IF(C66="","",IF(OR(C66=Списки!$AG$15:$AG$17),"нет","да"))</f>
        <v>да</v>
      </c>
      <c r="G66" s="272"/>
      <c r="H66" s="184"/>
      <c r="I66" s="213">
        <f>IF(H66="",IF($G$5&gt;=2000,VLOOKUP(D66,'Вспомогат. таблицы'!$A$2:$B$11,2,),VLOOKUP(D66,'Вспомогат. таблицы'!$A$15:$B$24,2,)),"")</f>
        <v>2</v>
      </c>
      <c r="J66" s="245">
        <f t="shared" si="7"/>
        <v>8</v>
      </c>
      <c r="K66" s="246" t="s">
        <v>129</v>
      </c>
      <c r="L66" s="226"/>
      <c r="M66" s="188">
        <f>IFERROR(IF(L66&lt;&gt;"","",VLOOKUP(C66&amp;'Калькулятор КНС'!D66&amp;'Калькулятор КНС'!K66,НН!A:J,10,)),"")</f>
        <v>5.91</v>
      </c>
      <c r="N66" s="202">
        <f t="shared" si="1"/>
        <v>47.28</v>
      </c>
      <c r="O66" s="167"/>
      <c r="P66" s="168"/>
    </row>
    <row r="67" spans="2:16" ht="15" outlineLevel="2">
      <c r="B67" s="179"/>
      <c r="C67" s="241" t="s">
        <v>69</v>
      </c>
      <c r="D67" s="241" t="str">
        <f>IF(ОЛ_НАСОСНАЯ_СТАНЦИЯ!$E$20&lt;2000,'Вспомогат. таблицы'!$A$17,'Вспомогат. таблицы'!$A$5)</f>
        <v>Гайка М24-7Н.Ст20 ГОСТ 5915-70</v>
      </c>
      <c r="E67" s="271" t="str">
        <f>IFERROR(IF(SEARCH("*петель*",D67)=1,IF(ОЛ_НАСОСНАЯ_СТАНЦИЯ!$E$20&lt;2000,"Прим. - Петля простая","Прим. - Петля усиленная"),""),"")</f>
        <v/>
      </c>
      <c r="F67" s="212" t="str">
        <f t="array" ref="F67">IF(C67="","",IF(OR(C67=Списки!$AG$15:$AG$17),"нет","да"))</f>
        <v>да</v>
      </c>
      <c r="G67" s="272">
        <f>27.12*J67/1000</f>
        <v>0.21696000000000001</v>
      </c>
      <c r="H67" s="184"/>
      <c r="I67" s="213">
        <f>IF(H67="",IF($G$5&gt;=2000,VLOOKUP(D67,'Вспомогат. таблицы'!$A$2:$B$11,2,),VLOOKUP(D67,'Вспомогат. таблицы'!$A$15:$B$24,2,)),"")</f>
        <v>2</v>
      </c>
      <c r="J67" s="245">
        <f t="shared" si="7"/>
        <v>8</v>
      </c>
      <c r="K67" s="246" t="s">
        <v>129</v>
      </c>
      <c r="L67" s="226"/>
      <c r="M67" s="188">
        <f>IFERROR(IF(L67&lt;&gt;"","",VLOOKUP(C67&amp;'Калькулятор КНС'!D67&amp;'Калькулятор КНС'!K67,НН!A:J,10,)),"")</f>
        <v>28</v>
      </c>
      <c r="N67" s="202">
        <f t="shared" si="1"/>
        <v>224</v>
      </c>
      <c r="O67" s="167"/>
      <c r="P67" s="274"/>
    </row>
    <row r="68" spans="2:16" ht="24" outlineLevel="2">
      <c r="B68" s="179"/>
      <c r="C68" s="241" t="s">
        <v>68</v>
      </c>
      <c r="D68" s="241" t="str">
        <f>IF(ОЛ_НАСОСНАЯ_СТАНЦИЯ!$E$20&lt;2000,'Вспомогат. таблицы'!$A$18,'Вспомогат. таблицы'!$A$6)</f>
        <v>Лист г/к Б-ПН-О-6,0х1500х3000 ГОСТ 19903-74 // Ст3пс ГОСТ 14637-89</v>
      </c>
      <c r="E68" s="271" t="str">
        <f>IFERROR(IF(SEARCH("*петель*",D68)=1,IF(ОЛ_НАСОСНАЯ_СТАНЦИЯ!$E$20&lt;2000,"Прим. - Петля простая","Прим. - Петля усиленная"),""),"")</f>
        <v/>
      </c>
      <c r="F68" s="212" t="str">
        <f t="array" ref="F68">IF(C68="","",IF(OR(C68=Списки!$AG$15:$AG$17),"нет","да"))</f>
        <v>да</v>
      </c>
      <c r="G68" s="272">
        <f>107*J68/1000</f>
        <v>3.424E-2</v>
      </c>
      <c r="H68" s="184"/>
      <c r="I68" s="275">
        <f>IF(H68="",IF($G$5&gt;=2000,VLOOKUP(D68,'Вспомогат. таблицы'!$A$2:$B$11,2,),VLOOKUP(D68,'Вспомогат. таблицы'!$A$15:$B$24,2,)),"")</f>
        <v>0.08</v>
      </c>
      <c r="J68" s="245">
        <f t="shared" si="7"/>
        <v>0.32</v>
      </c>
      <c r="K68" s="246" t="s">
        <v>223</v>
      </c>
      <c r="L68" s="226"/>
      <c r="M68" s="188">
        <f>IFERROR(IF(L68&lt;&gt;"","",VLOOKUP(C68&amp;'Калькулятор КНС'!D68&amp;'Калькулятор КНС'!K68,НН!A:J,10,)),"")</f>
        <v>5833.33</v>
      </c>
      <c r="N68" s="202">
        <f t="shared" si="1"/>
        <v>1866.6656</v>
      </c>
      <c r="O68" s="167"/>
      <c r="P68" s="273"/>
    </row>
    <row r="69" spans="2:16" ht="24" outlineLevel="2">
      <c r="B69" s="179"/>
      <c r="C69" s="241" t="s">
        <v>68</v>
      </c>
      <c r="D69" s="241" t="str">
        <f>IF(ОЛ_НАСОСНАЯ_СТАНЦИЯ!$E$20&lt;2000,'Вспомогат. таблицы'!$A$19,'Вспомогат. таблицы'!$A$7)</f>
        <v>Лист г/к Б-ПН-О-12,0х1500х3000 ГОСТ 19903-74 // Ст3пс ГОСТ 14637-89</v>
      </c>
      <c r="E69" s="271" t="str">
        <f>IFERROR(IF(SEARCH("*петель*",D69)=1,IF(ОЛ_НАСОСНАЯ_СТАНЦИЯ!$E$20&lt;2000,"Прим. - Петля простая","Прим. - Петля усиленная"),""),"")</f>
        <v/>
      </c>
      <c r="F69" s="212" t="str">
        <f t="array" ref="F69">IF(C69="","",IF(OR(C69=Списки!$AG$15:$AG$17),"нет","да"))</f>
        <v>да</v>
      </c>
      <c r="G69" s="272">
        <f>J63*0.785</f>
        <v>3.14</v>
      </c>
      <c r="H69" s="184"/>
      <c r="I69" s="275">
        <f>IF(H69="",IF($G$5&gt;=2000,VLOOKUP(D69,'Вспомогат. таблицы'!$A$2:$B$11,2,),VLOOKUP(D69,'Вспомогат. таблицы'!$A$15:$B$24,2,)),"")</f>
        <v>0.05</v>
      </c>
      <c r="J69" s="245">
        <f t="shared" si="7"/>
        <v>0.2</v>
      </c>
      <c r="K69" s="246" t="s">
        <v>223</v>
      </c>
      <c r="L69" s="226"/>
      <c r="M69" s="188">
        <f>IFERROR(IF(L69&lt;&gt;"","",VLOOKUP(C69&amp;'Калькулятор КНС'!D69&amp;'Калькулятор КНС'!K69,НН!A:J,10,)),"")</f>
        <v>11222.22</v>
      </c>
      <c r="N69" s="202">
        <f t="shared" si="1"/>
        <v>2244.444</v>
      </c>
      <c r="O69" s="167"/>
      <c r="P69" s="273"/>
    </row>
    <row r="70" spans="2:16" ht="15" outlineLevel="2">
      <c r="B70" s="179"/>
      <c r="C70" s="241" t="s">
        <v>68</v>
      </c>
      <c r="D70" s="241" t="str">
        <f>IF(ОЛ_НАСОСНАЯ_СТАНЦИЯ!$E$20&lt;2000,'Вспомогат. таблицы'!$A$20,'Вспомогат. таблицы'!$A$8)</f>
        <v>Арматура 20-А-I Ст3пс ГОСТ 5781-82 гладкая (А240)</v>
      </c>
      <c r="E70" s="271" t="str">
        <f>IFERROR(IF(SEARCH("*петель*",D70)=1,IF(ОЛ_НАСОСНАЯ_СТАНЦИЯ!$E$20&lt;2000,"Прим. - Петля простая","Прим. - Петля усиленная"),""),"")</f>
        <v/>
      </c>
      <c r="F70" s="212" t="str">
        <f t="array" ref="F70">IF(C70="","",IF(OR(C70=Списки!$AG$15:$AG$17),"нет","да"))</f>
        <v>да</v>
      </c>
      <c r="G70" s="272">
        <f>J63*2.26</f>
        <v>9.0399999999999991</v>
      </c>
      <c r="H70" s="184"/>
      <c r="I70" s="213">
        <f>IF(H70="",IF($G$5&gt;=2000,VLOOKUP(D70,'Вспомогат. таблицы'!$A$2:$B$11,2,),VLOOKUP(D70,'Вспомогат. таблицы'!$A$15:$B$24,2,)),"")</f>
        <v>0.9</v>
      </c>
      <c r="J70" s="245">
        <f t="shared" si="7"/>
        <v>3.6</v>
      </c>
      <c r="K70" s="246" t="s">
        <v>163</v>
      </c>
      <c r="L70" s="226"/>
      <c r="M70" s="188">
        <f>IFERROR(IF(L70&lt;&gt;"","",VLOOKUP(C70&amp;'Калькулятор КНС'!D70&amp;'Калькулятор КНС'!K70,НН!A:J,10,)),"")</f>
        <v>190</v>
      </c>
      <c r="N70" s="202">
        <f t="shared" si="1"/>
        <v>684</v>
      </c>
      <c r="O70" s="167"/>
      <c r="P70" s="273"/>
    </row>
    <row r="71" spans="2:16" ht="24" outlineLevel="2">
      <c r="B71" s="179"/>
      <c r="C71" s="241" t="s">
        <v>72</v>
      </c>
      <c r="D71" s="241" t="str">
        <f>IF(ОЛ_НАСОСНАЯ_СТАНЦИЯ!$E$20&lt;2000,'Вспомогат. таблицы'!$A$21,'Вспомогат. таблицы'!$A$9)</f>
        <v>Ламинирование петель к корпусу</v>
      </c>
      <c r="E71" s="276" t="str">
        <f>IFERROR(IF(SEARCH("*петель*",D71)=1,IF(ОЛ_НАСОСНАЯ_СТАНЦИЯ!$E$20&lt;2000,"Прим. - Петля простая","Прим. - Петля усиленная"),""),"")</f>
        <v>Прим. - Петля усиленная</v>
      </c>
      <c r="F71" s="212" t="str">
        <f t="array" ref="F71">IF(C71="","",IF(OR(C71=Списки!$AG$15:$AG$17),"нет","да"))</f>
        <v>нет</v>
      </c>
      <c r="G71" s="272"/>
      <c r="H71" s="184"/>
      <c r="I71" s="213">
        <f>IF(H71="",IF($G$5&gt;=2000,VLOOKUP(D71,'Вспомогат. таблицы'!$A$2:$B$11,2,),VLOOKUP(D71,'Вспомогат. таблицы'!$A$15:$B$24,2,)),"")</f>
        <v>0.6</v>
      </c>
      <c r="J71" s="245">
        <f t="shared" si="7"/>
        <v>2.4</v>
      </c>
      <c r="K71" s="246" t="s">
        <v>193</v>
      </c>
      <c r="L71" s="187"/>
      <c r="M71" s="188">
        <f>IFERROR(IF(L71&lt;&gt;"","",VLOOKUP(C71&amp;'Калькулятор КНС'!D71&amp;'Калькулятор КНС'!K71,НН!A:J,10,)),"")</f>
        <v>310.2</v>
      </c>
      <c r="N71" s="202">
        <f t="shared" si="1"/>
        <v>744.4799999999999</v>
      </c>
      <c r="O71" s="167" t="s">
        <v>356</v>
      </c>
      <c r="P71" s="273"/>
    </row>
    <row r="72" spans="2:16" ht="15" outlineLevel="2">
      <c r="B72" s="179"/>
      <c r="C72" s="241" t="s">
        <v>238</v>
      </c>
      <c r="D72" s="241" t="str">
        <f>IF(ОЛ_НАСОСНАЯ_СТАНЦИЯ!$E$20&lt;2000,'Вспомогат. таблицы'!$A$22,'Вспомогат. таблицы'!$A$10)</f>
        <v>ФОТ</v>
      </c>
      <c r="E72" s="271" t="str">
        <f>IFERROR(IF(SEARCH("*петель*",D72)=1,IF(ОЛ_НАСОСНАЯ_СТАНЦИЯ!$E$20&lt;2000,"Прим. - Петля простая","Прим. - Петля усиленная"),""),"")</f>
        <v/>
      </c>
      <c r="F72" s="212" t="str">
        <f t="array" ref="F72">IF(C72="","",IF(OR(C72=Списки!$AG$15:$AG$17),"нет","да"))</f>
        <v>нет</v>
      </c>
      <c r="G72" s="272"/>
      <c r="H72" s="184"/>
      <c r="I72" s="213">
        <f>IF(COUNTIF(D71,"*мех*")=1,0.28,IF(COUNTIF(D71,"*ламин*")=1,0.56,1))</f>
        <v>0.56000000000000005</v>
      </c>
      <c r="J72" s="277">
        <f>IF($C$63="нет",0,ROUNDUP(IF(H72="",IFERROR(J71*I72,""),H72),1))</f>
        <v>1.4000000000000001</v>
      </c>
      <c r="K72" s="246" t="s">
        <v>212</v>
      </c>
      <c r="L72" s="226"/>
      <c r="M72" s="188">
        <f>IFERROR(IF(L72&lt;&gt;"","",VLOOKUP(C72&amp;'Калькулятор КНС'!D72&amp;'Калькулятор КНС'!K72,НН!A:J,10,)),"")</f>
        <v>1207.8</v>
      </c>
      <c r="N72" s="202">
        <f t="shared" si="1"/>
        <v>1690.92</v>
      </c>
      <c r="O72" s="167"/>
      <c r="P72" s="273"/>
    </row>
    <row r="73" spans="2:16" ht="13.15" customHeight="1" outlineLevel="2" collapsed="1">
      <c r="B73" s="179"/>
      <c r="C73" s="180"/>
      <c r="D73" s="180"/>
      <c r="E73" s="259"/>
      <c r="F73" s="215" t="str">
        <f t="array" ref="F73">IF(ISBLANK(C73),"",IF(OR(C73=Списки!$AG$15:$AG$17),"нет","да"))</f>
        <v/>
      </c>
      <c r="G73" s="204"/>
      <c r="H73" s="184"/>
      <c r="I73" s="193"/>
      <c r="J73" s="186" t="str">
        <f>IF(ISBLANK(D73),"",IF(H73="",I73,H73))</f>
        <v/>
      </c>
      <c r="K73" s="178"/>
      <c r="L73" s="196"/>
      <c r="M73" s="188" t="str">
        <f>IFERROR(IF(L73&lt;&gt;"","",VLOOKUP(C73&amp;'Калькулятор КНС'!D73&amp;'Калькулятор КНС'!K73,НН!A:J,10,)),"")</f>
        <v/>
      </c>
      <c r="N73" s="189" t="str">
        <f t="shared" si="1"/>
        <v/>
      </c>
      <c r="O73" s="167"/>
      <c r="P73" s="168"/>
    </row>
    <row r="74" spans="2:16" ht="15" hidden="1" outlineLevel="3">
      <c r="B74" s="179"/>
      <c r="C74" s="180"/>
      <c r="D74" s="278" t="s">
        <v>357</v>
      </c>
      <c r="E74" s="279"/>
      <c r="F74" s="280" t="str">
        <f t="array" ref="F74">IF(ISBLANK(C74),"",IF(OR(C74=Списки!$AG$15:$AG$17),"нет","да"))</f>
        <v/>
      </c>
      <c r="G74" s="216"/>
      <c r="H74" s="281"/>
      <c r="I74" s="261"/>
      <c r="J74" s="219"/>
      <c r="K74" s="220"/>
      <c r="L74" s="255"/>
      <c r="M74" s="256" t="str">
        <f t="array" aca="1" ref="M74" ca="1">IFERROR(IF(L74&lt;&gt;"","",IF((VLOOKUP(D74&amp;K74,INDIRECT("'"&amp;INDEX(Списки!$AG$2:$AG$17,MATCH(TRUE,COUNTIF(INDIRECT("'"&amp;Списки!$AG$2:$AG$17 &amp;"'!A1:A300000"),D74&amp;K74)&gt;0,0))&amp;"'!A:h"),7,0))=0,"",VLOOKUP(D74&amp;K74,INDIRECT("'"&amp;INDEX(Списки!$AG$2:$AG$17,MATCH(TRUE,COUNTIF(INDIRECT("'"&amp;Списки!$AG$2:$AG$17 &amp;"'!A1:A300000"),D74&amp;K74)&gt;0,0))&amp;"'!A:h"),7,0))),"")</f>
        <v/>
      </c>
      <c r="N74" s="189"/>
      <c r="O74" s="167"/>
      <c r="P74" s="168"/>
    </row>
    <row r="75" spans="2:16" ht="15" hidden="1" outlineLevel="3">
      <c r="B75" s="179"/>
      <c r="C75" s="180" t="s">
        <v>72</v>
      </c>
      <c r="D75" s="180" t="s">
        <v>358</v>
      </c>
      <c r="E75" s="259"/>
      <c r="F75" s="212" t="str">
        <f t="array" ref="F75">IF(C75="","",IF(OR(ОЛ_НАСОСНАЯ_СТАНЦИЯ!$E$46=Списки!$H$2,ОЛ_НАСОСНАЯ_СТАНЦИЯ!$E$46=Списки!$H$5),"-",IF(OR(C75=Списки!$AG$15:$AG$17),"нет","да")))</f>
        <v>-</v>
      </c>
      <c r="G75" s="204"/>
      <c r="H75" s="282">
        <v>60</v>
      </c>
      <c r="I75" s="225"/>
      <c r="J75" s="186">
        <f>IF(OR(ОЛ_НАСОСНАЯ_СТАНЦИЯ!$E$46=Списки!$H$2,ОЛ_НАСОСНАЯ_СТАНЦИЯ!$E$46=Списки!$H$5),0,IF(H75="",I75,H75))</f>
        <v>0</v>
      </c>
      <c r="K75" s="178" t="s">
        <v>193</v>
      </c>
      <c r="L75" s="187"/>
      <c r="M75" s="188">
        <f>IFERROR(IF(L75&lt;&gt;"","",VLOOKUP(C75&amp;'Калькулятор КНС'!D75&amp;'Калькулятор КНС'!K75,НН!A:J,10,)),"")</f>
        <v>214.4</v>
      </c>
      <c r="N75" s="202">
        <f t="shared" si="1"/>
        <v>0</v>
      </c>
      <c r="O75" s="167"/>
      <c r="P75" s="168"/>
    </row>
    <row r="76" spans="2:16" ht="13.15" hidden="1" customHeight="1" outlineLevel="3">
      <c r="B76" s="179"/>
      <c r="C76" s="180" t="s">
        <v>238</v>
      </c>
      <c r="D76" s="180" t="s">
        <v>238</v>
      </c>
      <c r="E76" s="283"/>
      <c r="F76" s="212" t="str">
        <f t="array" ref="F76">IF(C76="","",IF(OR(ОЛ_НАСОСНАЯ_СТАНЦИЯ!$E$46=Списки!$H$2,ОЛ_НАСОСНАЯ_СТАНЦИЯ!$E$46=Списки!$H$5),"-",IF(OR(C76=Списки!$AG$15:$AG$17),"нет","да")))</f>
        <v>-</v>
      </c>
      <c r="G76" s="204"/>
      <c r="H76" s="184"/>
      <c r="I76" s="285">
        <f>IF(COUNTIF(D75,"*мех*")=1,0.28,IF(COUNTIF(D75,"*ламин*")=1,0.56,1))</f>
        <v>0.28000000000000003</v>
      </c>
      <c r="J76" s="194">
        <f>ROUNDUP(IF(H76="",IFERROR(J75*I76,""),H76),1)</f>
        <v>0</v>
      </c>
      <c r="K76" s="178" t="s">
        <v>212</v>
      </c>
      <c r="L76" s="226"/>
      <c r="M76" s="188">
        <f>IFERROR(IF(L76&lt;&gt;"","",VLOOKUP(C76&amp;'Калькулятор КНС'!D76&amp;'Калькулятор КНС'!K76,НН!A:J,10,)),"")</f>
        <v>1207.8</v>
      </c>
      <c r="N76" s="202">
        <f t="shared" si="1"/>
        <v>0</v>
      </c>
      <c r="O76" s="167"/>
      <c r="P76" s="168"/>
    </row>
    <row r="77" spans="2:16" ht="15" hidden="1" outlineLevel="3">
      <c r="B77" s="179"/>
      <c r="C77" s="180" t="s">
        <v>72</v>
      </c>
      <c r="D77" s="180" t="s">
        <v>359</v>
      </c>
      <c r="E77" s="259"/>
      <c r="F77" s="212" t="str">
        <f t="array" ref="F77">IF(C77="","",IF(OR(ОЛ_НАСОСНАЯ_СТАНЦИЯ!$E$46=Списки!$H$2,ОЛ_НАСОСНАЯ_СТАНЦИЯ!$E$46=Списки!$H$5),"-",IF(OR(C77=Списки!$AG$15:$AG$17),"нет","да")))</f>
        <v>-</v>
      </c>
      <c r="G77" s="204"/>
      <c r="H77" s="184"/>
      <c r="I77" s="225">
        <f>IF(H77="",IFERROR(IF(H75="",I75,H75)*3/10,""),"")</f>
        <v>18</v>
      </c>
      <c r="J77" s="186">
        <f>IF(OR(ОЛ_НАСОСНАЯ_СТАНЦИЯ!$E$46=Списки!$H$2,ОЛ_НАСОСНАЯ_СТАНЦИЯ!$E$46=Списки!$H$5),0,IF(H77="",I77,H77))</f>
        <v>0</v>
      </c>
      <c r="K77" s="178" t="s">
        <v>193</v>
      </c>
      <c r="L77" s="187"/>
      <c r="M77" s="188">
        <f>IFERROR(IF(L77&lt;&gt;"","",VLOOKUP(C77&amp;'Калькулятор КНС'!D77&amp;'Калькулятор КНС'!K77,НН!A:J,10,)),"")</f>
        <v>310.2</v>
      </c>
      <c r="N77" s="202">
        <f t="shared" si="1"/>
        <v>0</v>
      </c>
      <c r="O77" s="167"/>
      <c r="P77" s="168"/>
    </row>
    <row r="78" spans="2:16" ht="13.15" hidden="1" customHeight="1" outlineLevel="3">
      <c r="B78" s="179"/>
      <c r="C78" s="180" t="s">
        <v>238</v>
      </c>
      <c r="D78" s="180" t="s">
        <v>238</v>
      </c>
      <c r="E78" s="283"/>
      <c r="F78" s="212" t="str">
        <f t="array" ref="F78">IF(C78="","",IF(OR(ОЛ_НАСОСНАЯ_СТАНЦИЯ!$E$46=Списки!$H$2,ОЛ_НАСОСНАЯ_СТАНЦИЯ!$E$46=Списки!$H$5),"-",IF(OR(C78=Списки!$AG$15:$AG$17),"нет","да")))</f>
        <v>-</v>
      </c>
      <c r="G78" s="204"/>
      <c r="H78" s="184"/>
      <c r="I78" s="286">
        <f>IF(COUNTIF(D77,"*мех*")=1,0.28,IF(COUNTIF(D77,"*ламин*")=1,IF(D77="Ламинирование деталей площадки под дробилку в сборке",1,0.56),1))</f>
        <v>1</v>
      </c>
      <c r="J78" s="194">
        <f>ROUNDUP(IF(H78="",IFERROR(J77*I78,""),H78),1)</f>
        <v>0</v>
      </c>
      <c r="K78" s="178" t="s">
        <v>212</v>
      </c>
      <c r="L78" s="226"/>
      <c r="M78" s="188">
        <f>IFERROR(IF(L78&lt;&gt;"","",VLOOKUP(C78&amp;'Калькулятор КНС'!D78&amp;'Калькулятор КНС'!K78,НН!A:J,10,)),"")</f>
        <v>1207.8</v>
      </c>
      <c r="N78" s="202">
        <f t="shared" si="1"/>
        <v>0</v>
      </c>
      <c r="O78" s="167" t="s">
        <v>360</v>
      </c>
      <c r="P78" s="168"/>
    </row>
    <row r="79" spans="2:16" ht="15" hidden="1" outlineLevel="3">
      <c r="B79" s="179"/>
      <c r="C79" s="180" t="s">
        <v>68</v>
      </c>
      <c r="D79" s="180" t="s">
        <v>361</v>
      </c>
      <c r="E79" s="287"/>
      <c r="F79" s="212" t="str">
        <f t="array" ref="F79">IF(C79="","",IF(OR(ОЛ_НАСОСНАЯ_СТАНЦИЯ!$E$46=Списки!$H$2,ОЛ_НАСОСНАЯ_СТАНЦИЯ!$E$46=Списки!$H$5),"-",IF(OR(C79=Списки!$AG$15:$AG$17),"нет","да")))</f>
        <v>-</v>
      </c>
      <c r="G79" s="204"/>
      <c r="H79" s="184"/>
      <c r="I79" s="193">
        <f>IF(H79="",ROUNDUP(2*(ОЛ_НАСОСНАЯ_СТАНЦИЯ!E41/1000),),"")</f>
        <v>20</v>
      </c>
      <c r="J79" s="186">
        <f>IF(OR(ОЛ_НАСОСНАЯ_СТАНЦИЯ!$E$46=Списки!$H$2,ОЛ_НАСОСНАЯ_СТАНЦИЯ!$E$46=Списки!$H$5),0,IF(ISBLANK(D79),"",IF(H79="",I79,H79)))</f>
        <v>0</v>
      </c>
      <c r="K79" s="178" t="s">
        <v>163</v>
      </c>
      <c r="L79" s="226"/>
      <c r="M79" s="188">
        <f>IFERROR(IF(L79&lt;&gt;"","",VLOOKUP(C79&amp;'Калькулятор КНС'!D79&amp;'Калькулятор КНС'!K79,НН!A:J,10,)),"")</f>
        <v>1500</v>
      </c>
      <c r="N79" s="202">
        <f t="shared" si="1"/>
        <v>0</v>
      </c>
      <c r="O79" s="167"/>
      <c r="P79" s="168"/>
    </row>
    <row r="80" spans="2:16" ht="15" hidden="1" outlineLevel="3">
      <c r="B80" s="957"/>
      <c r="C80" s="180" t="s">
        <v>68</v>
      </c>
      <c r="D80" s="180" t="s">
        <v>686</v>
      </c>
      <c r="E80" s="287"/>
      <c r="F80" s="212" t="str">
        <f t="array" ref="F80">IF(C80="","",IF(OR(ОЛ_НАСОСНАЯ_СТАНЦИЯ!$E$46=Списки!$H$2,ОЛ_НАСОСНАЯ_СТАНЦИЯ!$E$46=Списки!$H$5),"-",IF(OR(C80=Списки!$AG$15:$AG$17),"нет","да")))</f>
        <v>-</v>
      </c>
      <c r="G80" s="204"/>
      <c r="H80" s="184">
        <v>11</v>
      </c>
      <c r="I80" s="193" t="str">
        <f>IF(H80="",ROUNDUP(2*(ОЛ_НАСОСНАЯ_СТАНЦИЯ!E42/1000),),"")</f>
        <v/>
      </c>
      <c r="J80" s="186">
        <f>IF(OR(ОЛ_НАСОСНАЯ_СТАНЦИЯ!$E$46=Списки!$H$2,ОЛ_НАСОСНАЯ_СТАНЦИЯ!$E$46=Списки!$H$5),0,IF(ISBLANK(D80),"",IF(H80="",I80,H80)))</f>
        <v>0</v>
      </c>
      <c r="K80" s="178" t="s">
        <v>163</v>
      </c>
      <c r="L80" s="226">
        <v>2000</v>
      </c>
      <c r="M80" s="188" t="str">
        <f>IFERROR(IF(L80&lt;&gt;"","",VLOOKUP(C80&amp;'Калькулятор КНС'!D80&amp;'Калькулятор КНС'!K80,НН!A:J,10,)),"")</f>
        <v/>
      </c>
      <c r="N80" s="202">
        <f t="shared" ref="N80" si="8">IFERROR(IF(L80="",M80*J80,J80*L80),"")</f>
        <v>0</v>
      </c>
      <c r="O80" s="167"/>
      <c r="P80" s="168"/>
    </row>
    <row r="81" spans="2:16" ht="15" hidden="1" outlineLevel="3">
      <c r="B81" s="179"/>
      <c r="C81" s="180" t="s">
        <v>64</v>
      </c>
      <c r="D81" s="180" t="s">
        <v>674</v>
      </c>
      <c r="E81" s="287"/>
      <c r="F81" s="212" t="str">
        <f t="array" ref="F81">IF(C81="","",IF(OR(ОЛ_НАСОСНАЯ_СТАНЦИЯ!$E$46=Списки!$H$2,ОЛ_НАСОСНАЯ_СТАНЦИЯ!$E$46=Списки!$H$5),"-",IF(OR(C81=Списки!$AG$15:$AG$17),"нет","да")))</f>
        <v>-</v>
      </c>
      <c r="G81" s="204"/>
      <c r="H81" s="184"/>
      <c r="I81" s="272">
        <f>I82</f>
        <v>11</v>
      </c>
      <c r="J81" s="186">
        <f>IF(OR(ОЛ_НАСОСНАЯ_СТАНЦИЯ!$E$46=Списки!$H$2,ОЛ_НАСОСНАЯ_СТАНЦИЯ!$E$46=Списки!$H$5),0,IF(ISBLANK(D81),"",IF(H81="",I81,H81)))</f>
        <v>0</v>
      </c>
      <c r="K81" s="178" t="s">
        <v>129</v>
      </c>
      <c r="L81" s="226"/>
      <c r="M81" s="188">
        <f>IFERROR(IF(L81&lt;&gt;"","",VLOOKUP(C81&amp;'Калькулятор КНС'!D81&amp;'Калькулятор КНС'!K81,НН!A:J,10,)),"")</f>
        <v>600</v>
      </c>
      <c r="N81" s="202">
        <f t="shared" si="1"/>
        <v>0</v>
      </c>
      <c r="O81" s="167"/>
      <c r="P81" s="168"/>
    </row>
    <row r="82" spans="2:16" ht="24" hidden="1" outlineLevel="3">
      <c r="B82" s="179"/>
      <c r="C82" s="180" t="s">
        <v>64</v>
      </c>
      <c r="D82" s="208" t="s">
        <v>363</v>
      </c>
      <c r="E82" s="224" t="str">
        <f>"Для подъема и спуска дробилки L= "&amp;ROUNDUP((ОЛ_НАСОСНАЯ_СТАНЦИЯ!E41/1000+1),0)&amp;" м"</f>
        <v>Для подъема и спуска дробилки L= 11 м</v>
      </c>
      <c r="F82" s="212" t="str">
        <f t="array" ref="F82">IF(C82="","",IF(OR(ОЛ_НАСОСНАЯ_СТАНЦИЯ!$E$46=Списки!$H$2,ОЛ_НАСОСНАЯ_СТАНЦИЯ!$E$46=Списки!$H$5),"-",IF(OR(C82=Списки!$AG$15:$AG$17),"нет","да")))</f>
        <v>-</v>
      </c>
      <c r="G82" s="204"/>
      <c r="H82" s="184"/>
      <c r="I82" s="213">
        <f>IF(H82="",ROUNDUP((ОЛ_НАСОСНАЯ_СТАНЦИЯ!E41/1000+1),),"")</f>
        <v>11</v>
      </c>
      <c r="J82" s="186">
        <f>IF(OR(ОЛ_НАСОСНАЯ_СТАНЦИЯ!$E$46=Списки!$H$2,ОЛ_НАСОСНАЯ_СТАНЦИЯ!$E$46=Списки!$H$5),0,IF(ISBLANK(D82),"",IF(H82="",I82,H82)))</f>
        <v>0</v>
      </c>
      <c r="K82" s="178" t="s">
        <v>163</v>
      </c>
      <c r="L82" s="226"/>
      <c r="M82" s="188">
        <f>IFERROR(IF(L82&lt;&gt;"","",VLOOKUP(C82&amp;'Калькулятор КНС'!D82&amp;'Калькулятор КНС'!K82,НН!A:J,10,)),"")</f>
        <v>450</v>
      </c>
      <c r="N82" s="202">
        <f t="shared" si="1"/>
        <v>0</v>
      </c>
      <c r="O82" s="670"/>
      <c r="P82" s="168"/>
    </row>
    <row r="83" spans="2:16" ht="15" hidden="1" outlineLevel="3">
      <c r="B83" s="179"/>
      <c r="C83" s="180" t="s">
        <v>64</v>
      </c>
      <c r="D83" s="241" t="s">
        <v>364</v>
      </c>
      <c r="E83" s="255"/>
      <c r="F83" s="212" t="str">
        <f t="array" ref="F83">IF(C83="","",IF(OR(ОЛ_НАСОСНАЯ_СТАНЦИЯ!$E$46=Списки!$H$2,ОЛ_НАСОСНАЯ_СТАНЦИЯ!$E$46=Списки!$H$5),"-",IF(OR(C83=Списки!$AG$15:$AG$17),"нет","да")))</f>
        <v>-</v>
      </c>
      <c r="G83" s="204"/>
      <c r="H83" s="184"/>
      <c r="I83" s="213">
        <f>IF(H83="",ROUNDUP(I82,),"")</f>
        <v>11</v>
      </c>
      <c r="J83" s="186">
        <f>IF(OR(ОЛ_НАСОСНАЯ_СТАНЦИЯ!$E$46=Списки!$H$2,ОЛ_НАСОСНАЯ_СТАНЦИЯ!$E$46=Списки!$H$5),0,IF(ISBLANK(D83),"",IF(H83="",I83,H83)))</f>
        <v>0</v>
      </c>
      <c r="K83" s="178" t="s">
        <v>129</v>
      </c>
      <c r="L83" s="226"/>
      <c r="M83" s="188">
        <f>IFERROR(IF(L83&lt;&gt;"","",VLOOKUP(C83&amp;'Калькулятор КНС'!D83&amp;'Калькулятор КНС'!K83,НН!A:J,10,)),"")</f>
        <v>320</v>
      </c>
      <c r="N83" s="202">
        <f t="shared" si="1"/>
        <v>0</v>
      </c>
      <c r="O83" s="167"/>
      <c r="P83" s="168"/>
    </row>
    <row r="84" spans="2:16" ht="15" outlineLevel="1">
      <c r="B84" s="179"/>
      <c r="C84" s="180"/>
      <c r="D84" s="765"/>
      <c r="E84" s="255"/>
      <c r="F84" s="215"/>
      <c r="G84" s="216"/>
      <c r="H84" s="227"/>
      <c r="I84" s="288"/>
      <c r="J84" s="470"/>
      <c r="K84" s="220"/>
      <c r="L84" s="221"/>
      <c r="M84" s="222" t="str">
        <f t="array" aca="1" ref="M84" ca="1">IFERROR(IF(L84&lt;&gt;"","",IF((VLOOKUP(D84&amp;K84,INDIRECT("'"&amp;INDEX(Списки!$AG$2:$AG$17,MATCH(TRUE,COUNTIF(INDIRECT("'"&amp;Списки!$AG$2:$AG$17 &amp;"'!A1:A300000"),D84&amp;K84)&gt;0,0))&amp;"'!A:h"),7,0))=0,"",VLOOKUP(D84&amp;K84,INDIRECT("'"&amp;INDEX(Списки!$AG$2:$AG$17,MATCH(TRUE,COUNTIF(INDIRECT("'"&amp;Списки!$AG$2:$AG$17 &amp;"'!A1:A300000"),D84&amp;K84)&gt;0,0))&amp;"'!A:h"),7,0))),"")</f>
        <v/>
      </c>
      <c r="N84" s="235"/>
      <c r="O84" s="167"/>
      <c r="P84" s="168"/>
    </row>
    <row r="85" spans="2:16" ht="15" outlineLevel="1">
      <c r="B85" s="169" t="s">
        <v>365</v>
      </c>
      <c r="C85" s="170"/>
      <c r="D85" s="291" t="s">
        <v>676</v>
      </c>
      <c r="E85" s="292"/>
      <c r="F85" s="293"/>
      <c r="G85" s="216"/>
      <c r="H85" s="230"/>
      <c r="I85" s="294"/>
      <c r="J85" s="295"/>
      <c r="K85" s="220"/>
      <c r="L85" s="255"/>
      <c r="M85" s="256" t="str">
        <f t="array" aca="1" ref="M85" ca="1">IFERROR(IF(L85&lt;&gt;"","",IF((VLOOKUP(D85&amp;K85,INDIRECT("'"&amp;INDEX(Списки!$AG$2:$AG$17,MATCH(TRUE,COUNTIF(INDIRECT("'"&amp;Списки!$AG$2:$AG$17 &amp;"'!A1:A300000"),D85&amp;K85)&gt;0,0))&amp;"'!A:h"),7,0))=0,"",VLOOKUP(D85&amp;K85,INDIRECT("'"&amp;INDEX(Списки!$AG$2:$AG$17,MATCH(TRUE,COUNTIF(INDIRECT("'"&amp;Списки!$AG$2:$AG$17 &amp;"'!A1:A300000"),D85&amp;K85)&gt;0,0))&amp;"'!A:h"),7,0))),"")</f>
        <v/>
      </c>
      <c r="N85" s="235"/>
      <c r="O85" s="167"/>
      <c r="P85" s="168"/>
    </row>
    <row r="86" spans="2:16" ht="24" outlineLevel="1">
      <c r="B86" s="179"/>
      <c r="C86" s="180" t="s">
        <v>72</v>
      </c>
      <c r="D86" s="180" t="s">
        <v>367</v>
      </c>
      <c r="E86" s="276" t="str">
        <f>IFERROR(IF(SEARCH("*петель*",D86)=1,IF(ОЛ_НАСОСНАЯ_СТАНЦИЯ!E20&lt;2000,"Прим. - Петли простые","Прим. - Петли усиленные")),IFERROR(IF(SEARCH("*под гильзу вход*",D86)=1,$E$27),IFERROR(IF(SEARCH("*под гильзу напор*",D86)=1,#REF!),IFERROR(IF(SEARCH("*трубы*",D86)=1,D$14),""))))</f>
        <v>Труба СК/НПС-К 3000-0,1-10000</v>
      </c>
      <c r="F86" s="212" t="str">
        <f t="array" ref="F86">IF(C86="","",IF(OR(C86=Списки!$AG$15:$AG$17),"нет","да"))</f>
        <v>нет</v>
      </c>
      <c r="G86" s="204"/>
      <c r="H86" s="766"/>
      <c r="I86" s="767">
        <f>($G$5/(200*6))*J14</f>
        <v>28.75</v>
      </c>
      <c r="J86" s="260">
        <f t="shared" ref="J86:J89" si="9">ROUNDUP(IF(H86="",I86,H86),1)</f>
        <v>28.8</v>
      </c>
      <c r="K86" s="178" t="s">
        <v>212</v>
      </c>
      <c r="L86" s="187"/>
      <c r="M86" s="188">
        <f>IFERROR(IF(L86&lt;&gt;"","",VLOOKUP(C86&amp;'Калькулятор КНС'!D86&amp;'Калькулятор КНС'!K86,НН!A:J,10,)),"")</f>
        <v>1207.8</v>
      </c>
      <c r="N86" s="202">
        <f t="shared" si="1"/>
        <v>34784.639999999999</v>
      </c>
      <c r="O86" s="167" t="s">
        <v>368</v>
      </c>
      <c r="P86" s="492"/>
    </row>
    <row r="87" spans="2:16" ht="36" outlineLevel="1">
      <c r="B87" s="179"/>
      <c r="C87" s="180" t="s">
        <v>72</v>
      </c>
      <c r="D87" s="180" t="s">
        <v>677</v>
      </c>
      <c r="E87" s="276" t="str">
        <f>E27</f>
        <v>Стеклокомпозитная гильза Ø500</v>
      </c>
      <c r="F87" s="212" t="str">
        <f t="array" ref="F87">IF(C87="","",IF(OR(C87=Списки!$AG$15:$AG$17),"нет","да"))</f>
        <v>нет</v>
      </c>
      <c r="G87" s="204"/>
      <c r="H87" s="766"/>
      <c r="I87" s="193">
        <f>(K8*3.14*0.5*K5)/1000</f>
        <v>0.78500000000000003</v>
      </c>
      <c r="J87" s="260">
        <f t="shared" si="9"/>
        <v>0.79999999999999993</v>
      </c>
      <c r="K87" s="178" t="s">
        <v>212</v>
      </c>
      <c r="L87" s="187"/>
      <c r="M87" s="188">
        <f>IFERROR(IF(L87&lt;&gt;"","",VLOOKUP(C87&amp;'Калькулятор КНС'!D87&amp;'Калькулятор КНС'!K87,НН!A:J,10,)),"")</f>
        <v>1207.8</v>
      </c>
      <c r="N87" s="202">
        <f t="shared" si="1"/>
        <v>966.2399999999999</v>
      </c>
      <c r="O87" s="167" t="s">
        <v>370</v>
      </c>
      <c r="P87" s="168"/>
    </row>
    <row r="88" spans="2:16" ht="36" outlineLevel="1">
      <c r="B88" s="179"/>
      <c r="C88" s="180" t="s">
        <v>72</v>
      </c>
      <c r="D88" s="180" t="s">
        <v>678</v>
      </c>
      <c r="E88" s="276" t="str">
        <f>E41</f>
        <v>Стеклокомпозитная гильза Ø250</v>
      </c>
      <c r="F88" s="212" t="str">
        <f t="array" ref="F88">IF(C88="","",IF(OR(C88=Списки!$AG$15:$AG$17),"нет","да"))</f>
        <v>нет</v>
      </c>
      <c r="G88" s="204"/>
      <c r="H88" s="766"/>
      <c r="I88" s="193">
        <f>(M8*3.14*0.5*M5)/1000</f>
        <v>0.78500000000000003</v>
      </c>
      <c r="J88" s="260">
        <f t="shared" si="9"/>
        <v>0.79999999999999993</v>
      </c>
      <c r="K88" s="178" t="s">
        <v>212</v>
      </c>
      <c r="L88" s="187"/>
      <c r="M88" s="188">
        <f>IFERROR(IF(L88&lt;&gt;"","",VLOOKUP(C88&amp;'Калькулятор КНС'!D88&amp;'Калькулятор КНС'!K88,НН!A:J,10,)),"")</f>
        <v>1207.8</v>
      </c>
      <c r="N88" s="202">
        <f t="shared" si="1"/>
        <v>966.2399999999999</v>
      </c>
      <c r="O88" s="167" t="s">
        <v>370</v>
      </c>
      <c r="P88" s="168"/>
    </row>
    <row r="89" spans="2:16" ht="15" outlineLevel="1">
      <c r="B89" s="179"/>
      <c r="C89" s="180" t="s">
        <v>72</v>
      </c>
      <c r="D89" s="180" t="s">
        <v>679</v>
      </c>
      <c r="E89" s="231">
        <v>100</v>
      </c>
      <c r="F89" s="212" t="str">
        <f t="array" ref="F89">IF(C89="","",IF(OR(C89=Списки!$AG$15:$AG$17),"нет","да"))</f>
        <v>нет</v>
      </c>
      <c r="G89" s="204"/>
      <c r="H89" s="766"/>
      <c r="I89" s="193">
        <f>(E89*3.14*0.5)/1000</f>
        <v>0.157</v>
      </c>
      <c r="J89" s="260">
        <f t="shared" si="9"/>
        <v>0.2</v>
      </c>
      <c r="K89" s="178" t="s">
        <v>212</v>
      </c>
      <c r="L89" s="187"/>
      <c r="M89" s="188">
        <f>IFERROR(IF(L89&lt;&gt;"","",VLOOKUP(C89&amp;'Калькулятор КНС'!D89&amp;'Калькулятор КНС'!K89,НН!A:J,10,)),"")</f>
        <v>1207.8</v>
      </c>
      <c r="N89" s="202">
        <f t="shared" si="1"/>
        <v>241.56</v>
      </c>
      <c r="O89" s="167" t="s">
        <v>1909</v>
      </c>
      <c r="P89" s="168"/>
    </row>
    <row r="90" spans="2:16" ht="15" outlineLevel="1">
      <c r="B90" s="179"/>
      <c r="C90" s="180" t="s">
        <v>72</v>
      </c>
      <c r="D90" s="180" t="s">
        <v>372</v>
      </c>
      <c r="E90" s="276"/>
      <c r="F90" s="212" t="str">
        <f t="array" ref="F90">IF(C90="","",IF(OR(C90=Списки!$AG$15:$AG$17),"нет","да"))</f>
        <v>нет</v>
      </c>
      <c r="G90" s="204"/>
      <c r="H90" s="766"/>
      <c r="I90" s="193">
        <f>ROUNDUP(0.5*J63,)</f>
        <v>2</v>
      </c>
      <c r="J90" s="260">
        <f>IF(C63="нет",0,ROUNDUP(IF(H90="",I90,H90),1))</f>
        <v>2</v>
      </c>
      <c r="K90" s="178" t="s">
        <v>212</v>
      </c>
      <c r="L90" s="187"/>
      <c r="M90" s="188">
        <f>IFERROR(IF(L90&lt;&gt;"","",VLOOKUP(C90&amp;'Калькулятор КНС'!D90&amp;'Калькулятор КНС'!K90,НН!A:J,10,)),"")</f>
        <v>1207.8</v>
      </c>
      <c r="N90" s="202">
        <f t="shared" si="1"/>
        <v>2415.6</v>
      </c>
      <c r="O90" s="167" t="s">
        <v>373</v>
      </c>
      <c r="P90" s="492"/>
    </row>
    <row r="91" spans="2:16" ht="15" outlineLevel="1">
      <c r="B91" s="179"/>
      <c r="C91" s="180" t="s">
        <v>72</v>
      </c>
      <c r="D91" s="180" t="s">
        <v>374</v>
      </c>
      <c r="E91" s="276"/>
      <c r="F91" s="212" t="str">
        <f t="array" ref="F91">IF(C91="","",IF(OR(C91=Списки!$AG$15:$AG$17),"нет","да"))</f>
        <v>нет</v>
      </c>
      <c r="G91" s="204"/>
      <c r="H91" s="766"/>
      <c r="I91" s="193">
        <f>ROUNDUP(0.5*J63,)</f>
        <v>2</v>
      </c>
      <c r="J91" s="260">
        <f>IF(C63="нет",0,ROUNDUP(IF(H91="",I91,H91),1))</f>
        <v>2</v>
      </c>
      <c r="K91" s="178" t="s">
        <v>212</v>
      </c>
      <c r="L91" s="226"/>
      <c r="M91" s="188">
        <f>IFERROR(IF(L91&lt;&gt;"","",VLOOKUP(C91&amp;'Калькулятор КНС'!D91&amp;'Калькулятор КНС'!K91,НН!A:J,10,)),"")</f>
        <v>1207.8</v>
      </c>
      <c r="N91" s="202">
        <f t="shared" si="1"/>
        <v>2415.6</v>
      </c>
      <c r="O91" s="167" t="s">
        <v>373</v>
      </c>
      <c r="P91" s="298"/>
    </row>
    <row r="92" spans="2:16" ht="24" outlineLevel="1">
      <c r="B92" s="179"/>
      <c r="C92" s="180" t="s">
        <v>72</v>
      </c>
      <c r="D92" s="241" t="s">
        <v>375</v>
      </c>
      <c r="E92" s="271"/>
      <c r="F92" s="212" t="str">
        <f t="array" ref="F92">IF(C92="","",IF(OR(C92=Списки!$AG$15:$AG$17),"нет","да"))</f>
        <v>нет</v>
      </c>
      <c r="G92" s="204"/>
      <c r="H92" s="766"/>
      <c r="I92" s="193">
        <f>J58*1+J59*1</f>
        <v>33.478096581920397</v>
      </c>
      <c r="J92" s="260">
        <f>ROUNDUP(IF(ОЛ_НАСОСНАЯ_СТАНЦИЯ!E72="нет",0,IF(H92="",I92,H92)),1)</f>
        <v>33.5</v>
      </c>
      <c r="K92" s="178" t="s">
        <v>212</v>
      </c>
      <c r="L92" s="187"/>
      <c r="M92" s="188">
        <f>IFERROR(IF(L92&lt;&gt;"","",VLOOKUP(C92&amp;'Калькулятор КНС'!D92&amp;'Калькулятор КНС'!K92,НН!A:J,10,)),"")</f>
        <v>1207.8</v>
      </c>
      <c r="N92" s="202">
        <f t="shared" si="1"/>
        <v>40461.299999999996</v>
      </c>
      <c r="O92" s="167" t="s">
        <v>376</v>
      </c>
      <c r="P92" s="167"/>
    </row>
    <row r="93" spans="2:16" ht="24" outlineLevel="1">
      <c r="B93" s="179"/>
      <c r="C93" s="180" t="s">
        <v>72</v>
      </c>
      <c r="D93" s="241" t="s">
        <v>680</v>
      </c>
      <c r="E93" s="271"/>
      <c r="F93" s="212" t="str">
        <f t="array" ref="F93">IF(C93="","",IF(OR(C93=Списки!$AG$15:$AG$17),"нет","да"))</f>
        <v>нет</v>
      </c>
      <c r="G93" s="204"/>
      <c r="H93" s="184"/>
      <c r="I93" s="193">
        <v>2</v>
      </c>
      <c r="J93" s="260">
        <f>ROUNDUP(IF(OR(ОЛ_НАСОСНАЯ_СТАНЦИЯ!$E$46=Списки!$H$2,ОЛ_НАСОСНАЯ_СТАНЦИЯ!$E$46=Списки!$H$5),0,IF(H93="",I93,H93)),1)</f>
        <v>0</v>
      </c>
      <c r="K93" s="178" t="s">
        <v>212</v>
      </c>
      <c r="L93" s="187"/>
      <c r="M93" s="188">
        <f>IFERROR(IF(L93&lt;&gt;"","",VLOOKUP(C93&amp;'Калькулятор КНС'!D93&amp;'Калькулятор КНС'!K93,НН!A:J,10,)),"")</f>
        <v>1207.8</v>
      </c>
      <c r="N93" s="468">
        <f t="shared" si="1"/>
        <v>0</v>
      </c>
      <c r="O93" s="167" t="s">
        <v>681</v>
      </c>
      <c r="P93" s="167"/>
    </row>
    <row r="94" spans="2:16" ht="15">
      <c r="B94" s="361"/>
      <c r="C94" s="306"/>
      <c r="D94" s="307" t="s">
        <v>377</v>
      </c>
      <c r="E94" s="362"/>
      <c r="F94" s="309"/>
      <c r="G94" s="310"/>
      <c r="H94" s="311"/>
      <c r="I94" s="363"/>
      <c r="J94" s="364"/>
      <c r="K94" s="314"/>
      <c r="L94" s="315"/>
      <c r="M94" s="316" t="str">
        <f t="array" aca="1" ref="M94" ca="1">IFERROR(IF(L94&lt;&gt;"","",IF((VLOOKUP(D94&amp;K94,INDIRECT("'"&amp;INDEX(Списки!$AG$2:$AG$17,MATCH(TRUE,COUNTIF(INDIRECT("'"&amp;Списки!$AG$2:$AG$17 &amp;"'!A1:A300000"),D94&amp;K94)&gt;0,0))&amp;"'!A:h"),7,0))=0,"",VLOOKUP(D94&amp;K94,INDIRECT("'"&amp;INDEX(Списки!$AG$2:$AG$17,MATCH(TRUE,COUNTIF(INDIRECT("'"&amp;Списки!$AG$2:$AG$17 &amp;"'!A1:A300000"),D94&amp;K94)&gt;0,0))&amp;"'!A:h"),7,0))),"")</f>
        <v/>
      </c>
      <c r="N94" s="317"/>
      <c r="O94" s="365"/>
      <c r="P94" s="298"/>
    </row>
    <row r="95" spans="2:16" ht="18">
      <c r="B95" s="318"/>
      <c r="C95" s="319"/>
      <c r="D95" s="320"/>
      <c r="E95" s="321" t="s">
        <v>378</v>
      </c>
      <c r="F95" s="322"/>
      <c r="G95" s="323">
        <f>SUM(G14:G94)</f>
        <v>11173.976800000002</v>
      </c>
      <c r="H95" s="320"/>
      <c r="I95" s="320"/>
      <c r="J95" s="324"/>
      <c r="K95" s="325"/>
      <c r="L95" s="326"/>
      <c r="M95" s="327" t="str">
        <f t="array" aca="1" ref="M95" ca="1">IFERROR(IF(L95&lt;&gt;"","",IF((VLOOKUP(D95&amp;K95,INDIRECT("'"&amp;INDEX(Списки!$AG$2:$AG$17,MATCH(TRUE,COUNTIF(INDIRECT("'"&amp;Списки!$AG$2:$AG$17 &amp;"'!A1:A300000"),D95&amp;K95)&gt;0,0))&amp;"'!A:h"),7,0))=0,"",VLOOKUP(D95&amp;K95,INDIRECT("'"&amp;INDEX(Списки!$AG$2:$AG$17,MATCH(TRUE,COUNTIF(INDIRECT("'"&amp;Списки!$AG$2:$AG$17 &amp;"'!A1:A300000"),D95&amp;K95)&gt;0,0))&amp;"'!A:h"),7,0))),"")</f>
        <v/>
      </c>
      <c r="N95" s="328">
        <f ca="1">IF($E$14=Списки!$AI$3,SUM($N$16:$N$94),SUM($N$14:$N$94))</f>
        <v>764920.63143908454</v>
      </c>
      <c r="O95" s="329"/>
      <c r="P95" s="330"/>
    </row>
    <row r="96" spans="2:16" ht="15.75">
      <c r="B96" s="318"/>
      <c r="C96" s="319"/>
      <c r="D96" s="332"/>
      <c r="E96" s="333" t="s">
        <v>379</v>
      </c>
      <c r="F96" s="334"/>
      <c r="G96" s="335"/>
      <c r="H96" s="336"/>
      <c r="I96" s="336"/>
      <c r="J96" s="337"/>
      <c r="K96" s="338"/>
      <c r="L96" s="339"/>
      <c r="M96" s="340" t="str">
        <f t="array" aca="1" ref="M96" ca="1">IFERROR(IF(L96&lt;&gt;"","",IF((VLOOKUP(D96&amp;K96,INDIRECT("'"&amp;INDEX(Списки!$AG$2:$AG$17,MATCH(TRUE,COUNTIF(INDIRECT("'"&amp;Списки!$AG$2:$AG$17 &amp;"'!A1:A300000"),D96&amp;K96)&gt;0,0))&amp;"'!A:h"),7,0))=0,"",VLOOKUP(D96&amp;K96,INDIRECT("'"&amp;INDEX(Списки!$AG$2:$AG$17,MATCH(TRUE,COUNTIF(INDIRECT("'"&amp;Списки!$AG$2:$AG$17 &amp;"'!A1:A300000"),D96&amp;K96)&gt;0,0))&amp;"'!A:h"),7,0))),"")</f>
        <v/>
      </c>
      <c r="N96" s="341">
        <f t="array" ref="N96">SUM(SUMIF($C$16:$C$94,Списки!$AG$2:$AG$14,$N$16:$N$94))</f>
        <v>33963.962036440302</v>
      </c>
      <c r="O96" s="379"/>
      <c r="P96" s="331"/>
    </row>
    <row r="97" spans="2:16" ht="22.5">
      <c r="B97" s="318"/>
      <c r="C97" s="319"/>
      <c r="D97" s="342"/>
      <c r="E97" s="343" t="s">
        <v>380</v>
      </c>
      <c r="F97" s="344"/>
      <c r="G97" s="345"/>
      <c r="H97" s="346"/>
      <c r="I97" s="347"/>
      <c r="J97" s="348"/>
      <c r="K97" s="349"/>
      <c r="L97" s="350"/>
      <c r="M97" s="351" t="str">
        <f t="array" aca="1" ref="M97" ca="1">IFERROR(IF(L97&lt;&gt;"","",IF((VLOOKUP(D97&amp;K97,INDIRECT("'"&amp;INDEX(Списки!$AG$2:$AG$17,MATCH(TRUE,COUNTIF(INDIRECT("'"&amp;Списки!$AG$2:$AG$17 &amp;"'!A1:A300000"),D97&amp;K97)&gt;0,0))&amp;"'!A:h"),7,0))=0,"",VLOOKUP(D97&amp;K97,INDIRECT("'"&amp;INDEX(Списки!$AG$2:$AG$17,MATCH(TRUE,COUNTIF(INDIRECT("'"&amp;Списки!$AG$2:$AG$17 &amp;"'!A1:A300000"),D97&amp;K97)&gt;0,0))&amp;"'!A:h"),7,0))),"")</f>
        <v/>
      </c>
      <c r="N97" s="352">
        <f>IF($E$14=Списки!$AI$3,SUMIFS(N16:N85,D16:D85,"муфта*",F16:F85,"нет")+SUMIFS(N16:N85,D16:D85,"Труба*",F16:F85,"нет"),N14+SUMIFS(N16:N85,D16:D85,"муфта*",F16:F85,"нет")+SUMIFS(N16:N85,D16:D85,"Труба*",F16:F85,"нет"))+SUMIFS(N16:N85,E16:E85,"муфта*",F16:F85,"нет")</f>
        <v>12</v>
      </c>
      <c r="O97" s="329"/>
      <c r="P97" s="273" t="s">
        <v>381</v>
      </c>
    </row>
    <row r="98" spans="2:16" ht="15.75">
      <c r="B98" s="318"/>
      <c r="C98" s="319"/>
      <c r="D98" s="380"/>
      <c r="E98" s="333" t="s">
        <v>382</v>
      </c>
      <c r="F98" s="334"/>
      <c r="G98" s="713"/>
      <c r="H98" s="336"/>
      <c r="I98" s="336"/>
      <c r="J98" s="354">
        <f>ROUNDUP(SUMIFS($J$14:$J$94,$K$14:$K$94,Списки!$S$5)-SUMIFS($J$14:$J$94,$K$14:$K$94,Списки!$S$5,$D$14:$D$94,"*изготов*"),1)</f>
        <v>433.90000000000003</v>
      </c>
      <c r="K98" s="338" t="s">
        <v>212</v>
      </c>
      <c r="L98" s="768"/>
      <c r="M98" s="769" t="str">
        <f t="array" aca="1" ref="M98" ca="1">IFERROR(IF(L98&lt;&gt;"","",IF((VLOOKUP(D98&amp;K98,INDIRECT("'"&amp;INDEX(Списки!$AG$2:$AG$17,MATCH(TRUE,COUNTIF(INDIRECT("'"&amp;Списки!$AG$2:$AG$17 &amp;"'!A1:A300000"),D98&amp;K98)&gt;0,0))&amp;"'!A:h"),7,0))=0,"",VLOOKUP(D98&amp;K98,INDIRECT("'"&amp;INDEX(Списки!$AG$2:$AG$17,MATCH(TRUE,COUNTIF(INDIRECT("'"&amp;Списки!$AG$2:$AG$17 &amp;"'!A1:A300000"),D98&amp;K98)&gt;0,0))&amp;"'!A:h"),7,0))),"")</f>
        <v/>
      </c>
      <c r="N98" s="715">
        <f>SUMIF($K$14:$K$94,Списки!$S$5,$N$14:$N$94)-SUMIFS($N$14:$N$94,$K$14:$K$94,Списки!$S$5,$D$14:$D$94,"*изготов*")</f>
        <v>523971.5123076922</v>
      </c>
      <c r="O98" s="214"/>
      <c r="P98" s="331"/>
    </row>
    <row r="99" spans="2:16" ht="15.75">
      <c r="B99" s="318"/>
      <c r="C99" s="319"/>
      <c r="D99" s="380"/>
      <c r="E99" s="333" t="s">
        <v>383</v>
      </c>
      <c r="F99" s="334"/>
      <c r="G99" s="713"/>
      <c r="H99" s="336"/>
      <c r="I99" s="336"/>
      <c r="J99" s="354">
        <f>ROUNDUP(SUMIFS($J$14:$J$94,$K$14:$K$94,Списки!$S$5,$D$14:$D$94,"*изготов*"),1)</f>
        <v>2</v>
      </c>
      <c r="K99" s="338" t="s">
        <v>212</v>
      </c>
      <c r="L99" s="768"/>
      <c r="M99" s="769"/>
      <c r="N99" s="715">
        <f>SUMIFS($N$14:$N$94,$K$14:$K$94,Списки!$S$5,$D$14:$D$94,"*изготов*")</f>
        <v>2415.6</v>
      </c>
      <c r="O99" s="379"/>
      <c r="P99" s="331"/>
    </row>
    <row r="100" spans="2:16" ht="15.75">
      <c r="B100" s="318"/>
      <c r="C100" s="319"/>
      <c r="D100" s="332"/>
      <c r="E100" s="333" t="s">
        <v>384</v>
      </c>
      <c r="F100" s="334"/>
      <c r="G100" s="335"/>
      <c r="H100" s="336"/>
      <c r="I100" s="336"/>
      <c r="J100" s="333">
        <f>SUMIFS($J$14:$J$94,$K$14:$K$94,Списки!$S$4)</f>
        <v>762.23125264219277</v>
      </c>
      <c r="K100" s="338" t="s">
        <v>193</v>
      </c>
      <c r="L100" s="339"/>
      <c r="M100" s="340" t="str">
        <f t="array" aca="1" ref="M100" ca="1">IF(D100="ФОТ",I100*#REF!,IFERROR(IF(L100&lt;&gt;"","",IF((VLOOKUP(D100&amp;K100,INDIRECT("'"&amp;INDEX(Списки!$AG$2:$AG$17,MATCH(TRUE,COUNTIF(INDIRECT("'"&amp;Списки!$AG$2:$AG$17 &amp;"'!A1:A300000"),D100&amp;K100)&gt;0,0))&amp;"'!A:h"),7,0))=0,"",VLOOKUP(D100&amp;K100,INDIRECT("'"&amp;INDEX(Списки!$AG$2:$AG$17,MATCH(TRUE,COUNTIF(INDIRECT("'"&amp;Списки!$AG$2:$AG$17 &amp;"'!A1:A300000"),D100&amp;K100)&gt;0,0))&amp;"'!A:h"),7,0))),""))</f>
        <v/>
      </c>
      <c r="N100" s="341">
        <f>SUMIF($K$16:$K$94,Списки!$S$4,$N$16:$N$94)</f>
        <v>204557.5570949518</v>
      </c>
      <c r="O100" s="379"/>
      <c r="P100" s="331"/>
    </row>
    <row r="101" spans="2:16" ht="15" outlineLevel="1">
      <c r="B101" s="179"/>
      <c r="C101" s="208"/>
      <c r="D101" s="278" t="s">
        <v>385</v>
      </c>
      <c r="E101" s="279"/>
      <c r="F101" s="280" t="str">
        <f t="array" ref="F101">IF(ISBLANK(C101),"",IF(OR(C101=Списки!$AG$15:$AG$17),"нет","да"))</f>
        <v/>
      </c>
      <c r="G101" s="216"/>
      <c r="H101" s="281"/>
      <c r="I101" s="261"/>
      <c r="J101" s="219"/>
      <c r="K101" s="220"/>
      <c r="L101" s="255"/>
      <c r="M101" s="256" t="str">
        <f t="array" aca="1" ref="M101" ca="1">IF(D101="ФОТ",I101*#REF!,IFERROR(IF(L101&lt;&gt;"","",IF((VLOOKUP(D101&amp;K101,INDIRECT("'"&amp;INDEX(Списки!$AG$2:$AG$17,MATCH(TRUE,COUNTIF(INDIRECT("'"&amp;Списки!$AG$2:$AG$17 &amp;"'!A1:A300000"),D101&amp;K101)&gt;0,0))&amp;"'!A:h"),7,0))=0,"",VLOOKUP(D101&amp;K101,INDIRECT("'"&amp;INDEX(Списки!$AG$2:$AG$17,MATCH(TRUE,COUNTIF(INDIRECT("'"&amp;Списки!$AG$2:$AG$17 &amp;"'!A1:A300000"),D101&amp;K101)&gt;0,0))&amp;"'!A:h"),7,0))),""))</f>
        <v/>
      </c>
      <c r="N101" s="356"/>
      <c r="O101" s="167"/>
      <c r="P101" s="168"/>
    </row>
    <row r="102" spans="2:16" ht="15" outlineLevel="1">
      <c r="B102" s="179"/>
      <c r="C102" s="208"/>
      <c r="D102" s="357" t="s">
        <v>386</v>
      </c>
      <c r="E102" s="279"/>
      <c r="F102" s="280"/>
      <c r="G102" s="216"/>
      <c r="H102" s="281"/>
      <c r="I102" s="261"/>
      <c r="J102" s="358">
        <v>1</v>
      </c>
      <c r="K102" s="178" t="s">
        <v>129</v>
      </c>
      <c r="L102" s="255"/>
      <c r="M102" s="256" t="str">
        <f t="array" aca="1" ref="M102" ca="1">IFERROR(IF(L102&lt;&gt;"","",IF((VLOOKUP(D102&amp;K102,INDIRECT("'"&amp;INDEX(Списки!$AG$2:$AG$17,MATCH(TRUE,COUNTIF(INDIRECT("'"&amp;Списки!$AG$2:$AG$17 &amp;"'!A1:A300000"),D102&amp;K102)&gt;0,0))&amp;"'!A:h"),7,0))=0,"",VLOOKUP(D102&amp;K102,INDIRECT("'"&amp;INDEX(Списки!$AG$2:$AG$17,MATCH(TRUE,COUNTIF(INDIRECT("'"&amp;Списки!$AG$2:$AG$17 &amp;"'!A1:A300000"),D102&amp;K102)&gt;0,0))&amp;"'!A:h"),7,0))),"")</f>
        <v/>
      </c>
      <c r="N102" s="356"/>
      <c r="O102" s="167"/>
      <c r="P102" s="168"/>
    </row>
    <row r="103" spans="2:16" ht="15" outlineLevel="1">
      <c r="B103" s="179"/>
      <c r="C103" s="180" t="s">
        <v>68</v>
      </c>
      <c r="D103" s="208" t="s">
        <v>387</v>
      </c>
      <c r="E103" s="287"/>
      <c r="F103" s="212" t="str">
        <f t="array" ref="F103">IF(C103="","",IF(OR(C103=Списки!$AG$15:$AG$17),"нет","да"))</f>
        <v>да</v>
      </c>
      <c r="G103" s="204">
        <f>0.68*J103</f>
        <v>6.8000000000000007</v>
      </c>
      <c r="H103" s="966"/>
      <c r="I103" s="193">
        <v>10</v>
      </c>
      <c r="J103" s="186">
        <f>IF(OR(ОЛ_НАСОСНАЯ_СТАНЦИЯ!$E$46=Списки!$H$3,ОЛ_НАСОСНАЯ_СТАНЦИЯ!$E$46=Списки!$H$5),0,IF(H103="",I103,H103))*J102</f>
        <v>10</v>
      </c>
      <c r="K103" s="178" t="s">
        <v>163</v>
      </c>
      <c r="L103" s="226"/>
      <c r="M103" s="188">
        <f>IFERROR(IF(L103&lt;&gt;"","",VLOOKUP(C103&amp;'Калькулятор КНС'!D103&amp;'Калькулятор КНС'!K103,НН!A:J,10,)),"")</f>
        <v>850</v>
      </c>
      <c r="N103" s="202">
        <f t="shared" ref="N103:N113" si="10">IFERROR(IF(L103="",M103*J103,J103*L103),"")</f>
        <v>8500</v>
      </c>
      <c r="O103" s="167"/>
      <c r="P103" s="168"/>
    </row>
    <row r="104" spans="2:16" ht="24" outlineLevel="1">
      <c r="B104" s="179"/>
      <c r="C104" s="180" t="s">
        <v>68</v>
      </c>
      <c r="D104" s="180" t="s">
        <v>388</v>
      </c>
      <c r="E104" s="287"/>
      <c r="F104" s="212" t="str">
        <f t="array" ref="F104">IF(C104="","",IF(OR(C104=Списки!$AG$15:$AG$17),"нет","да"))</f>
        <v>да</v>
      </c>
      <c r="G104" s="204"/>
      <c r="H104" s="184"/>
      <c r="I104" s="193">
        <f>IF(H104="",2,"")</f>
        <v>2</v>
      </c>
      <c r="J104" s="186">
        <f>IF(OR(ОЛ_НАСОСНАЯ_СТАНЦИЯ!$E$46=Списки!$H$3,ОЛ_НАСОСНАЯ_СТАНЦИЯ!$E$46=Списки!$H$5),0,IF(H104="",I104,H104))*J102</f>
        <v>2</v>
      </c>
      <c r="K104" s="178" t="s">
        <v>223</v>
      </c>
      <c r="L104" s="226"/>
      <c r="M104" s="188">
        <f>IFERROR(IF(L104&lt;&gt;"","",VLOOKUP(C104&amp;'Калькулятор КНС'!D104&amp;'Калькулятор КНС'!K104,НН!A:J,10,)),"")</f>
        <v>8750</v>
      </c>
      <c r="N104" s="202">
        <f t="shared" si="10"/>
        <v>17500</v>
      </c>
      <c r="O104" s="167"/>
      <c r="P104" s="168"/>
    </row>
    <row r="105" spans="2:16" ht="24" outlineLevel="1">
      <c r="B105" s="179"/>
      <c r="C105" s="180" t="s">
        <v>68</v>
      </c>
      <c r="D105" s="180" t="s">
        <v>389</v>
      </c>
      <c r="E105" s="287" t="str">
        <f>IFERROR(IF(SEARCH("*направляющ*",D105)=1,"2 шт. длиной "&amp;IF(I105="",#REF!,I105)&amp;"м"),"")</f>
        <v/>
      </c>
      <c r="F105" s="212" t="str">
        <f t="array" ref="F105">IF(C105="","",IF(OR(C105=Списки!$AG$15:$AG$17),"нет","да"))</f>
        <v>да</v>
      </c>
      <c r="G105" s="204">
        <f>3.11*J105</f>
        <v>62.199999999999996</v>
      </c>
      <c r="H105" s="184"/>
      <c r="I105" s="193">
        <f>IF(ОЛ_НАСОСНАЯ_СТАНЦИЯ!$E$46=Списки!$H$2,IF(H105="",ROUNDUP(2*(ОЛ_НАСОСНАЯ_СТАНЦИЯ!E41/1000),),""))</f>
        <v>20</v>
      </c>
      <c r="J105" s="186">
        <f>IF(OR(ОЛ_НАСОСНАЯ_СТАНЦИЯ!$E$46=Списки!$H$3,ОЛ_НАСОСНАЯ_СТАНЦИЯ!$E$46=Списки!$H$5),0,IF(H105="",I105,H105))*J102</f>
        <v>20</v>
      </c>
      <c r="K105" s="178" t="s">
        <v>163</v>
      </c>
      <c r="L105" s="226"/>
      <c r="M105" s="188">
        <f>IFERROR(IF(L105&lt;&gt;"","",VLOOKUP(C105&amp;'Калькулятор КНС'!D105&amp;'Калькулятор КНС'!K105,НН!A:J,10,)),"")</f>
        <v>3900</v>
      </c>
      <c r="N105" s="202">
        <f t="shared" si="10"/>
        <v>78000</v>
      </c>
      <c r="O105" s="167"/>
      <c r="P105" s="168"/>
    </row>
    <row r="106" spans="2:16" ht="17.25" customHeight="1" outlineLevel="1">
      <c r="B106" s="179"/>
      <c r="C106" s="180" t="s">
        <v>64</v>
      </c>
      <c r="D106" s="180" t="s">
        <v>682</v>
      </c>
      <c r="E106" s="287" t="str">
        <f>IFERROR(IF(SEARCH("*направляющ*",D106)=1,"2 шт. длиной "&amp;IF(I106="",#REF!,I106)&amp;"м"),"")</f>
        <v/>
      </c>
      <c r="F106" s="212" t="str">
        <f t="array" ref="F106">IF(C106="","",IF(OR(C106=Списки!$AG$15:$AG$17),"нет","да"))</f>
        <v>да</v>
      </c>
      <c r="G106" s="204"/>
      <c r="H106" s="184"/>
      <c r="I106" s="272">
        <f>I107</f>
        <v>11</v>
      </c>
      <c r="J106" s="234">
        <f>IF(OR(ОЛ_НАСОСНАЯ_СТАНЦИЯ!$E$46=Списки!$H$3,ОЛ_НАСОСНАЯ_СТАНЦИЯ!$E$46=Списки!$H$5),0,IF(H106="",I106,H106))*J102</f>
        <v>11</v>
      </c>
      <c r="K106" s="178" t="s">
        <v>129</v>
      </c>
      <c r="L106" s="965"/>
      <c r="M106" s="188" t="str">
        <f>IFERROR(IF(L106&lt;&gt;"","",VLOOKUP(C106&amp;'Калькулятор КНС'!D106&amp;'Калькулятор КНС'!K106,НН!A:J,10,)),"")</f>
        <v/>
      </c>
      <c r="N106" s="202" t="str">
        <f t="shared" si="10"/>
        <v/>
      </c>
      <c r="O106" s="167"/>
      <c r="P106" s="168"/>
    </row>
    <row r="107" spans="2:16" ht="24" outlineLevel="1">
      <c r="B107" s="179"/>
      <c r="C107" s="180" t="s">
        <v>64</v>
      </c>
      <c r="D107" s="208" t="s">
        <v>390</v>
      </c>
      <c r="E107" s="224" t="str">
        <f>"Для подъема и спуска корзины L= "&amp;ROUNDUP((ОЛ_НАСОСНАЯ_СТАНЦИЯ!E41/1000+1),0)&amp;" м"</f>
        <v>Для подъема и спуска корзины L= 11 м</v>
      </c>
      <c r="F107" s="212" t="str">
        <f t="array" ref="F107">IF(C107="","",IF(OR(C107=Списки!$AG$15:$AG$17),"нет","да"))</f>
        <v>да</v>
      </c>
      <c r="G107" s="204"/>
      <c r="H107" s="184"/>
      <c r="I107" s="213">
        <f>IF(H107="",ROUNDUP((ОЛ_НАСОСНАЯ_СТАНЦИЯ!E41/1000+1),),"")</f>
        <v>11</v>
      </c>
      <c r="J107" s="234">
        <f>IF(OR(ОЛ_НАСОСНАЯ_СТАНЦИЯ!$E$46=Списки!$H$3,ОЛ_НАСОСНАЯ_СТАНЦИЯ!$E$46=Списки!$H$5),0,IF(H107="",I107,H107))*J102</f>
        <v>11</v>
      </c>
      <c r="K107" s="178" t="s">
        <v>163</v>
      </c>
      <c r="L107" s="226"/>
      <c r="M107" s="188">
        <f>IFERROR(IF(L107&lt;&gt;"","",VLOOKUP(C107&amp;'Калькулятор КНС'!D107&amp;'Калькулятор КНС'!K107,НН!A:J,10,)),"")</f>
        <v>180</v>
      </c>
      <c r="N107" s="202">
        <f t="shared" si="10"/>
        <v>1980</v>
      </c>
      <c r="O107" s="670" t="s">
        <v>683</v>
      </c>
      <c r="P107" s="168"/>
    </row>
    <row r="108" spans="2:16" ht="15" outlineLevel="1">
      <c r="B108" s="179"/>
      <c r="C108" s="180" t="s">
        <v>64</v>
      </c>
      <c r="D108" s="241" t="s">
        <v>675</v>
      </c>
      <c r="E108" s="255"/>
      <c r="F108" s="212" t="str">
        <f t="array" ref="F108">IF(C108="","",IF(OR(C108=Списки!$AG$15:$AG$17),"нет","да"))</f>
        <v>да</v>
      </c>
      <c r="G108" s="204"/>
      <c r="H108" s="184"/>
      <c r="I108" s="213">
        <f>IF(H108="",ROUNDUP(I107,),"")</f>
        <v>11</v>
      </c>
      <c r="J108" s="234">
        <f>IF(OR(ОЛ_НАСОСНАЯ_СТАНЦИЯ!$E$46=Списки!$H$3,ОЛ_НАСОСНАЯ_СТАНЦИЯ!$E$46=Списки!$H$5),0,I108)*J102</f>
        <v>11</v>
      </c>
      <c r="K108" s="178" t="s">
        <v>129</v>
      </c>
      <c r="L108" s="226"/>
      <c r="M108" s="188">
        <f>IFERROR(IF(L108&lt;&gt;"","",VLOOKUP(C108&amp;'Калькулятор КНС'!D108&amp;'Калькулятор КНС'!K108,НН!A:J,10,)),"")</f>
        <v>150</v>
      </c>
      <c r="N108" s="202">
        <f t="shared" si="10"/>
        <v>1650</v>
      </c>
      <c r="O108" s="167"/>
      <c r="P108" s="168"/>
    </row>
    <row r="109" spans="2:16" ht="15" outlineLevel="1">
      <c r="B109" s="179"/>
      <c r="C109" s="180"/>
      <c r="D109" s="278" t="s">
        <v>391</v>
      </c>
      <c r="E109" s="229"/>
      <c r="F109" s="293" t="str">
        <f t="array" ref="F109">IF(ISBLANK(C109),"",IF(OR(C109=Списки!$AG$15:$AG$17),"нет","да"))</f>
        <v/>
      </c>
      <c r="G109" s="216"/>
      <c r="H109" s="230"/>
      <c r="I109" s="261"/>
      <c r="J109" s="219"/>
      <c r="K109" s="220"/>
      <c r="L109" s="255"/>
      <c r="M109" s="256" t="str">
        <f>IFERROR(IF(L109&lt;&gt;"","",VLOOKUP(C109&amp;'Калькулятор КНС'!D109&amp;'Калькулятор КНС'!K109,НН!A:J,10,)),"")</f>
        <v/>
      </c>
      <c r="N109" s="202"/>
      <c r="O109" s="167"/>
      <c r="P109" s="168"/>
    </row>
    <row r="110" spans="2:16" ht="15" outlineLevel="1">
      <c r="B110" s="179"/>
      <c r="C110" s="180" t="s">
        <v>72</v>
      </c>
      <c r="D110" s="180" t="s">
        <v>392</v>
      </c>
      <c r="E110" s="359"/>
      <c r="F110" s="212" t="str">
        <f t="array" ref="F110">IF(C110="","",IF(OR(C110=Списки!$AG$15:$AG$17),"нет","да"))</f>
        <v>нет</v>
      </c>
      <c r="G110" s="204"/>
      <c r="H110" s="184"/>
      <c r="I110" s="193">
        <f>IF(G5&lt;2500,6,7)*J102</f>
        <v>7</v>
      </c>
      <c r="J110" s="194">
        <f>ROUNDUP(IF(OR(ОЛ_НАСОСНАЯ_СТАНЦИЯ!$E$46=Списки!$H$3,ОЛ_НАСОСНАЯ_СТАНЦИЯ!$E$46=Списки!$H$5),0,IF(H110="",I110,H110)),1)</f>
        <v>7</v>
      </c>
      <c r="K110" s="178" t="s">
        <v>212</v>
      </c>
      <c r="L110" s="187"/>
      <c r="M110" s="188">
        <f>IFERROR(IF(L110&lt;&gt;"","",VLOOKUP(C110&amp;'Калькулятор КНС'!D110&amp;'Калькулятор КНС'!K110,НН!A:J,10,)),"")</f>
        <v>1207.8</v>
      </c>
      <c r="N110" s="202">
        <f t="shared" si="10"/>
        <v>8454.6</v>
      </c>
      <c r="O110" s="167"/>
      <c r="P110" s="168"/>
    </row>
    <row r="111" spans="2:16" ht="15" outlineLevel="1">
      <c r="B111" s="179"/>
      <c r="C111" s="180" t="s">
        <v>72</v>
      </c>
      <c r="D111" s="180" t="s">
        <v>393</v>
      </c>
      <c r="E111" s="359"/>
      <c r="F111" s="212" t="str">
        <f t="array" ref="F111">IF(C111="","",IF(OR(C111=Списки!$AG$15:$AG$17),"нет","да"))</f>
        <v>нет</v>
      </c>
      <c r="G111" s="204"/>
      <c r="H111" s="184"/>
      <c r="I111" s="193">
        <f>IF(G5&lt;2500,5,6)*J102</f>
        <v>6</v>
      </c>
      <c r="J111" s="194">
        <f>ROUNDUP(IF(OR(ОЛ_НАСОСНАЯ_СТАНЦИЯ!$E$46=Списки!$H$3,ОЛ_НАСОСНАЯ_СТАНЦИЯ!$E$46=Списки!$H$5),0,IF(H111="",I111,H111)),1)</f>
        <v>6</v>
      </c>
      <c r="K111" s="178" t="s">
        <v>212</v>
      </c>
      <c r="L111" s="187"/>
      <c r="M111" s="188">
        <f>IFERROR(IF(L111&lt;&gt;"","",VLOOKUP(C111&amp;'Калькулятор КНС'!D111&amp;'Калькулятор КНС'!K111,НН!A:J,10,)),"")</f>
        <v>1207.8</v>
      </c>
      <c r="N111" s="202">
        <f t="shared" si="10"/>
        <v>7246.7999999999993</v>
      </c>
      <c r="O111" s="167"/>
      <c r="P111" s="168"/>
    </row>
    <row r="112" spans="2:16" ht="24" outlineLevel="1">
      <c r="B112" s="360"/>
      <c r="C112" s="180" t="s">
        <v>72</v>
      </c>
      <c r="D112" s="180" t="s">
        <v>394</v>
      </c>
      <c r="E112" s="359"/>
      <c r="F112" s="212" t="str">
        <f t="array" ref="F112">IF(C112="","",IF(OR(C112=Списки!$AG$15:$AG$17),"нет","да"))</f>
        <v>нет</v>
      </c>
      <c r="G112" s="204"/>
      <c r="H112" s="184"/>
      <c r="I112" s="193">
        <f>2*J102</f>
        <v>2</v>
      </c>
      <c r="J112" s="194">
        <f>ROUNDUP(IF(OR(ОЛ_НАСОСНАЯ_СТАНЦИЯ!$E$46=Списки!$H$3,ОЛ_НАСОСНАЯ_СТАНЦИЯ!$E$46=Списки!$H$5),0,IF(H112="",I112,H112)),1)</f>
        <v>2</v>
      </c>
      <c r="K112" s="178" t="s">
        <v>212</v>
      </c>
      <c r="L112" s="187"/>
      <c r="M112" s="188">
        <f>IFERROR(IF(L112&lt;&gt;"","",VLOOKUP(C112&amp;'Калькулятор КНС'!D112&amp;'Калькулятор КНС'!K112,НН!A:J,10,)),"")</f>
        <v>1207.8</v>
      </c>
      <c r="N112" s="202">
        <f t="shared" si="10"/>
        <v>2415.6</v>
      </c>
      <c r="O112" s="167" t="s">
        <v>395</v>
      </c>
      <c r="P112" s="168"/>
    </row>
    <row r="113" spans="2:16" ht="15" outlineLevel="1">
      <c r="B113" s="360"/>
      <c r="C113" s="180" t="s">
        <v>72</v>
      </c>
      <c r="D113" s="180" t="s">
        <v>396</v>
      </c>
      <c r="E113" s="359"/>
      <c r="F113" s="212" t="str">
        <f t="array" ref="F113">IF(C113="","",IF(OR(C113=Списки!$AG$15:$AG$17),"нет","да"))</f>
        <v>нет</v>
      </c>
      <c r="G113" s="204"/>
      <c r="H113" s="184"/>
      <c r="I113" s="193">
        <f>2*J102</f>
        <v>2</v>
      </c>
      <c r="J113" s="194">
        <f>ROUNDUP(IF(OR(ОЛ_НАСОСНАЯ_СТАНЦИЯ!$E$46=Списки!$H$3,ОЛ_НАСОСНАЯ_СТАНЦИЯ!$E$46=Списки!$H$5),0,IF(H113="",I113,H113)),1)</f>
        <v>2</v>
      </c>
      <c r="K113" s="178" t="s">
        <v>212</v>
      </c>
      <c r="L113" s="187"/>
      <c r="M113" s="188">
        <f>IFERROR(IF(L113&lt;&gt;"","",VLOOKUP(C113&amp;'Калькулятор КНС'!D113&amp;'Калькулятор КНС'!K113,НН!A:J,10,)),"")</f>
        <v>1207.8</v>
      </c>
      <c r="N113" s="202">
        <f t="shared" si="10"/>
        <v>2415.6</v>
      </c>
      <c r="O113" s="167"/>
      <c r="P113" s="168"/>
    </row>
    <row r="114" spans="2:16" ht="15" outlineLevel="1">
      <c r="B114" s="361"/>
      <c r="C114" s="306"/>
      <c r="D114" s="307" t="s">
        <v>377</v>
      </c>
      <c r="E114" s="362"/>
      <c r="F114" s="309"/>
      <c r="G114" s="310"/>
      <c r="H114" s="311"/>
      <c r="I114" s="363"/>
      <c r="J114" s="364"/>
      <c r="K114" s="314"/>
      <c r="L114" s="315"/>
      <c r="M114" s="316" t="str">
        <f t="array" aca="1" ref="M114" ca="1">IFERROR(IF(L114&lt;&gt;"","",IF((VLOOKUP(D114&amp;K114,INDIRECT("'"&amp;INDEX(Списки!$AG$2:$AG$17,MATCH(TRUE,COUNTIF(INDIRECT("'"&amp;Списки!$AG$2:$AG$17 &amp;"'!A1:A300000"),D114&amp;K114)&gt;0,0))&amp;"'!A:h"),7,0))=0,"",VLOOKUP(D114&amp;K114,INDIRECT("'"&amp;INDEX(Списки!$AG$2:$AG$17,MATCH(TRUE,COUNTIF(INDIRECT("'"&amp;Списки!$AG$2:$AG$17 &amp;"'!A1:A300000"),D114&amp;K114)&gt;0,0))&amp;"'!A:h"),7,0))),"")</f>
        <v/>
      </c>
      <c r="N114" s="317"/>
      <c r="O114" s="365"/>
      <c r="P114" s="298"/>
    </row>
    <row r="115" spans="2:16" ht="18" outlineLevel="1">
      <c r="B115" s="318"/>
      <c r="C115" s="319"/>
      <c r="D115" s="320"/>
      <c r="E115" s="366" t="s">
        <v>397</v>
      </c>
      <c r="F115" s="322"/>
      <c r="G115" s="367">
        <f>SUM(G103:G114)</f>
        <v>69</v>
      </c>
      <c r="H115" s="320"/>
      <c r="I115" s="320"/>
      <c r="J115" s="368"/>
      <c r="K115" s="368"/>
      <c r="L115" s="369"/>
      <c r="M115" s="370" t="str">
        <f t="array" aca="1" ref="M115" ca="1">IFERROR(IF(L115&lt;&gt;"","",IF((VLOOKUP(D115&amp;K115,INDIRECT("'"&amp;INDEX(Списки!$AG$2:$AG$17,MATCH(TRUE,COUNTIF(INDIRECT("'"&amp;Списки!$AG$2:$AG$17 &amp;"'!A1:A300000"),D115&amp;K115)&gt;0,0))&amp;"'!A:h"),7,0))=0,"",VLOOKUP(D115&amp;K115,INDIRECT("'"&amp;INDEX(Списки!$AG$2:$AG$17,MATCH(TRUE,COUNTIF(INDIRECT("'"&amp;Списки!$AG$2:$AG$17 &amp;"'!A1:A300000"),D115&amp;K115)&gt;0,0))&amp;"'!A:h"),7,0))),"")</f>
        <v/>
      </c>
      <c r="N115" s="328">
        <f>IF(OR(ОЛ_НАСОСНАЯ_СТАНЦИЯ!$E$46=Списки!$H$3,ОЛ_НАСОСНАЯ_СТАНЦИЯ!$E$46=Списки!$H$5),0,SUM(N103:N114))</f>
        <v>128162.60000000002</v>
      </c>
      <c r="O115" s="371"/>
      <c r="P115" s="331"/>
    </row>
    <row r="116" spans="2:16" ht="15.75" outlineLevel="1">
      <c r="B116" s="318"/>
      <c r="C116" s="319"/>
      <c r="D116" s="320"/>
      <c r="E116" s="333" t="s">
        <v>379</v>
      </c>
      <c r="F116" s="372"/>
      <c r="G116" s="373"/>
      <c r="H116" s="374"/>
      <c r="I116" s="374"/>
      <c r="J116" s="375"/>
      <c r="K116" s="376"/>
      <c r="L116" s="377"/>
      <c r="M116" s="378"/>
      <c r="N116" s="341">
        <f t="array" ref="N116">IF(OR(ОЛ_НАСОСНАЯ_СТАНЦИЯ!$E$46=Списки!$H$3,ОЛ_НАСОСНАЯ_СТАНЦИЯ!$E$46=Списки!$H$5),0,SUM(SUMIF(C103:C114,Списки!$AG$2:$AG$14,N103:N114)))</f>
        <v>107630</v>
      </c>
      <c r="O116" s="379"/>
      <c r="P116" s="331"/>
    </row>
    <row r="117" spans="2:16" ht="15.75" outlineLevel="1">
      <c r="B117" s="318"/>
      <c r="C117" s="319"/>
      <c r="D117" s="380"/>
      <c r="E117" s="333" t="s">
        <v>382</v>
      </c>
      <c r="F117" s="372"/>
      <c r="G117" s="381"/>
      <c r="H117" s="374"/>
      <c r="I117" s="374"/>
      <c r="J117" s="382">
        <f>ROUNDUP(SUMIFS($J$103:$J$114,$K$103:$K$114,Списки!$S$5)-SUMIFS($J$103:$J$114,$K$103:$K$114,Списки!$S$5,$D$103:$D$114,"*изготов*"),1)</f>
        <v>8</v>
      </c>
      <c r="K117" s="376" t="s">
        <v>212</v>
      </c>
      <c r="L117" s="383"/>
      <c r="M117" s="384" t="str">
        <f t="array" aca="1" ref="M117" ca="1">IFERROR(IF(L117&lt;&gt;"","",IF((VLOOKUP(D117&amp;K117,INDIRECT("'"&amp;INDEX(Списки!$AG$2:$AG$17,MATCH(TRUE,COUNTIF(INDIRECT("'"&amp;Списки!$AG$2:$AG$17 &amp;"'!A1:A300000"),D117&amp;K117)&gt;0,0))&amp;"'!A:h"),7,0))=0,"",VLOOKUP(D117&amp;K117,INDIRECT("'"&amp;INDEX(Списки!$AG$2:$AG$17,MATCH(TRUE,COUNTIF(INDIRECT("'"&amp;Списки!$AG$2:$AG$17 &amp;"'!A1:A300000"),D117&amp;K117)&gt;0,0))&amp;"'!A:h"),7,0))),"")</f>
        <v/>
      </c>
      <c r="N117" s="385">
        <f>SUMIF($K$103:$K$114,Списки!$S$5,$N$103:$N$114)-SUMIFS($N$103:$N$114,$K$103:$K$114,Списки!$S$5,$D$103:$D$114,"*изготов*")</f>
        <v>9662.3999999999978</v>
      </c>
      <c r="O117" s="379"/>
      <c r="P117" s="331"/>
    </row>
    <row r="118" spans="2:16" ht="15.75" outlineLevel="1">
      <c r="B118" s="318"/>
      <c r="C118" s="319"/>
      <c r="D118" s="380"/>
      <c r="E118" s="333" t="s">
        <v>383</v>
      </c>
      <c r="F118" s="372"/>
      <c r="G118" s="381"/>
      <c r="H118" s="374"/>
      <c r="I118" s="374"/>
      <c r="J118" s="382">
        <f>ROUNDUP(SUMIFS($J$103:$J$114,$K$103:$K$114,Списки!$S$5,$D$103:$D$114,"*изготов*"),1)</f>
        <v>9</v>
      </c>
      <c r="K118" s="376" t="s">
        <v>212</v>
      </c>
      <c r="L118" s="383"/>
      <c r="M118" s="384" t="str">
        <f t="array" aca="1" ref="M118" ca="1">IFERROR(IF(L118&lt;&gt;"","",IF((VLOOKUP(D118&amp;K118,INDIRECT("'"&amp;INDEX(Списки!$AG$2:$AG$17,MATCH(TRUE,COUNTIF(INDIRECT("'"&amp;Списки!$AG$2:$AG$17 &amp;"'!A1:A300000"),D118&amp;K118)&gt;0,0))&amp;"'!A:h"),7,0))=0,"",VLOOKUP(D118&amp;K118,INDIRECT("'"&amp;INDEX(Списки!$AG$2:$AG$17,MATCH(TRUE,COUNTIF(INDIRECT("'"&amp;Списки!$AG$2:$AG$17 &amp;"'!A1:A300000"),D118&amp;K118)&gt;0,0))&amp;"'!A:h"),7,0))),"")</f>
        <v/>
      </c>
      <c r="N118" s="385">
        <f>SUMIFS($N$103:$N$114,$K$103:$K$114,Списки!$S$5,$D$103:$D$114,"*изготов*")</f>
        <v>10870.2</v>
      </c>
      <c r="O118" s="379"/>
      <c r="P118" s="331"/>
    </row>
    <row r="119" spans="2:16" ht="21" customHeight="1">
      <c r="B119" s="386">
        <v>2</v>
      </c>
      <c r="C119" s="683" t="s">
        <v>115</v>
      </c>
      <c r="D119" s="388" t="s">
        <v>262</v>
      </c>
      <c r="E119" s="389"/>
      <c r="F119" s="390" t="str">
        <f t="array" ref="F119">IF(ISBLANK(C119),"",IF(OR(C119=Списки!$AG$15:$AG$17),"нет","да"))</f>
        <v>да</v>
      </c>
      <c r="G119" s="391"/>
      <c r="H119" s="389"/>
      <c r="I119" s="392"/>
      <c r="J119" s="392"/>
      <c r="K119" s="393"/>
      <c r="L119" s="394"/>
      <c r="M119" s="395" t="str">
        <f t="array" aca="1" ref="M119" ca="1">IFERROR(IF(L119&lt;&gt;"","",IF((VLOOKUP(D119&amp;K119,INDIRECT("'"&amp;INDEX(Списки!$AG$2:$AG$17,MATCH(TRUE,COUNTIF(INDIRECT("'"&amp;Списки!$AG$2:$AG$17 &amp;"'!A1:A300000"),D119&amp;K119)&gt;0,0))&amp;"'!A:h"),7,0))=0,"",VLOOKUP(D119&amp;K119,INDIRECT("'"&amp;INDEX(Списки!$AG$2:$AG$17,MATCH(TRUE,COUNTIF(INDIRECT("'"&amp;Списки!$AG$2:$AG$17 &amp;"'!A1:A300000"),D119&amp;K119)&gt;0,0))&amp;"'!A:h"),7,0))),"")</f>
        <v/>
      </c>
      <c r="N119" s="390"/>
      <c r="O119" s="167"/>
      <c r="P119" s="168"/>
    </row>
    <row r="120" spans="2:16" ht="15" outlineLevel="1">
      <c r="B120" s="169" t="s">
        <v>398</v>
      </c>
      <c r="C120" s="290"/>
      <c r="D120" s="291" t="s">
        <v>399</v>
      </c>
      <c r="E120" s="292"/>
      <c r="F120" s="293" t="str">
        <f t="array" ref="F120">IF(ISBLANK(C120),"",IF(OR(C120=Списки!$AG$15:$AG$17),"нет","да"))</f>
        <v/>
      </c>
      <c r="G120" s="216"/>
      <c r="H120" s="230"/>
      <c r="I120" s="294"/>
      <c r="J120" s="219"/>
      <c r="K120" s="220"/>
      <c r="L120" s="255"/>
      <c r="M120" s="256" t="str">
        <f t="array" aca="1" ref="M120" ca="1">IFERROR(IF(L120&lt;&gt;"","",IF((VLOOKUP(D120&amp;K120,INDIRECT("'"&amp;INDEX(Списки!$AG$2:$AG$17,MATCH(TRUE,COUNTIF(INDIRECT("'"&amp;Списки!$AG$2:$AG$17 &amp;"'!A1:A300000"),D120&amp;K120)&gt;0,0))&amp;"'!A:h"),7,0))=0,"",VLOOKUP(D120&amp;K120,INDIRECT("'"&amp;INDEX(Списки!$AG$2:$AG$17,MATCH(TRUE,COUNTIF(INDIRECT("'"&amp;Списки!$AG$2:$AG$17 &amp;"'!A1:A300000"),D120&amp;K120)&gt;0,0))&amp;"'!A:h"),7,0))),"")</f>
        <v/>
      </c>
      <c r="N120" s="356"/>
      <c r="O120" s="167"/>
      <c r="P120" s="168"/>
    </row>
    <row r="121" spans="2:16" ht="15" outlineLevel="1">
      <c r="B121" s="1096"/>
      <c r="C121" s="683" t="s">
        <v>700</v>
      </c>
      <c r="D121" s="291"/>
      <c r="E121" s="292"/>
      <c r="F121" s="293"/>
      <c r="G121" s="216"/>
      <c r="H121" s="230"/>
      <c r="I121" s="294"/>
      <c r="J121" s="219"/>
      <c r="K121" s="220"/>
      <c r="L121" s="423"/>
      <c r="M121" s="424"/>
      <c r="N121" s="425"/>
      <c r="O121" s="167"/>
      <c r="P121" s="168"/>
    </row>
    <row r="122" spans="2:16" ht="15" outlineLevel="2">
      <c r="B122" s="169"/>
      <c r="C122" s="290"/>
      <c r="D122" s="180" t="s">
        <v>400</v>
      </c>
      <c r="E122" s="1093"/>
      <c r="F122" s="1418" t="str">
        <f t="array" ref="F122">IF(ISBLANK(C122),"",IF(OR(C122=Списки!$AG$15:$AG$17),"нет","да"))</f>
        <v/>
      </c>
      <c r="G122" s="1419"/>
      <c r="H122" s="770">
        <f>ОЛ_НАСОСНАЯ_СТАНЦИЯ!E41/1000</f>
        <v>9.91</v>
      </c>
      <c r="I122" s="178" t="s">
        <v>163</v>
      </c>
      <c r="J122" s="1358" t="str">
        <f t="array" aca="1" ref="J122" ca="1">IFERROR(IF(L122&lt;&gt;"","",IF((VLOOKUP(D122&amp;I122,INDIRECT("'"&amp;INDEX(Списки!$AG$2:$AG$17,MATCH(TRUE,COUNTIF(INDIRECT("'"&amp;Списки!$AG$2:$AG$17 &amp;"'!A1:A300000"),D122&amp;I122)&gt;0,0))&amp;"'!A:h"),7,0))=0,"",VLOOKUP(D122&amp;I122,INDIRECT("'"&amp;INDEX(Списки!$AG$2:$AG$17,MATCH(TRUE,COUNTIF(INDIRECT("'"&amp;Списки!$AG$2:$AG$17 &amp;"'!A1:A300000"),D122&amp;I122)&gt;0,0))&amp;"'!A:h"),7,0))),"")</f>
        <v/>
      </c>
      <c r="K122" s="1359"/>
      <c r="L122" s="1359"/>
      <c r="M122" s="1359"/>
      <c r="N122" s="1360"/>
      <c r="O122" s="167"/>
      <c r="P122" s="168"/>
    </row>
    <row r="123" spans="2:16" ht="15" outlineLevel="2">
      <c r="B123" s="169"/>
      <c r="C123" s="290"/>
      <c r="D123" s="180" t="s">
        <v>401</v>
      </c>
      <c r="E123" s="1093"/>
      <c r="F123" s="1420"/>
      <c r="G123" s="1421"/>
      <c r="H123" s="1026">
        <f>J14-H122</f>
        <v>1.5899999999999999</v>
      </c>
      <c r="I123" s="178" t="s">
        <v>163</v>
      </c>
      <c r="J123" s="1364"/>
      <c r="K123" s="1365"/>
      <c r="L123" s="1365"/>
      <c r="M123" s="1365"/>
      <c r="N123" s="1366"/>
      <c r="O123" s="167"/>
      <c r="P123" s="168"/>
    </row>
    <row r="124" spans="2:16" ht="15" outlineLevel="2">
      <c r="B124" s="179"/>
      <c r="C124" s="208" t="s">
        <v>68</v>
      </c>
      <c r="D124" s="180" t="s">
        <v>402</v>
      </c>
      <c r="E124" s="396"/>
      <c r="F124" s="212" t="str">
        <f t="array" ref="F124">IF(C124="","",IF(OR(C124=Списки!$AG$15:$AG$17),"нет","да"))</f>
        <v>да</v>
      </c>
      <c r="G124" s="1294">
        <f>1.5*I124</f>
        <v>34.5</v>
      </c>
      <c r="H124" s="966"/>
      <c r="I124" s="225">
        <f>IF(H124="",(H122+H123)*2,H124)</f>
        <v>23</v>
      </c>
      <c r="J124" s="186">
        <f>IF(C119="нет",0,IF(ISBLANK(D124),"",IF(H124="",I124,H124)))</f>
        <v>23</v>
      </c>
      <c r="K124" s="178" t="s">
        <v>163</v>
      </c>
      <c r="L124" s="965"/>
      <c r="M124" s="188">
        <f>IF(C121="Алюминиевая",0,IFERROR(IF(L124&lt;&gt;"","",VLOOKUP(C124&amp;'Калькулятор КНС'!D124&amp;'Калькулятор КНС'!K124,НН!A:J,10,)),""))</f>
        <v>1000</v>
      </c>
      <c r="N124" s="202">
        <f t="shared" ref="N124:N130" si="11">IFERROR(IF(L124="",M124*J124,J124*L124),"")</f>
        <v>23000</v>
      </c>
      <c r="O124" s="167"/>
      <c r="P124" s="168"/>
    </row>
    <row r="125" spans="2:16" ht="15" outlineLevel="2">
      <c r="B125" s="179"/>
      <c r="C125" s="208" t="s">
        <v>68</v>
      </c>
      <c r="D125" s="180" t="s">
        <v>403</v>
      </c>
      <c r="E125" s="255"/>
      <c r="F125" s="212" t="str">
        <f t="array" ref="F125">IF(C125="","",IF(OR(C125=Списки!$AG$15:$AG$17),"нет","да"))</f>
        <v>да</v>
      </c>
      <c r="G125" s="1294">
        <f t="shared" ref="G125" si="12">1.142*J125</f>
        <v>16.510057142857143</v>
      </c>
      <c r="H125" s="966"/>
      <c r="I125" s="225">
        <f>IF(H125="",IF(H125="",(H122+H123)*0.44/0.35,H125),"")</f>
        <v>14.457142857142857</v>
      </c>
      <c r="J125" s="186">
        <f>IF(C119="нет",0,IF(ISBLANK(D125),"",IF(H125="",I125,H125)))</f>
        <v>14.457142857142857</v>
      </c>
      <c r="K125" s="178" t="s">
        <v>163</v>
      </c>
      <c r="L125" s="965"/>
      <c r="M125" s="188">
        <f>IF(C121="Алюминиевая",0,IFERROR(IF(L125&lt;&gt;"","",VLOOKUP(C125&amp;'Калькулятор КНС'!D125&amp;'Калькулятор КНС'!K125,НН!A:J,10,)),""))</f>
        <v>1000</v>
      </c>
      <c r="N125" s="202">
        <f t="shared" si="11"/>
        <v>14457.142857142857</v>
      </c>
      <c r="O125" s="167"/>
      <c r="P125" s="168"/>
    </row>
    <row r="126" spans="2:16" ht="15" outlineLevel="1">
      <c r="B126" s="957"/>
      <c r="C126" s="208"/>
      <c r="D126" s="180"/>
      <c r="E126" s="255"/>
      <c r="F126" s="1022"/>
      <c r="G126" s="1290"/>
      <c r="H126" s="966"/>
      <c r="I126" s="225"/>
      <c r="J126" s="1291"/>
      <c r="K126" s="1007"/>
      <c r="L126" s="1024"/>
      <c r="M126" s="1011"/>
      <c r="N126" s="202"/>
      <c r="O126" s="167"/>
      <c r="P126" s="168"/>
    </row>
    <row r="127" spans="2:16" ht="24" outlineLevel="1">
      <c r="B127" s="957"/>
      <c r="C127" s="208" t="s">
        <v>71</v>
      </c>
      <c r="D127" s="180" t="s">
        <v>684</v>
      </c>
      <c r="E127" s="255"/>
      <c r="F127" s="212" t="str">
        <f t="array" ref="F127">IF(C127="","",IF(OR(C127=Списки!$AG$15:$AG$17),"нет","да"))</f>
        <v>да</v>
      </c>
      <c r="G127" s="236">
        <f>1.5*H127</f>
        <v>4.5</v>
      </c>
      <c r="H127" s="966">
        <v>3</v>
      </c>
      <c r="I127" s="225"/>
      <c r="J127" s="186">
        <f>IF(C119="нет",0,IF(ISBLANK(D127),"",IF(H127="",I127,H127)))</f>
        <v>3</v>
      </c>
      <c r="K127" s="178" t="s">
        <v>129</v>
      </c>
      <c r="L127" s="965"/>
      <c r="M127" s="188">
        <f>IF(C121="Нержавеющая сталь",0,IFERROR(IF(L127&lt;&gt;"","",VLOOKUP(C127&amp;'Калькулятор КНС'!D127&amp;'Калькулятор КНС'!K127,НН!A:J,10,)),""))</f>
        <v>0</v>
      </c>
      <c r="N127" s="202">
        <f t="shared" ref="N127" si="13">IFERROR(IF(L127="",M127*J127,J127*L127),"")</f>
        <v>0</v>
      </c>
      <c r="O127" s="167"/>
      <c r="P127" s="168"/>
    </row>
    <row r="128" spans="2:16" ht="15" outlineLevel="1">
      <c r="B128" s="169" t="s">
        <v>404</v>
      </c>
      <c r="C128" s="290"/>
      <c r="D128" s="291" t="s">
        <v>405</v>
      </c>
      <c r="E128" s="292"/>
      <c r="F128" s="293"/>
      <c r="G128" s="216"/>
      <c r="H128" s="403"/>
      <c r="I128" s="294"/>
      <c r="J128" s="219"/>
      <c r="K128" s="220"/>
      <c r="L128" s="255"/>
      <c r="M128" s="256" t="str">
        <f t="array" aca="1" ref="M128" ca="1">IFERROR(IF(L128&lt;&gt;"","",IF((VLOOKUP(D128&amp;K128,INDIRECT("'"&amp;INDEX(Списки!$AG$2:$AG$17,MATCH(TRUE,COUNTIF(INDIRECT("'"&amp;Списки!$AG$2:$AG$17 &amp;"'!A1:A3000000"),D128&amp;K128)&gt;0,0))&amp;"'!A:h"),7,0))=0,"",VLOOKUP(D128&amp;K128,INDIRECT("'"&amp;INDEX(Списки!$AG$2:$AG$17,MATCH(TRUE,COUNTIF(INDIRECT("'"&amp;Списки!$AG$2:$AG$17 &amp;"'!A1:A3000000"),D128&amp;K128)&gt;0,0))&amp;"'!A:h"),7,0))),"")</f>
        <v/>
      </c>
      <c r="N128" s="706"/>
      <c r="O128" s="167"/>
      <c r="P128" s="168"/>
    </row>
    <row r="129" spans="2:16" ht="15" outlineLevel="2">
      <c r="B129" s="179"/>
      <c r="C129" s="180" t="s">
        <v>72</v>
      </c>
      <c r="D129" s="180" t="s">
        <v>406</v>
      </c>
      <c r="E129" s="180" t="str">
        <f>IFERROR(IF(SEARCH("*Лестницы*",D129)=1,IF(J123="","Длина лестницы "&amp;#REF!&amp;"м","Длина лестниц "&amp;#REF!&amp;"м и "&amp;J123&amp;"м")),"")</f>
        <v/>
      </c>
      <c r="F129" s="212" t="str">
        <f t="array" ref="F129">IF(C129="","",IF(OR(C129=Списки!$AG$15:$AG$17),"нет","да"))</f>
        <v>нет</v>
      </c>
      <c r="G129" s="204"/>
      <c r="H129" s="966"/>
      <c r="I129" s="296">
        <f>1.25*(H122+H123)</f>
        <v>14.375</v>
      </c>
      <c r="J129" s="194">
        <f t="shared" ref="J129:J130" si="14">ROUNDUP(IF(ISBLANK(D129),"",IF(H129="",I129,H129)),1)</f>
        <v>14.4</v>
      </c>
      <c r="K129" s="178" t="s">
        <v>212</v>
      </c>
      <c r="L129" s="1289"/>
      <c r="M129" s="188">
        <f>IF(C121="Алюминиевая",0,IFERROR(IF(L129&lt;&gt;"","",VLOOKUP(C129&amp;'Калькулятор КНС'!D129&amp;'Калькулятор КНС'!K129,НН!A:J,10,)),""))</f>
        <v>1207.8</v>
      </c>
      <c r="N129" s="202">
        <f t="shared" si="11"/>
        <v>17392.32</v>
      </c>
      <c r="O129" s="167" t="s">
        <v>407</v>
      </c>
      <c r="P129" s="167"/>
    </row>
    <row r="130" spans="2:16" ht="15" outlineLevel="2">
      <c r="B130" s="179"/>
      <c r="C130" s="180" t="s">
        <v>72</v>
      </c>
      <c r="D130" s="180" t="s">
        <v>408</v>
      </c>
      <c r="E130" s="180" t="str">
        <f>IFERROR(IF(SEARCH("*Лестницы*",D130)=1,IF(J123="","Длина лестницы "&amp;#REF!&amp;"м","Длина лестниц "&amp;#REF!&amp;"м и "&amp;J123&amp;"м")),"")</f>
        <v/>
      </c>
      <c r="F130" s="212" t="str">
        <f t="array" ref="F130">IF(C130="","",IF(OR(C130=Списки!$AG$15:$AG$17),"нет","да"))</f>
        <v>нет</v>
      </c>
      <c r="G130" s="204"/>
      <c r="H130" s="966"/>
      <c r="I130" s="296">
        <f>I129/2</f>
        <v>7.1875</v>
      </c>
      <c r="J130" s="194">
        <f t="shared" si="14"/>
        <v>7.1999999999999993</v>
      </c>
      <c r="K130" s="178" t="s">
        <v>212</v>
      </c>
      <c r="L130" s="1289"/>
      <c r="M130" s="188">
        <f>IF(C121="Алюминиевая",0,IFERROR(IF(L130&lt;&gt;"","",VLOOKUP(C130&amp;'Калькулятор КНС'!D130&amp;'Калькулятор КНС'!K130,НН!A:J,10,)),""))</f>
        <v>1207.8</v>
      </c>
      <c r="N130" s="202">
        <f t="shared" si="11"/>
        <v>8696.159999999998</v>
      </c>
      <c r="O130" s="167" t="s">
        <v>685</v>
      </c>
      <c r="P130" s="167"/>
    </row>
    <row r="131" spans="2:16" ht="15" outlineLevel="1">
      <c r="B131" s="179"/>
      <c r="C131" s="180" t="s">
        <v>72</v>
      </c>
      <c r="D131" s="180" t="s">
        <v>408</v>
      </c>
      <c r="E131" s="180" t="str">
        <f>IFERROR(IF(SEARCH("*Лестницы*",D131)=1,IF(J124="","Длина лестницы "&amp;#REF!&amp;"м","Длина лестниц "&amp;#REF!&amp;"м и "&amp;J124&amp;"м")),"")</f>
        <v/>
      </c>
      <c r="F131" s="212" t="str">
        <f t="array" ref="F131">IF(C131="","",IF(OR(C131=Списки!$AG$15:$AG$17),"нет","да"))</f>
        <v>нет</v>
      </c>
      <c r="G131" s="204"/>
      <c r="H131" s="966"/>
      <c r="I131" s="296">
        <f>J127*2</f>
        <v>6</v>
      </c>
      <c r="J131" s="194">
        <f t="shared" ref="J131" si="15">ROUNDUP(IF(ISBLANK(D131),"",IF(H131="",I131,H131)),1)</f>
        <v>6</v>
      </c>
      <c r="K131" s="178" t="s">
        <v>212</v>
      </c>
      <c r="L131" s="1289"/>
      <c r="M131" s="188">
        <f>IF(C121="Нержавеющая сталь",0,IFERROR(IF(L131&lt;&gt;"","",VLOOKUP(C131&amp;'Калькулятор КНС'!D131&amp;'Калькулятор КНС'!K131,НН!A:J,10,)),""))</f>
        <v>0</v>
      </c>
      <c r="N131" s="202">
        <f t="shared" ref="N131" si="16">IFERROR(IF(L131="",M131*J131,J131*L131),"")</f>
        <v>0</v>
      </c>
      <c r="O131" s="167"/>
      <c r="P131" s="167"/>
    </row>
    <row r="132" spans="2:16" ht="15" outlineLevel="1">
      <c r="B132" s="305"/>
      <c r="C132" s="306"/>
      <c r="D132" s="307" t="s">
        <v>377</v>
      </c>
      <c r="E132" s="362"/>
      <c r="F132" s="309"/>
      <c r="G132" s="310"/>
      <c r="H132" s="311"/>
      <c r="I132" s="363"/>
      <c r="J132" s="364"/>
      <c r="K132" s="314"/>
      <c r="L132" s="315"/>
      <c r="M132" s="316" t="str">
        <f t="array" aca="1" ref="M132" ca="1">IFERROR(IF(L132&lt;&gt;"","",IF((VLOOKUP(D132&amp;K132,INDIRECT("'"&amp;INDEX(Списки!$AG$2:$AG$17,MATCH(TRUE,COUNTIF(INDIRECT("'"&amp;Списки!$AG$2:$AG$17 &amp;"'!A1:A3000000"),D132&amp;K132)&gt;0,0))&amp;"'!A:h"),7,0))=0,"",VLOOKUP(D132&amp;K132,INDIRECT("'"&amp;INDEX(Списки!$AG$2:$AG$17,MATCH(TRUE,COUNTIF(INDIRECT("'"&amp;Списки!$AG$2:$AG$17 &amp;"'!A1:A3000000"),D132&amp;K132)&gt;0,0))&amp;"'!A:h"),7,0))),"")</f>
        <v/>
      </c>
      <c r="N132" s="317"/>
      <c r="O132" s="167"/>
      <c r="P132" s="168"/>
    </row>
    <row r="133" spans="2:16" ht="18" outlineLevel="1">
      <c r="B133" s="318"/>
      <c r="C133" s="319"/>
      <c r="D133" s="332"/>
      <c r="E133" s="405" t="s">
        <v>409</v>
      </c>
      <c r="F133" s="406"/>
      <c r="G133" s="407">
        <f>SUM(G124:G132)</f>
        <v>55.510057142857143</v>
      </c>
      <c r="H133" s="332"/>
      <c r="I133" s="332"/>
      <c r="J133" s="408"/>
      <c r="K133" s="408"/>
      <c r="L133" s="409"/>
      <c r="M133" s="410" t="str">
        <f t="array" aca="1" ref="M133" ca="1">IFERROR(IF(L133&lt;&gt;"","",IF((VLOOKUP(D133&amp;K133,INDIRECT("'"&amp;INDEX(Списки!$AG$2:$AG$17,MATCH(TRUE,COUNTIF(INDIRECT("'"&amp;Списки!$AG$2:$AG$17 &amp;"'!A1:A3000000"),D133&amp;K133)&gt;0,0))&amp;"'!A:h"),7,0))=0,"",VLOOKUP(D133&amp;K133,INDIRECT("'"&amp;INDEX(Списки!$AG$2:$AG$17,MATCH(TRUE,COUNTIF(INDIRECT("'"&amp;Списки!$AG$2:$AG$17 &amp;"'!A1:A3000000"),D133&amp;K133)&gt;0,0))&amp;"'!A:h"),7,0))),"")</f>
        <v/>
      </c>
      <c r="N133" s="411">
        <f>SUM(N124:N132)</f>
        <v>63545.622857142851</v>
      </c>
      <c r="O133" s="771"/>
      <c r="P133" s="331"/>
    </row>
    <row r="134" spans="2:16" ht="15.75" outlineLevel="1">
      <c r="B134" s="318"/>
      <c r="C134" s="319"/>
      <c r="D134" s="320"/>
      <c r="E134" s="333" t="s">
        <v>379</v>
      </c>
      <c r="F134" s="372"/>
      <c r="G134" s="373"/>
      <c r="H134" s="374"/>
      <c r="I134" s="374"/>
      <c r="J134" s="375"/>
      <c r="K134" s="376"/>
      <c r="L134" s="377"/>
      <c r="M134" s="378" t="str">
        <f t="array" aca="1" ref="M134" ca="1">IFERROR(IF(L134&lt;&gt;"","",IF((VLOOKUP(D134&amp;K134,INDIRECT("'"&amp;INDEX(Списки!$AG$2:$AG$17,MATCH(TRUE,COUNTIF(INDIRECT("'"&amp;Списки!$AG$2:$AG$17 &amp;"'!A1:A300000"),D134&amp;K134)&gt;0,0))&amp;"'!A:h"),7,0))=0,"",VLOOKUP(D134&amp;K134,INDIRECT("'"&amp;INDEX(Списки!$AG$2:$AG$17,MATCH(TRUE,COUNTIF(INDIRECT("'"&amp;Списки!$AG$2:$AG$17 &amp;"'!A1:A300000"),D134&amp;K134)&gt;0,0))&amp;"'!A:h"),7,0))),"")</f>
        <v/>
      </c>
      <c r="N134" s="341">
        <f t="array" ref="N134">SUM(SUMIF(C124:C132,Списки!$AG$2:$AG$14,N124:N132))</f>
        <v>37457.142857142855</v>
      </c>
      <c r="O134" s="379"/>
      <c r="P134" s="331"/>
    </row>
    <row r="135" spans="2:16" ht="15.75" outlineLevel="1">
      <c r="B135" s="318"/>
      <c r="C135" s="319"/>
      <c r="D135" s="380"/>
      <c r="E135" s="333" t="s">
        <v>382</v>
      </c>
      <c r="F135" s="372"/>
      <c r="G135" s="381"/>
      <c r="H135" s="374"/>
      <c r="I135" s="374"/>
      <c r="J135" s="382">
        <f>ROUNDUP(SUMIFS($J$122:$J$132,$K$122:$K$132,Списки!$S$5)-SUMIFS($J$122:$J$132,$K$122:$K$132,Списки!$S$5,$D$122:$D$132,"*изготов*"),1)</f>
        <v>13.2</v>
      </c>
      <c r="K135" s="383" t="s">
        <v>212</v>
      </c>
      <c r="L135" s="383"/>
      <c r="M135" s="384" t="str">
        <f t="array" aca="1" ref="M135" ca="1">IFERROR(IF(L135&lt;&gt;"","",IF((VLOOKUP(D135&amp;K135,INDIRECT("'"&amp;INDEX(Списки!$AG$2:$AG$17,MATCH(TRUE,COUNTIF(INDIRECT("'"&amp;Списки!$AG$2:$AG$17 &amp;"'!A1:A300000"),D135&amp;K135)&gt;0,0))&amp;"'!A:h"),7,0))=0,"",VLOOKUP(D135&amp;K135,INDIRECT("'"&amp;INDEX(Списки!$AG$2:$AG$17,MATCH(TRUE,COUNTIF(INDIRECT("'"&amp;Списки!$AG$2:$AG$17 &amp;"'!A1:A300000"),D135&amp;K135)&gt;0,0))&amp;"'!A:h"),7,0))),"")</f>
        <v/>
      </c>
      <c r="N135" s="385">
        <f>SUMIF($K$122:$K$132,Списки!$S$5,$N$122:$N$132)-SUMIFS($N$122:$N$132,$K$122:$K$132,Списки!$S$5,$D$122:$D$132,"*изготов*")</f>
        <v>8696.1599999999962</v>
      </c>
      <c r="O135" s="379"/>
      <c r="P135" s="331"/>
    </row>
    <row r="136" spans="2:16" ht="15.75" outlineLevel="1">
      <c r="B136" s="318"/>
      <c r="C136" s="319"/>
      <c r="D136" s="380"/>
      <c r="E136" s="333" t="s">
        <v>383</v>
      </c>
      <c r="F136" s="372"/>
      <c r="G136" s="381"/>
      <c r="H136" s="374"/>
      <c r="I136" s="374"/>
      <c r="J136" s="382">
        <f>ROUNDUP(SUMIFS($J$122:$J$132,$K$122:$K$132,Списки!$S$5,$D$122:$D$132,"*изготов*"),1)</f>
        <v>14.4</v>
      </c>
      <c r="K136" s="383" t="s">
        <v>212</v>
      </c>
      <c r="L136" s="383"/>
      <c r="M136" s="384" t="str">
        <f t="array" aca="1" ref="M136" ca="1">IFERROR(IF(L136&lt;&gt;"","",IF((VLOOKUP(D136&amp;K136,INDIRECT("'"&amp;INDEX(Списки!$AG$2:$AG$17,MATCH(TRUE,COUNTIF(INDIRECT("'"&amp;Списки!$AG$2:$AG$17 &amp;"'!A1:A300000"),D136&amp;K136)&gt;0,0))&amp;"'!A:h"),7,0))=0,"",VLOOKUP(D136&amp;K136,INDIRECT("'"&amp;INDEX(Списки!$AG$2:$AG$17,MATCH(TRUE,COUNTIF(INDIRECT("'"&amp;Списки!$AG$2:$AG$17 &amp;"'!A1:A300000"),D136&amp;K136)&gt;0,0))&amp;"'!A:h"),7,0))),"")</f>
        <v/>
      </c>
      <c r="N136" s="385">
        <f>SUMIFS($N$122:$N$132,$K$122:$K$132,Списки!$S$5,$D$122:$D$132,"*изготов*")</f>
        <v>17392.32</v>
      </c>
      <c r="O136" s="379"/>
      <c r="P136" s="331"/>
    </row>
    <row r="137" spans="2:16" ht="15">
      <c r="B137" s="386">
        <v>3</v>
      </c>
      <c r="C137" s="502"/>
      <c r="D137" s="388" t="s">
        <v>410</v>
      </c>
      <c r="E137" s="389"/>
      <c r="F137" s="390" t="str">
        <f t="array" ref="F137">IF(ISBLANK(C137),"",IF(OR(C137=Списки!$AG$15:$AG$17),"нет","да"))</f>
        <v/>
      </c>
      <c r="G137" s="391"/>
      <c r="H137" s="389"/>
      <c r="I137" s="392"/>
      <c r="J137" s="392"/>
      <c r="K137" s="393"/>
      <c r="L137" s="394"/>
      <c r="M137" s="395" t="str">
        <f t="array" aca="1" ref="M137" ca="1">IFERROR(IF(L137&lt;&gt;"","",IF((VLOOKUP(D137&amp;K137,INDIRECT("'"&amp;INDEX(Списки!$AG$2:$AG$17,MATCH(TRUE,COUNTIF(INDIRECT("'"&amp;Списки!$AG$2:$AG$17 &amp;"'!A1:A3000000"),D137&amp;K137)&gt;0,0))&amp;"'!A:h"),7,0))=0,"",VLOOKUP(D137&amp;K137,INDIRECT("'"&amp;INDEX(Списки!$AG$2:$AG$17,MATCH(TRUE,COUNTIF(INDIRECT("'"&amp;Списки!$AG$2:$AG$17 &amp;"'!A1:A3000000"),D137&amp;K137)&gt;0,0))&amp;"'!A:h"),7,0))),"")</f>
        <v/>
      </c>
      <c r="N137" s="390"/>
      <c r="O137" s="167"/>
      <c r="P137" s="168"/>
    </row>
    <row r="138" spans="2:16" ht="15">
      <c r="B138" s="169" t="s">
        <v>411</v>
      </c>
      <c r="C138" s="290"/>
      <c r="D138" s="291" t="s">
        <v>412</v>
      </c>
      <c r="E138" s="292"/>
      <c r="F138" s="293" t="str">
        <f t="array" ref="F138">IF(ISBLANK(C138),"",IF(OR(C138=Списки!$AG$15:$AG$17),"нет","да"))</f>
        <v/>
      </c>
      <c r="G138" s="216"/>
      <c r="H138" s="230"/>
      <c r="I138" s="294"/>
      <c r="J138" s="219"/>
      <c r="K138" s="220"/>
      <c r="L138" s="255"/>
      <c r="M138" s="256" t="str">
        <f t="array" aca="1" ref="M138" ca="1">IFERROR(IF(L138&lt;&gt;"","",IF((VLOOKUP(D138&amp;K138,INDIRECT("'"&amp;INDEX(Списки!$AG$2:$AG$17,MATCH(TRUE,COUNTIF(INDIRECT("'"&amp;Списки!$AG$2:$AG$17 &amp;"'!A1:A300000"),D138&amp;K138)&gt;0,0))&amp;"'!A:h"),7,0))=0,"",VLOOKUP(D138&amp;K138,INDIRECT("'"&amp;INDEX(Списки!$AG$2:$AG$17,MATCH(TRUE,COUNTIF(INDIRECT("'"&amp;Списки!$AG$2:$AG$17 &amp;"'!A1:A300000"),D138&amp;K138)&gt;0,0))&amp;"'!A:h"),7,0))),"")</f>
        <v/>
      </c>
      <c r="N138" s="356"/>
      <c r="O138" s="167"/>
      <c r="P138" s="168"/>
    </row>
    <row r="139" spans="2:16" ht="24">
      <c r="B139" s="416"/>
      <c r="C139" s="772"/>
      <c r="D139" s="418" t="s">
        <v>413</v>
      </c>
      <c r="E139" s="419" t="s">
        <v>174</v>
      </c>
      <c r="F139" s="773"/>
      <c r="G139" s="1428" t="str">
        <f t="array" aca="1" ref="G139" ca="1">IFERROR(IF(L139&lt;&gt;"","",IF((VLOOKUP(D139&amp;K139,INDIRECT("'"&amp;INDEX(Списки!$AG$2:$AG$17,MATCH(TRUE,COUNTIF(INDIRECT("'"&amp;Списки!$AG$2:$AG$17 &amp;"'!A1:A300000"),D139&amp;K139)&gt;0,0))&amp;"'!A:h"),7,0))=0,"",VLOOKUP(D139&amp;K139,INDIRECT("'"&amp;INDEX(Списки!$AG$2:$AG$17,MATCH(TRUE,COUNTIF(INDIRECT("'"&amp;Списки!$AG$2:$AG$17 &amp;"'!A1:A300000"),D139&amp;K139)&gt;0,0))&amp;"'!A:h"),7,0))),"")</f>
        <v/>
      </c>
      <c r="H139" s="1428"/>
      <c r="I139" s="1428"/>
      <c r="J139" s="1428"/>
      <c r="K139" s="1428"/>
      <c r="L139" s="1428"/>
      <c r="M139" s="1428"/>
      <c r="N139" s="1429"/>
      <c r="O139" s="167"/>
      <c r="P139" s="168"/>
    </row>
    <row r="140" spans="2:16" ht="15" outlineLevel="1">
      <c r="B140" s="416"/>
      <c r="C140" s="387" t="s">
        <v>115</v>
      </c>
      <c r="D140" s="426" t="s">
        <v>415</v>
      </c>
      <c r="E140" s="230" t="s">
        <v>339</v>
      </c>
      <c r="F140" s="1045">
        <f>G5</f>
        <v>3000</v>
      </c>
      <c r="G140" s="232"/>
      <c r="H140" s="1430" t="str">
        <f t="array" aca="1" ref="H140" ca="1">IFERROR(IF(L140&lt;&gt;"","",IF((VLOOKUP(D140&amp;K140,INDIRECT("'"&amp;INDEX(Списки!$AG$2:$AG$17,MATCH(TRUE,COUNTIF(INDIRECT("'"&amp;Списки!$AG$2:$AG$17 &amp;"'!A1:A300000"),D140&amp;K140)&gt;0,0))&amp;"'!A:h"),7,0))=0,"",VLOOKUP(D140&amp;K140,INDIRECT("'"&amp;INDEX(Списки!$AG$2:$AG$17,MATCH(TRUE,COUNTIF(INDIRECT("'"&amp;Списки!$AG$2:$AG$17 &amp;"'!A1:A300000"),D140&amp;K140)&gt;0,0))&amp;"'!A:h"),7,0))),"")</f>
        <v/>
      </c>
      <c r="I140" s="1428"/>
      <c r="J140" s="1428"/>
      <c r="K140" s="1428"/>
      <c r="L140" s="1428"/>
      <c r="M140" s="1428"/>
      <c r="N140" s="1429"/>
      <c r="O140" s="167"/>
      <c r="P140" s="428"/>
    </row>
    <row r="141" spans="2:16" ht="15" outlineLevel="1">
      <c r="B141" s="179"/>
      <c r="C141" s="180" t="s">
        <v>72</v>
      </c>
      <c r="D141" s="180" t="s">
        <v>416</v>
      </c>
      <c r="E141" s="429" t="s">
        <v>417</v>
      </c>
      <c r="F141" s="212" t="str">
        <f t="array" ref="F141">IF(C141="","",IF(OR(C141=Списки!$AG$15:$AG$17),"нет","да"))</f>
        <v>нет</v>
      </c>
      <c r="G141" s="204"/>
      <c r="H141" s="1056"/>
      <c r="I141" s="431">
        <f>((PI()*(($G$5+300)/(1000*2))^2)*0.006*1850)-H152*J149</f>
        <v>61.638144593320135</v>
      </c>
      <c r="J141" s="432">
        <f>IF(C140="нет",0,IF(E139=Списки!$AW$2,0,IF(H141="",I141,H141)))</f>
        <v>61.638144593320135</v>
      </c>
      <c r="K141" s="178" t="s">
        <v>193</v>
      </c>
      <c r="L141" s="187"/>
      <c r="M141" s="188">
        <f>IFERROR(IF(L141&lt;&gt;"","",VLOOKUP(C141&amp;'Калькулятор КНС'!D141&amp;'Калькулятор КНС'!K141,НН!A:J,10,)),"")</f>
        <v>214.4</v>
      </c>
      <c r="N141" s="202">
        <f t="shared" ref="N141:N202" si="17">IFERROR(IF(L141="",M141*J141,J141*L141),"")</f>
        <v>13215.218200807838</v>
      </c>
      <c r="O141" s="167"/>
      <c r="P141" s="428"/>
    </row>
    <row r="142" spans="2:16" ht="15" outlineLevel="1">
      <c r="B142" s="179"/>
      <c r="C142" s="180" t="s">
        <v>238</v>
      </c>
      <c r="D142" s="180" t="s">
        <v>238</v>
      </c>
      <c r="E142" s="255"/>
      <c r="F142" s="212" t="str">
        <f t="array" ref="F142">IF(C142="","",IF(OR(C142=Списки!$AG$15:$AG$17),"нет","да"))</f>
        <v>нет</v>
      </c>
      <c r="G142" s="204"/>
      <c r="H142" s="184"/>
      <c r="I142" s="213">
        <f>IF(COUNTIF(D141,"*мех*")=1,0.28,IF(COUNTIF(D141,"*ламин*")=1,0.56,1))</f>
        <v>0.28000000000000003</v>
      </c>
      <c r="J142" s="260">
        <f>ROUNDUP(IF(E139=Списки!$AW$2,0,IF(H142="",IFERROR(J141*I142,""),H142)),1)</f>
        <v>17.3</v>
      </c>
      <c r="K142" s="178" t="s">
        <v>212</v>
      </c>
      <c r="L142" s="226"/>
      <c r="M142" s="188">
        <f>IFERROR(IF(L142&lt;&gt;"","",VLOOKUP(C142&amp;'Калькулятор КНС'!D142&amp;'Калькулятор КНС'!K142,НН!A:J,10,)),"")</f>
        <v>1207.8</v>
      </c>
      <c r="N142" s="202">
        <f t="shared" si="17"/>
        <v>20894.939999999999</v>
      </c>
      <c r="O142" s="167"/>
      <c r="P142" s="428"/>
    </row>
    <row r="143" spans="2:16" ht="15" outlineLevel="1">
      <c r="B143" s="179"/>
      <c r="C143" s="180" t="s">
        <v>72</v>
      </c>
      <c r="D143" s="180" t="s">
        <v>418</v>
      </c>
      <c r="E143" s="255"/>
      <c r="F143" s="212" t="str">
        <f t="array" ref="F143">IF(C143="","",IF(OR(C143=Списки!$AG$15:$AG$17),"нет","да"))</f>
        <v>нет</v>
      </c>
      <c r="G143" s="204"/>
      <c r="H143" s="184"/>
      <c r="I143" s="225">
        <f>IF(H143="",3*J141/10,"")</f>
        <v>18.491443377996042</v>
      </c>
      <c r="J143" s="258">
        <f>IF(E139=Списки!$AW$2,0,IF(C140="нет",0,IF(H143="",I143,H143)))</f>
        <v>18.491443377996042</v>
      </c>
      <c r="K143" s="178" t="s">
        <v>193</v>
      </c>
      <c r="L143" s="187"/>
      <c r="M143" s="188">
        <f>IFERROR(IF(L143&lt;&gt;"","",VLOOKUP(C143&amp;'Калькулятор КНС'!D143&amp;'Калькулятор КНС'!K143,НН!A:J,10,)),"")</f>
        <v>310.2</v>
      </c>
      <c r="N143" s="202">
        <f t="shared" si="17"/>
        <v>5736.0457358543717</v>
      </c>
      <c r="O143" s="167"/>
      <c r="P143" s="428"/>
    </row>
    <row r="144" spans="2:16" ht="15" outlineLevel="1">
      <c r="B144" s="179"/>
      <c r="C144" s="180" t="s">
        <v>238</v>
      </c>
      <c r="D144" s="180" t="s">
        <v>238</v>
      </c>
      <c r="E144" s="255"/>
      <c r="F144" s="212" t="str">
        <f t="array" ref="F144">IF(C144="","",IF(OR(C144=Списки!$AG$15:$AG$17),"нет","да"))</f>
        <v>нет</v>
      </c>
      <c r="G144" s="204"/>
      <c r="H144" s="433"/>
      <c r="I144" s="225">
        <f>IF(COUNTIF(D143,"*мех*")=1,0.28,IF(COUNTIF(D143,"*ламин*")=1,0.56,1))</f>
        <v>0.56000000000000005</v>
      </c>
      <c r="J144" s="194">
        <f>ROUNDUP(IF(E139=Списки!$AW$2,0,IF(H144="",IFERROR(J143*I144,""),H144)),1)</f>
        <v>10.4</v>
      </c>
      <c r="K144" s="178" t="s">
        <v>212</v>
      </c>
      <c r="L144" s="226"/>
      <c r="M144" s="188">
        <f>IFERROR(IF(L144&lt;&gt;"","",VLOOKUP(C144&amp;'Калькулятор КНС'!D144&amp;'Калькулятор КНС'!K144,НН!A:J,10,)),"")</f>
        <v>1207.8</v>
      </c>
      <c r="N144" s="202">
        <f t="shared" si="17"/>
        <v>12561.12</v>
      </c>
      <c r="O144" s="167"/>
      <c r="P144" s="428"/>
    </row>
    <row r="145" spans="2:16" ht="15" outlineLevel="1">
      <c r="B145" s="179"/>
      <c r="C145" s="180" t="s">
        <v>68</v>
      </c>
      <c r="D145" s="180" t="s">
        <v>686</v>
      </c>
      <c r="E145" s="1092" t="s">
        <v>115</v>
      </c>
      <c r="F145" s="212" t="str">
        <f t="array" ref="F145">IF(C145="","",IF(OR(C145=Списки!$AG$15:$AG$17),"нет","да"))</f>
        <v>да</v>
      </c>
      <c r="G145" s="204"/>
      <c r="H145" s="210">
        <v>10</v>
      </c>
      <c r="I145" s="225"/>
      <c r="J145" s="258">
        <f>IF(E145="нет",0,IF(F140&lt;1200,0,IF(C140="нет",0,IF(E139=Списки!$AW$2,0,IF(H145="",I145,H145)))))</f>
        <v>10</v>
      </c>
      <c r="K145" s="178" t="s">
        <v>163</v>
      </c>
      <c r="L145" s="226"/>
      <c r="M145" s="188">
        <f>IFERROR(IF(L145&lt;&gt;"","",VLOOKUP(C145&amp;'Калькулятор КНС'!D145&amp;'Калькулятор КНС'!K145,НН!A:J,10,)),"")</f>
        <v>2000</v>
      </c>
      <c r="N145" s="202">
        <f t="shared" ref="N145" si="18">IFERROR(IF(L145="",M145*J145,J145*L145),"")</f>
        <v>20000</v>
      </c>
      <c r="O145" s="167"/>
      <c r="P145" s="428"/>
    </row>
    <row r="146" spans="2:16" ht="15" outlineLevel="1">
      <c r="B146" s="957"/>
      <c r="C146" s="180"/>
      <c r="D146" s="180"/>
      <c r="E146" s="255"/>
      <c r="F146" s="1022"/>
      <c r="G146" s="1023"/>
      <c r="H146" s="433"/>
      <c r="I146" s="225"/>
      <c r="J146" s="1009"/>
      <c r="K146" s="1007"/>
      <c r="L146" s="1024"/>
      <c r="M146" s="1011"/>
      <c r="N146" s="202"/>
      <c r="O146" s="167"/>
      <c r="P146" s="428"/>
    </row>
    <row r="147" spans="2:16" ht="15">
      <c r="B147" s="179"/>
      <c r="C147" s="180"/>
      <c r="D147" s="180"/>
      <c r="E147" s="255"/>
      <c r="F147" s="212"/>
      <c r="G147" s="204"/>
      <c r="H147" s="204"/>
      <c r="I147" s="213"/>
      <c r="J147" s="234"/>
      <c r="K147" s="178"/>
      <c r="L147" s="196"/>
      <c r="M147" s="188" t="str">
        <f>IFERROR(IF(L147&lt;&gt;"","",VLOOKUP(C147&amp;'Калькулятор КНС'!D147&amp;'Калькулятор КНС'!K147,НН!A:J,10,)),"")</f>
        <v/>
      </c>
      <c r="N147" s="189"/>
      <c r="O147" s="167"/>
      <c r="P147" s="428"/>
    </row>
    <row r="148" spans="2:16" ht="15" outlineLevel="1">
      <c r="B148" s="179"/>
      <c r="C148" s="387" t="s">
        <v>115</v>
      </c>
      <c r="D148" s="426" t="s">
        <v>420</v>
      </c>
      <c r="E148" s="230" t="s">
        <v>339</v>
      </c>
      <c r="F148" s="231">
        <v>1200</v>
      </c>
      <c r="G148" s="232" t="s">
        <v>340</v>
      </c>
      <c r="H148" s="233">
        <v>2500</v>
      </c>
      <c r="I148" s="234" t="s">
        <v>341</v>
      </c>
      <c r="J148" s="233">
        <v>0.1</v>
      </c>
      <c r="K148" s="234" t="s">
        <v>421</v>
      </c>
      <c r="L148" s="1435" t="s">
        <v>422</v>
      </c>
      <c r="M148" s="1436"/>
      <c r="N148" s="92"/>
      <c r="O148" s="214"/>
      <c r="P148" s="428"/>
    </row>
    <row r="149" spans="2:16" ht="15" outlineLevel="1">
      <c r="B149" s="179"/>
      <c r="C149" s="208"/>
      <c r="D149" s="457" t="s">
        <v>423</v>
      </c>
      <c r="E149" s="698"/>
      <c r="F149" s="485"/>
      <c r="G149" s="216"/>
      <c r="H149" s="218"/>
      <c r="I149" s="213"/>
      <c r="J149" s="422">
        <v>3</v>
      </c>
      <c r="K149" s="699" t="s">
        <v>129</v>
      </c>
      <c r="L149" s="700"/>
      <c r="M149" s="222" t="str">
        <f t="array" aca="1" ref="M149" ca="1">IFERROR(IF(L149&lt;&gt;"","",IF((VLOOKUP(D149&amp;K149,INDIRECT("'"&amp;INDEX(Списки!$AG$2:$AG$17,MATCH(TRUE,COUNTIF(INDIRECT("'"&amp;Списки!$AG$2:$AG$17 &amp;"'!A1:A300000"),D149&amp;K149)&gt;0,0))&amp;"'!A:h"),7,0))=0,"",VLOOKUP(D149&amp;K149,INDIRECT("'"&amp;INDEX(Списки!$AG$2:$AG$17,MATCH(TRUE,COUNTIF(INDIRECT("'"&amp;Списки!$AG$2:$AG$17 &amp;"'!A1:A300000"),D149&amp;K149)&gt;0,0))&amp;"'!A:h"),7,0))),"")</f>
        <v/>
      </c>
      <c r="N149" s="223"/>
      <c r="O149" s="214"/>
      <c r="P149" s="428"/>
    </row>
    <row r="150" spans="2:16" ht="15" outlineLevel="1">
      <c r="B150" s="179"/>
      <c r="C150" s="180" t="s">
        <v>72</v>
      </c>
      <c r="D150" s="445" t="str">
        <f>"Труба СК/НПС-К "&amp;F148&amp;"-"&amp;J148&amp;"-"&amp;H148</f>
        <v>Труба СК/НПС-К 1200-0,1-2500</v>
      </c>
      <c r="E150" s="92"/>
      <c r="F150" s="212" t="str">
        <f t="array" ref="F150">IF(C150="","",IF(OR(C150=Списки!$AG$15:$AG$17),"нет","да"))</f>
        <v>нет</v>
      </c>
      <c r="G150" s="204"/>
      <c r="H150" s="435">
        <v>0.3</v>
      </c>
      <c r="I150" s="213"/>
      <c r="J150" s="432">
        <f>IF(L148="Квадратный (прямоугольный)",0,IF(C148="нет",0,IF(E139=Списки!$AW$2,0,IF(H150="",I150,H150)*J149)))</f>
        <v>0</v>
      </c>
      <c r="K150" s="178" t="s">
        <v>163</v>
      </c>
      <c r="L150" s="226">
        <v>1</v>
      </c>
      <c r="M150" s="188" t="str">
        <f>IFERROR(IF(L150&lt;&gt;"","",VLOOKUP(C150&amp;'Калькулятор КНС'!D150&amp;'Калькулятор КНС'!K150,НН!A:J,10,)),"")</f>
        <v/>
      </c>
      <c r="N150" s="202">
        <f t="shared" si="17"/>
        <v>0</v>
      </c>
      <c r="O150" s="167"/>
      <c r="P150" s="428"/>
    </row>
    <row r="151" spans="2:16" ht="15" outlineLevel="1">
      <c r="B151" s="179"/>
      <c r="C151" s="180" t="s">
        <v>72</v>
      </c>
      <c r="D151" s="180" t="s">
        <v>334</v>
      </c>
      <c r="E151" s="199"/>
      <c r="F151" s="191" t="str">
        <f t="array" ref="F151">IF(C151="","",IF(OR(C151=Списки!$AG$15:$AG$17),"нет","да"))</f>
        <v>нет</v>
      </c>
      <c r="G151" s="204"/>
      <c r="H151" s="463"/>
      <c r="I151" s="757">
        <f>F148/1300*J150</f>
        <v>0</v>
      </c>
      <c r="J151" s="194">
        <f>ROUNDUP(IF(L148="Квадратный (прямоугольный)",0,IF(H151="",I151,H151)),1)</f>
        <v>0</v>
      </c>
      <c r="K151" s="178" t="s">
        <v>212</v>
      </c>
      <c r="L151" s="187"/>
      <c r="M151" s="188">
        <f>IFERROR(IF(L151&lt;&gt;"","",VLOOKUP(C151&amp;'Калькулятор КНС'!D151&amp;'Калькулятор КНС'!K151,НН!A:J,10,)),"")</f>
        <v>1207.8</v>
      </c>
      <c r="N151" s="202">
        <f t="shared" si="17"/>
        <v>0</v>
      </c>
      <c r="O151" s="214"/>
      <c r="P151" s="428"/>
    </row>
    <row r="152" spans="2:16" ht="15" outlineLevel="1">
      <c r="B152" s="179"/>
      <c r="C152" s="180" t="s">
        <v>72</v>
      </c>
      <c r="D152" s="445" t="s">
        <v>344</v>
      </c>
      <c r="E152" s="429" t="s">
        <v>417</v>
      </c>
      <c r="F152" s="212" t="str">
        <f t="array" ref="F152">IF(C152="","",IF(OR(C152=Списки!$AG$15:$AG$17),"нет","да"))</f>
        <v>нет</v>
      </c>
      <c r="G152" s="204"/>
      <c r="H152" s="435">
        <f>1*1*0.006*1850</f>
        <v>11.1</v>
      </c>
      <c r="I152" s="431"/>
      <c r="J152" s="432">
        <f>IF(C148="нет",0,IF(E139=Списки!$AW$2,0,IF(H152="",I152,H152)))*J149</f>
        <v>33.299999999999997</v>
      </c>
      <c r="K152" s="178" t="s">
        <v>193</v>
      </c>
      <c r="L152" s="187"/>
      <c r="M152" s="188">
        <f>IFERROR(IF(L152&lt;&gt;"","",VLOOKUP(C152&amp;'Калькулятор КНС'!D152&amp;'Калькулятор КНС'!K152,НН!A:J,10,)),"")</f>
        <v>214.4</v>
      </c>
      <c r="N152" s="202">
        <f t="shared" si="17"/>
        <v>7139.5199999999995</v>
      </c>
      <c r="O152" s="167"/>
      <c r="P152" s="428"/>
    </row>
    <row r="153" spans="2:16" ht="15" outlineLevel="1">
      <c r="B153" s="179"/>
      <c r="C153" s="180" t="s">
        <v>238</v>
      </c>
      <c r="D153" s="445" t="s">
        <v>238</v>
      </c>
      <c r="E153" s="255"/>
      <c r="F153" s="212" t="str">
        <f t="array" ref="F153">IF(C153="","",IF(OR(C153=Списки!$AG$15:$AG$17),"нет","да"))</f>
        <v>нет</v>
      </c>
      <c r="G153" s="204"/>
      <c r="H153" s="184"/>
      <c r="I153" s="213">
        <f>IF(COUNTIF(D152,"*мех*")=1,0.28,IF(COUNTIF(D152,"*ручн*")=1,0.56,1))</f>
        <v>0.28000000000000003</v>
      </c>
      <c r="J153" s="260">
        <f>ROUNDUP(IF(E139=Списки!$AW$2,0,IF(H153="",IFERROR(J152*I153,""),H153)),1)</f>
        <v>9.4</v>
      </c>
      <c r="K153" s="178" t="s">
        <v>212</v>
      </c>
      <c r="L153" s="226"/>
      <c r="M153" s="188">
        <f>IFERROR(IF(L153&lt;&gt;"","",VLOOKUP(C153&amp;'Калькулятор КНС'!D153&amp;'Калькулятор КНС'!K153,НН!A:J,10,)),"")</f>
        <v>1207.8</v>
      </c>
      <c r="N153" s="202">
        <f t="shared" si="17"/>
        <v>11353.32</v>
      </c>
      <c r="O153" s="167"/>
      <c r="P153" s="428"/>
    </row>
    <row r="154" spans="2:16" ht="15" outlineLevel="1">
      <c r="B154" s="179"/>
      <c r="C154" s="180" t="s">
        <v>72</v>
      </c>
      <c r="D154" s="445" t="s">
        <v>425</v>
      </c>
      <c r="E154" s="255"/>
      <c r="F154" s="212" t="str">
        <f t="array" ref="F154">IF(C154="","",IF(OR(C154=Списки!$AG$15:$AG$17),"нет","да"))</f>
        <v>нет</v>
      </c>
      <c r="G154" s="204"/>
      <c r="H154" s="184"/>
      <c r="I154" s="225">
        <f>IF(H154="",3*J152/10,"")</f>
        <v>9.9899999999999984</v>
      </c>
      <c r="J154" s="258">
        <f>IF(E139=Списки!$AW$2,0,IF(C148="нет",0,IF(H154="",I154,H154)))</f>
        <v>9.9899999999999984</v>
      </c>
      <c r="K154" s="178" t="s">
        <v>193</v>
      </c>
      <c r="L154" s="187"/>
      <c r="M154" s="188">
        <f>IFERROR(IF(L154&lt;&gt;"","",VLOOKUP(C154&amp;'Калькулятор КНС'!D154&amp;'Калькулятор КНС'!K154,НН!A:J,10,)),"")</f>
        <v>310.2</v>
      </c>
      <c r="N154" s="202">
        <f t="shared" si="17"/>
        <v>3098.8979999999992</v>
      </c>
      <c r="O154" s="214"/>
      <c r="P154" s="428"/>
    </row>
    <row r="155" spans="2:16" ht="15.75" customHeight="1" outlineLevel="1">
      <c r="B155" s="179"/>
      <c r="C155" s="180" t="s">
        <v>238</v>
      </c>
      <c r="D155" s="445" t="s">
        <v>238</v>
      </c>
      <c r="E155" s="255"/>
      <c r="F155" s="212" t="str">
        <f t="array" ref="F155">IF(C155="","",IF(OR(C155=Списки!$AG$15:$AG$17),"нет","да"))</f>
        <v>нет</v>
      </c>
      <c r="G155" s="447"/>
      <c r="H155" s="433"/>
      <c r="I155" s="225">
        <f>IF(COUNTIF(D154,"*мех*")=1,0.28,IF(COUNTIF(D154,"*ламин*")=1,0.56,1))</f>
        <v>0.56000000000000005</v>
      </c>
      <c r="J155" s="194">
        <f>ROUNDUP(IF(E139=Списки!$AW$2,0,IF(H155="",IFERROR(J154*I155,""),H155)),1)</f>
        <v>5.6</v>
      </c>
      <c r="K155" s="178" t="s">
        <v>212</v>
      </c>
      <c r="L155" s="226"/>
      <c r="M155" s="188">
        <f>IFERROR(IF(L155&lt;&gt;"","",VLOOKUP(C155&amp;'Калькулятор КНС'!D155&amp;'Калькулятор КНС'!K155,НН!A:J,10,)),"")</f>
        <v>1207.8</v>
      </c>
      <c r="N155" s="202">
        <f t="shared" si="17"/>
        <v>6763.6799999999994</v>
      </c>
      <c r="O155" s="214"/>
      <c r="P155" s="428"/>
    </row>
    <row r="156" spans="2:16" ht="15.75" customHeight="1" outlineLevel="1">
      <c r="B156" s="179"/>
      <c r="C156" s="449" t="s">
        <v>71</v>
      </c>
      <c r="D156" s="445" t="s">
        <v>426</v>
      </c>
      <c r="E156" s="255"/>
      <c r="F156" s="212" t="str">
        <f t="array" ref="F156">IF(C156="","",IF(OR(C156=Списки!$AG$15:$AG$17),"нет","да"))</f>
        <v>да</v>
      </c>
      <c r="G156" s="447"/>
      <c r="H156" s="448"/>
      <c r="I156" s="451">
        <v>2</v>
      </c>
      <c r="J156" s="186">
        <f>IF(E136=Списки!$AW$2,0,IF(C148="нет",0,I156))*J149</f>
        <v>6</v>
      </c>
      <c r="K156" s="178" t="s">
        <v>129</v>
      </c>
      <c r="L156" s="226"/>
      <c r="M156" s="188">
        <f>IFERROR(IF(L156&lt;&gt;"","",VLOOKUP(C156&amp;'Калькулятор КНС'!D156&amp;'Калькулятор КНС'!K156,НН!A:J,10,)),"")</f>
        <v>200</v>
      </c>
      <c r="N156" s="202">
        <f t="shared" si="17"/>
        <v>1200</v>
      </c>
      <c r="O156" s="214"/>
      <c r="P156" s="428"/>
    </row>
    <row r="157" spans="2:16" ht="15.75" customHeight="1" outlineLevel="2">
      <c r="B157" s="957"/>
      <c r="C157" s="387" t="s">
        <v>115</v>
      </c>
      <c r="D157" s="1382"/>
      <c r="E157" s="1383"/>
      <c r="F157" s="1383"/>
      <c r="G157" s="1383"/>
      <c r="H157" s="1383"/>
      <c r="I157" s="1383"/>
      <c r="J157" s="1383"/>
      <c r="K157" s="1383"/>
      <c r="L157" s="1383"/>
      <c r="M157" s="1383"/>
      <c r="N157" s="1384"/>
      <c r="O157" s="214"/>
      <c r="P157" s="428"/>
    </row>
    <row r="158" spans="2:16" ht="15.75" customHeight="1" outlineLevel="2">
      <c r="B158" s="179"/>
      <c r="C158" s="449" t="s">
        <v>71</v>
      </c>
      <c r="D158" s="445" t="s">
        <v>575</v>
      </c>
      <c r="E158" s="255"/>
      <c r="F158" s="212" t="str">
        <f t="array" ref="F158">IF(C158="","",IF(OR(C158=Списки!$AG$15:$AG$17),"нет","да"))</f>
        <v>да</v>
      </c>
      <c r="G158" s="447"/>
      <c r="H158" s="448"/>
      <c r="I158" s="451">
        <v>2</v>
      </c>
      <c r="J158" s="186">
        <f>IF(E137=Списки!$AW$2,0,IF(C157="нет",0,I158))*J149</f>
        <v>6</v>
      </c>
      <c r="K158" s="178" t="s">
        <v>129</v>
      </c>
      <c r="L158" s="226"/>
      <c r="M158" s="188">
        <f>IFERROR(IF(L158&lt;&gt;"","",VLOOKUP(C158&amp;'Калькулятор КНС'!D158&amp;'Калькулятор КНС'!K158,НН!A:J,10,)),"")</f>
        <v>1600</v>
      </c>
      <c r="N158" s="202">
        <f t="shared" ref="N158" si="19">IFERROR(IF(L158="",M158*J158,J158*L158),"")</f>
        <v>9600</v>
      </c>
      <c r="O158" s="214"/>
      <c r="P158" s="428"/>
    </row>
    <row r="159" spans="2:16" ht="15.75" customHeight="1" outlineLevel="2">
      <c r="B159" s="179"/>
      <c r="C159" s="449" t="s">
        <v>71</v>
      </c>
      <c r="D159" s="445" t="s">
        <v>429</v>
      </c>
      <c r="E159" s="255"/>
      <c r="F159" s="212" t="str">
        <f t="array" ref="F159">IF(C159="","",IF(OR(C159=Списки!$AG$15:$AG$17),"нет","да"))</f>
        <v>да</v>
      </c>
      <c r="G159" s="447"/>
      <c r="H159" s="448"/>
      <c r="I159" s="451">
        <v>2</v>
      </c>
      <c r="J159" s="186">
        <f>IF(E138=Списки!$AW$2,0,IF(C157="нет",0,I159))*J149</f>
        <v>6</v>
      </c>
      <c r="K159" s="178" t="s">
        <v>129</v>
      </c>
      <c r="L159" s="226"/>
      <c r="M159" s="188">
        <f>IFERROR(IF(L159&lt;&gt;"","",VLOOKUP(C159&amp;'Калькулятор КНС'!D159&amp;'Калькулятор КНС'!K159,НН!A:J,10,)),"")</f>
        <v>1015</v>
      </c>
      <c r="N159" s="202">
        <f t="shared" ref="N159" si="20">IFERROR(IF(L159="",M159*J159,J159*L159),"")</f>
        <v>6090</v>
      </c>
      <c r="O159" s="214"/>
      <c r="P159" s="428"/>
    </row>
    <row r="160" spans="2:16" ht="15" outlineLevel="2">
      <c r="B160" s="179"/>
      <c r="C160" s="449" t="s">
        <v>71</v>
      </c>
      <c r="D160" s="445" t="s">
        <v>576</v>
      </c>
      <c r="E160" s="255"/>
      <c r="F160" s="485" t="str">
        <f t="array" ref="F160">IF(C160="","",IF(OR(C160=Списки!$AG$15:$AG$17),"нет","да"))</f>
        <v>да</v>
      </c>
      <c r="G160" s="447"/>
      <c r="H160" s="448"/>
      <c r="I160" s="451">
        <f>J149</f>
        <v>3</v>
      </c>
      <c r="J160" s="669">
        <f>IF(E139=Списки!$AW$2,0,IF(C157="нет",0,I160))</f>
        <v>3</v>
      </c>
      <c r="K160" s="178" t="s">
        <v>129</v>
      </c>
      <c r="L160" s="226"/>
      <c r="M160" s="188">
        <f>IFERROR(IF(L160&lt;&gt;"","",VLOOKUP(C160&amp;'Калькулятор КНС'!D160&amp;'Калькулятор КНС'!K160,НН!A:J,10,)),"")</f>
        <v>500</v>
      </c>
      <c r="N160" s="202">
        <f t="shared" si="17"/>
        <v>1500</v>
      </c>
      <c r="O160" s="214"/>
      <c r="P160" s="428"/>
    </row>
    <row r="161" spans="2:16" ht="15" collapsed="1">
      <c r="B161" s="179"/>
      <c r="C161" s="1046"/>
      <c r="D161" s="1047"/>
      <c r="E161" s="1048"/>
      <c r="F161" s="1049"/>
      <c r="G161" s="1072"/>
      <c r="H161" s="1080"/>
      <c r="I161" s="1073"/>
      <c r="J161" s="1050"/>
      <c r="K161" s="1051"/>
      <c r="L161" s="1055"/>
      <c r="M161" s="1052"/>
      <c r="N161" s="1053"/>
      <c r="O161" s="808"/>
      <c r="P161" s="1054"/>
    </row>
    <row r="162" spans="2:16" ht="15" hidden="1" outlineLevel="1">
      <c r="B162" s="800"/>
      <c r="C162" s="387" t="s">
        <v>150</v>
      </c>
      <c r="D162" s="426" t="s">
        <v>420</v>
      </c>
      <c r="E162" s="268"/>
      <c r="F162" s="1094"/>
      <c r="G162" s="678"/>
      <c r="H162" s="1095"/>
      <c r="I162" s="234"/>
      <c r="J162" s="489"/>
      <c r="K162" s="268" t="s">
        <v>421</v>
      </c>
      <c r="L162" s="1414" t="s">
        <v>1941</v>
      </c>
      <c r="M162" s="1414"/>
      <c r="N162" s="1057"/>
      <c r="O162" s="808"/>
      <c r="P162" s="1054"/>
    </row>
    <row r="163" spans="2:16" ht="15" hidden="1" outlineLevel="1">
      <c r="B163" s="800"/>
      <c r="C163" s="666"/>
      <c r="D163" s="241" t="s">
        <v>423</v>
      </c>
      <c r="E163" s="1058"/>
      <c r="F163" s="1059"/>
      <c r="G163" s="789"/>
      <c r="H163" s="1060"/>
      <c r="I163" s="213"/>
      <c r="J163" s="1078">
        <v>3</v>
      </c>
      <c r="K163" s="1079" t="s">
        <v>129</v>
      </c>
      <c r="L163" s="489"/>
      <c r="M163" s="489" t="str">
        <f t="array" aca="1" ref="M163" ca="1">IFERROR(IF(L163&lt;&gt;"","",IF((VLOOKUP(D163&amp;K163,INDIRECT("'"&amp;INDEX(Списки!$AG$2:$AG$17,MATCH(TRUE,COUNTIF(INDIRECT("'"&amp;Списки!$AG$2:$AG$17 &amp;"'!A1:A300000"),D163&amp;K163)&gt;0,0))&amp;"'!A:h"),7,0))=0,"",VLOOKUP(D163&amp;K163,INDIRECT("'"&amp;INDEX(Списки!$AG$2:$AG$17,MATCH(TRUE,COUNTIF(INDIRECT("'"&amp;Списки!$AG$2:$AG$17 &amp;"'!A1:A300000"),D163&amp;K163)&gt;0,0))&amp;"'!A:h"),7,0))),"")</f>
        <v/>
      </c>
      <c r="N163" s="1061"/>
      <c r="O163" s="808"/>
      <c r="P163" s="1054"/>
    </row>
    <row r="164" spans="2:16" ht="15" hidden="1" outlineLevel="1">
      <c r="B164" s="1062"/>
      <c r="C164" s="241" t="s">
        <v>72</v>
      </c>
      <c r="D164" s="241" t="s">
        <v>957</v>
      </c>
      <c r="E164" s="489" t="s">
        <v>1924</v>
      </c>
      <c r="F164" s="242" t="str">
        <f t="array" ref="F164">IF(C164="","",IF(OR(C164=Списки!$AG$15:$AG$17),"нет","да"))</f>
        <v>нет</v>
      </c>
      <c r="G164" s="301"/>
      <c r="H164" s="296"/>
      <c r="I164" s="213">
        <f>(F140/1000)*0.1*0.01*1850</f>
        <v>5.5500000000000007</v>
      </c>
      <c r="J164" s="696">
        <f>IF(L162=Списки!$AW$2,0,IF(C162="нет",0,IF(H164="",I164,H164)))*J163</f>
        <v>0</v>
      </c>
      <c r="K164" s="246" t="s">
        <v>193</v>
      </c>
      <c r="L164" s="303"/>
      <c r="M164" s="247">
        <f>IFERROR(IF(L164&lt;&gt;"","",VLOOKUP(C164&amp;'Калькулятор КНС'!D164&amp;'Калькулятор КНС'!K164,НН!A:J,10,)),"")</f>
        <v>310.2</v>
      </c>
      <c r="N164" s="237">
        <f t="shared" ref="N164:N170" si="21">IFERROR(IF(L164="",M164*J164,J164*L164),"")</f>
        <v>0</v>
      </c>
      <c r="O164" s="808"/>
      <c r="P164" s="1054"/>
    </row>
    <row r="165" spans="2:16" ht="15" hidden="1" outlineLevel="1">
      <c r="B165" s="1062"/>
      <c r="C165" s="241" t="s">
        <v>238</v>
      </c>
      <c r="D165" s="241" t="s">
        <v>238</v>
      </c>
      <c r="E165" s="489"/>
      <c r="F165" s="242" t="str">
        <f t="array" ref="F165">IF(C165="","",IF(OR(C165=Списки!$AG$15:$AG$17),"нет","да"))</f>
        <v>нет</v>
      </c>
      <c r="G165" s="301"/>
      <c r="H165" s="404"/>
      <c r="I165" s="213">
        <f>IF(COUNTIF(D164,"*мех*")=1,0.28,IF(COUNTIF(D164,"*ламин*")=1,0.56,1))</f>
        <v>1</v>
      </c>
      <c r="J165" s="277">
        <f>ROUNDUP(IF(E139=Списки!$AW$2,0,IF(H165="",IFERROR(J164*I165,""),H165)),1)</f>
        <v>0</v>
      </c>
      <c r="K165" s="246" t="s">
        <v>212</v>
      </c>
      <c r="L165" s="303"/>
      <c r="M165" s="247">
        <f>IFERROR(IF(L165&lt;&gt;"","",VLOOKUP(C165&amp;'Калькулятор КНС'!D165&amp;'Калькулятор КНС'!K165,НН!A:J,10,)),"")</f>
        <v>1207.8</v>
      </c>
      <c r="N165" s="237">
        <f t="shared" si="21"/>
        <v>0</v>
      </c>
      <c r="O165" s="808"/>
      <c r="P165" s="1054"/>
    </row>
    <row r="166" spans="2:16" ht="15" hidden="1" outlineLevel="1">
      <c r="B166" s="1062"/>
      <c r="C166" s="241" t="s">
        <v>72</v>
      </c>
      <c r="D166" s="241" t="s">
        <v>960</v>
      </c>
      <c r="E166" s="489" t="s">
        <v>1924</v>
      </c>
      <c r="F166" s="242" t="str">
        <f t="array" ref="F166">IF(C166="","",IF(OR(C166=Списки!$AG$15:$AG$17),"нет","да"))</f>
        <v>нет</v>
      </c>
      <c r="G166" s="301"/>
      <c r="H166" s="296"/>
      <c r="I166" s="213">
        <f>IF(H164="",3*J164/10,"")</f>
        <v>0</v>
      </c>
      <c r="J166" s="696">
        <f>IF(L164=Списки!$AW$2,0,IF(C164="нет",0,IF(H166="",I166,H166)))</f>
        <v>0</v>
      </c>
      <c r="K166" s="246" t="s">
        <v>193</v>
      </c>
      <c r="L166" s="303"/>
      <c r="M166" s="247">
        <f>IFERROR(IF(L166&lt;&gt;"","",VLOOKUP(C166&amp;'Калькулятор КНС'!D166&amp;'Калькулятор КНС'!K166,НН!A:J,10,)),"")</f>
        <v>310.2</v>
      </c>
      <c r="N166" s="237">
        <f t="shared" ref="N166:N167" si="22">IFERROR(IF(L166="",M166*J166,J166*L166),"")</f>
        <v>0</v>
      </c>
      <c r="O166" s="808"/>
      <c r="P166" s="1054"/>
    </row>
    <row r="167" spans="2:16" ht="15" hidden="1" outlineLevel="1">
      <c r="B167" s="1062"/>
      <c r="C167" s="241" t="s">
        <v>238</v>
      </c>
      <c r="D167" s="241" t="s">
        <v>238</v>
      </c>
      <c r="E167" s="489"/>
      <c r="F167" s="242" t="str">
        <f t="array" ref="F167">IF(C167="","",IF(OR(C167=Списки!$AG$15:$AG$17),"нет","да"))</f>
        <v>нет</v>
      </c>
      <c r="G167" s="301"/>
      <c r="H167" s="404"/>
      <c r="I167" s="213">
        <f>IF(COUNTIF(D166,"*мех*")=1,0.28,IF(COUNTIF(D166,"*ламин*")=1,0.56,1))</f>
        <v>0.56000000000000005</v>
      </c>
      <c r="J167" s="277">
        <f>ROUNDUP(IF(E141=Списки!$AW$2,0,IF(H167="",IFERROR(J166*I167,""),H167)),1)</f>
        <v>0</v>
      </c>
      <c r="K167" s="246" t="s">
        <v>212</v>
      </c>
      <c r="L167" s="303"/>
      <c r="M167" s="247">
        <f>IFERROR(IF(L167&lt;&gt;"","",VLOOKUP(C167&amp;'Калькулятор КНС'!D167&amp;'Калькулятор КНС'!K167,НН!A:J,10,)),"")</f>
        <v>1207.8</v>
      </c>
      <c r="N167" s="237">
        <f t="shared" si="22"/>
        <v>0</v>
      </c>
      <c r="O167" s="808"/>
      <c r="P167" s="1054"/>
    </row>
    <row r="168" spans="2:16" ht="15" hidden="1" outlineLevel="1">
      <c r="B168" s="1062"/>
      <c r="C168" s="241" t="s">
        <v>68</v>
      </c>
      <c r="D168" s="241" t="s">
        <v>696</v>
      </c>
      <c r="E168" s="1063"/>
      <c r="F168" s="242" t="str">
        <f t="array" ref="F168">IF(C168="","",IF(OR(C168=Списки!$AG$15:$AG$17),"нет","да"))</f>
        <v>да</v>
      </c>
      <c r="G168" s="301"/>
      <c r="H168" s="1064">
        <f>0.25*12</f>
        <v>3</v>
      </c>
      <c r="I168" s="213"/>
      <c r="J168" s="432">
        <f>IF(E168="нет",0,IF(F140&lt;1200,0,IF(C162="нет",0,IF(E139=Списки!$AW$2,0,IF(H168="",I168,H168)))))</f>
        <v>0</v>
      </c>
      <c r="K168" s="246" t="s">
        <v>163</v>
      </c>
      <c r="L168" s="303"/>
      <c r="M168" s="247">
        <f>IFERROR(IF(L168&lt;&gt;"","",VLOOKUP(C168&amp;'Калькулятор КНС'!D168&amp;'Калькулятор КНС'!K168,НН!A:J,10,)),"")</f>
        <v>190</v>
      </c>
      <c r="N168" s="237">
        <f t="shared" si="21"/>
        <v>0</v>
      </c>
      <c r="O168" s="808"/>
      <c r="P168" s="1054"/>
    </row>
    <row r="169" spans="2:16" ht="24" hidden="1" outlineLevel="1">
      <c r="B169" s="1062"/>
      <c r="C169" s="241" t="s">
        <v>68</v>
      </c>
      <c r="D169" s="241" t="s">
        <v>694</v>
      </c>
      <c r="E169" s="1063"/>
      <c r="F169" s="242" t="str">
        <f t="array" ref="F169">IF(C169="","",IF(OR(C169=Списки!$AG$15:$AG$17),"нет","да"))</f>
        <v>да</v>
      </c>
      <c r="G169" s="301"/>
      <c r="H169" s="1064">
        <f>0.1*0.05*12</f>
        <v>6.0000000000000012E-2</v>
      </c>
      <c r="I169" s="213"/>
      <c r="J169" s="432">
        <f>IF(E169="нет",0,IF(F140&lt;1200,0,IF(C162="нет",0,IF(E139=Списки!$AW$2,0,IF(H169="",I169,H169)))))</f>
        <v>0</v>
      </c>
      <c r="K169" s="246" t="s">
        <v>223</v>
      </c>
      <c r="L169" s="303"/>
      <c r="M169" s="247">
        <f>IFERROR(IF(L169&lt;&gt;"","",VLOOKUP(C169&amp;'Калькулятор КНС'!D169&amp;'Калькулятор КНС'!K169,НН!A:J,10,)),"")</f>
        <v>5833.33</v>
      </c>
      <c r="N169" s="237">
        <f t="shared" si="21"/>
        <v>0</v>
      </c>
      <c r="O169" s="808"/>
      <c r="P169" s="1054"/>
    </row>
    <row r="170" spans="2:16" ht="15" hidden="1" outlineLevel="1">
      <c r="B170" s="800"/>
      <c r="C170" s="241" t="s">
        <v>68</v>
      </c>
      <c r="D170" s="241" t="s">
        <v>686</v>
      </c>
      <c r="E170" s="1063"/>
      <c r="F170" s="242" t="str">
        <f t="array" ref="F170">IF(C170="","",IF(OR(C170=Списки!$AG$15:$AG$17),"нет","да"))</f>
        <v>да</v>
      </c>
      <c r="G170" s="301"/>
      <c r="H170" s="1064">
        <v>6</v>
      </c>
      <c r="I170" s="213"/>
      <c r="J170" s="432">
        <f>IF(E170="нет",0,IF(F140&lt;1200,0,IF(C162="нет",0,IF(E139=Списки!$AW$2,0,IF(H170="",I170,H170)))))</f>
        <v>0</v>
      </c>
      <c r="K170" s="246" t="s">
        <v>163</v>
      </c>
      <c r="L170" s="303">
        <v>2000</v>
      </c>
      <c r="M170" s="247" t="str">
        <f>IFERROR(IF(L170&lt;&gt;"","",VLOOKUP(C170&amp;'Калькулятор КНС'!D170&amp;'Калькулятор КНС'!K170,НН!A:J,10,)),"")</f>
        <v/>
      </c>
      <c r="N170" s="237">
        <f t="shared" si="21"/>
        <v>0</v>
      </c>
      <c r="O170" s="808"/>
      <c r="P170" s="1054"/>
    </row>
    <row r="171" spans="2:16" ht="15">
      <c r="B171" s="179"/>
      <c r="C171" s="1069"/>
      <c r="D171" s="1069"/>
      <c r="E171" s="1070"/>
      <c r="F171" s="1071"/>
      <c r="G171" s="1072"/>
      <c r="H171" s="1080"/>
      <c r="I171" s="1073"/>
      <c r="J171" s="1074"/>
      <c r="K171" s="1075"/>
      <c r="L171" s="1081"/>
      <c r="M171" s="1076"/>
      <c r="N171" s="1077"/>
      <c r="O171" s="808"/>
      <c r="P171" s="1054"/>
    </row>
    <row r="172" spans="2:16" ht="15" outlineLevel="2">
      <c r="B172" s="179"/>
      <c r="C172" s="387" t="s">
        <v>115</v>
      </c>
      <c r="D172" s="426" t="s">
        <v>430</v>
      </c>
      <c r="E172" s="255"/>
      <c r="F172" s="774"/>
      <c r="G172" s="458"/>
      <c r="H172" s="465">
        <v>1</v>
      </c>
      <c r="I172" s="178" t="s">
        <v>129</v>
      </c>
      <c r="J172" s="458"/>
      <c r="K172" s="458"/>
      <c r="L172" s="458"/>
      <c r="M172" s="459" t="str">
        <f t="array" aca="1" ref="M172" ca="1">IFERROR(IF(L172&lt;&gt;"","",IF((VLOOKUP(D172&amp;K172,INDIRECT("'"&amp;INDEX(Списки!$AG$2:$AG$17,MATCH(TRUE,COUNTIF(INDIRECT("'"&amp;Списки!$AG$2:$AG$17 &amp;"'!A1:A300000"),D172&amp;K172)&gt;0,0))&amp;"'!A:h"),7,0))=0,"",VLOOKUP(D172&amp;K172,INDIRECT("'"&amp;INDEX(Списки!$AG$2:$AG$17,MATCH(TRUE,COUNTIF(INDIRECT("'"&amp;Списки!$AG$2:$AG$17 &amp;"'!A1:A300000"),D172&amp;K172)&gt;0,0))&amp;"'!A:h"),7,0))),"")</f>
        <v/>
      </c>
      <c r="N172" s="460"/>
    </row>
    <row r="173" spans="2:16" ht="15" outlineLevel="2">
      <c r="B173" s="179"/>
      <c r="C173" s="208" t="s">
        <v>68</v>
      </c>
      <c r="D173" s="180" t="s">
        <v>1441</v>
      </c>
      <c r="E173" s="429" t="s">
        <v>417</v>
      </c>
      <c r="F173" s="212" t="str">
        <f t="array" ref="F173">IF(C173="","",IF(OR(C173=Списки!$AG$15:$AG$17),"нет","да"))</f>
        <v>да</v>
      </c>
      <c r="G173" s="454"/>
      <c r="H173" s="210">
        <v>2</v>
      </c>
      <c r="I173" s="456"/>
      <c r="J173" s="245">
        <f>IF(C172="нет",0,H173)*H172</f>
        <v>2</v>
      </c>
      <c r="K173" s="178" t="s">
        <v>223</v>
      </c>
      <c r="L173" s="226"/>
      <c r="M173" s="188">
        <f>IFERROR(IF(L173&lt;&gt;"","",VLOOKUP(C173&amp;'Калькулятор КНС'!D173&amp;'Калькулятор КНС'!K173,НН!A:J,10,)),"")</f>
        <v>13039</v>
      </c>
      <c r="N173" s="202">
        <f t="shared" si="17"/>
        <v>26078</v>
      </c>
      <c r="O173" s="167"/>
    </row>
    <row r="174" spans="2:16" ht="15" outlineLevel="2">
      <c r="B174" s="179"/>
      <c r="C174" s="208" t="s">
        <v>68</v>
      </c>
      <c r="D174" s="180" t="s">
        <v>1449</v>
      </c>
      <c r="E174" s="429" t="s">
        <v>417</v>
      </c>
      <c r="F174" s="212" t="str">
        <f t="array" ref="F174">IF(C174="","",IF(OR(C174=Списки!$AG$15:$AG$17),"нет","да"))</f>
        <v>да</v>
      </c>
      <c r="G174" s="466"/>
      <c r="H174" s="210">
        <v>6</v>
      </c>
      <c r="I174" s="456"/>
      <c r="J174" s="245">
        <f>IF(C172="нет",0,H174)*H172</f>
        <v>6</v>
      </c>
      <c r="K174" s="178" t="s">
        <v>163</v>
      </c>
      <c r="L174" s="226"/>
      <c r="M174" s="188">
        <f>IFERROR(IF(L174&lt;&gt;"","",VLOOKUP(C174&amp;'Калькулятор КНС'!D174&amp;'Калькулятор КНС'!K174,НН!A:J,10,)),"")</f>
        <v>1050</v>
      </c>
      <c r="N174" s="202">
        <f t="shared" si="17"/>
        <v>6300</v>
      </c>
      <c r="O174" s="167"/>
    </row>
    <row r="175" spans="2:16" ht="15" outlineLevel="2">
      <c r="B175" s="179"/>
      <c r="C175" s="208" t="s">
        <v>68</v>
      </c>
      <c r="D175" s="180" t="s">
        <v>686</v>
      </c>
      <c r="E175" s="429" t="s">
        <v>417</v>
      </c>
      <c r="F175" s="212" t="str">
        <f t="array" ref="F175">IF(C175="","",IF(OR(C175=Списки!$AG$15:$AG$17),"нет","да"))</f>
        <v>да</v>
      </c>
      <c r="G175" s="466"/>
      <c r="H175" s="210">
        <v>8</v>
      </c>
      <c r="I175" s="456"/>
      <c r="J175" s="245">
        <f>IF(C172="нет",0,H175)*H172</f>
        <v>8</v>
      </c>
      <c r="K175" s="178" t="s">
        <v>163</v>
      </c>
      <c r="L175" s="226"/>
      <c r="M175" s="188">
        <f>IFERROR(IF(L175&lt;&gt;"","",VLOOKUP(C175&amp;'Калькулятор КНС'!D175&amp;'Калькулятор КНС'!K175,НН!A:J,10,)),"")</f>
        <v>2000</v>
      </c>
      <c r="N175" s="202">
        <f t="shared" si="17"/>
        <v>16000</v>
      </c>
      <c r="O175" s="214"/>
    </row>
    <row r="176" spans="2:16" ht="15">
      <c r="B176" s="179"/>
      <c r="C176" s="449"/>
      <c r="D176" s="445"/>
      <c r="E176" s="255"/>
      <c r="F176" s="212"/>
      <c r="G176" s="447"/>
      <c r="H176" s="447"/>
      <c r="I176" s="447"/>
      <c r="J176" s="669"/>
      <c r="K176" s="178"/>
      <c r="L176" s="226"/>
      <c r="M176" s="188"/>
      <c r="N176" s="202"/>
      <c r="O176" s="214"/>
    </row>
    <row r="177" spans="2:15" ht="15" outlineLevel="1">
      <c r="B177" s="179"/>
      <c r="C177" s="1211"/>
      <c r="D177" s="775" t="s">
        <v>688</v>
      </c>
      <c r="E177" s="1212" t="s">
        <v>2074</v>
      </c>
      <c r="F177" s="242"/>
      <c r="G177" s="1098"/>
      <c r="H177" s="1099">
        <v>1</v>
      </c>
      <c r="I177" s="246" t="s">
        <v>129</v>
      </c>
      <c r="J177" s="234"/>
      <c r="K177" s="1437"/>
      <c r="L177" s="1438"/>
      <c r="M177" s="247"/>
      <c r="N177" s="237"/>
      <c r="O177" s="214"/>
    </row>
    <row r="178" spans="2:15" ht="15" outlineLevel="1">
      <c r="B178" s="179"/>
      <c r="C178" s="666" t="s">
        <v>68</v>
      </c>
      <c r="D178" s="241" t="s">
        <v>403</v>
      </c>
      <c r="E178" s="1100" t="s">
        <v>417</v>
      </c>
      <c r="F178" s="242" t="str">
        <f t="array" ref="F178">IF(C178="","",IF(OR(C178=Списки!$AG$15:$AG$17),"нет","да"))</f>
        <v>да</v>
      </c>
      <c r="G178" s="1101"/>
      <c r="H178" s="430">
        <v>4</v>
      </c>
      <c r="I178" s="456"/>
      <c r="J178" s="245">
        <f>IF(ОЛ_НАСОСНАЯ_СТАНЦИЯ!E27="нет",0,H178)*H177</f>
        <v>4</v>
      </c>
      <c r="K178" s="246" t="s">
        <v>163</v>
      </c>
      <c r="L178" s="303"/>
      <c r="M178" s="247">
        <f>IFERROR(IF(L178&lt;&gt;"","",VLOOKUP(C178&amp;'Калькулятор КНС'!D178&amp;'Калькулятор КНС'!K178,НН!A:J,10,)),"")</f>
        <v>1000</v>
      </c>
      <c r="N178" s="237">
        <f t="shared" si="17"/>
        <v>4000</v>
      </c>
      <c r="O178" s="167" t="s">
        <v>1943</v>
      </c>
    </row>
    <row r="179" spans="2:15" ht="15" outlineLevel="1">
      <c r="B179" s="179"/>
      <c r="C179" s="666" t="s">
        <v>68</v>
      </c>
      <c r="D179" s="241" t="s">
        <v>689</v>
      </c>
      <c r="E179" s="1100" t="s">
        <v>417</v>
      </c>
      <c r="F179" s="242" t="str">
        <f t="array" ref="F179">IF(C179="","",IF(OR(C179=Списки!$AG$15:$AG$17),"нет","да"))</f>
        <v>да</v>
      </c>
      <c r="G179" s="1101"/>
      <c r="H179" s="430">
        <v>0.02</v>
      </c>
      <c r="I179" s="456"/>
      <c r="J179" s="245">
        <f>IF(ОЛ_НАСОСНАЯ_СТАНЦИЯ!E27="нет",0,H179)*H177</f>
        <v>0.02</v>
      </c>
      <c r="K179" s="246" t="s">
        <v>223</v>
      </c>
      <c r="L179" s="303"/>
      <c r="M179" s="247">
        <f>IFERROR(IF(L179&lt;&gt;"","",VLOOKUP(C179&amp;'Калькулятор КНС'!D179&amp;'Калькулятор КНС'!K179,НН!A:J,10,)),"")</f>
        <v>12500</v>
      </c>
      <c r="N179" s="237">
        <f t="shared" si="17"/>
        <v>250</v>
      </c>
      <c r="O179" s="214"/>
    </row>
    <row r="180" spans="2:15" ht="15">
      <c r="B180" s="179"/>
      <c r="C180" s="208"/>
      <c r="D180" s="180"/>
      <c r="E180" s="1093"/>
      <c r="F180" s="1022"/>
      <c r="G180" s="1066"/>
      <c r="H180" s="966"/>
      <c r="I180" s="971"/>
      <c r="J180" s="234"/>
      <c r="K180" s="1007"/>
      <c r="L180" s="1010"/>
      <c r="M180" s="1011"/>
      <c r="N180" s="202"/>
      <c r="O180" s="214"/>
    </row>
    <row r="181" spans="2:15" ht="15">
      <c r="B181" s="179"/>
      <c r="C181" s="208"/>
      <c r="D181" s="180"/>
      <c r="E181" s="255"/>
      <c r="F181" s="212"/>
      <c r="G181" s="454"/>
      <c r="H181" s="184"/>
      <c r="I181" s="213"/>
      <c r="J181" s="234"/>
      <c r="K181" s="178"/>
      <c r="L181" s="226"/>
      <c r="M181" s="188" t="str">
        <f>IFERROR(IF(L181&lt;&gt;"","",VLOOKUP(C181&amp;'Калькулятор КНС'!D181&amp;'Калькулятор КНС'!K181,НН!A:J,10,)),"")</f>
        <v/>
      </c>
      <c r="N181" s="189"/>
      <c r="O181" s="214"/>
    </row>
    <row r="182" spans="2:15" ht="15" outlineLevel="1">
      <c r="B182" s="179"/>
      <c r="C182" s="475" t="s">
        <v>115</v>
      </c>
      <c r="D182" s="775" t="s">
        <v>432</v>
      </c>
      <c r="E182" s="489"/>
      <c r="F182" s="776"/>
      <c r="G182" s="777"/>
      <c r="H182" s="777"/>
      <c r="I182" s="777"/>
      <c r="J182" s="777"/>
      <c r="K182" s="777"/>
      <c r="L182" s="777"/>
      <c r="M182" s="778" t="str">
        <f t="array" aca="1" ref="M182" ca="1">IFERROR(IF((VLOOKUP(D182,INDIRECT("'"&amp;INDEX(Списки!$AG$2:$AG$17,MATCH(TRUE,COUNTIF(INDIRECT("'"&amp;Списки!$AG$2:$AG$17 &amp;"'!A1:A300000"),D182)&gt;0,0))&amp;"'!A:C"),3,0))=0,"",VLOOKUP(D182,INDIRECT("'"&amp;INDEX(Списки!$AG$2:$AG$17,MATCH(TRUE,COUNTIF(INDIRECT("'"&amp;Списки!$AG$2:$AG$17 &amp;"'!A1:A300000"),D182)&gt;0,0))&amp;"'!A:C"),3,0)),"")</f>
        <v/>
      </c>
      <c r="N182" s="779"/>
      <c r="O182" s="214"/>
    </row>
    <row r="183" spans="2:15" ht="15" outlineLevel="1">
      <c r="B183" s="179"/>
      <c r="C183" s="241"/>
      <c r="D183" s="780" t="s">
        <v>433</v>
      </c>
      <c r="E183" s="429" t="s">
        <v>417</v>
      </c>
      <c r="F183" s="242" t="str">
        <f t="array" ref="F183">IF(C183="","",IF(OR(C183=Списки!$AG$15:$AG$17),"нет","да"))</f>
        <v/>
      </c>
      <c r="G183" s="781"/>
      <c r="H183" s="430">
        <v>24</v>
      </c>
      <c r="I183" s="456"/>
      <c r="J183" s="245">
        <f>IF(C182="нет",0,H183)</f>
        <v>24</v>
      </c>
      <c r="K183" s="246" t="s">
        <v>129</v>
      </c>
      <c r="L183" s="782"/>
      <c r="M183" s="783" t="str">
        <f t="array" aca="1" ref="M183" ca="1">IFERROR(IF(L183&lt;&gt;"","",IF((VLOOKUP(D183&amp;K183,INDIRECT("'"&amp;INDEX(Списки!$AG$2:$AG$17,MATCH(TRUE,COUNTIF(INDIRECT("'"&amp;Списки!$AG$2:$AG$17 &amp;"'!A1:A300000"),D183&amp;K183)&gt;0,0))&amp;"'!A:h"),7,0))=0,"",VLOOKUP(D183&amp;K183,INDIRECT("'"&amp;INDEX(Списки!$AG$2:$AG$17,MATCH(TRUE,COUNTIF(INDIRECT("'"&amp;Списки!$AG$2:$AG$17 &amp;"'!A1:A300000"),D183&amp;K183)&gt;0,0))&amp;"'!A:h"),7,0))),"")</f>
        <v/>
      </c>
      <c r="N183" s="784"/>
      <c r="O183" s="214"/>
    </row>
    <row r="184" spans="2:15" ht="15" outlineLevel="1">
      <c r="B184" s="179"/>
      <c r="C184" s="241"/>
      <c r="D184" s="780" t="s">
        <v>434</v>
      </c>
      <c r="E184" s="489"/>
      <c r="F184" s="242" t="str">
        <f t="array" ref="F184">IF(C184="","",IF(OR(C184=Списки!$AG$15:$AG$17),"нет","да"))</f>
        <v/>
      </c>
      <c r="G184" s="781"/>
      <c r="H184" s="244"/>
      <c r="I184" s="213">
        <f>IF(H184="",0.15,"")</f>
        <v>0.15</v>
      </c>
      <c r="J184" s="234">
        <f>IF($C$182="нет",0,IF(H184="",I184,H184))</f>
        <v>0.15</v>
      </c>
      <c r="K184" s="246" t="s">
        <v>163</v>
      </c>
      <c r="L184" s="785"/>
      <c r="M184" s="786" t="str">
        <f t="array" aca="1" ref="M184" ca="1">IFERROR(IF(L184&lt;&gt;"","",IF((VLOOKUP(D184&amp;K184,INDIRECT("'"&amp;INDEX(Списки!$AG$2:$AG$17,MATCH(TRUE,COUNTIF(INDIRECT("'"&amp;Списки!$AG$2:$AG$17 &amp;"'!A1:A300000"),D184&amp;K184)&gt;0,0))&amp;"'!A:h"),7,0))=0,"",VLOOKUP(D184&amp;K184,INDIRECT("'"&amp;INDEX(Списки!$AG$2:$AG$17,MATCH(TRUE,COUNTIF(INDIRECT("'"&amp;Списки!$AG$2:$AG$17 &amp;"'!A1:A300000"),D184&amp;K184)&gt;0,0))&amp;"'!A:h"),7,0))),"")</f>
        <v/>
      </c>
      <c r="N184" s="787" t="str">
        <f t="shared" ca="1" si="17"/>
        <v/>
      </c>
      <c r="O184" s="214"/>
    </row>
    <row r="185" spans="2:15" ht="15" outlineLevel="1">
      <c r="B185" s="179"/>
      <c r="C185" s="241" t="s">
        <v>68</v>
      </c>
      <c r="D185" s="241" t="s">
        <v>435</v>
      </c>
      <c r="E185" s="489"/>
      <c r="F185" s="242" t="str">
        <f t="array" ref="F185">IF(C185="","",IF(OR(C185=Списки!$AG$15:$AG$17),"нет","да"))</f>
        <v>да</v>
      </c>
      <c r="G185" s="301"/>
      <c r="H185" s="244"/>
      <c r="I185" s="213"/>
      <c r="J185" s="234">
        <f>IF($C$182="нет",0,IF(H185="",J184*J183,H185))</f>
        <v>3.5999999999999996</v>
      </c>
      <c r="K185" s="246" t="s">
        <v>163</v>
      </c>
      <c r="L185" s="303"/>
      <c r="M185" s="247">
        <f>IFERROR(IF(L185&lt;&gt;"","",VLOOKUP(C185&amp;'Калькулятор КНС'!D185&amp;'Калькулятор КНС'!K185,НН!A:J,10,)),"")</f>
        <v>3700</v>
      </c>
      <c r="N185" s="237">
        <f t="shared" si="17"/>
        <v>13319.999999999998</v>
      </c>
      <c r="O185" s="214"/>
    </row>
    <row r="186" spans="2:15" ht="15" outlineLevel="1">
      <c r="B186" s="179"/>
      <c r="C186" s="241" t="s">
        <v>72</v>
      </c>
      <c r="D186" s="241" t="s">
        <v>436</v>
      </c>
      <c r="E186" s="276"/>
      <c r="F186" s="242" t="str">
        <f t="array" ref="F186">IF(C186="","",IF(OR(C186=Списки!$AG$15:$AG$17),"нет","да"))</f>
        <v>нет</v>
      </c>
      <c r="G186" s="272"/>
      <c r="H186" s="430"/>
      <c r="I186" s="213">
        <f>2*0.15*H183</f>
        <v>7.1999999999999993</v>
      </c>
      <c r="J186" s="234">
        <f>IF($C$182="нет",0,IF(H186="",I186,H186))</f>
        <v>7.1999999999999993</v>
      </c>
      <c r="K186" s="246" t="s">
        <v>193</v>
      </c>
      <c r="L186" s="303"/>
      <c r="M186" s="247">
        <f>IFERROR(IF(L186&lt;&gt;"","",VLOOKUP(C186&amp;'Калькулятор КНС'!D186&amp;'Калькулятор КНС'!K186,НН!A:J,10,)),"")</f>
        <v>310.2</v>
      </c>
      <c r="N186" s="237">
        <f t="shared" si="17"/>
        <v>2233.4399999999996</v>
      </c>
      <c r="O186" s="214"/>
    </row>
    <row r="187" spans="2:15" ht="24" outlineLevel="1">
      <c r="B187" s="179"/>
      <c r="C187" s="241" t="s">
        <v>238</v>
      </c>
      <c r="D187" s="241" t="s">
        <v>238</v>
      </c>
      <c r="E187" s="271" t="str">
        <f>IFERROR(IF(SEARCH("*петель*",D187)=1,IF(ОЛ_НАСОСНАЯ_СТАНЦИЯ!E20&lt;2000,"Прим. - Петля простая","Прим. - Петля усиленная"),""),"")</f>
        <v/>
      </c>
      <c r="F187" s="242" t="str">
        <f t="array" ref="F187">IF(C187="","",IF(OR(C187=Списки!$AG$15:$AG$17),"нет","да"))</f>
        <v>нет</v>
      </c>
      <c r="G187" s="272"/>
      <c r="H187" s="430"/>
      <c r="I187" s="213">
        <f>IF(COUNTIF(D186,"*мех*")=1,0.28,IF(COUNTIF(D186,"*ламин*")=1,0.56,1))</f>
        <v>0.56000000000000005</v>
      </c>
      <c r="J187" s="277">
        <f>ROUNDUP(IF(H187="",IFERROR(J186*I187,""),H187),1)</f>
        <v>4.0999999999999996</v>
      </c>
      <c r="K187" s="246" t="s">
        <v>212</v>
      </c>
      <c r="L187" s="303"/>
      <c r="M187" s="247">
        <f>IFERROR(IF(L187&lt;&gt;"","",VLOOKUP(C187&amp;'Калькулятор КНС'!D187&amp;'Калькулятор КНС'!K187,НН!A:J,10,)),"")</f>
        <v>1207.8</v>
      </c>
      <c r="N187" s="237">
        <f t="shared" si="17"/>
        <v>4951.9799999999996</v>
      </c>
      <c r="O187" s="167" t="s">
        <v>690</v>
      </c>
    </row>
    <row r="188" spans="2:15" ht="15">
      <c r="B188" s="179"/>
      <c r="C188" s="241"/>
      <c r="D188" s="241"/>
      <c r="E188" s="489"/>
      <c r="F188" s="788"/>
      <c r="G188" s="789"/>
      <c r="H188" s="790"/>
      <c r="I188" s="288"/>
      <c r="J188" s="470"/>
      <c r="K188" s="791"/>
      <c r="L188" s="303"/>
      <c r="M188" s="247" t="str">
        <f>IFERROR(IF(L188&lt;&gt;"","",VLOOKUP(C188&amp;'Калькулятор КНС'!D188&amp;'Калькулятор КНС'!K188,НН!A:J,10,)),"")</f>
        <v/>
      </c>
      <c r="N188" s="490"/>
      <c r="O188" s="214"/>
    </row>
    <row r="189" spans="2:15" ht="15" outlineLevel="1">
      <c r="B189" s="179"/>
      <c r="C189" s="264" t="s">
        <v>115</v>
      </c>
      <c r="D189" s="426" t="s">
        <v>577</v>
      </c>
      <c r="E189" s="471" t="s">
        <v>578</v>
      </c>
      <c r="F189" s="215"/>
      <c r="G189" s="216"/>
      <c r="H189" s="227"/>
      <c r="I189" s="288"/>
      <c r="J189" s="470"/>
      <c r="K189" s="220"/>
      <c r="L189" s="221"/>
      <c r="M189" s="222" t="str">
        <f t="array" aca="1" ref="M189" ca="1">IFERROR(IF(L189&lt;&gt;"","",IF((VLOOKUP(D189&amp;K189,INDIRECT("'"&amp;INDEX(Списки!$AG$2:$AG$17,MATCH(TRUE,COUNTIF(INDIRECT("'"&amp;Списки!$AG$2:$AG$17 &amp;"'!A1:A300000"),D189&amp;K189)&gt;0,0))&amp;"'!A:h"),7,0))=0,"",VLOOKUP(D189&amp;K189,INDIRECT("'"&amp;INDEX(Списки!$AG$2:$AG$17,MATCH(TRUE,COUNTIF(INDIRECT("'"&amp;Списки!$AG$2:$AG$17 &amp;"'!A1:A300000"),D189&amp;K189)&gt;0,0))&amp;"'!A:h"),7,0))),"")</f>
        <v/>
      </c>
      <c r="N189" s="223"/>
      <c r="O189" s="214"/>
    </row>
    <row r="190" spans="2:15" ht="26.25" customHeight="1" outlineLevel="1">
      <c r="B190" s="179"/>
      <c r="C190" s="180" t="s">
        <v>68</v>
      </c>
      <c r="D190" s="180" t="s">
        <v>1452</v>
      </c>
      <c r="E190" s="702" t="s">
        <v>2081</v>
      </c>
      <c r="F190" s="212" t="str">
        <f t="array" ref="F190">IF(C190="","",IF(OR(C190=Списки!$AG$15:$AG$17),"нет","да"))</f>
        <v>да</v>
      </c>
      <c r="G190" s="454"/>
      <c r="H190" s="184"/>
      <c r="I190" s="213">
        <f>IF(H190="",J14*(ОЛ_НАСОСНАЯ_СТАНЦИЯ!E55+ОЛ_НАСОСНАЯ_СТАНЦИЯ!E56)*2,"")</f>
        <v>69</v>
      </c>
      <c r="J190" s="234">
        <f>IF(C189="нет",0,IF(H190="",I190,H190))</f>
        <v>69</v>
      </c>
      <c r="K190" s="178" t="s">
        <v>163</v>
      </c>
      <c r="L190" s="226"/>
      <c r="M190" s="188">
        <f>IFERROR(IF(L190&lt;&gt;"","",VLOOKUP(C190&amp;'Калькулятор КНС'!D190&amp;'Калькулятор КНС'!K190,НН!A:J,10,)),"")</f>
        <v>2500</v>
      </c>
      <c r="N190" s="202">
        <f t="shared" si="17"/>
        <v>172500</v>
      </c>
      <c r="O190" s="214"/>
    </row>
    <row r="191" spans="2:15" ht="15" outlineLevel="1">
      <c r="B191" s="179"/>
      <c r="C191" s="180" t="s">
        <v>68</v>
      </c>
      <c r="D191" s="180" t="s">
        <v>581</v>
      </c>
      <c r="E191" s="429" t="s">
        <v>417</v>
      </c>
      <c r="F191" s="212" t="str">
        <f t="array" ref="F191">IF(C191="","",IF(OR(C191=Списки!$AG$15:$AG$17),"нет","да"))</f>
        <v>да</v>
      </c>
      <c r="G191" s="204"/>
      <c r="H191" s="210">
        <v>5</v>
      </c>
      <c r="I191" s="213"/>
      <c r="J191" s="234">
        <f>IF(C189="нет",0,IF(H191="",I191,H191))</f>
        <v>5</v>
      </c>
      <c r="K191" s="178" t="s">
        <v>163</v>
      </c>
      <c r="L191" s="226"/>
      <c r="M191" s="188">
        <f>IFERROR(IF(L191&lt;&gt;"","",VLOOKUP(C191&amp;'Калькулятор КНС'!D191&amp;'Калькулятор КНС'!K191,НН!A:J,10,)),"")</f>
        <v>1000</v>
      </c>
      <c r="N191" s="202">
        <f t="shared" si="17"/>
        <v>5000</v>
      </c>
      <c r="O191" s="214"/>
    </row>
    <row r="192" spans="2:15" ht="15" outlineLevel="1">
      <c r="B192" s="179"/>
      <c r="C192" s="180" t="s">
        <v>68</v>
      </c>
      <c r="D192" s="180" t="s">
        <v>696</v>
      </c>
      <c r="E192" s="429" t="s">
        <v>417</v>
      </c>
      <c r="F192" s="212" t="str">
        <f t="array" ref="F192">IF(C192="","",IF(OR(C192=Списки!$AG$15:$AG$17),"нет","да"))</f>
        <v>да</v>
      </c>
      <c r="G192" s="454"/>
      <c r="H192" s="210">
        <v>1</v>
      </c>
      <c r="I192" s="213"/>
      <c r="J192" s="234">
        <f>IF(C189="нет",0,IF(H192="",I192,H192))</f>
        <v>1</v>
      </c>
      <c r="K192" s="178" t="s">
        <v>163</v>
      </c>
      <c r="L192" s="226"/>
      <c r="M192" s="188">
        <f>IFERROR(IF(L192&lt;&gt;"","",VLOOKUP(C192&amp;'Калькулятор КНС'!D192&amp;'Калькулятор КНС'!K192,НН!A:J,10,)),"")</f>
        <v>190</v>
      </c>
      <c r="N192" s="202">
        <f t="shared" si="17"/>
        <v>190</v>
      </c>
      <c r="O192" s="214"/>
    </row>
    <row r="193" spans="2:15" ht="15">
      <c r="B193" s="179"/>
      <c r="C193" s="180"/>
      <c r="D193" s="180"/>
      <c r="E193" s="255"/>
      <c r="F193" s="215"/>
      <c r="G193" s="216"/>
      <c r="H193" s="227"/>
      <c r="I193" s="288"/>
      <c r="J193" s="470"/>
      <c r="K193" s="220"/>
      <c r="L193" s="226"/>
      <c r="M193" s="188" t="str">
        <f>IFERROR(IF(L193&lt;&gt;"","",VLOOKUP(C193&amp;'Калькулятор КНС'!D193&amp;'Калькулятор КНС'!K193,НН!A:J,10,)),"")</f>
        <v/>
      </c>
      <c r="N193" s="189"/>
      <c r="O193" s="214"/>
    </row>
    <row r="194" spans="2:15" ht="15" outlineLevel="1">
      <c r="B194" s="179"/>
      <c r="C194" s="264" t="s">
        <v>115</v>
      </c>
      <c r="D194" s="426" t="s">
        <v>64</v>
      </c>
      <c r="E194" s="255"/>
      <c r="F194" s="215"/>
      <c r="G194" s="216"/>
      <c r="H194" s="216"/>
      <c r="I194" s="216"/>
      <c r="J194" s="470"/>
      <c r="K194" s="220"/>
      <c r="L194" s="221"/>
      <c r="M194" s="222"/>
      <c r="N194" s="223"/>
      <c r="O194" s="214"/>
    </row>
    <row r="195" spans="2:15" ht="24" outlineLevel="1">
      <c r="B195" s="179"/>
      <c r="C195" s="180" t="s">
        <v>64</v>
      </c>
      <c r="D195" s="180" t="s">
        <v>363</v>
      </c>
      <c r="E195" s="472" t="str">
        <f>"Для подъема и спуска насосов L= "&amp;ROUNDUP((H5/1000+1),0)&amp;" м"</f>
        <v>Для подъема и спуска насосов L= 13 м</v>
      </c>
      <c r="F195" s="212" t="str">
        <f t="array" ref="F195">IF(C195="","",IF(OR(C195=Списки!$AG$15:$AG$17),"нет","да"))</f>
        <v>да</v>
      </c>
      <c r="G195" s="454"/>
      <c r="H195" s="262"/>
      <c r="I195" s="272">
        <f>IF(H195="",ROUNDUP((ОЛ_НАСОСНАЯ_СТАНЦИЯ!E55+ОЛ_НАСОСНАЯ_СТАНЦИЯ!E56)*('Калькулятор КНС'!H5/1000+1),),"")</f>
        <v>39</v>
      </c>
      <c r="J195" s="245">
        <f>IF(C194="нет",0,IF(H195="",I195,H195))</f>
        <v>39</v>
      </c>
      <c r="K195" s="178" t="s">
        <v>163</v>
      </c>
      <c r="L195" s="226"/>
      <c r="M195" s="188">
        <f>IFERROR(IF(L195&lt;&gt;"","",VLOOKUP(C195&amp;'Калькулятор КНС'!D195&amp;'Калькулятор КНС'!K195,НН!A:J,10,)),"")</f>
        <v>450</v>
      </c>
      <c r="N195" s="468">
        <f t="shared" si="17"/>
        <v>17550</v>
      </c>
      <c r="O195" s="670" t="s">
        <v>1911</v>
      </c>
    </row>
    <row r="196" spans="2:15" ht="15" outlineLevel="1">
      <c r="B196" s="179"/>
      <c r="C196" s="180" t="s">
        <v>64</v>
      </c>
      <c r="D196" s="180" t="s">
        <v>675</v>
      </c>
      <c r="E196" s="473"/>
      <c r="F196" s="212" t="str">
        <f t="array" ref="F196">IF(C196="","",IF(OR(C196=Списки!$AG$15:$AG$17),"нет","да"))</f>
        <v>да</v>
      </c>
      <c r="G196" s="454"/>
      <c r="H196" s="262"/>
      <c r="I196" s="272">
        <f>IF(H196="",ROUNDUP(I195,),"")</f>
        <v>39</v>
      </c>
      <c r="J196" s="245">
        <f>IF(C194="нет",0,I196)</f>
        <v>39</v>
      </c>
      <c r="K196" s="178" t="s">
        <v>129</v>
      </c>
      <c r="L196" s="226"/>
      <c r="M196" s="188">
        <f>IFERROR(IF(L196&lt;&gt;"","",VLOOKUP(C196&amp;'Калькулятор КНС'!D196&amp;'Калькулятор КНС'!K196,НН!A:J,10,)),"")</f>
        <v>150</v>
      </c>
      <c r="N196" s="468">
        <f t="shared" si="17"/>
        <v>5850</v>
      </c>
      <c r="O196" s="214"/>
    </row>
    <row r="197" spans="2:15" ht="15" outlineLevel="1">
      <c r="B197" s="179"/>
      <c r="C197" s="180" t="s">
        <v>64</v>
      </c>
      <c r="D197" s="180" t="s">
        <v>674</v>
      </c>
      <c r="E197" s="473"/>
      <c r="F197" s="212" t="str">
        <f t="array" ref="F197">IF(C197="","",IF(OR(C197=Списки!$AG$15:$AG$17),"нет","да"))</f>
        <v>да</v>
      </c>
      <c r="G197" s="454"/>
      <c r="H197" s="703"/>
      <c r="I197" s="272">
        <f>I195</f>
        <v>39</v>
      </c>
      <c r="J197" s="245">
        <f>IF(C194="нет",0,IF(H197="",I197,H197))</f>
        <v>39</v>
      </c>
      <c r="K197" s="178" t="s">
        <v>129</v>
      </c>
      <c r="L197" s="226"/>
      <c r="M197" s="188">
        <f>IFERROR(IF(L197&lt;&gt;"","",VLOOKUP(C197&amp;'Калькулятор КНС'!D197&amp;'Калькулятор КНС'!K197,НН!A:J,10,)),"")</f>
        <v>600</v>
      </c>
      <c r="N197" s="468">
        <f t="shared" si="17"/>
        <v>23400</v>
      </c>
      <c r="O197" s="214"/>
    </row>
    <row r="198" spans="2:15" ht="15">
      <c r="B198" s="179"/>
      <c r="C198" s="967"/>
      <c r="D198" s="967"/>
      <c r="E198" s="978"/>
      <c r="F198" s="968"/>
      <c r="G198" s="979"/>
      <c r="H198" s="969"/>
      <c r="I198" s="980"/>
      <c r="J198" s="972"/>
      <c r="K198" s="973"/>
      <c r="L198" s="974"/>
      <c r="M198" s="975" t="str">
        <f>IFERROR(IF(L198&lt;&gt;"","",VLOOKUP(C198&amp;'Калькулятор КНС'!D198&amp;'Калькулятор КНС'!K198,НН!A:J,10,)),"")</f>
        <v/>
      </c>
      <c r="N198" s="1027"/>
      <c r="O198" s="214"/>
    </row>
    <row r="199" spans="2:15" ht="15" outlineLevel="1">
      <c r="B199" s="957"/>
      <c r="C199" s="1213"/>
      <c r="D199" s="426" t="s">
        <v>1942</v>
      </c>
      <c r="E199" s="181" t="s">
        <v>2074</v>
      </c>
      <c r="F199" s="1065"/>
      <c r="G199" s="1082"/>
      <c r="H199" s="1233">
        <f>H172</f>
        <v>1</v>
      </c>
      <c r="I199" s="178" t="s">
        <v>129</v>
      </c>
      <c r="J199" s="972"/>
      <c r="K199" s="973"/>
      <c r="L199" s="1087"/>
      <c r="M199" s="1068"/>
      <c r="N199" s="1027"/>
      <c r="O199" s="214"/>
    </row>
    <row r="200" spans="2:15" ht="38.65" customHeight="1" outlineLevel="1">
      <c r="B200" s="957"/>
      <c r="C200" s="180" t="s">
        <v>64</v>
      </c>
      <c r="D200" s="180" t="s">
        <v>390</v>
      </c>
      <c r="E200" s="472" t="str">
        <f>"Для подъема и спуска люков площадки ослуживания L= "&amp;ROUNDUP((ОЛ_НАСОСНАЯ_СТАНЦИЯ!E41/1000+1),0)&amp;" м"</f>
        <v>Для подъема и спуска люков площадки ослуживания L= 11 м</v>
      </c>
      <c r="F200" s="212" t="str">
        <f t="array" ref="F200">IF(C200="","",IF(OR(C200=Списки!$AG$15:$AG$17),"нет","да"))</f>
        <v>да</v>
      </c>
      <c r="G200" s="979"/>
      <c r="H200" s="1299"/>
      <c r="I200" s="272">
        <f>ROUNDUP((ОЛ_НАСОСНАЯ_СТАНЦИЯ!E41/1000+1),0)</f>
        <v>11</v>
      </c>
      <c r="J200" s="245">
        <f>IF(ОЛ_НАСОСНАЯ_СТАНЦИЯ!E27="нет",0,IF(H200="",I200,H200))*H199</f>
        <v>11</v>
      </c>
      <c r="K200" s="178" t="s">
        <v>163</v>
      </c>
      <c r="L200" s="226"/>
      <c r="M200" s="188">
        <f>IFERROR(IF(L200&lt;&gt;"","",VLOOKUP(C200&amp;'Калькулятор КНС'!D200&amp;'Калькулятор КНС'!K200,НН!A:J,10,)),"")</f>
        <v>180</v>
      </c>
      <c r="N200" s="468">
        <f t="shared" si="17"/>
        <v>1980</v>
      </c>
      <c r="O200" s="214"/>
    </row>
    <row r="201" spans="2:15" ht="15" outlineLevel="1">
      <c r="B201" s="957"/>
      <c r="C201" s="180" t="s">
        <v>64</v>
      </c>
      <c r="D201" s="180" t="s">
        <v>675</v>
      </c>
      <c r="E201" s="978"/>
      <c r="F201" s="212" t="str">
        <f t="array" ref="F201">IF(C201="","",IF(OR(C201=Списки!$AG$15:$AG$17),"нет","да"))</f>
        <v>да</v>
      </c>
      <c r="G201" s="979"/>
      <c r="H201" s="1299"/>
      <c r="I201" s="272">
        <f>IF(H201="",ROUNDUP(J200,),"")</f>
        <v>11</v>
      </c>
      <c r="J201" s="245">
        <f>IF(ОЛ_НАСОСНАЯ_СТАНЦИЯ!E27="нет",0,I201)</f>
        <v>11</v>
      </c>
      <c r="K201" s="178" t="s">
        <v>129</v>
      </c>
      <c r="L201" s="226"/>
      <c r="M201" s="188">
        <f>IFERROR(IF(L201&lt;&gt;"","",VLOOKUP(C201&amp;'Калькулятор КНС'!D201&amp;'Калькулятор КНС'!K201,НН!A:J,10,)),"")</f>
        <v>150</v>
      </c>
      <c r="N201" s="468">
        <f t="shared" si="17"/>
        <v>1650</v>
      </c>
      <c r="O201" s="214"/>
    </row>
    <row r="202" spans="2:15" ht="15" outlineLevel="1">
      <c r="B202" s="957"/>
      <c r="C202" s="180" t="s">
        <v>64</v>
      </c>
      <c r="D202" s="180" t="s">
        <v>674</v>
      </c>
      <c r="E202" s="978"/>
      <c r="F202" s="212" t="str">
        <f t="array" ref="F202">IF(C202="","",IF(OR(C202=Списки!$AG$15:$AG$17),"нет","да"))</f>
        <v>да</v>
      </c>
      <c r="G202" s="979"/>
      <c r="H202" s="1300"/>
      <c r="I202" s="272">
        <f>J200</f>
        <v>11</v>
      </c>
      <c r="J202" s="245">
        <f>IF(ОЛ_НАСОСНАЯ_СТАНЦИЯ!E27="нет",0,IF(H202="",I202,H202))</f>
        <v>11</v>
      </c>
      <c r="K202" s="178" t="s">
        <v>129</v>
      </c>
      <c r="L202" s="226"/>
      <c r="M202" s="188">
        <f>IFERROR(IF(L202&lt;&gt;"","",VLOOKUP(C202&amp;'Калькулятор КНС'!D202&amp;'Калькулятор КНС'!K202,НН!A:J,10,)),"")</f>
        <v>600</v>
      </c>
      <c r="N202" s="468">
        <f t="shared" si="17"/>
        <v>6600</v>
      </c>
      <c r="O202" s="214"/>
    </row>
    <row r="203" spans="2:15" ht="15">
      <c r="B203" s="957"/>
      <c r="C203" s="704"/>
      <c r="D203" s="704"/>
      <c r="E203" s="982"/>
      <c r="F203" s="215"/>
      <c r="G203" s="1084"/>
      <c r="H203" s="1088"/>
      <c r="I203" s="288"/>
      <c r="J203" s="470"/>
      <c r="K203" s="220"/>
      <c r="L203" s="673"/>
      <c r="M203" s="222"/>
      <c r="N203" s="706"/>
      <c r="O203" s="214"/>
    </row>
    <row r="204" spans="2:15" ht="15" outlineLevel="1">
      <c r="B204" s="957"/>
      <c r="C204" s="1213"/>
      <c r="D204" s="426" t="s">
        <v>692</v>
      </c>
      <c r="E204" s="1214" t="s">
        <v>2074</v>
      </c>
      <c r="F204" s="215"/>
      <c r="G204" s="476"/>
      <c r="H204" s="1233">
        <v>1</v>
      </c>
      <c r="I204" s="178" t="s">
        <v>129</v>
      </c>
      <c r="J204" s="470"/>
      <c r="K204" s="220"/>
      <c r="L204" s="977"/>
      <c r="M204" s="222"/>
      <c r="N204" s="223"/>
      <c r="O204" s="214"/>
    </row>
    <row r="205" spans="2:15" ht="23.25" customHeight="1" outlineLevel="1">
      <c r="B205" s="957"/>
      <c r="C205" s="241" t="s">
        <v>68</v>
      </c>
      <c r="D205" s="241" t="s">
        <v>693</v>
      </c>
      <c r="E205" s="429" t="s">
        <v>417</v>
      </c>
      <c r="F205" s="242" t="str">
        <f t="array" ref="F205">IF(C205="","",IF(OR(C205=Списки!$AG$15:$AG$17),"нет","да"))</f>
        <v>да</v>
      </c>
      <c r="G205" s="301"/>
      <c r="H205" s="1115">
        <v>4</v>
      </c>
      <c r="I205" s="213"/>
      <c r="J205" s="234">
        <f>IF(ОЛ_НАСОСНАЯ_СТАНЦИЯ!E27="нет",0,IF(H205="",J204*H204,H205))</f>
        <v>4</v>
      </c>
      <c r="K205" s="246" t="s">
        <v>163</v>
      </c>
      <c r="L205" s="303"/>
      <c r="M205" s="247">
        <f>IFERROR(IF(L205&lt;&gt;"","",VLOOKUP(C205&amp;'Калькулятор КНС'!D205&amp;'Калькулятор КНС'!K205,НН!A:J,10,)),"")</f>
        <v>10000</v>
      </c>
      <c r="N205" s="237">
        <f t="shared" ref="N205:N251" si="23">IFERROR(IF(L205="",M205*J205,J205*L205),"")</f>
        <v>40000</v>
      </c>
      <c r="O205" s="214"/>
    </row>
    <row r="206" spans="2:15" ht="24" outlineLevel="1">
      <c r="B206" s="957"/>
      <c r="C206" s="241" t="s">
        <v>68</v>
      </c>
      <c r="D206" s="241" t="s">
        <v>694</v>
      </c>
      <c r="E206" s="429" t="s">
        <v>417</v>
      </c>
      <c r="F206" s="242" t="str">
        <f t="array" ref="F206">IF(C206="","",IF(OR(C206=Списки!$AG$15:$AG$17),"нет","да"))</f>
        <v>да</v>
      </c>
      <c r="G206" s="301"/>
      <c r="H206" s="1115">
        <v>0.1</v>
      </c>
      <c r="I206" s="213"/>
      <c r="J206" s="234">
        <f>IF(ОЛ_НАСОСНАЯ_СТАНЦИЯ!E27="нет",0,IF(H206="",J205*H204,H206))</f>
        <v>0.1</v>
      </c>
      <c r="K206" s="246" t="s">
        <v>223</v>
      </c>
      <c r="L206" s="303"/>
      <c r="M206" s="247">
        <f>IFERROR(IF(L206&lt;&gt;"","",VLOOKUP(C206&amp;'Калькулятор КНС'!D206&amp;'Калькулятор КНС'!K206,НН!A:J,10,)),"")</f>
        <v>5833.33</v>
      </c>
      <c r="N206" s="237">
        <f t="shared" si="23"/>
        <v>583.33299999999997</v>
      </c>
      <c r="O206" s="214"/>
    </row>
    <row r="207" spans="2:15" ht="15" outlineLevel="1">
      <c r="B207" s="957"/>
      <c r="C207" s="208" t="s">
        <v>69</v>
      </c>
      <c r="D207" s="180" t="s">
        <v>695</v>
      </c>
      <c r="E207" s="429" t="s">
        <v>417</v>
      </c>
      <c r="F207" s="212" t="str">
        <f t="array" ref="F207">IF(C207="","",IF(OR(C207=Списки!$AG$15:$AG$17),"нет","да"))</f>
        <v>да</v>
      </c>
      <c r="G207" s="206"/>
      <c r="H207" s="966">
        <v>3</v>
      </c>
      <c r="I207" s="193"/>
      <c r="J207" s="186">
        <f>IF(ОЛ_НАСОСНАЯ_СТАНЦИЯ!E27="нет",0,IF(H207="",J205*H204,H207))</f>
        <v>3</v>
      </c>
      <c r="K207" s="178" t="s">
        <v>129</v>
      </c>
      <c r="L207" s="226"/>
      <c r="M207" s="188">
        <f>IFERROR(IF(L207&lt;&gt;"","",VLOOKUP(C207&amp;'Калькулятор КНС'!D207&amp;'Калькулятор КНС'!K207,НН!A:J,10,)),"")</f>
        <v>79</v>
      </c>
      <c r="N207" s="202">
        <f t="shared" si="23"/>
        <v>237</v>
      </c>
      <c r="O207" s="214"/>
    </row>
    <row r="208" spans="2:15" ht="15" outlineLevel="1">
      <c r="B208" s="179"/>
      <c r="C208" s="241" t="s">
        <v>68</v>
      </c>
      <c r="D208" s="241" t="s">
        <v>696</v>
      </c>
      <c r="E208" s="429" t="s">
        <v>417</v>
      </c>
      <c r="F208" s="242" t="str">
        <f t="array" ref="F208">IF(C208="","",IF(OR(C208=Списки!$AG$15:$AG$17),"нет","да"))</f>
        <v>да</v>
      </c>
      <c r="G208" s="301"/>
      <c r="H208" s="1115">
        <v>0.5</v>
      </c>
      <c r="I208" s="213"/>
      <c r="J208" s="234">
        <f>IF(ОЛ_НАСОСНАЯ_СТАНЦИЯ!$E$27="нет",0,IF(H208="",J207*J206,H208))</f>
        <v>0.5</v>
      </c>
      <c r="K208" s="246" t="s">
        <v>163</v>
      </c>
      <c r="L208" s="303"/>
      <c r="M208" s="247">
        <f>IFERROR(IF(L208&lt;&gt;"","",VLOOKUP(C208&amp;'Калькулятор КНС'!D208&amp;'Калькулятор КНС'!K208,НН!A:J,10,)),"")</f>
        <v>190</v>
      </c>
      <c r="N208" s="237">
        <f t="shared" si="23"/>
        <v>95</v>
      </c>
      <c r="O208" s="214"/>
    </row>
    <row r="209" spans="2:15" ht="15">
      <c r="B209" s="179"/>
      <c r="C209" s="704"/>
      <c r="D209" s="180"/>
      <c r="E209" s="255"/>
      <c r="F209" s="215"/>
      <c r="G209" s="476"/>
      <c r="H209" s="227"/>
      <c r="I209" s="288"/>
      <c r="J209" s="470"/>
      <c r="K209" s="220"/>
      <c r="L209" s="673"/>
      <c r="M209" s="222"/>
      <c r="N209" s="223"/>
      <c r="O209" s="214"/>
    </row>
    <row r="210" spans="2:15" ht="15">
      <c r="B210" s="179"/>
      <c r="C210" s="704"/>
      <c r="D210" s="180"/>
      <c r="E210" s="255"/>
      <c r="F210" s="215"/>
      <c r="G210" s="476"/>
      <c r="H210" s="227"/>
      <c r="I210" s="288"/>
      <c r="J210" s="470"/>
      <c r="K210" s="220"/>
      <c r="L210" s="673"/>
      <c r="M210" s="222"/>
      <c r="N210" s="223"/>
      <c r="O210" s="214"/>
    </row>
    <row r="211" spans="2:15" ht="15" outlineLevel="1">
      <c r="B211" s="179"/>
      <c r="C211" s="387" t="s">
        <v>115</v>
      </c>
      <c r="D211" s="439" t="s">
        <v>441</v>
      </c>
      <c r="E211" s="255"/>
      <c r="F211" s="215"/>
      <c r="G211" s="476"/>
      <c r="H211" s="227"/>
      <c r="I211" s="288"/>
      <c r="J211" s="470"/>
      <c r="K211" s="220"/>
      <c r="L211" s="221"/>
      <c r="M211" s="222" t="str">
        <f t="array" aca="1" ref="M211" ca="1">IFERROR(IF(L211&lt;&gt;"","",IF((VLOOKUP(D211&amp;K211,INDIRECT("'"&amp;INDEX(Списки!$AG$2:$AG$17,MATCH(TRUE,COUNTIF(INDIRECT("'"&amp;Списки!$AG$2:$AG$17 &amp;"'!A1:A300000"),D211&amp;K211)&gt;0,0))&amp;"'!A:h"),7,0))=0,"",VLOOKUP(D211&amp;K211,INDIRECT("'"&amp;INDEX(Списки!$AG$2:$AG$17,MATCH(TRUE,COUNTIF(INDIRECT("'"&amp;Списки!$AG$2:$AG$17 &amp;"'!A1:A300000"),D211&amp;K211)&gt;0,0))&amp;"'!A:h"),7,0))),"")</f>
        <v/>
      </c>
      <c r="N211" s="223"/>
      <c r="O211" s="214"/>
    </row>
    <row r="212" spans="2:15" ht="15" outlineLevel="1">
      <c r="B212" s="179"/>
      <c r="C212" s="208" t="s">
        <v>69</v>
      </c>
      <c r="D212" s="180" t="s">
        <v>1627</v>
      </c>
      <c r="E212" s="473"/>
      <c r="F212" s="212" t="str">
        <f t="array" ref="F212">IF(C212="","",IF(OR(C212=Списки!$AG$15:$AG$17),"нет","да"))</f>
        <v>да</v>
      </c>
      <c r="G212" s="454"/>
      <c r="H212" s="430"/>
      <c r="I212" s="456">
        <f>ROUND(VLOOKUP(G5/1000,'Для расчетов'!V39:AK57,MATCH(ROUND(I5,-3)/1000,'Для расчетов'!W38:AK38),FALSE),)</f>
        <v>28</v>
      </c>
      <c r="J212" s="245">
        <f>IF(C211="нет",0,IF(H212="",I212,H212))</f>
        <v>28</v>
      </c>
      <c r="K212" s="178" t="s">
        <v>129</v>
      </c>
      <c r="L212" s="226"/>
      <c r="M212" s="188">
        <f>IFERROR(IF(L212&lt;&gt;"","",VLOOKUP(C212&amp;'Калькулятор КНС'!D212&amp;'Калькулятор КНС'!K212,НН!A:J,10,)),"")</f>
        <v>200</v>
      </c>
      <c r="N212" s="202">
        <f t="shared" si="23"/>
        <v>5600</v>
      </c>
      <c r="O212" s="214"/>
    </row>
    <row r="213" spans="2:15" ht="15" outlineLevel="1">
      <c r="B213" s="957"/>
      <c r="C213" s="208"/>
      <c r="D213" s="180"/>
      <c r="E213" s="255"/>
      <c r="F213" s="1022"/>
      <c r="G213" s="1089"/>
      <c r="H213" s="1090"/>
      <c r="I213" s="456"/>
      <c r="J213" s="1091"/>
      <c r="K213" s="1007"/>
      <c r="L213" s="1024"/>
      <c r="M213" s="1011"/>
      <c r="N213" s="202"/>
      <c r="O213" s="214"/>
    </row>
    <row r="214" spans="2:15" ht="15">
      <c r="B214" s="179"/>
      <c r="C214" s="208"/>
      <c r="D214" s="291" t="s">
        <v>445</v>
      </c>
      <c r="E214" s="396"/>
      <c r="F214" s="212" t="str">
        <f t="array" ref="F214">IF(ISBLANK(C214),"",IF(OR(C214=Списки!$AG$15:$AG$17),"нет","да"))</f>
        <v/>
      </c>
      <c r="G214" s="204"/>
      <c r="H214" s="227"/>
      <c r="I214" s="185"/>
      <c r="J214" s="186"/>
      <c r="K214" s="178"/>
      <c r="L214" s="196"/>
      <c r="M214" s="188" t="str">
        <f>IFERROR(IF(L214&lt;&gt;"","",VLOOKUP(C214&amp;'Калькулятор КНС'!#REF!&amp;'Калькулятор КНС'!K214,НН!A:J,10,)),"")</f>
        <v/>
      </c>
      <c r="N214" s="189" t="str">
        <f t="shared" si="23"/>
        <v/>
      </c>
      <c r="O214" s="167"/>
    </row>
    <row r="215" spans="2:15" ht="15">
      <c r="B215" s="169" t="s">
        <v>444</v>
      </c>
      <c r="C215" s="290"/>
      <c r="D215" s="986"/>
      <c r="E215" s="292"/>
      <c r="F215" s="293"/>
      <c r="G215" s="477"/>
      <c r="H215" s="403"/>
      <c r="I215" s="403" t="str">
        <f t="array" ref="I215">IF(ISBLANK(E215),"",IF(OR(E215=Списки!$AG$15:$AG$17),"нет","да"))</f>
        <v/>
      </c>
      <c r="J215" s="295"/>
      <c r="K215" s="478"/>
      <c r="L215" s="287"/>
      <c r="M215" s="479" t="str">
        <f t="array" aca="1" ref="M215" ca="1">IFERROR(IF(L215&lt;&gt;"","",IF((VLOOKUP(D214&amp;K215,INDIRECT("'"&amp;INDEX(Списки!$AG$2:$AG$17,MATCH(TRUE,COUNTIF(INDIRECT("'"&amp;Списки!$AG$2:$AG$17 &amp;"'!A1:A300000"),D214&amp;K215)&gt;0,0))&amp;"'!A:h"),7,0))=0,"",VLOOKUP(D214&amp;K215,INDIRECT("'"&amp;INDEX(Списки!$AG$2:$AG$17,MATCH(TRUE,COUNTIF(INDIRECT("'"&amp;Списки!$AG$2:$AG$17 &amp;"'!A1:A300000"),D214&amp;K215)&gt;0,0))&amp;"'!A:h"),7,0))),"")</f>
        <v/>
      </c>
      <c r="N215" s="480"/>
      <c r="O215" s="365"/>
    </row>
    <row r="216" spans="2:15" ht="15" outlineLevel="1">
      <c r="B216" s="169"/>
      <c r="C216" s="481"/>
      <c r="D216" s="278" t="s">
        <v>446</v>
      </c>
      <c r="E216" s="255"/>
      <c r="F216" s="215"/>
      <c r="G216" s="216"/>
      <c r="H216" s="227"/>
      <c r="I216" s="218"/>
      <c r="J216" s="219"/>
      <c r="K216" s="220"/>
      <c r="L216" s="221"/>
      <c r="M216" s="222" t="str">
        <f t="array" aca="1" ref="M216" ca="1">IFERROR(IF(L216&lt;&gt;"","",IF((VLOOKUP(D216&amp;K216,INDIRECT("'"&amp;INDEX(Списки!$AG$2:$AG$17,MATCH(TRUE,COUNTIF(INDIRECT("'"&amp;Списки!$AG$2:$AG$17 &amp;"'!A1:A300000"),D216&amp;K216)&gt;0,0))&amp;"'!A:h"),7,0))=0,"",VLOOKUP(D216&amp;K216,INDIRECT("'"&amp;INDEX(Списки!$AG$2:$AG$17,MATCH(TRUE,COUNTIF(INDIRECT("'"&amp;Списки!$AG$2:$AG$17 &amp;"'!A1:A300000"),D216&amp;K216)&gt;0,0))&amp;"'!A:h"),7,0))),"")</f>
        <v/>
      </c>
      <c r="N216" s="223" t="str">
        <f t="shared" ca="1" si="23"/>
        <v/>
      </c>
      <c r="O216" s="365"/>
    </row>
    <row r="217" spans="2:15" ht="24" outlineLevel="1">
      <c r="B217" s="179"/>
      <c r="C217" s="180" t="s">
        <v>72</v>
      </c>
      <c r="D217" s="180" t="s">
        <v>367</v>
      </c>
      <c r="E217" s="276" t="str">
        <f>D150</f>
        <v>Труба СК/НПС-К 1200-0,1-2500</v>
      </c>
      <c r="F217" s="212" t="str">
        <f t="array" ref="F217">IF(C217="","",IF(OR(C217=Списки!$AG$15:$AG$17),"нет","да"))</f>
        <v>нет</v>
      </c>
      <c r="G217" s="204"/>
      <c r="H217" s="210"/>
      <c r="I217" s="767">
        <f>($F$148/(200*6))*J150</f>
        <v>0</v>
      </c>
      <c r="J217" s="302">
        <f>IF($C148="нет",0,IF($E$139=Списки!$AW$2,0,IF($L$148="Квадратный (прямоугольный)",0,ROUNDUP(IF(H217="",I217,H217),1))))</f>
        <v>0</v>
      </c>
      <c r="K217" s="178" t="s">
        <v>212</v>
      </c>
      <c r="L217" s="187"/>
      <c r="M217" s="188">
        <f>IFERROR(IF(L217&lt;&gt;"","",VLOOKUP(C217&amp;'Калькулятор КНС'!D217&amp;'Калькулятор КНС'!K217,НН!A:J,10,)),"")</f>
        <v>1207.8</v>
      </c>
      <c r="N217" s="202">
        <f t="shared" si="23"/>
        <v>0</v>
      </c>
      <c r="O217" s="491"/>
    </row>
    <row r="218" spans="2:15" ht="24" outlineLevel="1">
      <c r="B218" s="169"/>
      <c r="C218" s="180" t="s">
        <v>72</v>
      </c>
      <c r="D218" s="180" t="s">
        <v>447</v>
      </c>
      <c r="E218" s="255"/>
      <c r="F218" s="212" t="str">
        <f t="array" ref="F218">IF(C218="","",IF(OR(C218=Списки!$AG$15:$AG$17),"нет","да"))</f>
        <v>нет</v>
      </c>
      <c r="G218" s="204"/>
      <c r="H218" s="210"/>
      <c r="I218" s="193">
        <f>IF(G5&lt;2500,6,7)</f>
        <v>7</v>
      </c>
      <c r="J218" s="194">
        <f>IF(AND($C$140="да",E145="да"),ROUNDUP(IF($E$139=Списки!$AW$2,0,IF(ISBLANK(D218),"",IF(H218="",I218,H218))),1),0)</f>
        <v>7</v>
      </c>
      <c r="K218" s="178" t="s">
        <v>212</v>
      </c>
      <c r="L218" s="187"/>
      <c r="M218" s="188">
        <f>IFERROR(IF(L218&lt;&gt;"","",VLOOKUP(C218&amp;'Калькулятор КНС'!D218&amp;'Калькулятор КНС'!K218,НН!A:J,10,)),"")</f>
        <v>1207.8</v>
      </c>
      <c r="N218" s="202">
        <f t="shared" si="23"/>
        <v>8454.6</v>
      </c>
      <c r="O218" s="365" t="s">
        <v>448</v>
      </c>
    </row>
    <row r="219" spans="2:15" ht="24" outlineLevel="1">
      <c r="B219" s="169"/>
      <c r="C219" s="180" t="s">
        <v>72</v>
      </c>
      <c r="D219" s="180" t="s">
        <v>449</v>
      </c>
      <c r="E219" s="255"/>
      <c r="F219" s="212" t="str">
        <f t="array" ref="F219">IF(C219="","",IF(OR(C219=Списки!$AG$15:$AG$17),"нет","да"))</f>
        <v>нет</v>
      </c>
      <c r="G219" s="204"/>
      <c r="H219" s="210"/>
      <c r="I219" s="193">
        <f>IF(G5&lt;2500,5,6)</f>
        <v>6</v>
      </c>
      <c r="J219" s="194">
        <f>IF(AND($C$140="да",E145="да"),ROUNDUP(IF($E$139=Списки!$AW$2,0,IF(ISBLANK(D219),"",IF(H219="",I219,H219))),1),0)</f>
        <v>6</v>
      </c>
      <c r="K219" s="178" t="s">
        <v>212</v>
      </c>
      <c r="L219" s="187"/>
      <c r="M219" s="188">
        <f>IFERROR(IF(L219&lt;&gt;"","",VLOOKUP(C219&amp;'Калькулятор КНС'!D219&amp;'Калькулятор КНС'!K219,НН!A:J,10,)),"")</f>
        <v>1207.8</v>
      </c>
      <c r="N219" s="202">
        <f t="shared" si="23"/>
        <v>7246.7999999999993</v>
      </c>
      <c r="O219" s="365" t="s">
        <v>450</v>
      </c>
    </row>
    <row r="220" spans="2:15" ht="36" outlineLevel="1">
      <c r="B220" s="169"/>
      <c r="C220" s="180" t="s">
        <v>72</v>
      </c>
      <c r="D220" s="180" t="s">
        <v>697</v>
      </c>
      <c r="E220" s="482">
        <f>F148</f>
        <v>1200</v>
      </c>
      <c r="F220" s="212" t="str">
        <f t="array" ref="F220">IF(C220="","",IF(OR(C220=Списки!$AG$15:$AG$17),"нет","да"))</f>
        <v>нет</v>
      </c>
      <c r="G220" s="204"/>
      <c r="H220" s="184"/>
      <c r="I220" s="193">
        <f>(E220*3.14/1000)*0.5*J149</f>
        <v>5.6519999999999992</v>
      </c>
      <c r="J220" s="194">
        <f>ROUNDUP(IF($C$140="нет",0,IF(L148="Квадратный (прямоугольный)",0,IF($E$139=Списки!$AW$2,0,IF(ISBLANK(D220),"",IF(H220="",I220,H220))))),1)</f>
        <v>0</v>
      </c>
      <c r="K220" s="178" t="s">
        <v>212</v>
      </c>
      <c r="L220" s="505"/>
      <c r="M220" s="188">
        <f>IFERROR(IF(L220&lt;&gt;"","",VLOOKUP(C220&amp;'Калькулятор КНС'!D220&amp;'Калькулятор КНС'!K220,НН!A:J,10,)),"")</f>
        <v>1207.8</v>
      </c>
      <c r="N220" s="202">
        <f t="shared" si="23"/>
        <v>0</v>
      </c>
      <c r="O220" s="365" t="s">
        <v>370</v>
      </c>
    </row>
    <row r="221" spans="2:15" ht="15" outlineLevel="1">
      <c r="B221" s="981"/>
      <c r="C221" s="967" t="s">
        <v>72</v>
      </c>
      <c r="D221" s="967" t="s">
        <v>451</v>
      </c>
      <c r="E221" s="982"/>
      <c r="F221" s="968" t="str">
        <f t="array" ref="F221">IF(C221="","",IF(OR(C221=Списки!$AG$15:$AG$17),"нет","да"))</f>
        <v>нет</v>
      </c>
      <c r="G221" s="983"/>
      <c r="H221" s="1017"/>
      <c r="I221" s="984">
        <v>0</v>
      </c>
      <c r="J221" s="985">
        <f>IF($C$148="нет",0,ROUNDUP(IF($E$139=Списки!$AW$2,0,IF(ISBLANK(D221),"",IF(H221="",I221,H221))),1))</f>
        <v>0</v>
      </c>
      <c r="K221" s="973" t="s">
        <v>212</v>
      </c>
      <c r="L221" s="1018"/>
      <c r="M221" s="975">
        <f>IFERROR(IF(L221&lt;&gt;"","",VLOOKUP(C221&amp;'Калькулятор КНС'!D221&amp;'Калькулятор КНС'!K221,НН!A:J,10,)),"")</f>
        <v>1207.8</v>
      </c>
      <c r="N221" s="976">
        <f t="shared" si="23"/>
        <v>0</v>
      </c>
      <c r="O221" s="484"/>
    </row>
    <row r="222" spans="2:15" ht="15" outlineLevel="1">
      <c r="B222" s="1102"/>
      <c r="C222" s="967"/>
      <c r="D222" s="967"/>
      <c r="E222" s="982"/>
      <c r="F222" s="1065"/>
      <c r="G222" s="1111"/>
      <c r="H222" s="1017"/>
      <c r="I222" s="984"/>
      <c r="J222" s="1112"/>
      <c r="K222" s="1067"/>
      <c r="L222" s="1113"/>
      <c r="M222" s="1068"/>
      <c r="N222" s="976"/>
      <c r="O222" s="484"/>
    </row>
    <row r="223" spans="2:15" ht="27" customHeight="1" outlineLevel="1">
      <c r="B223" s="169"/>
      <c r="C223" s="180" t="s">
        <v>72</v>
      </c>
      <c r="D223" s="180" t="s">
        <v>1951</v>
      </c>
      <c r="E223" s="255"/>
      <c r="F223" s="212" t="str">
        <f t="array" ref="F223">IF(C223="","",IF(OR(C223=Списки!$AG$15:$AG$17),"нет","да"))</f>
        <v>нет</v>
      </c>
      <c r="G223" s="204"/>
      <c r="H223" s="184"/>
      <c r="I223" s="193">
        <f>0.5*J159+0.5*J158+0.5*J156+1*J160</f>
        <v>12</v>
      </c>
      <c r="J223" s="194">
        <f>IF($C$148="нет",0,ROUNDUP(IF($E$139=Списки!$AW$2,0,IF(ISBLANK(D223),"",IF(H223="",I223,H223))),1))</f>
        <v>12</v>
      </c>
      <c r="K223" s="178" t="s">
        <v>212</v>
      </c>
      <c r="L223" s="505"/>
      <c r="M223" s="188" t="str">
        <f>IFERROR(IF(L223&lt;&gt;"","",VLOOKUP(C223&amp;'Калькулятор КНС'!D223&amp;'Калькулятор КНС'!K223,НН!A:J,10,)),"")</f>
        <v/>
      </c>
      <c r="N223" s="202" t="str">
        <f t="shared" si="23"/>
        <v/>
      </c>
      <c r="O223" s="484"/>
    </row>
    <row r="224" spans="2:15" ht="15">
      <c r="B224" s="169"/>
      <c r="C224" s="180"/>
      <c r="D224" s="180"/>
      <c r="E224" s="255"/>
      <c r="F224" s="485" t="str">
        <f t="array" ref="F224">IF(C224="","",IF(OR(C224=Списки!$AG$15:$AG$17),"нет","да"))</f>
        <v/>
      </c>
      <c r="G224" s="216"/>
      <c r="H224" s="263"/>
      <c r="I224" s="218"/>
      <c r="J224" s="219" t="str">
        <f>IF(ISBLANK(D224),"",IF(H224="",I224,H224))</f>
        <v/>
      </c>
      <c r="K224" s="220"/>
      <c r="L224" s="221"/>
      <c r="M224" s="222" t="str">
        <f t="array" aca="1" ref="M224" ca="1">IFERROR(IF(L224&lt;&gt;"","",IF((VLOOKUP(D224&amp;K224,INDIRECT("'"&amp;INDEX(Списки!$AG$2:$AG$17,MATCH(TRUE,COUNTIF(INDIRECT("'"&amp;Списки!$AG$2:$AG$17 &amp;"'!A1:A300000"),D224&amp;K224)&gt;0,0))&amp;"'!A:h"),7,0))=0,"",VLOOKUP(D224&amp;K224,INDIRECT("'"&amp;INDEX(Списки!$AG$2:$AG$17,MATCH(TRUE,COUNTIF(INDIRECT("'"&amp;Списки!$AG$2:$AG$17 &amp;"'!A1:A300000"),D224&amp;K224)&gt;0,0))&amp;"'!A:h"),7,0))),"")</f>
        <v/>
      </c>
      <c r="N224" s="223" t="str">
        <f t="shared" ca="1" si="23"/>
        <v/>
      </c>
      <c r="O224" s="365"/>
    </row>
    <row r="225" spans="2:15" ht="15" outlineLevel="1">
      <c r="B225" s="169"/>
      <c r="C225" s="481"/>
      <c r="D225" s="426" t="s">
        <v>430</v>
      </c>
      <c r="E225" s="255"/>
      <c r="F225" s="215"/>
      <c r="G225" s="216"/>
      <c r="H225" s="227"/>
      <c r="I225" s="218"/>
      <c r="J225" s="219"/>
      <c r="K225" s="220"/>
      <c r="L225" s="221"/>
      <c r="M225" s="222" t="str">
        <f t="array" aca="1" ref="M225" ca="1">IF(D225="ФОТ",I225*#REF!,IFERROR(IF(L225&lt;&gt;"","",IF((VLOOKUP(D225&amp;K225,INDIRECT("'"&amp;INDEX(Списки!$AG$2:$AG$17,MATCH(TRUE,COUNTIF(INDIRECT("'"&amp;Списки!$AG$2:$AG$17 &amp;"'!A1:A300000"),D225&amp;K225)&gt;0,0))&amp;"'!A:h"),7,0))=0,"",VLOOKUP(D225&amp;K225,INDIRECT("'"&amp;INDEX(Списки!$AG$2:$AG$17,MATCH(TRUE,COUNTIF(INDIRECT("'"&amp;Списки!$AG$2:$AG$17 &amp;"'!A1:A300000"),D225&amp;K225)&gt;0,0))&amp;"'!A:h"),7,0))),""))</f>
        <v/>
      </c>
      <c r="N225" s="223" t="str">
        <f t="shared" ca="1" si="23"/>
        <v/>
      </c>
      <c r="O225" s="365"/>
    </row>
    <row r="226" spans="2:15" ht="24" outlineLevel="1">
      <c r="B226" s="169"/>
      <c r="C226" s="180" t="s">
        <v>72</v>
      </c>
      <c r="D226" s="180" t="s">
        <v>458</v>
      </c>
      <c r="E226" s="255"/>
      <c r="F226" s="212" t="str">
        <f t="array" ref="F226">IF(C226="","",IF(OR(C226=Списки!$AG$15:$AG$17),"нет","да"))</f>
        <v>нет</v>
      </c>
      <c r="G226" s="204"/>
      <c r="H226" s="210"/>
      <c r="I226" s="193">
        <f>6*H172</f>
        <v>6</v>
      </c>
      <c r="J226" s="194">
        <f t="shared" ref="J226:J228" si="24">ROUNDUP(IF($C$172="нет",0,IF(ISBLANK(D226),"",IF(H226="",I226,H226))),1)</f>
        <v>6</v>
      </c>
      <c r="K226" s="178" t="s">
        <v>212</v>
      </c>
      <c r="L226" s="187"/>
      <c r="M226" s="188">
        <f>IFERROR(IF(L226&lt;&gt;"","",VLOOKUP(C226&amp;'Калькулятор КНС'!D226&amp;'Калькулятор КНС'!K226,НН!A:J,10,)),"")</f>
        <v>1207.8</v>
      </c>
      <c r="N226" s="202">
        <f t="shared" si="23"/>
        <v>7246.7999999999993</v>
      </c>
      <c r="O226" s="484"/>
    </row>
    <row r="227" spans="2:15" ht="15" outlineLevel="1">
      <c r="B227" s="169"/>
      <c r="C227" s="180" t="s">
        <v>72</v>
      </c>
      <c r="D227" s="180" t="s">
        <v>459</v>
      </c>
      <c r="E227" s="255"/>
      <c r="F227" s="212" t="str">
        <f t="array" ref="F227">IF(C227="","",IF(OR(C227=Списки!$AG$15:$AG$17),"нет","да"))</f>
        <v>нет</v>
      </c>
      <c r="G227" s="204"/>
      <c r="H227" s="210"/>
      <c r="I227" s="193">
        <f>5*H172</f>
        <v>5</v>
      </c>
      <c r="J227" s="194">
        <f t="shared" si="24"/>
        <v>5</v>
      </c>
      <c r="K227" s="178" t="s">
        <v>212</v>
      </c>
      <c r="L227" s="187"/>
      <c r="M227" s="188">
        <f>IFERROR(IF(L227&lt;&gt;"","",VLOOKUP(C227&amp;'Калькулятор КНС'!D227&amp;'Калькулятор КНС'!K227,НН!A:J,10,)),"")</f>
        <v>1207.8</v>
      </c>
      <c r="N227" s="202">
        <f t="shared" si="23"/>
        <v>6039</v>
      </c>
      <c r="O227" s="365"/>
    </row>
    <row r="228" spans="2:15" ht="15" outlineLevel="1">
      <c r="B228" s="169"/>
      <c r="C228" s="180" t="s">
        <v>72</v>
      </c>
      <c r="D228" s="180" t="s">
        <v>1944</v>
      </c>
      <c r="E228" s="255"/>
      <c r="F228" s="212" t="str">
        <f t="array" ref="F228">IF(C228="","",IF(OR(C228=Списки!$AG$15:$AG$17),"нет","да"))</f>
        <v>нет</v>
      </c>
      <c r="G228" s="204"/>
      <c r="H228" s="210"/>
      <c r="I228" s="193">
        <f>5*H172</f>
        <v>5</v>
      </c>
      <c r="J228" s="194">
        <f t="shared" si="24"/>
        <v>5</v>
      </c>
      <c r="K228" s="178" t="s">
        <v>212</v>
      </c>
      <c r="L228" s="187"/>
      <c r="M228" s="188">
        <f>IFERROR(IF(L228&lt;&gt;"","",VLOOKUP(C228&amp;'Калькулятор КНС'!D228&amp;'Калькулятор КНС'!K228,НН!A:J,10,)),"")</f>
        <v>1207.8</v>
      </c>
      <c r="N228" s="202">
        <f t="shared" si="23"/>
        <v>6039</v>
      </c>
      <c r="O228" s="365"/>
    </row>
    <row r="229" spans="2:15" ht="15">
      <c r="B229" s="1096"/>
      <c r="C229" s="180"/>
      <c r="D229" s="704"/>
      <c r="E229" s="255"/>
      <c r="F229" s="1022"/>
      <c r="G229" s="1023"/>
      <c r="H229" s="210"/>
      <c r="I229" s="193"/>
      <c r="J229" s="1009"/>
      <c r="K229" s="195"/>
      <c r="L229" s="1097"/>
      <c r="M229" s="197"/>
      <c r="N229" s="202"/>
      <c r="O229" s="365"/>
    </row>
    <row r="230" spans="2:15" ht="15" outlineLevel="1">
      <c r="B230" s="981"/>
      <c r="C230" s="967"/>
      <c r="D230" s="426" t="s">
        <v>688</v>
      </c>
      <c r="E230" s="357" t="s">
        <v>2075</v>
      </c>
      <c r="F230" s="1415"/>
      <c r="G230" s="1416"/>
      <c r="H230" s="1416"/>
      <c r="I230" s="1416"/>
      <c r="J230" s="1416"/>
      <c r="K230" s="1416"/>
      <c r="L230" s="1416"/>
      <c r="M230" s="1416"/>
      <c r="N230" s="1417"/>
      <c r="O230" s="365"/>
    </row>
    <row r="231" spans="2:15" ht="15" outlineLevel="1">
      <c r="B231" s="981"/>
      <c r="C231" s="180" t="s">
        <v>72</v>
      </c>
      <c r="D231" s="180" t="s">
        <v>698</v>
      </c>
      <c r="E231" s="982"/>
      <c r="F231" s="212" t="str">
        <f t="array" ref="F231">IF(C231="","",IF(OR(C231=Списки!$AG$15:$AG$17),"нет","да"))</f>
        <v>нет</v>
      </c>
      <c r="G231" s="983"/>
      <c r="H231" s="970"/>
      <c r="I231" s="193">
        <f>2*H177</f>
        <v>2</v>
      </c>
      <c r="J231" s="194">
        <f>ROUNDUP(IF(ОЛ_НАСОСНАЯ_СТАНЦИЯ!$E$27="нет",0,IF(ISBLANK(D231),"",IF(H231="",I231,H231))),1)</f>
        <v>2</v>
      </c>
      <c r="K231" s="178" t="s">
        <v>212</v>
      </c>
      <c r="L231" s="974"/>
      <c r="M231" s="188">
        <f>IFERROR(IF(L231&lt;&gt;"","",VLOOKUP(C231&amp;'Калькулятор КНС'!D231&amp;'Калькулятор КНС'!K231,НН!A:J,10,)),"")</f>
        <v>1207.8</v>
      </c>
      <c r="N231" s="202">
        <f t="shared" si="23"/>
        <v>2415.6</v>
      </c>
      <c r="O231" s="365"/>
    </row>
    <row r="232" spans="2:15" ht="15" outlineLevel="1">
      <c r="B232" s="981"/>
      <c r="C232" s="180" t="s">
        <v>72</v>
      </c>
      <c r="D232" s="180" t="s">
        <v>699</v>
      </c>
      <c r="E232" s="982"/>
      <c r="F232" s="212" t="str">
        <f t="array" ref="F232">IF(C232="","",IF(OR(C232=Списки!$AG$15:$AG$17),"нет","да"))</f>
        <v>нет</v>
      </c>
      <c r="G232" s="983"/>
      <c r="H232" s="970"/>
      <c r="I232" s="193">
        <f>2*H177</f>
        <v>2</v>
      </c>
      <c r="J232" s="194">
        <f>ROUNDUP(IF(ОЛ_НАСОСНАЯ_СТАНЦИЯ!$E$27="нет",0,IF(ISBLANK(D232),"",IF(H232="",I232,H232))),1)</f>
        <v>2</v>
      </c>
      <c r="K232" s="178" t="s">
        <v>212</v>
      </c>
      <c r="L232" s="974"/>
      <c r="M232" s="188">
        <f>IFERROR(IF(L232&lt;&gt;"","",VLOOKUP(C232&amp;'Калькулятор КНС'!D232&amp;'Калькулятор КНС'!K232,НН!A:J,10,)),"")</f>
        <v>1207.8</v>
      </c>
      <c r="N232" s="202">
        <f t="shared" si="23"/>
        <v>2415.6</v>
      </c>
      <c r="O232" s="365"/>
    </row>
    <row r="233" spans="2:15" ht="15" outlineLevel="1">
      <c r="B233" s="1102"/>
      <c r="C233" s="704"/>
      <c r="D233" s="426" t="s">
        <v>1942</v>
      </c>
      <c r="E233" s="357" t="s">
        <v>2075</v>
      </c>
      <c r="F233" s="1415"/>
      <c r="G233" s="1416"/>
      <c r="H233" s="1416"/>
      <c r="I233" s="1416"/>
      <c r="J233" s="1416"/>
      <c r="K233" s="1416"/>
      <c r="L233" s="1416"/>
      <c r="M233" s="1416"/>
      <c r="N233" s="1417"/>
      <c r="O233" s="365"/>
    </row>
    <row r="234" spans="2:15" ht="15" outlineLevel="1">
      <c r="B234" s="981"/>
      <c r="C234" s="180" t="s">
        <v>72</v>
      </c>
      <c r="D234" s="180" t="s">
        <v>2076</v>
      </c>
      <c r="E234" s="982"/>
      <c r="F234" s="212" t="str">
        <f t="array" ref="F234">IF(C234="","",IF(OR(C234=Списки!$AG$15:$AG$17),"нет","да"))</f>
        <v>нет</v>
      </c>
      <c r="G234" s="983"/>
      <c r="H234" s="970"/>
      <c r="I234" s="193">
        <f>2*H199</f>
        <v>2</v>
      </c>
      <c r="J234" s="194">
        <f>ROUNDUP(IF(ОЛ_НАСОСНАЯ_СТАНЦИЯ!$E$27="нет",0,IF(ISBLANK(D234),"",IF(H234="",I234,H234))),1)</f>
        <v>2</v>
      </c>
      <c r="K234" s="178" t="s">
        <v>212</v>
      </c>
      <c r="L234" s="974"/>
      <c r="M234" s="188">
        <f>IFERROR(IF(L234&lt;&gt;"","",VLOOKUP(C234&amp;'Калькулятор КНС'!D234&amp;'Калькулятор КНС'!K234,НН!A:J,10,)),"")</f>
        <v>1207.8</v>
      </c>
      <c r="N234" s="202">
        <f t="shared" ref="N234:N235" si="25">IFERROR(IF(L234="",M234*J234,J234*L234),"")</f>
        <v>2415.6</v>
      </c>
      <c r="O234" s="365"/>
    </row>
    <row r="235" spans="2:15" ht="15" outlineLevel="1">
      <c r="B235" s="981"/>
      <c r="C235" s="180" t="s">
        <v>72</v>
      </c>
      <c r="D235" s="180" t="s">
        <v>2077</v>
      </c>
      <c r="E235" s="982"/>
      <c r="F235" s="212" t="str">
        <f t="array" ref="F235">IF(C235="","",IF(OR(C235=Списки!$AG$15:$AG$17),"нет","да"))</f>
        <v>нет</v>
      </c>
      <c r="G235" s="983"/>
      <c r="H235" s="970"/>
      <c r="I235" s="193">
        <f>2*H199</f>
        <v>2</v>
      </c>
      <c r="J235" s="194">
        <f>ROUNDUP(IF(ОЛ_НАСОСНАЯ_СТАНЦИЯ!$E$27="нет",0,IF(ISBLANK(D235),"",IF(H235="",I235,H235))),1)</f>
        <v>2</v>
      </c>
      <c r="K235" s="178" t="s">
        <v>212</v>
      </c>
      <c r="L235" s="974"/>
      <c r="M235" s="188">
        <f>IFERROR(IF(L235&lt;&gt;"","",VLOOKUP(C235&amp;'Калькулятор КНС'!D235&amp;'Калькулятор КНС'!K235,НН!A:J,10,)),"")</f>
        <v>1207.8</v>
      </c>
      <c r="N235" s="202">
        <f t="shared" si="25"/>
        <v>2415.6</v>
      </c>
      <c r="O235" s="365"/>
    </row>
    <row r="236" spans="2:15" ht="15" outlineLevel="1">
      <c r="B236" s="1102"/>
      <c r="C236" s="704"/>
      <c r="D236" s="426" t="s">
        <v>692</v>
      </c>
      <c r="E236" s="357" t="s">
        <v>2075</v>
      </c>
      <c r="F236" s="1415"/>
      <c r="G236" s="1416"/>
      <c r="H236" s="1416"/>
      <c r="I236" s="1416"/>
      <c r="J236" s="1416"/>
      <c r="K236" s="1416"/>
      <c r="L236" s="1416"/>
      <c r="M236" s="1416"/>
      <c r="N236" s="1417"/>
      <c r="O236" s="365"/>
    </row>
    <row r="237" spans="2:15" ht="15" outlineLevel="1">
      <c r="B237" s="981"/>
      <c r="C237" s="180" t="s">
        <v>72</v>
      </c>
      <c r="D237" s="180" t="s">
        <v>2078</v>
      </c>
      <c r="E237" s="982"/>
      <c r="F237" s="212" t="str">
        <f t="array" ref="F237">IF(C237="","",IF(OR(C237=Списки!$AG$15:$AG$17),"нет","да"))</f>
        <v>нет</v>
      </c>
      <c r="G237" s="983"/>
      <c r="H237" s="970"/>
      <c r="I237" s="193">
        <f>1*H204</f>
        <v>1</v>
      </c>
      <c r="J237" s="194">
        <f>ROUNDUP(IF(ОЛ_НАСОСНАЯ_СТАНЦИЯ!$E$27="нет",0,IF(ISBLANK(D237),"",IF(H237="",I237,H237))),1)</f>
        <v>1</v>
      </c>
      <c r="K237" s="178" t="s">
        <v>212</v>
      </c>
      <c r="L237" s="974"/>
      <c r="M237" s="188">
        <f>IFERROR(IF(L237&lt;&gt;"","",VLOOKUP(C237&amp;'Калькулятор КНС'!D237&amp;'Калькулятор КНС'!K237,НН!A:J,10,)),"")</f>
        <v>1207.8</v>
      </c>
      <c r="N237" s="202">
        <f t="shared" ref="N237:N238" si="26">IFERROR(IF(L237="",M237*J237,J237*L237),"")</f>
        <v>1207.8</v>
      </c>
      <c r="O237" s="365"/>
    </row>
    <row r="238" spans="2:15" ht="15" outlineLevel="1">
      <c r="B238" s="981"/>
      <c r="C238" s="180" t="s">
        <v>72</v>
      </c>
      <c r="D238" s="180" t="s">
        <v>2079</v>
      </c>
      <c r="E238" s="982"/>
      <c r="F238" s="212" t="str">
        <f t="array" ref="F238">IF(C238="","",IF(OR(C238=Списки!$AG$15:$AG$17),"нет","да"))</f>
        <v>нет</v>
      </c>
      <c r="G238" s="983"/>
      <c r="H238" s="970"/>
      <c r="I238" s="193">
        <f>1*H204</f>
        <v>1</v>
      </c>
      <c r="J238" s="194">
        <f>ROUNDUP(IF(ОЛ_НАСОСНАЯ_СТАНЦИЯ!$E$27="нет",0,IF(ISBLANK(D238),"",IF(H238="",I238,H238))),1)</f>
        <v>1</v>
      </c>
      <c r="K238" s="178" t="s">
        <v>212</v>
      </c>
      <c r="L238" s="974"/>
      <c r="M238" s="188">
        <f>IFERROR(IF(L238&lt;&gt;"","",VLOOKUP(C238&amp;'Калькулятор КНС'!D238&amp;'Калькулятор КНС'!K238,НН!A:J,10,)),"")</f>
        <v>1207.8</v>
      </c>
      <c r="N238" s="202">
        <f t="shared" si="26"/>
        <v>1207.8</v>
      </c>
      <c r="O238" s="365"/>
    </row>
    <row r="239" spans="2:15" ht="15">
      <c r="B239" s="1102"/>
      <c r="C239" s="704"/>
      <c r="D239" s="704"/>
      <c r="E239" s="982"/>
      <c r="F239" s="1083"/>
      <c r="G239" s="1103"/>
      <c r="H239" s="1104"/>
      <c r="I239" s="1105"/>
      <c r="J239" s="1106"/>
      <c r="K239" s="1029"/>
      <c r="L239" s="1085"/>
      <c r="M239" s="1086"/>
      <c r="N239" s="1107"/>
      <c r="O239" s="365"/>
    </row>
    <row r="240" spans="2:15" ht="15" outlineLevel="1">
      <c r="B240" s="169"/>
      <c r="C240" s="481"/>
      <c r="D240" s="426" t="s">
        <v>432</v>
      </c>
      <c r="E240" s="255"/>
      <c r="F240" s="215"/>
      <c r="G240" s="216"/>
      <c r="H240" s="227"/>
      <c r="I240" s="218"/>
      <c r="J240" s="219"/>
      <c r="K240" s="220"/>
      <c r="L240" s="221"/>
      <c r="M240" s="222" t="str">
        <f t="array" aca="1" ref="M240" ca="1">IFERROR(IF(L240&lt;&gt;"","",IF((VLOOKUP(D240&amp;K240,INDIRECT("'"&amp;INDEX(Списки!$AG$2:$AG$17,MATCH(TRUE,COUNTIF(INDIRECT("'"&amp;Списки!$AG$2:$AG$17 &amp;"'!A1:A300000"),D240&amp;K240)&gt;0,0))&amp;"'!A:h"),7,0))=0,"",VLOOKUP(D240&amp;K240,INDIRECT("'"&amp;INDEX(Списки!$AG$2:$AG$17,MATCH(TRUE,COUNTIF(INDIRECT("'"&amp;Списки!$AG$2:$AG$17 &amp;"'!A1:A300000"),D240&amp;K240)&gt;0,0))&amp;"'!A:h"),7,0))),"")</f>
        <v/>
      </c>
      <c r="N240" s="223" t="str">
        <f t="shared" ca="1" si="23"/>
        <v/>
      </c>
      <c r="O240" s="365"/>
    </row>
    <row r="241" spans="2:15" ht="15" outlineLevel="1">
      <c r="B241" s="169"/>
      <c r="C241" s="180" t="s">
        <v>72</v>
      </c>
      <c r="D241" s="180" t="s">
        <v>460</v>
      </c>
      <c r="E241" s="255"/>
      <c r="F241" s="212" t="str">
        <f t="array" ref="F241">IF(C241="","",IF(OR(C241=Списки!$AG$15:$AG$17),"нет","да"))</f>
        <v>нет</v>
      </c>
      <c r="G241" s="204"/>
      <c r="H241" s="210"/>
      <c r="I241" s="193">
        <f>H183*0.5</f>
        <v>12</v>
      </c>
      <c r="J241" s="194">
        <f t="shared" ref="J241:J242" si="27">ROUNDUP(IF($C$182="нет",0,IF(ISBLANK(D241),"",IF(H241="",I241,H241))),1)</f>
        <v>12</v>
      </c>
      <c r="K241" s="178" t="s">
        <v>212</v>
      </c>
      <c r="L241" s="187"/>
      <c r="M241" s="188">
        <f>IFERROR(IF(L241&lt;&gt;"","",VLOOKUP(C241&amp;'Калькулятор КНС'!D241&amp;'Калькулятор КНС'!K241,НН!A:J,10,)),"")</f>
        <v>1207.8</v>
      </c>
      <c r="N241" s="202">
        <f t="shared" si="23"/>
        <v>14493.599999999999</v>
      </c>
      <c r="O241" s="484"/>
    </row>
    <row r="242" spans="2:15" ht="15" outlineLevel="1">
      <c r="B242" s="169"/>
      <c r="C242" s="180" t="s">
        <v>72</v>
      </c>
      <c r="D242" s="180" t="s">
        <v>461</v>
      </c>
      <c r="E242" s="255"/>
      <c r="F242" s="212" t="str">
        <f t="array" ref="F242">IF(C242="","",IF(OR(C242=Списки!$AG$15:$AG$17),"нет","да"))</f>
        <v>нет</v>
      </c>
      <c r="G242" s="204"/>
      <c r="H242" s="210"/>
      <c r="I242" s="193">
        <f>H183*0.5</f>
        <v>12</v>
      </c>
      <c r="J242" s="194">
        <f t="shared" si="27"/>
        <v>12</v>
      </c>
      <c r="K242" s="178" t="s">
        <v>212</v>
      </c>
      <c r="L242" s="187"/>
      <c r="M242" s="188">
        <f>IFERROR(IF(L242&lt;&gt;"","",VLOOKUP(C242&amp;'Калькулятор КНС'!D242&amp;'Калькулятор КНС'!K242,НН!A:J,10,)),"")</f>
        <v>1207.8</v>
      </c>
      <c r="N242" s="202">
        <f t="shared" si="23"/>
        <v>14493.599999999999</v>
      </c>
      <c r="O242" s="365"/>
    </row>
    <row r="243" spans="2:15" ht="15">
      <c r="B243" s="169"/>
      <c r="C243" s="180"/>
      <c r="D243" s="180"/>
      <c r="E243" s="255"/>
      <c r="F243" s="212" t="str">
        <f t="array" ref="F243">IF(C243="","",IF(OR(C243=Списки!$AG$15:$AG$17),"нет","да"))</f>
        <v/>
      </c>
      <c r="G243" s="204"/>
      <c r="H243" s="210"/>
      <c r="I243" s="193"/>
      <c r="J243" s="186" t="str">
        <f>IF(ISBLANK(D243),"",IF(H243="",I243,H243))</f>
        <v/>
      </c>
      <c r="K243" s="178"/>
      <c r="L243" s="188"/>
      <c r="M243" s="188" t="str">
        <f>IFERROR(IF(L243&lt;&gt;"","",VLOOKUP(C243&amp;'Калькулятор КНС'!D243&amp;'Калькулятор КНС'!K243,НН!A:J,10,)),"")</f>
        <v/>
      </c>
      <c r="N243" s="189" t="str">
        <f t="shared" si="23"/>
        <v/>
      </c>
      <c r="O243" s="365"/>
    </row>
    <row r="244" spans="2:15" ht="15" outlineLevel="1">
      <c r="B244" s="169"/>
      <c r="C244" s="481"/>
      <c r="D244" s="426" t="s">
        <v>577</v>
      </c>
      <c r="E244" s="255"/>
      <c r="F244" s="215"/>
      <c r="G244" s="216"/>
      <c r="H244" s="227"/>
      <c r="I244" s="218"/>
      <c r="J244" s="219"/>
      <c r="K244" s="220"/>
      <c r="L244" s="221"/>
      <c r="M244" s="222" t="str">
        <f t="array" aca="1" ref="M244" ca="1">IF(D244="ФОТ",I244*#REF!,IFERROR(IF(L244&lt;&gt;"","",IF((VLOOKUP(D244&amp;K244,INDIRECT("'"&amp;INDEX(Списки!$AG$2:$AG$17,MATCH(TRUE,COUNTIF(INDIRECT("'"&amp;Списки!$AG$2:$AG$17 &amp;"'!A1:A300000"),D244&amp;K244)&gt;0,0))&amp;"'!A:h"),7,0))=0,"",VLOOKUP(D244&amp;K244,INDIRECT("'"&amp;INDEX(Списки!$AG$2:$AG$17,MATCH(TRUE,COUNTIF(INDIRECT("'"&amp;Списки!$AG$2:$AG$17 &amp;"'!A1:A300000"),D244&amp;K244)&gt;0,0))&amp;"'!A:h"),7,0))),""))</f>
        <v/>
      </c>
      <c r="N244" s="223" t="str">
        <f t="shared" ca="1" si="23"/>
        <v/>
      </c>
      <c r="O244" s="365"/>
    </row>
    <row r="245" spans="2:15" ht="15" outlineLevel="1">
      <c r="B245" s="169"/>
      <c r="C245" s="180" t="s">
        <v>72</v>
      </c>
      <c r="D245" s="180" t="s">
        <v>587</v>
      </c>
      <c r="E245" s="255"/>
      <c r="F245" s="212" t="str">
        <f t="array" ref="F245">IF(C245="","",IF(OR(C245=Списки!$AG$15:$AG$17),"нет","да"))</f>
        <v>нет</v>
      </c>
      <c r="G245" s="204"/>
      <c r="H245" s="210"/>
      <c r="I245" s="193">
        <f>2*(ОЛ_НАСОСНАЯ_СТАНЦИЯ!E55+ОЛ_НАСОСНАЯ_СТАНЦИЯ!E56)</f>
        <v>6</v>
      </c>
      <c r="J245" s="194">
        <f t="shared" ref="J245:J248" si="28">ROUNDUP(IF($C$189="нет",0,IF(ISBLANK(D245),"",IF(H245="",I245,H245))),1)</f>
        <v>6</v>
      </c>
      <c r="K245" s="178" t="s">
        <v>212</v>
      </c>
      <c r="L245" s="187"/>
      <c r="M245" s="188">
        <f>IFERROR(IF(L245&lt;&gt;"","",VLOOKUP(C245&amp;'Калькулятор КНС'!D245&amp;'Калькулятор КНС'!K245,НН!A:J,10,)),"")</f>
        <v>1207.8</v>
      </c>
      <c r="N245" s="202">
        <f t="shared" si="23"/>
        <v>7246.7999999999993</v>
      </c>
      <c r="O245" s="365" t="s">
        <v>588</v>
      </c>
    </row>
    <row r="246" spans="2:15" ht="15" outlineLevel="1">
      <c r="B246" s="169"/>
      <c r="C246" s="180" t="s">
        <v>72</v>
      </c>
      <c r="D246" s="180" t="s">
        <v>589</v>
      </c>
      <c r="E246" s="255"/>
      <c r="F246" s="212" t="str">
        <f t="array" ref="F246">IF(C246="","",IF(OR(C246=Списки!$AG$15:$AG$17),"нет","да"))</f>
        <v>нет</v>
      </c>
      <c r="G246" s="204"/>
      <c r="H246" s="210"/>
      <c r="I246" s="193">
        <f>2*(ОЛ_НАСОСНАЯ_СТАНЦИЯ!E55+ОЛ_НАСОСНАЯ_СТАНЦИЯ!E56)</f>
        <v>6</v>
      </c>
      <c r="J246" s="194">
        <f t="shared" si="28"/>
        <v>6</v>
      </c>
      <c r="K246" s="178" t="s">
        <v>212</v>
      </c>
      <c r="L246" s="187"/>
      <c r="M246" s="188">
        <f>IFERROR(IF(L246&lt;&gt;"","",VLOOKUP(C246&amp;'Калькулятор КНС'!D246&amp;'Калькулятор КНС'!K246,НН!A:J,10,)),"")</f>
        <v>1207.8</v>
      </c>
      <c r="N246" s="202">
        <f t="shared" si="23"/>
        <v>7246.7999999999993</v>
      </c>
      <c r="O246" s="365"/>
    </row>
    <row r="247" spans="2:15" ht="24" outlineLevel="1">
      <c r="B247" s="169"/>
      <c r="C247" s="180" t="s">
        <v>72</v>
      </c>
      <c r="D247" s="180" t="s">
        <v>590</v>
      </c>
      <c r="E247" s="255"/>
      <c r="F247" s="212" t="str">
        <f t="array" ref="F247">IF(C247="","",IF(OR(C247=Списки!$AG$15:$AG$17),"нет","да"))</f>
        <v>нет</v>
      </c>
      <c r="G247" s="204"/>
      <c r="H247" s="210"/>
      <c r="I247" s="193">
        <f>IF(G5&lt;2500,6,7)</f>
        <v>7</v>
      </c>
      <c r="J247" s="194">
        <f t="shared" si="28"/>
        <v>7</v>
      </c>
      <c r="K247" s="178" t="s">
        <v>212</v>
      </c>
      <c r="L247" s="187"/>
      <c r="M247" s="188">
        <f>IFERROR(IF(L247&lt;&gt;"","",VLOOKUP(C247&amp;'Калькулятор КНС'!D247&amp;'Калькулятор КНС'!K247,НН!A:J,10,)),"")</f>
        <v>1207.8</v>
      </c>
      <c r="N247" s="202">
        <f t="shared" si="23"/>
        <v>8454.6</v>
      </c>
      <c r="O247" s="365" t="s">
        <v>591</v>
      </c>
    </row>
    <row r="248" spans="2:15" ht="24" outlineLevel="1">
      <c r="B248" s="169"/>
      <c r="C248" s="180" t="s">
        <v>72</v>
      </c>
      <c r="D248" s="180" t="s">
        <v>592</v>
      </c>
      <c r="E248" s="255"/>
      <c r="F248" s="212" t="str">
        <f t="array" ref="F248">IF(C248="","",IF(OR(C248=Списки!$AG$15:$AG$17),"нет","да"))</f>
        <v>нет</v>
      </c>
      <c r="G248" s="204"/>
      <c r="H248" s="210"/>
      <c r="I248" s="193">
        <f>IF(G5&lt;2500,5,6)</f>
        <v>6</v>
      </c>
      <c r="J248" s="194">
        <f t="shared" si="28"/>
        <v>6</v>
      </c>
      <c r="K248" s="178" t="s">
        <v>212</v>
      </c>
      <c r="L248" s="187"/>
      <c r="M248" s="188">
        <f>IFERROR(IF(L248&lt;&gt;"","",VLOOKUP(C248&amp;'Калькулятор КНС'!D248&amp;'Калькулятор КНС'!K248,НН!A:J,10,)),"")</f>
        <v>1207.8</v>
      </c>
      <c r="N248" s="202">
        <f t="shared" si="23"/>
        <v>7246.7999999999993</v>
      </c>
      <c r="O248" s="365" t="s">
        <v>593</v>
      </c>
    </row>
    <row r="249" spans="2:15" ht="15">
      <c r="B249" s="169"/>
      <c r="C249" s="180"/>
      <c r="D249" s="180"/>
      <c r="E249" s="255"/>
      <c r="F249" s="212" t="str">
        <f t="array" ref="F249">IF(C249="","",IF(OR(C249=Списки!$AG$15:$AG$17),"нет","да"))</f>
        <v/>
      </c>
      <c r="G249" s="204"/>
      <c r="H249" s="210"/>
      <c r="I249" s="193"/>
      <c r="J249" s="186" t="str">
        <f>IF(ISBLANK(D249),"",IF(H249="",I249,H249))</f>
        <v/>
      </c>
      <c r="K249" s="178"/>
      <c r="L249" s="188"/>
      <c r="M249" s="188" t="str">
        <f>IFERROR(IF(L249&lt;&gt;"","",VLOOKUP(C249&amp;'Калькулятор КНС'!D249&amp;'Калькулятор КНС'!K249,НН!A:J,10,)),"")</f>
        <v/>
      </c>
      <c r="N249" s="189" t="str">
        <f t="shared" si="23"/>
        <v/>
      </c>
      <c r="O249" s="365"/>
    </row>
    <row r="250" spans="2:15" ht="15" outlineLevel="1">
      <c r="B250" s="169"/>
      <c r="C250" s="481"/>
      <c r="D250" s="426" t="s">
        <v>441</v>
      </c>
      <c r="E250" s="255"/>
      <c r="F250" s="215"/>
      <c r="G250" s="216"/>
      <c r="H250" s="227"/>
      <c r="I250" s="218"/>
      <c r="J250" s="219"/>
      <c r="K250" s="220"/>
      <c r="L250" s="221"/>
      <c r="M250" s="222" t="str">
        <f t="array" aca="1" ref="M250" ca="1">IF(D250="ФОТ",I250*#REF!,IFERROR(IF(L250&lt;&gt;"","",IF((VLOOKUP(D250&amp;K250,INDIRECT("'"&amp;INDEX(Списки!$AG$2:$AG$17,MATCH(TRUE,COUNTIF(INDIRECT("'"&amp;Списки!$AG$2:$AG$17 &amp;"'!A1:A300000"),D250&amp;K250)&gt;0,0))&amp;"'!A:h"),7,0))=0,"",VLOOKUP(D250&amp;K250,INDIRECT("'"&amp;INDEX(Списки!$AG$2:$AG$17,MATCH(TRUE,COUNTIF(INDIRECT("'"&amp;Списки!$AG$2:$AG$17 &amp;"'!A1:A300000"),D250&amp;K250)&gt;0,0))&amp;"'!A:h"),7,0))),""))</f>
        <v/>
      </c>
      <c r="N250" s="223" t="str">
        <f t="shared" ca="1" si="23"/>
        <v/>
      </c>
      <c r="O250" s="365"/>
    </row>
    <row r="251" spans="2:15" ht="15" outlineLevel="1">
      <c r="B251" s="169"/>
      <c r="C251" s="180" t="s">
        <v>72</v>
      </c>
      <c r="D251" s="180" t="s">
        <v>1945</v>
      </c>
      <c r="E251" s="255"/>
      <c r="F251" s="212" t="str">
        <f t="array" ref="F251">IF(C251="","",IF(OR(C251=Списки!$AG$15:$AG$17),"нет","да"))</f>
        <v>нет</v>
      </c>
      <c r="G251" s="204"/>
      <c r="H251" s="210"/>
      <c r="I251" s="184">
        <f>0.5*J212</f>
        <v>14</v>
      </c>
      <c r="J251" s="194">
        <f>ROUNDUP(IF(C211=0,0,IF($C$211="нет",0,IF(ISBLANK(D251),"",IF(H251="",I251,H251)))),1)</f>
        <v>14</v>
      </c>
      <c r="K251" s="178" t="s">
        <v>212</v>
      </c>
      <c r="L251" s="187"/>
      <c r="M251" s="188">
        <f>IFERROR(IF(L251&lt;&gt;"","",VLOOKUP(C251&amp;'Калькулятор КНС'!D251&amp;'Калькулятор КНС'!K251,НН!A:J,10,)),"")</f>
        <v>1207.8</v>
      </c>
      <c r="N251" s="202">
        <f t="shared" si="23"/>
        <v>16909.2</v>
      </c>
      <c r="O251" s="365" t="s">
        <v>1946</v>
      </c>
    </row>
    <row r="252" spans="2:15" ht="15" outlineLevel="1">
      <c r="B252" s="361"/>
      <c r="C252" s="306"/>
      <c r="D252" s="307" t="s">
        <v>377</v>
      </c>
      <c r="E252" s="362"/>
      <c r="F252" s="309"/>
      <c r="G252" s="310"/>
      <c r="H252" s="311"/>
      <c r="I252" s="363"/>
      <c r="J252" s="364"/>
      <c r="K252" s="314"/>
      <c r="L252" s="315"/>
      <c r="M252" s="316" t="str">
        <f t="array" aca="1" ref="M252" ca="1">IFERROR(IF(L252&lt;&gt;"","",IF((VLOOKUP(D252&amp;K252,INDIRECT("'"&amp;INDEX(Списки!$AG$2:$AG$17,MATCH(TRUE,COUNTIF(INDIRECT("'"&amp;Списки!$AG$2:$AG$17 &amp;"'!A1:A300000"),D252&amp;K252)&gt;0,0))&amp;"'!A:h"),7,0))=0,"",VLOOKUP(D252&amp;K252,INDIRECT("'"&amp;INDEX(Списки!$AG$2:$AG$17,MATCH(TRUE,COUNTIF(INDIRECT("'"&amp;Списки!$AG$2:$AG$17 &amp;"'!A1:A300000"),D252&amp;K252)&gt;0,0))&amp;"'!A:h"),7,0))),"")</f>
        <v/>
      </c>
      <c r="N252" s="317"/>
      <c r="O252" s="365"/>
    </row>
    <row r="253" spans="2:15" ht="18">
      <c r="B253" s="318"/>
      <c r="C253" s="319"/>
      <c r="D253" s="332"/>
      <c r="E253" s="405" t="s">
        <v>466</v>
      </c>
      <c r="F253" s="406"/>
      <c r="G253" s="407">
        <f>SUM(G141:G252)</f>
        <v>0</v>
      </c>
      <c r="H253" s="332"/>
      <c r="I253" s="332"/>
      <c r="J253" s="408"/>
      <c r="K253" s="408"/>
      <c r="L253" s="409"/>
      <c r="M253" s="410" t="str">
        <f t="array" aca="1" ref="M253" ca="1">IFERROR(IF(L253&lt;&gt;"","",IF((VLOOKUP(D253&amp;K253,INDIRECT("'"&amp;INDEX(Списки!$AG$2:$AG$17,MATCH(TRUE,COUNTIF(INDIRECT("'"&amp;Списки!$AG$2:$AG$17 &amp;"'!A1:A300000"),D253&amp;K253)&gt;0,0))&amp;"'!A:h"),7,0))=0,"",VLOOKUP(D253&amp;K253,INDIRECT("'"&amp;INDEX(Списки!$AG$2:$AG$17,MATCH(TRUE,COUNTIF(INDIRECT("'"&amp;Списки!$AG$2:$AG$17 &amp;"'!A1:A300000"),D253&amp;K253)&gt;0,0))&amp;"'!A:h"),7,0))),"")</f>
        <v/>
      </c>
      <c r="N253" s="411">
        <f ca="1">SUM(N141:N252)</f>
        <v>596717.09493666212</v>
      </c>
      <c r="O253" s="711">
        <f>N254+N255+N256+N257</f>
        <v>596717.09493666224</v>
      </c>
    </row>
    <row r="254" spans="2:15" ht="15.75">
      <c r="B254" s="318"/>
      <c r="C254" s="319"/>
      <c r="D254" s="320"/>
      <c r="E254" s="333" t="s">
        <v>379</v>
      </c>
      <c r="F254" s="372"/>
      <c r="G254" s="373"/>
      <c r="H254" s="374"/>
      <c r="I254" s="374"/>
      <c r="J254" s="375"/>
      <c r="K254" s="376"/>
      <c r="L254" s="377"/>
      <c r="M254" s="378" t="str">
        <f t="array" aca="1" ref="M254" ca="1">IFERROR(IF(L254&lt;&gt;"","",IF((VLOOKUP(D254&amp;K254,INDIRECT("'"&amp;INDEX(Списки!$AG$2:$AG$17,MATCH(TRUE,COUNTIF(INDIRECT("'"&amp;Списки!$AG$2:$AG$17 &amp;"'!A1:A300000"),D254&amp;K254)&gt;0,0))&amp;"'!A:h"),7,0))=0,"",VLOOKUP(D254&amp;K254,INDIRECT("'"&amp;INDEX(Списки!$AG$2:$AG$17,MATCH(TRUE,COUNTIF(INDIRECT("'"&amp;Списки!$AG$2:$AG$17 &amp;"'!A1:A300000"),D254&amp;K254)&gt;0,0))&amp;"'!A:h"),7,0))),"")</f>
        <v/>
      </c>
      <c r="N254" s="341">
        <f t="array" ref="N254">SUM(SUMIF(C141:C252,Списки!$AG$2:$AG$14,N141:N252))</f>
        <v>385573.33299999998</v>
      </c>
      <c r="O254" s="379"/>
    </row>
    <row r="255" spans="2:15" ht="15.75">
      <c r="B255" s="318"/>
      <c r="C255" s="319"/>
      <c r="D255" s="380"/>
      <c r="E255" s="333" t="s">
        <v>382</v>
      </c>
      <c r="F255" s="372"/>
      <c r="G255" s="381"/>
      <c r="H255" s="374"/>
      <c r="I255" s="374"/>
      <c r="J255" s="382">
        <f>ROUNDUP(SUMIFS($J$141:$J$252,$K$141:$K$252,Списки!$S$5)-SUMIFS($J$141:$J$252,$K$141:$K$252,Списки!$S$5,$D$141:$D$252,"*изготов*"),1)</f>
        <v>117.8</v>
      </c>
      <c r="K255" s="793" t="s">
        <v>212</v>
      </c>
      <c r="L255" s="383"/>
      <c r="M255" s="384" t="str">
        <f t="array" aca="1" ref="M255" ca="1">IFERROR(IF(L255&lt;&gt;"","",IF((VLOOKUP(D255&amp;K255,INDIRECT("'"&amp;INDEX(Списки!$AG$2:$AG$17,MATCH(TRUE,COUNTIF(INDIRECT("'"&amp;Списки!$AG$2:$AG$17 &amp;"'!A1:A300000"),D255&amp;K255)&gt;0,0))&amp;"'!A:h"),7,0))=0,"",VLOOKUP(D255&amp;K255,INDIRECT("'"&amp;INDEX(Списки!$AG$2:$AG$17,MATCH(TRUE,COUNTIF(INDIRECT("'"&amp;Списки!$AG$2:$AG$17 &amp;"'!A1:A300000"),D255&amp;K255)&gt;0,0))&amp;"'!A:h"),7,0))),"")</f>
        <v/>
      </c>
      <c r="N255" s="385">
        <f>SUMIF($K$141:$K$252,Списки!$S$5,$N$141:$N$252)-SUMIFS($N$141:$N$252,$K$141:$K$252,Списки!$S$5,$D$141:$D$252,"*изготов*")</f>
        <v>127785.24000000002</v>
      </c>
      <c r="O255" s="484"/>
    </row>
    <row r="256" spans="2:15" ht="15.75">
      <c r="B256" s="318"/>
      <c r="C256" s="319"/>
      <c r="D256" s="380"/>
      <c r="E256" s="333" t="s">
        <v>383</v>
      </c>
      <c r="F256" s="372"/>
      <c r="G256" s="381"/>
      <c r="H256" s="374"/>
      <c r="I256" s="374"/>
      <c r="J256" s="382">
        <f>ROUNDUP(SUMIFS($J$141:$J$252,$K$141:$K$252,Списки!$S$5,$D$141:$D$252,"*изготов*"),1)</f>
        <v>43</v>
      </c>
      <c r="K256" s="793" t="s">
        <v>212</v>
      </c>
      <c r="L256" s="383"/>
      <c r="M256" s="384" t="str">
        <f t="array" aca="1" ref="M256" ca="1">IFERROR(IF(L256&lt;&gt;"","",IF((VLOOKUP(D256&amp;K256,INDIRECT("'"&amp;INDEX(Списки!$AG$2:$AG$17,MATCH(TRUE,COUNTIF(INDIRECT("'"&amp;Списки!$AG$2:$AG$17 &amp;"'!A1:A300000"),D256&amp;K256)&gt;0,0))&amp;"'!A:h"),7,0))=0,"",VLOOKUP(D256&amp;K256,INDIRECT("'"&amp;INDEX(Списки!$AG$2:$AG$17,MATCH(TRUE,COUNTIF(INDIRECT("'"&amp;Списки!$AG$2:$AG$17 &amp;"'!A1:A300000"),D256&amp;K256)&gt;0,0))&amp;"'!A:h"),7,0))),"")</f>
        <v/>
      </c>
      <c r="N256" s="385">
        <f>SUMIFS($N$141:$N$252,$K$141:$K$252,Списки!$S$5,$D$141:$D$252,"*изготов*")</f>
        <v>51935.4</v>
      </c>
      <c r="O256" s="379"/>
    </row>
    <row r="257" spans="2:15" ht="15.75">
      <c r="B257" s="318"/>
      <c r="C257" s="319"/>
      <c r="D257" s="332"/>
      <c r="E257" s="333" t="s">
        <v>384</v>
      </c>
      <c r="F257" s="334"/>
      <c r="G257" s="713"/>
      <c r="H257" s="336"/>
      <c r="I257" s="336"/>
      <c r="J257" s="333">
        <f>SUMIFS($J$141:$J$252,$K$141:$K$252,Списки!$S$4)</f>
        <v>130.61958797131615</v>
      </c>
      <c r="K257" s="338" t="s">
        <v>193</v>
      </c>
      <c r="L257" s="768"/>
      <c r="M257" s="769" t="str">
        <f t="array" aca="1" ref="M257" ca="1">IFERROR(IF(L257&lt;&gt;"","",IF((VLOOKUP(D257&amp;K257,INDIRECT("'"&amp;INDEX(Списки!$AG$2:$AG$17,MATCH(TRUE,COUNTIF(INDIRECT("'"&amp;Списки!$AG$2:$AG$17 &amp;"'!A1:A300000"),D257&amp;K257)&gt;0,0))&amp;"'!A:h"),7,0))=0,"",VLOOKUP(D257&amp;K257,INDIRECT("'"&amp;INDEX(Списки!$AG$2:$AG$17,MATCH(TRUE,COUNTIF(INDIRECT("'"&amp;Списки!$AG$2:$AG$17 &amp;"'!A1:A300000"),D257&amp;K257)&gt;0,0))&amp;"'!A:h"),7,0))),"")</f>
        <v/>
      </c>
      <c r="N257" s="715">
        <f>SUMIF($K$141:$K$252,Списки!$S$4,$N$141:$N$252)</f>
        <v>31423.121936662206</v>
      </c>
      <c r="O257" s="329"/>
    </row>
    <row r="258" spans="2:15" ht="23.25" customHeight="1">
      <c r="B258" s="386">
        <v>4</v>
      </c>
      <c r="C258" s="683" t="s">
        <v>115</v>
      </c>
      <c r="D258" s="388" t="s">
        <v>594</v>
      </c>
      <c r="E258" s="1118">
        <f>((PI()*(($G$5)/(1000*2))^2)*(I5/1000)*5)</f>
        <v>406.44354955817948</v>
      </c>
      <c r="F258" s="390" t="s">
        <v>1933</v>
      </c>
      <c r="G258" s="391"/>
      <c r="H258" s="389"/>
      <c r="I258" s="392"/>
      <c r="J258" s="358">
        <v>1</v>
      </c>
      <c r="K258" s="178" t="s">
        <v>129</v>
      </c>
      <c r="L258" s="394"/>
      <c r="M258" s="395"/>
      <c r="N258" s="390"/>
      <c r="O258" s="214"/>
    </row>
    <row r="259" spans="2:15" ht="24" customHeight="1">
      <c r="B259" s="386"/>
      <c r="C259" s="683" t="s">
        <v>700</v>
      </c>
      <c r="D259" s="388"/>
      <c r="E259" s="389"/>
      <c r="F259" s="390"/>
      <c r="G259" s="391"/>
      <c r="H259" s="389"/>
      <c r="I259" s="392"/>
      <c r="J259" s="392"/>
      <c r="K259" s="220"/>
      <c r="L259" s="394"/>
      <c r="M259" s="395"/>
      <c r="N259" s="390"/>
      <c r="O259" s="214"/>
    </row>
    <row r="260" spans="2:15" ht="15" outlineLevel="1">
      <c r="B260" s="386"/>
      <c r="C260" s="388"/>
      <c r="D260" s="388"/>
      <c r="E260" s="389"/>
      <c r="F260" s="390"/>
      <c r="G260" s="391"/>
      <c r="H260" s="389"/>
      <c r="I260" s="392"/>
      <c r="J260" s="392"/>
      <c r="K260" s="220"/>
      <c r="L260" s="394"/>
      <c r="M260" s="395"/>
      <c r="N260" s="390"/>
      <c r="O260" s="214"/>
    </row>
    <row r="261" spans="2:15" ht="15" outlineLevel="2">
      <c r="B261" s="169" t="s">
        <v>468</v>
      </c>
      <c r="C261" s="794" t="s">
        <v>124</v>
      </c>
      <c r="D261" s="291" t="s">
        <v>701</v>
      </c>
      <c r="E261" s="292"/>
      <c r="F261" s="293" t="str">
        <f t="array" ref="F261">IF(ISBLANK(C261),"",IF(OR(C261=Списки!$AG$15:$AG$17),"нет","да"))</f>
        <v>да</v>
      </c>
      <c r="G261" s="216"/>
      <c r="H261" s="230"/>
      <c r="I261" s="294"/>
      <c r="J261" s="219"/>
      <c r="K261" s="220"/>
      <c r="L261" s="255"/>
      <c r="M261" s="256"/>
      <c r="N261" s="356"/>
      <c r="O261" s="167"/>
    </row>
    <row r="262" spans="2:15" ht="15" outlineLevel="2">
      <c r="B262" s="179"/>
      <c r="C262" s="180" t="s">
        <v>197</v>
      </c>
      <c r="D262" s="180" t="s">
        <v>471</v>
      </c>
      <c r="E262" s="797"/>
      <c r="F262" s="212" t="str">
        <f t="array" ref="F262">IF(C262="","",IF(OR(C262=Списки!$AG$15:$AG$17),"нет","да"))</f>
        <v>да</v>
      </c>
      <c r="G262" s="204"/>
      <c r="H262" s="210">
        <v>2</v>
      </c>
      <c r="I262" s="193"/>
      <c r="J262" s="186">
        <f t="shared" ref="J262:J277" si="29">IF($C$258="нет",0,IF(ISBLANK(D262),"",IF(H262="",I262,H262)))</f>
        <v>2</v>
      </c>
      <c r="K262" s="178" t="s">
        <v>129</v>
      </c>
      <c r="L262" s="187"/>
      <c r="M262" s="188">
        <f>IF(C259="Нержавеющая сталь",0,IFERROR(IF(L262&lt;&gt;"","",VLOOKUP(C262&amp;'Калькулятор КНС'!D262&amp;'Калькулятор КНС'!K262,НН!A:J,10,)),""))</f>
        <v>0</v>
      </c>
      <c r="N262" s="202">
        <f t="shared" ref="N262:N281" si="30">IFERROR(IF(L262="",M262*J262,J262*L262),"")</f>
        <v>0</v>
      </c>
      <c r="O262" s="795"/>
    </row>
    <row r="263" spans="2:15" ht="15" outlineLevel="2">
      <c r="B263" s="179"/>
      <c r="C263" s="180" t="s">
        <v>197</v>
      </c>
      <c r="D263" s="180" t="s">
        <v>472</v>
      </c>
      <c r="E263" s="792"/>
      <c r="F263" s="212" t="str">
        <f t="array" ref="F263">IF(C263="","",IF(OR(C263=Списки!$AG$15:$AG$17),"нет","да"))</f>
        <v>да</v>
      </c>
      <c r="G263" s="204"/>
      <c r="H263" s="210">
        <v>2</v>
      </c>
      <c r="I263" s="193"/>
      <c r="J263" s="186">
        <f t="shared" si="29"/>
        <v>2</v>
      </c>
      <c r="K263" s="178" t="s">
        <v>129</v>
      </c>
      <c r="L263" s="187"/>
      <c r="M263" s="188">
        <f>IF(C259="Нержавеющая сталь",0,IFERROR(IF(L263&lt;&gt;"","",VLOOKUP(C263&amp;'Калькулятор КНС'!D263&amp;'Калькулятор КНС'!K263,НН!A:J,10,)),""))</f>
        <v>0</v>
      </c>
      <c r="N263" s="202">
        <f t="shared" si="30"/>
        <v>0</v>
      </c>
      <c r="O263" s="365"/>
    </row>
    <row r="264" spans="2:15" ht="15" outlineLevel="2">
      <c r="B264" s="179"/>
      <c r="C264" s="180" t="s">
        <v>197</v>
      </c>
      <c r="D264" s="180" t="s">
        <v>473</v>
      </c>
      <c r="E264" s="792"/>
      <c r="F264" s="212" t="str">
        <f t="array" ref="F264">IF(C264="","",IF(OR(C264=Списки!$AG$15:$AG$17),"нет","да"))</f>
        <v>да</v>
      </c>
      <c r="G264" s="204"/>
      <c r="H264" s="210">
        <v>10</v>
      </c>
      <c r="I264" s="193"/>
      <c r="J264" s="186">
        <f t="shared" si="29"/>
        <v>10</v>
      </c>
      <c r="K264" s="178" t="s">
        <v>163</v>
      </c>
      <c r="L264" s="187"/>
      <c r="M264" s="188">
        <f>IF(C259="Нержавеющая сталь",0,IFERROR(IF(L264&lt;&gt;"","",VLOOKUP(C264&amp;'Калькулятор КНС'!D264&amp;'Калькулятор КНС'!K264,НН!A:J,10,)),""))</f>
        <v>0</v>
      </c>
      <c r="N264" s="202">
        <f t="shared" si="30"/>
        <v>0</v>
      </c>
      <c r="O264" s="365"/>
    </row>
    <row r="265" spans="2:15" ht="24" outlineLevel="2">
      <c r="B265" s="179"/>
      <c r="C265" s="180" t="s">
        <v>233</v>
      </c>
      <c r="D265" s="180" t="s">
        <v>2097</v>
      </c>
      <c r="E265" s="1120">
        <f>E258</f>
        <v>406.44354955817948</v>
      </c>
      <c r="F265" s="212" t="str">
        <f t="array" ref="F265">IF(C265="","",IF(OR(C265=Списки!$AG$15:$AG$17),"нет","да"))</f>
        <v>да</v>
      </c>
      <c r="G265" s="204"/>
      <c r="H265" s="210">
        <v>1</v>
      </c>
      <c r="I265" s="193"/>
      <c r="J265" s="186">
        <f t="shared" si="29"/>
        <v>1</v>
      </c>
      <c r="K265" s="178" t="s">
        <v>129</v>
      </c>
      <c r="L265" s="1003"/>
      <c r="M265" s="188">
        <f>IF(C259="Нержавеющая сталь",0,IFERROR(IF(L265&lt;&gt;"","",VLOOKUP(C265&amp;'Калькулятор КНС'!D265&amp;'Калькулятор КНС'!K265,НН!A:J,10,)),""))</f>
        <v>0</v>
      </c>
      <c r="N265" s="202">
        <f t="shared" ref="N265" si="31">IFERROR(IF(L265="",M265*J265,J265*L265),"")</f>
        <v>0</v>
      </c>
      <c r="O265" s="365"/>
    </row>
    <row r="266" spans="2:15" ht="15.6" customHeight="1" outlineLevel="2">
      <c r="B266" s="179"/>
      <c r="C266" s="180" t="s">
        <v>233</v>
      </c>
      <c r="D266" s="180" t="s">
        <v>2094</v>
      </c>
      <c r="E266" s="1120">
        <f>E258</f>
        <v>406.44354955817948</v>
      </c>
      <c r="F266" s="212" t="str">
        <f t="array" ref="F266">IF(C266="","",IF(OR(C266=Списки!$AG$15:$AG$17),"нет","да"))</f>
        <v>да</v>
      </c>
      <c r="G266" s="204"/>
      <c r="H266" s="210">
        <v>1</v>
      </c>
      <c r="I266" s="193"/>
      <c r="J266" s="186">
        <f t="shared" si="29"/>
        <v>1</v>
      </c>
      <c r="K266" s="178" t="s">
        <v>129</v>
      </c>
      <c r="L266" s="187"/>
      <c r="M266" s="188">
        <f>IF(C259="Нержавеющая сталь",0,IFERROR(IF(L266&lt;&gt;"","",VLOOKUP(C266&amp;'Калькулятор КНС'!D266&amp;'Калькулятор КНС'!K266,НН!A:J,10,)),""))</f>
        <v>0</v>
      </c>
      <c r="N266" s="202">
        <f t="shared" si="30"/>
        <v>0</v>
      </c>
      <c r="O266" s="365"/>
    </row>
    <row r="267" spans="2:15" ht="15" outlineLevel="1">
      <c r="B267" s="179"/>
      <c r="C267" s="180"/>
      <c r="D267" s="180"/>
      <c r="E267" s="255"/>
      <c r="F267" s="215"/>
      <c r="G267" s="216"/>
      <c r="H267" s="216"/>
      <c r="I267" s="218"/>
      <c r="J267" s="219"/>
      <c r="K267" s="220"/>
      <c r="L267" s="219"/>
      <c r="M267" s="222"/>
      <c r="N267" s="289"/>
      <c r="O267" s="365"/>
    </row>
    <row r="268" spans="2:15" ht="15" outlineLevel="2">
      <c r="B268" s="169" t="s">
        <v>468</v>
      </c>
      <c r="C268" s="794" t="s">
        <v>700</v>
      </c>
      <c r="D268" s="291" t="s">
        <v>702</v>
      </c>
      <c r="E268" s="292"/>
      <c r="F268" s="293" t="str">
        <f t="array" ref="F268">IF(ISBLANK(C268),"",IF(OR(C268=Списки!$AG$15:$AG$17),"нет","да"))</f>
        <v>да</v>
      </c>
      <c r="G268" s="216"/>
      <c r="H268" s="230"/>
      <c r="I268" s="294"/>
      <c r="J268" s="219"/>
      <c r="K268" s="220"/>
      <c r="L268" s="255"/>
      <c r="M268" s="256"/>
      <c r="N268" s="356"/>
      <c r="O268" s="365"/>
    </row>
    <row r="269" spans="2:15" ht="15" customHeight="1" outlineLevel="2">
      <c r="B269" s="179"/>
      <c r="C269" s="180" t="s">
        <v>71</v>
      </c>
      <c r="D269" s="180" t="s">
        <v>2186</v>
      </c>
      <c r="E269" s="180"/>
      <c r="F269" s="212" t="str">
        <f t="array" ref="F269">IF(C269="","",IF(OR(C269=Списки!$AG$15:$AG$17),"нет","да"))</f>
        <v>да</v>
      </c>
      <c r="G269" s="180"/>
      <c r="H269" s="1108">
        <f>H271</f>
        <v>22</v>
      </c>
      <c r="I269" s="958"/>
      <c r="J269" s="958">
        <f t="shared" si="29"/>
        <v>22</v>
      </c>
      <c r="K269" s="1019" t="s">
        <v>129</v>
      </c>
      <c r="L269" s="187">
        <v>1</v>
      </c>
      <c r="M269" s="188" t="str">
        <f>IF(C259="ПЭ",0,IFERROR(IF(L269&lt;&gt;"","",VLOOKUP(C269&amp;'Калькулятор КНС'!D269&amp;'Калькулятор КНС'!K269,НН!A:J,10,)),""))</f>
        <v/>
      </c>
      <c r="N269" s="188">
        <f t="shared" si="30"/>
        <v>22</v>
      </c>
      <c r="O269" s="365"/>
    </row>
    <row r="270" spans="2:15" ht="18" customHeight="1" outlineLevel="2">
      <c r="B270" s="179"/>
      <c r="C270" s="180" t="s">
        <v>71</v>
      </c>
      <c r="D270" s="180" t="s">
        <v>2187</v>
      </c>
      <c r="E270" s="180"/>
      <c r="F270" s="212" t="str">
        <f t="array" ref="F270">IF(C270="","",IF(OR(C270=Списки!$AG$15:$AG$17),"нет","да"))</f>
        <v>да</v>
      </c>
      <c r="G270" s="180"/>
      <c r="H270" s="1108">
        <v>2</v>
      </c>
      <c r="I270" s="958"/>
      <c r="J270" s="958">
        <f t="shared" si="29"/>
        <v>2</v>
      </c>
      <c r="K270" s="1019" t="s">
        <v>129</v>
      </c>
      <c r="L270" s="187">
        <v>1</v>
      </c>
      <c r="M270" s="188" t="str">
        <f>IF(C259="ПЭ",0,IFERROR(IF(L270&lt;&gt;"","",VLOOKUP(C270&amp;'Калькулятор КНС'!D270&amp;'Калькулятор КНС'!K270,НН!A:J,10,)),""))</f>
        <v/>
      </c>
      <c r="N270" s="188">
        <f t="shared" si="30"/>
        <v>2</v>
      </c>
      <c r="O270" s="365"/>
    </row>
    <row r="271" spans="2:15" ht="16.5" customHeight="1" outlineLevel="2">
      <c r="B271" s="179"/>
      <c r="C271" s="180" t="s">
        <v>71</v>
      </c>
      <c r="D271" s="180" t="s">
        <v>2188</v>
      </c>
      <c r="E271" s="180"/>
      <c r="F271" s="212" t="str">
        <f t="array" ref="F271">IF(C271="","",IF(OR(C271=Списки!$AG$15:$AG$17),"нет","да"))</f>
        <v>да</v>
      </c>
      <c r="G271" s="180"/>
      <c r="H271" s="1108">
        <f>11/0.5</f>
        <v>22</v>
      </c>
      <c r="I271" s="958"/>
      <c r="J271" s="958">
        <f t="shared" si="29"/>
        <v>22</v>
      </c>
      <c r="K271" s="1019" t="s">
        <v>129</v>
      </c>
      <c r="L271" s="187">
        <v>1</v>
      </c>
      <c r="M271" s="188" t="str">
        <f>IF(C259="ПЭ",0,IFERROR(IF(L271&lt;&gt;"","",VLOOKUP(C271&amp;'Калькулятор КНС'!D271&amp;'Калькулятор КНС'!K271,НН!A:J,10,)),""))</f>
        <v/>
      </c>
      <c r="N271" s="188">
        <f t="shared" si="30"/>
        <v>22</v>
      </c>
      <c r="O271" s="365"/>
    </row>
    <row r="272" spans="2:15" ht="18" customHeight="1" outlineLevel="2">
      <c r="B272" s="179"/>
      <c r="C272" s="180" t="s">
        <v>71</v>
      </c>
      <c r="D272" s="180" t="s">
        <v>2189</v>
      </c>
      <c r="E272" s="180"/>
      <c r="F272" s="212" t="str">
        <f t="array" ref="F272">IF(C272="","",IF(OR(C272=Списки!$AG$15:$AG$17),"нет","да"))</f>
        <v>да</v>
      </c>
      <c r="G272" s="180"/>
      <c r="H272" s="1108">
        <f>11</f>
        <v>11</v>
      </c>
      <c r="I272" s="958"/>
      <c r="J272" s="958">
        <f t="shared" si="29"/>
        <v>11</v>
      </c>
      <c r="K272" s="1019" t="s">
        <v>129</v>
      </c>
      <c r="L272" s="187">
        <v>1</v>
      </c>
      <c r="M272" s="188" t="str">
        <f>IF(C259="ПЭ",0,IFERROR(IF(L272&lt;&gt;"","",VLOOKUP(C272&amp;'Калькулятор КНС'!D272&amp;'Калькулятор КНС'!K272,НН!A:J,10,)),""))</f>
        <v/>
      </c>
      <c r="N272" s="188">
        <f t="shared" si="30"/>
        <v>11</v>
      </c>
      <c r="O272" s="365"/>
    </row>
    <row r="273" spans="2:15" ht="24" outlineLevel="2">
      <c r="B273" s="179"/>
      <c r="C273" s="180" t="s">
        <v>233</v>
      </c>
      <c r="D273" s="180" t="s">
        <v>2099</v>
      </c>
      <c r="E273" s="1119">
        <f>E258</f>
        <v>406.44354955817948</v>
      </c>
      <c r="F273" s="212" t="str">
        <f t="array" ref="F273">IF(C273="","",IF(OR(C273=Списки!$AG$15:$AG$17),"нет","да"))</f>
        <v>да</v>
      </c>
      <c r="G273" s="180"/>
      <c r="H273" s="1108">
        <v>1</v>
      </c>
      <c r="I273" s="958"/>
      <c r="J273" s="958">
        <f t="shared" si="29"/>
        <v>1</v>
      </c>
      <c r="K273" s="1019" t="s">
        <v>129</v>
      </c>
      <c r="L273" s="187"/>
      <c r="M273" s="188">
        <f>IF(C259="ПЭ",0,IFERROR(IF(L273&lt;&gt;"","",VLOOKUP(C273&amp;'Калькулятор КНС'!D273&amp;'Калькулятор КНС'!K273,НН!A:J,10,)),""))</f>
        <v>10800</v>
      </c>
      <c r="N273" s="188">
        <f t="shared" si="30"/>
        <v>10800</v>
      </c>
      <c r="O273" s="1205" t="s">
        <v>1953</v>
      </c>
    </row>
    <row r="274" spans="2:15" ht="21" customHeight="1" outlineLevel="2">
      <c r="B274" s="957"/>
      <c r="C274" s="180" t="s">
        <v>233</v>
      </c>
      <c r="D274" s="180" t="s">
        <v>2101</v>
      </c>
      <c r="E274" s="1119">
        <f>E258</f>
        <v>406.44354955817948</v>
      </c>
      <c r="F274" s="212" t="str">
        <f t="array" ref="F274">IF(C274="","",IF(OR(C274=Списки!$AG$15:$AG$17),"нет","да"))</f>
        <v>да</v>
      </c>
      <c r="G274" s="180"/>
      <c r="H274" s="1108">
        <v>2</v>
      </c>
      <c r="I274" s="958"/>
      <c r="J274" s="958">
        <f t="shared" ref="J274" si="32">IF($C$258="нет",0,IF(ISBLANK(D274),"",IF(H274="",I274,H274)))</f>
        <v>2</v>
      </c>
      <c r="K274" s="1019" t="s">
        <v>129</v>
      </c>
      <c r="L274" s="187"/>
      <c r="M274" s="188">
        <f>IF(C259="ПЭ",0,IFERROR(IF(L274&lt;&gt;"","",VLOOKUP(C274&amp;'Калькулятор КНС'!D274&amp;'Калькулятор КНС'!K274,НН!A:J,10,)),""))</f>
        <v>15000</v>
      </c>
      <c r="N274" s="188">
        <f t="shared" ref="N274" si="33">IFERROR(IF(L274="",M274*J274,J274*L274),"")</f>
        <v>30000</v>
      </c>
      <c r="O274" s="365"/>
    </row>
    <row r="275" spans="2:15" ht="15" outlineLevel="2">
      <c r="B275" s="179"/>
      <c r="C275" s="180" t="s">
        <v>68</v>
      </c>
      <c r="D275" s="180" t="s">
        <v>387</v>
      </c>
      <c r="E275" s="180"/>
      <c r="F275" s="212" t="str">
        <f t="array" ref="F275">IF(C275="","",IF(OR(C275=Списки!$AG$15:$AG$17),"нет","да"))</f>
        <v>да</v>
      </c>
      <c r="G275" s="180"/>
      <c r="H275" s="1108">
        <v>4</v>
      </c>
      <c r="I275" s="958"/>
      <c r="J275" s="958">
        <f t="shared" si="29"/>
        <v>4</v>
      </c>
      <c r="K275" s="1019" t="s">
        <v>163</v>
      </c>
      <c r="L275" s="180"/>
      <c r="M275" s="188">
        <f>IF(C259="ПЭ",0,IFERROR(IF(L275&lt;&gt;"","",VLOOKUP(C275&amp;'Калькулятор КНС'!D275&amp;'Калькулятор КНС'!K275,НН!A:J,10,)),""))</f>
        <v>850</v>
      </c>
      <c r="N275" s="188">
        <f t="shared" si="30"/>
        <v>3400</v>
      </c>
      <c r="O275" s="365"/>
    </row>
    <row r="276" spans="2:15" ht="15" outlineLevel="2">
      <c r="B276" s="179"/>
      <c r="C276" s="180" t="s">
        <v>69</v>
      </c>
      <c r="D276" s="180" t="s">
        <v>707</v>
      </c>
      <c r="E276" s="180"/>
      <c r="F276" s="212" t="str">
        <f t="array" ref="F276">IF(C276="","",IF(OR(C276=Списки!$AG$15:$AG$17),"нет","да"))</f>
        <v>да</v>
      </c>
      <c r="G276" s="204"/>
      <c r="H276" s="210">
        <v>1</v>
      </c>
      <c r="I276" s="193"/>
      <c r="J276" s="186">
        <f t="shared" si="29"/>
        <v>1</v>
      </c>
      <c r="K276" s="178" t="s">
        <v>129</v>
      </c>
      <c r="L276" s="187"/>
      <c r="M276" s="188">
        <f>IF(C259="ПЭ",0,IFERROR(IF(L276&lt;&gt;"","",VLOOKUP(C276&amp;'Калькулятор КНС'!D276&amp;'Калькулятор КНС'!K276,НН!A:J,10,)),""))</f>
        <v>260</v>
      </c>
      <c r="N276" s="202">
        <f t="shared" si="30"/>
        <v>260</v>
      </c>
      <c r="O276" s="365"/>
    </row>
    <row r="277" spans="2:15" ht="15" outlineLevel="2">
      <c r="B277" s="179"/>
      <c r="C277" s="180" t="s">
        <v>69</v>
      </c>
      <c r="D277" s="180" t="s">
        <v>708</v>
      </c>
      <c r="E277" s="180"/>
      <c r="F277" s="212" t="str">
        <f t="array" ref="F277">IF(C277="","",IF(OR(C277=Списки!$AG$15:$AG$17),"нет","да"))</f>
        <v>да</v>
      </c>
      <c r="G277" s="204"/>
      <c r="H277" s="210">
        <v>3</v>
      </c>
      <c r="I277" s="193"/>
      <c r="J277" s="186">
        <f t="shared" si="29"/>
        <v>3</v>
      </c>
      <c r="K277" s="178" t="s">
        <v>129</v>
      </c>
      <c r="L277" s="187"/>
      <c r="M277" s="188">
        <f>IF(C259="ПЭ",0,IFERROR(IF(L277&lt;&gt;"","",VLOOKUP(C277&amp;'Калькулятор КНС'!D277&amp;'Калькулятор КНС'!K277,НН!A:J,10,)),""))</f>
        <v>10.1</v>
      </c>
      <c r="N277" s="202">
        <f t="shared" si="30"/>
        <v>30.299999999999997</v>
      </c>
      <c r="O277" s="365"/>
    </row>
    <row r="278" spans="2:15" ht="15" outlineLevel="1"/>
    <row r="279" spans="2:15" ht="15" outlineLevel="1">
      <c r="B279" s="169" t="s">
        <v>474</v>
      </c>
      <c r="C279" s="170"/>
      <c r="D279" s="291" t="s">
        <v>475</v>
      </c>
      <c r="E279" s="292"/>
      <c r="F279" s="293" t="str">
        <f t="array" ref="F279">IF(ISBLANK(C279),"",IF(OR(C279=Списки!$AG$15:$AG$17),"нет","да"))</f>
        <v/>
      </c>
      <c r="G279" s="216"/>
      <c r="H279" s="230"/>
      <c r="I279" s="294"/>
      <c r="J279" s="219"/>
      <c r="K279" s="220"/>
      <c r="L279" s="255"/>
      <c r="M279" s="256" t="str">
        <f t="array" aca="1" ref="M279" ca="1">IFERROR(IF(L279&lt;&gt;"","",IF((VLOOKUP(D279&amp;K279,INDIRECT("'"&amp;INDEX(Списки!$AG$2:$AG$17,MATCH(TRUE,COUNTIF(INDIRECT("'"&amp;Списки!$AG$2:$AG$17 &amp;"'!A1:A300000"),D279&amp;K279)&gt;0,0))&amp;"'!A:h"),7,0))=0,"",VLOOKUP(D279&amp;K279,INDIRECT("'"&amp;INDEX(Списки!$AG$2:$AG$17,MATCH(TRUE,COUNTIF(INDIRECT("'"&amp;Списки!$AG$2:$AG$17 &amp;"'!A1:A300000"),D279&amp;K279)&gt;0,0))&amp;"'!A:h"),7,0))),"")</f>
        <v/>
      </c>
      <c r="N279" s="256"/>
      <c r="O279" s="167"/>
    </row>
    <row r="280" spans="2:15" ht="15" outlineLevel="1">
      <c r="B280" s="179"/>
      <c r="C280" s="180" t="s">
        <v>72</v>
      </c>
      <c r="D280" s="180" t="s">
        <v>476</v>
      </c>
      <c r="E280" s="231">
        <v>150</v>
      </c>
      <c r="F280" s="212" t="str">
        <f t="array" ref="F280">IF(C280="","",IF(OR(C280=Списки!$AG$15:$AG$17),"нет","да"))</f>
        <v>нет</v>
      </c>
      <c r="G280" s="204"/>
      <c r="H280" s="204"/>
      <c r="I280" s="193">
        <f>(E280*3.14/1000)*0.5*J258</f>
        <v>0.23549999999999999</v>
      </c>
      <c r="J280" s="194">
        <f t="shared" ref="J280:J281" si="34">IF($C$258="нет",0,ROUNDUP(IF(ISBLANK(D280),"",IF(H280="",I280,H280)),1))</f>
        <v>0.30000000000000004</v>
      </c>
      <c r="K280" s="178" t="s">
        <v>212</v>
      </c>
      <c r="L280" s="187"/>
      <c r="M280" s="188">
        <f>IFERROR(IF(L280&lt;&gt;"","",VLOOKUP(C280&amp;'Калькулятор КНС'!D280&amp;'Калькулятор КНС'!K280,НН!A:J,10,)),"")</f>
        <v>1207.8</v>
      </c>
      <c r="N280" s="202">
        <f t="shared" si="30"/>
        <v>362.34000000000003</v>
      </c>
      <c r="O280" s="484"/>
    </row>
    <row r="281" spans="2:15" ht="15" outlineLevel="1">
      <c r="B281" s="179"/>
      <c r="C281" s="180" t="s">
        <v>72</v>
      </c>
      <c r="D281" s="180" t="s">
        <v>477</v>
      </c>
      <c r="E281" s="255"/>
      <c r="F281" s="212" t="str">
        <f t="array" ref="F281">IF(C281="","",IF(OR(C281=Списки!$AG$15:$AG$17),"нет","да"))</f>
        <v>нет</v>
      </c>
      <c r="G281" s="204"/>
      <c r="H281" s="204"/>
      <c r="I281" s="193">
        <f>3*J258</f>
        <v>3</v>
      </c>
      <c r="J281" s="194">
        <f t="shared" si="34"/>
        <v>3</v>
      </c>
      <c r="K281" s="178" t="s">
        <v>212</v>
      </c>
      <c r="L281" s="187"/>
      <c r="M281" s="188">
        <f>IFERROR(IF(L281&lt;&gt;"","",VLOOKUP(C281&amp;'Калькулятор КНС'!D281&amp;'Калькулятор КНС'!K281,НН!A:J,10,)),"")</f>
        <v>1207.8</v>
      </c>
      <c r="N281" s="202">
        <f t="shared" si="30"/>
        <v>3623.3999999999996</v>
      </c>
      <c r="O281" s="365"/>
    </row>
    <row r="282" spans="2:15" ht="15" outlineLevel="1">
      <c r="B282" s="361"/>
      <c r="C282" s="306"/>
      <c r="D282" s="307" t="s">
        <v>377</v>
      </c>
      <c r="E282" s="362"/>
      <c r="F282" s="309"/>
      <c r="G282" s="310"/>
      <c r="H282" s="311"/>
      <c r="I282" s="363"/>
      <c r="J282" s="364"/>
      <c r="K282" s="314"/>
      <c r="L282" s="315"/>
      <c r="M282" s="316" t="str">
        <f t="array" aca="1" ref="M282" ca="1">IFERROR(IF(L282&lt;&gt;"","",IF((VLOOKUP(D282&amp;K282,INDIRECT("'"&amp;INDEX(Списки!$AG$2:$AG$17,MATCH(TRUE,COUNTIF(INDIRECT("'"&amp;Списки!$AG$2:$AG$17 &amp;"'!A1:A300000"),D282&amp;K282)&gt;0,0))&amp;"'!A:h"),7,0))=0,"",VLOOKUP(D282&amp;K282,INDIRECT("'"&amp;INDEX(Списки!$AG$2:$AG$17,MATCH(TRUE,COUNTIF(INDIRECT("'"&amp;Списки!$AG$2:$AG$17 &amp;"'!A1:A300000"),D282&amp;K282)&gt;0,0))&amp;"'!A:h"),7,0))),"")</f>
        <v/>
      </c>
      <c r="N282" s="317"/>
      <c r="O282" s="365"/>
    </row>
    <row r="283" spans="2:15" ht="18" outlineLevel="1">
      <c r="B283" s="318"/>
      <c r="C283" s="319"/>
      <c r="D283" s="332"/>
      <c r="E283" s="405" t="s">
        <v>479</v>
      </c>
      <c r="F283" s="406"/>
      <c r="G283" s="407">
        <f>SUM(G262:G282)</f>
        <v>0</v>
      </c>
      <c r="H283" s="332"/>
      <c r="I283" s="332"/>
      <c r="J283" s="408"/>
      <c r="K283" s="408"/>
      <c r="L283" s="409"/>
      <c r="M283" s="501" t="str">
        <f t="array" aca="1" ref="M283" ca="1">IFERROR(IF(L283&lt;&gt;"","",IF((VLOOKUP(D283&amp;K283,INDIRECT("'"&amp;INDEX(Списки!$AG$2:$AG$17,MATCH(TRUE,COUNTIF(INDIRECT("'"&amp;Списки!$AG$2:$AG$17 &amp;"'!A1:A300000"),D283&amp;K283)&gt;0,0))&amp;"'!A:h"),7,0))=0,"",VLOOKUP(D283&amp;K283,INDIRECT("'"&amp;INDEX(Списки!$AG$2:$AG$17,MATCH(TRUE,COUNTIF(INDIRECT("'"&amp;Списки!$AG$2:$AG$17 &amp;"'!A1:A300000"),D283&amp;K283)&gt;0,0))&amp;"'!A:h"),7,0))),"")</f>
        <v/>
      </c>
      <c r="N283" s="411">
        <f>SUM(N262:N282)</f>
        <v>48533.04</v>
      </c>
      <c r="O283" s="214"/>
    </row>
    <row r="284" spans="2:15" ht="15.75" outlineLevel="1">
      <c r="B284" s="318"/>
      <c r="C284" s="319"/>
      <c r="D284" s="320"/>
      <c r="E284" s="333" t="s">
        <v>379</v>
      </c>
      <c r="F284" s="372"/>
      <c r="G284" s="373"/>
      <c r="H284" s="374"/>
      <c r="I284" s="374"/>
      <c r="J284" s="375"/>
      <c r="K284" s="376"/>
      <c r="L284" s="377"/>
      <c r="M284" s="378" t="str">
        <f t="array" aca="1" ref="M284" ca="1">IFERROR(IF(L284&lt;&gt;"","",IF((VLOOKUP(D284&amp;K284,INDIRECT("'"&amp;INDEX(Списки!$AG$2:$AG$17,MATCH(TRUE,COUNTIF(INDIRECT("'"&amp;Списки!$AG$2:$AG$17 &amp;"'!A1:A300000"),D284&amp;K284)&gt;0,0))&amp;"'!A:h"),7,0))=0,"",VLOOKUP(D284&amp;K284,INDIRECT("'"&amp;INDEX(Списки!$AG$2:$AG$17,MATCH(TRUE,COUNTIF(INDIRECT("'"&amp;Списки!$AG$2:$AG$17 &amp;"'!A1:A300000"),D284&amp;K284)&gt;0,0))&amp;"'!A:h"),7,0))),"")</f>
        <v/>
      </c>
      <c r="N284" s="341">
        <f t="array" ref="N284">SUM(SUMIF(C262:C282,Списки!$AG$2:$AG$14,N262:N282))</f>
        <v>44547.3</v>
      </c>
      <c r="O284" s="379"/>
    </row>
    <row r="285" spans="2:15" ht="15.75" outlineLevel="1">
      <c r="B285" s="318"/>
      <c r="C285" s="319"/>
      <c r="D285" s="320"/>
      <c r="E285" s="333" t="s">
        <v>382</v>
      </c>
      <c r="F285" s="372"/>
      <c r="G285" s="381"/>
      <c r="H285" s="374"/>
      <c r="I285" s="374"/>
      <c r="J285" s="382">
        <f>ROUNDUP(SUMIFS($J$262:$J$282,$K$262:$K$282,Списки!$S$5)-SUMIFS($J$262:$J$282,$K$262:$K$282,Списки!$S$5,$D$262:$D$282,"*изготов*"),1)</f>
        <v>3.3</v>
      </c>
      <c r="K285" s="376" t="s">
        <v>212</v>
      </c>
      <c r="L285" s="383"/>
      <c r="M285" s="384" t="str">
        <f t="array" aca="1" ref="M285" ca="1">IFERROR(IF(L285&lt;&gt;"","",IF((VLOOKUP(D285&amp;K285,INDIRECT("'"&amp;INDEX(Списки!$AG$2:$AG$17,MATCH(TRUE,COUNTIF(INDIRECT("'"&amp;Списки!$AG$2:$AG$17 &amp;"'!A1:A300000"),D285&amp;K285)&gt;0,0))&amp;"'!A:h"),7,0))=0,"",VLOOKUP(D285&amp;K285,INDIRECT("'"&amp;INDEX(Списки!$AG$2:$AG$17,MATCH(TRUE,COUNTIF(INDIRECT("'"&amp;Списки!$AG$2:$AG$17 &amp;"'!A1:A300000"),D285&amp;K285)&gt;0,0))&amp;"'!A:h"),7,0))),"")</f>
        <v/>
      </c>
      <c r="N285" s="385">
        <f>SUMIF($K$262:$K$282,Списки!$S$5,$N$262:$N$282)-SUMIFS($N$262:$N$282,$K$262:$K$282,Списки!$S$5,$D$262:$D$282,"*изготов*")</f>
        <v>3985.74</v>
      </c>
      <c r="O285" s="379"/>
    </row>
    <row r="286" spans="2:15" ht="15.75" outlineLevel="1">
      <c r="B286" s="318"/>
      <c r="C286" s="319"/>
      <c r="D286" s="320"/>
      <c r="E286" s="333" t="s">
        <v>383</v>
      </c>
      <c r="F286" s="372"/>
      <c r="G286" s="381"/>
      <c r="H286" s="374"/>
      <c r="I286" s="374"/>
      <c r="J286" s="382">
        <f>ROUNDUP(SUMIFS($J$262:$J$282,$K$262:$K$282,Списки!$S$5,$D$262:$D$282,"*изготов*"),1)</f>
        <v>0</v>
      </c>
      <c r="K286" s="376" t="s">
        <v>212</v>
      </c>
      <c r="L286" s="383"/>
      <c r="M286" s="384" t="str">
        <f t="array" aca="1" ref="M286" ca="1">IFERROR(IF(L286&lt;&gt;"","",IF((VLOOKUP(D286&amp;K286,INDIRECT("'"&amp;INDEX(Списки!$AG$2:$AG$17,MATCH(TRUE,COUNTIF(INDIRECT("'"&amp;Списки!$AG$2:$AG$17 &amp;"'!A1:A300000"),D286&amp;K286)&gt;0,0))&amp;"'!A:h"),7,0))=0,"",VLOOKUP(D286&amp;K286,INDIRECT("'"&amp;INDEX(Списки!$AG$2:$AG$17,MATCH(TRUE,COUNTIF(INDIRECT("'"&amp;Списки!$AG$2:$AG$17 &amp;"'!A1:A300000"),D286&amp;K286)&gt;0,0))&amp;"'!A:h"),7,0))),"")</f>
        <v/>
      </c>
      <c r="N286" s="385">
        <f>SUMIFS($N$262:$N$282,$K$262:$K$282,Списки!$S$5,$D$262:$D$282,"*изготов*")</f>
        <v>0</v>
      </c>
      <c r="O286" s="379"/>
    </row>
    <row r="287" spans="2:15" ht="15.75" outlineLevel="1">
      <c r="B287" s="318"/>
      <c r="C287" s="319"/>
      <c r="D287" s="380"/>
      <c r="E287" s="333" t="s">
        <v>384</v>
      </c>
      <c r="F287" s="372"/>
      <c r="G287" s="381"/>
      <c r="H287" s="374"/>
      <c r="I287" s="374"/>
      <c r="J287" s="375">
        <f>SUMIFS($J$262:$J$282,$K$262:$K$282,Списки!$S$4)</f>
        <v>0</v>
      </c>
      <c r="K287" s="376" t="s">
        <v>193</v>
      </c>
      <c r="L287" s="383"/>
      <c r="M287" s="709" t="str">
        <f t="array" aca="1" ref="M287" ca="1">IFERROR(IF(L287&lt;&gt;"","",IF((VLOOKUP(D287&amp;K287,INDIRECT("'"&amp;INDEX(Списки!$AG$2:$AG$17,MATCH(TRUE,COUNTIF(INDIRECT("'"&amp;Списки!$AG$2:$AG$17 &amp;"'!A1:A300000"),D287&amp;K287)&gt;0,0))&amp;"'!A:h"),7,0))=0,"",VLOOKUP(D287&amp;K287,INDIRECT("'"&amp;INDEX(Списки!$AG$2:$AG$17,MATCH(TRUE,COUNTIF(INDIRECT("'"&amp;Списки!$AG$2:$AG$17 &amp;"'!A1:A300000"),D287&amp;K287)&gt;0,0))&amp;"'!A:h"),7,0))),"")</f>
        <v/>
      </c>
      <c r="N287" s="385">
        <f>SUMIF($K$262:$K$282,Списки!$S$4,$N$262:$N$282)</f>
        <v>0</v>
      </c>
      <c r="O287" s="379"/>
    </row>
    <row r="288" spans="2:15" ht="15">
      <c r="B288" s="386">
        <v>5</v>
      </c>
      <c r="C288" s="683" t="s">
        <v>115</v>
      </c>
      <c r="D288" s="388" t="s">
        <v>595</v>
      </c>
      <c r="E288" s="798"/>
      <c r="F288" s="707" t="s">
        <v>284</v>
      </c>
      <c r="G288" s="708" t="s">
        <v>596</v>
      </c>
      <c r="H288" s="389"/>
      <c r="I288" s="392"/>
      <c r="J288" s="392"/>
      <c r="K288" s="393"/>
      <c r="L288" s="394"/>
      <c r="M288" s="395" t="str">
        <f t="array" aca="1" ref="M288" ca="1">IFERROR(IF(L288&lt;&gt;"","",IF((VLOOKUP(D288&amp;K288,INDIRECT("'"&amp;INDEX(Списки!$AG$2:$AG$17,MATCH(TRUE,COUNTIF(INDIRECT("'"&amp;Списки!$AG$2:$AG$17 &amp;"'!A1:A300000"),D288&amp;K288)&gt;0,0))&amp;"'!A:h"),7,0))=0,"",VLOOKUP(D288&amp;K288,INDIRECT("'"&amp;INDEX(Списки!$AG$2:$AG$17,MATCH(TRUE,COUNTIF(INDIRECT("'"&amp;Списки!$AG$2:$AG$17 &amp;"'!A1:A300000"),D288&amp;K288)&gt;0,0))&amp;"'!A:h"),7,0))),"")</f>
        <v/>
      </c>
      <c r="N288" s="390"/>
      <c r="O288" s="214"/>
    </row>
    <row r="289" spans="2:15" ht="15">
      <c r="B289" s="169" t="s">
        <v>597</v>
      </c>
      <c r="C289" s="290"/>
      <c r="D289" s="291" t="s">
        <v>598</v>
      </c>
      <c r="E289" s="292"/>
      <c r="F289" s="293" t="str">
        <f t="array" ref="F289">IF(ISBLANK(C289),"",IF(OR(C289=Списки!$AG$15:$AG$17),"нет","да"))</f>
        <v/>
      </c>
      <c r="G289" s="216"/>
      <c r="H289" s="230"/>
      <c r="I289" s="294"/>
      <c r="J289" s="219"/>
      <c r="K289" s="220"/>
      <c r="L289" s="255"/>
      <c r="M289" s="256" t="str">
        <f t="array" aca="1" ref="M289" ca="1">IFERROR(IF(L289&lt;&gt;"","",IF((VLOOKUP(D289&amp;K289,INDIRECT("'"&amp;INDEX(Списки!$AG$2:$AG$17,MATCH(TRUE,COUNTIF(INDIRECT("'"&amp;Списки!$AG$2:$AG$17 &amp;"'!A1:A300000"),D289&amp;K289)&gt;0,0))&amp;"'!A:h"),7,0))=0,"",VLOOKUP(D289&amp;K289,INDIRECT("'"&amp;INDEX(Списки!$AG$2:$AG$17,MATCH(TRUE,COUNTIF(INDIRECT("'"&amp;Списки!$AG$2:$AG$17 &amp;"'!A1:A300000"),D289&amp;K289)&gt;0,0))&amp;"'!A:h"),7,0))),"")</f>
        <v/>
      </c>
      <c r="N289" s="356"/>
      <c r="O289" s="167"/>
    </row>
    <row r="290" spans="2:15" ht="18.75" customHeight="1" collapsed="1">
      <c r="B290" s="1096"/>
      <c r="C290" s="290"/>
      <c r="D290" s="1232">
        <f>ОЛ_НАСОСНАЯ_СТАНЦИЯ!E58</f>
        <v>100</v>
      </c>
      <c r="E290" s="292"/>
      <c r="F290" s="293"/>
      <c r="G290" s="216"/>
      <c r="H290" s="230"/>
      <c r="I290" s="294"/>
      <c r="J290" s="219"/>
      <c r="K290" s="220"/>
      <c r="L290" s="255"/>
      <c r="M290" s="256"/>
      <c r="N290" s="356"/>
      <c r="O290" s="167"/>
    </row>
    <row r="291" spans="2:15" ht="15" hidden="1" outlineLevel="1">
      <c r="B291" s="1096"/>
      <c r="C291" s="290"/>
      <c r="D291" s="291"/>
      <c r="E291" s="1223">
        <f>50</f>
        <v>50</v>
      </c>
      <c r="F291" s="1346"/>
      <c r="G291" s="1346"/>
      <c r="H291" s="1346"/>
      <c r="I291" s="1346"/>
      <c r="J291" s="1346"/>
      <c r="K291" s="1346"/>
      <c r="L291" s="1346"/>
      <c r="M291" s="1346"/>
      <c r="N291" s="1433"/>
      <c r="O291" s="167"/>
    </row>
    <row r="292" spans="2:15" ht="15" hidden="1" outlineLevel="1">
      <c r="B292" s="957"/>
      <c r="C292" s="180" t="s">
        <v>197</v>
      </c>
      <c r="D292" s="180" t="s">
        <v>985</v>
      </c>
      <c r="E292" s="792"/>
      <c r="F292" s="212" t="str">
        <f t="array" ref="F292">IF(C292="","",IF(OR(C292=Списки!$AG$15:$AG$17),"нет","да"))</f>
        <v>да</v>
      </c>
      <c r="G292" s="204"/>
      <c r="H292" s="966"/>
      <c r="I292" s="193">
        <f>ОЛ_НАСОСНАЯ_СТАНЦИЯ!$I$44</f>
        <v>2</v>
      </c>
      <c r="J292" s="186">
        <f t="shared" ref="J292:J293" si="35">IF($C$288="НЕТ",0,IF(ISBLANK(D292),"",IF(H292="",I292,H292)))</f>
        <v>2</v>
      </c>
      <c r="K292" s="178" t="s">
        <v>129</v>
      </c>
      <c r="L292" s="226"/>
      <c r="M292" s="247">
        <f>IF(OR($D$290=65,$D$290=80,$D$290=100,$D$290=150),0,IFERROR(IF(L292&lt;&gt;"","",VLOOKUP(C292&amp;'Калькулятор КНС'!D292&amp;'Калькулятор КНС'!K292,НН!A:J,10,)),""))</f>
        <v>0</v>
      </c>
      <c r="N292" s="202">
        <f t="shared" ref="N292:N301" si="36">IFERROR(IF(L292="",M292*J292,J292*L292),"")</f>
        <v>0</v>
      </c>
      <c r="O292" s="167"/>
    </row>
    <row r="293" spans="2:15" ht="15" hidden="1" outlineLevel="1">
      <c r="B293" s="957"/>
      <c r="C293" s="180" t="s">
        <v>197</v>
      </c>
      <c r="D293" s="180" t="s">
        <v>599</v>
      </c>
      <c r="E293" s="792"/>
      <c r="F293" s="212" t="str">
        <f t="array" ref="F293">IF(C293="","",IF(OR(C293=Списки!$AG$15:$AG$17),"нет","да"))</f>
        <v>да</v>
      </c>
      <c r="G293" s="204"/>
      <c r="H293" s="966"/>
      <c r="I293" s="193">
        <f>0.5*I292</f>
        <v>1</v>
      </c>
      <c r="J293" s="186">
        <f t="shared" si="35"/>
        <v>1</v>
      </c>
      <c r="K293" s="178" t="s">
        <v>163</v>
      </c>
      <c r="L293" s="226"/>
      <c r="M293" s="247">
        <f>IF(OR($D$290=65,$D$290=80,$D$290=100,$D$290=150),0,IFERROR(IF(L293&lt;&gt;"","",VLOOKUP(C293&amp;'Калькулятор КНС'!D293&amp;'Калькулятор КНС'!K293,НН!A:J,10,)),""))</f>
        <v>0</v>
      </c>
      <c r="N293" s="202">
        <f t="shared" si="36"/>
        <v>0</v>
      </c>
      <c r="O293" s="167"/>
    </row>
    <row r="294" spans="2:15" ht="15" hidden="1" outlineLevel="1">
      <c r="B294" s="957"/>
      <c r="C294" s="180" t="s">
        <v>197</v>
      </c>
      <c r="D294" s="180" t="s">
        <v>1059</v>
      </c>
      <c r="E294" s="792"/>
      <c r="F294" s="212" t="str">
        <f t="array" ref="F294">IF(C294="","",IF(OR(C294=Списки!$AG$15:$AG$17),"нет","да"))</f>
        <v>да</v>
      </c>
      <c r="G294" s="204"/>
      <c r="H294" s="966"/>
      <c r="I294" s="186">
        <f>I292</f>
        <v>2</v>
      </c>
      <c r="J294" s="186">
        <f>IF(C288="НЕТ",0,IF(ISBLANK(D294),"",IF(H294="",I294,H294)))</f>
        <v>2</v>
      </c>
      <c r="K294" s="178" t="s">
        <v>129</v>
      </c>
      <c r="L294" s="1003"/>
      <c r="M294" s="247">
        <f>IF(OR($D$290=65,$D$290=80,$D$290=100,$D$290=150),0,IFERROR(IF(L294&lt;&gt;"","",VLOOKUP(C294&amp;'Калькулятор КНС'!D294&amp;'Калькулятор КНС'!K294,НН!A:J,10,)),""))</f>
        <v>0</v>
      </c>
      <c r="N294" s="188">
        <f t="shared" si="36"/>
        <v>0</v>
      </c>
      <c r="O294" s="167"/>
    </row>
    <row r="295" spans="2:15" ht="15" hidden="1" outlineLevel="1">
      <c r="B295" s="957"/>
      <c r="C295" s="180" t="s">
        <v>68</v>
      </c>
      <c r="D295" s="180" t="s">
        <v>724</v>
      </c>
      <c r="E295" s="792"/>
      <c r="F295" s="212" t="str">
        <f t="array" ref="F295">IF(C295="","",IF(OR(C295=Списки!$AG$15:$AG$17),"нет","да"))</f>
        <v>да</v>
      </c>
      <c r="G295" s="204"/>
      <c r="H295" s="210">
        <v>14</v>
      </c>
      <c r="I295" s="193"/>
      <c r="J295" s="186">
        <f t="shared" ref="J295:J299" si="37">IF($C$288="НЕТ",0,IF(ISBLANK(D295),"",IF(H295="",I295,H295)))</f>
        <v>14</v>
      </c>
      <c r="K295" s="178" t="s">
        <v>163</v>
      </c>
      <c r="L295" s="226"/>
      <c r="M295" s="247">
        <f>IF(OR($D$290=65,$D$290=80,$D$290=100,$D$290=150),0,IFERROR(IF(L295&lt;&gt;"","",VLOOKUP(C295&amp;'Калькулятор КНС'!D295&amp;'Калькулятор КНС'!K295,НН!A:J,10,)),""))</f>
        <v>0</v>
      </c>
      <c r="N295" s="202">
        <f t="shared" si="36"/>
        <v>0</v>
      </c>
      <c r="O295" s="167"/>
    </row>
    <row r="296" spans="2:15" ht="15" hidden="1" outlineLevel="1">
      <c r="B296" s="957"/>
      <c r="C296" s="180" t="s">
        <v>66</v>
      </c>
      <c r="D296" s="180" t="s">
        <v>727</v>
      </c>
      <c r="E296" s="792"/>
      <c r="F296" s="212" t="str">
        <f t="array" ref="F296">IF(C296="","",IF(OR(C296=Списки!$AG$15:$AG$17),"нет","да"))</f>
        <v>да</v>
      </c>
      <c r="G296" s="204"/>
      <c r="H296" s="966"/>
      <c r="I296" s="193">
        <f>I298+2</f>
        <v>16</v>
      </c>
      <c r="J296" s="186">
        <f t="shared" si="37"/>
        <v>16</v>
      </c>
      <c r="K296" s="178" t="s">
        <v>129</v>
      </c>
      <c r="L296" s="226"/>
      <c r="M296" s="247">
        <f>IF(OR($D$290=65,$D$290=80,$D$290=100,$D$290=150),0,IFERROR(IF(L296&lt;&gt;"","",VLOOKUP(C296&amp;'Калькулятор КНС'!D296&amp;'Калькулятор КНС'!K296,НН!A:J,10,)),""))</f>
        <v>0</v>
      </c>
      <c r="N296" s="202">
        <f t="shared" si="36"/>
        <v>0</v>
      </c>
      <c r="O296" s="167"/>
    </row>
    <row r="297" spans="2:15" ht="24" hidden="1" outlineLevel="1">
      <c r="B297" s="179"/>
      <c r="C297" s="180" t="s">
        <v>66</v>
      </c>
      <c r="D297" s="180" t="s">
        <v>1071</v>
      </c>
      <c r="E297" s="792"/>
      <c r="F297" s="212" t="str">
        <f t="array" ref="F297">IF(C297="","",IF(OR(C297=Списки!$AG$15:$AG$17),"нет","да"))</f>
        <v>да</v>
      </c>
      <c r="G297" s="204"/>
      <c r="H297" s="966"/>
      <c r="I297" s="193">
        <f>I292</f>
        <v>2</v>
      </c>
      <c r="J297" s="186">
        <f t="shared" si="37"/>
        <v>2</v>
      </c>
      <c r="K297" s="178" t="s">
        <v>129</v>
      </c>
      <c r="L297" s="226"/>
      <c r="M297" s="247">
        <f>IF(OR($D$290=65,$D$290=80,$D$290=100,$D$290=150),0,IFERROR(IF(L297&lt;&gt;"","",VLOOKUP(C297&amp;'Калькулятор КНС'!D297&amp;'Калькулятор КНС'!K297,НН!A:J,10,)),""))</f>
        <v>0</v>
      </c>
      <c r="N297" s="202">
        <f t="shared" si="36"/>
        <v>0</v>
      </c>
      <c r="O297" s="167"/>
    </row>
    <row r="298" spans="2:15" ht="15" hidden="1" outlineLevel="1">
      <c r="B298" s="179"/>
      <c r="C298" s="180" t="s">
        <v>66</v>
      </c>
      <c r="D298" s="180" t="s">
        <v>725</v>
      </c>
      <c r="E298" s="792"/>
      <c r="F298" s="212" t="str">
        <f t="array" ref="F298">IF(C298="","",IF(OR(C298=Списки!$AG$15:$AG$17),"нет","да"))</f>
        <v>да</v>
      </c>
      <c r="G298" s="204"/>
      <c r="H298" s="966"/>
      <c r="I298" s="193">
        <v>14</v>
      </c>
      <c r="J298" s="186">
        <f t="shared" si="37"/>
        <v>14</v>
      </c>
      <c r="K298" s="178" t="s">
        <v>129</v>
      </c>
      <c r="L298" s="226"/>
      <c r="M298" s="247">
        <f>IF(OR($D$290=65,$D$290=80,$D$290=100,$D$290=150),0,IFERROR(IF(L298&lt;&gt;"","",VLOOKUP(C298&amp;'Калькулятор КНС'!D298&amp;'Калькулятор КНС'!K298,НН!A:J,10,)),""))</f>
        <v>0</v>
      </c>
      <c r="N298" s="202">
        <f t="shared" si="36"/>
        <v>0</v>
      </c>
      <c r="O298" s="167"/>
    </row>
    <row r="299" spans="2:15" ht="15" hidden="1" outlineLevel="1">
      <c r="B299" s="179"/>
      <c r="C299" s="180" t="s">
        <v>66</v>
      </c>
      <c r="D299" s="180" t="s">
        <v>726</v>
      </c>
      <c r="E299" s="796"/>
      <c r="F299" s="212" t="str">
        <f t="array" ref="F299">IF(C299="","",IF(OR(C299=Списки!$AG$15:$AG$17),"нет","да"))</f>
        <v>да</v>
      </c>
      <c r="G299" s="204"/>
      <c r="H299" s="966"/>
      <c r="I299" s="193">
        <f>I298</f>
        <v>14</v>
      </c>
      <c r="J299" s="186">
        <f t="shared" si="37"/>
        <v>14</v>
      </c>
      <c r="K299" s="178" t="s">
        <v>129</v>
      </c>
      <c r="L299" s="226"/>
      <c r="M299" s="247">
        <f>IF(OR($D$290=65,$D$290=80,$D$290=100,$D$290=150),0,IFERROR(IF(L299&lt;&gt;"","",VLOOKUP(C299&amp;'Калькулятор КНС'!D299&amp;'Калькулятор КНС'!K299,НН!A:J,10,)),""))</f>
        <v>0</v>
      </c>
      <c r="N299" s="202">
        <f t="shared" si="36"/>
        <v>0</v>
      </c>
      <c r="O299" s="167"/>
    </row>
    <row r="300" spans="2:15" ht="15" hidden="1" outlineLevel="1">
      <c r="B300" s="957"/>
      <c r="C300" s="180" t="s">
        <v>66</v>
      </c>
      <c r="D300" s="180" t="s">
        <v>1186</v>
      </c>
      <c r="E300" s="792" t="s">
        <v>2086</v>
      </c>
      <c r="F300" s="212" t="str">
        <f t="array" ref="F300">IF(C300="","",IF(OR(C300=Списки!$AG$15:$AG$17),"нет","да"))</f>
        <v>да</v>
      </c>
      <c r="G300" s="204"/>
      <c r="H300" s="210">
        <v>2</v>
      </c>
      <c r="I300" s="193"/>
      <c r="J300" s="186">
        <f>IF($C$288="НЕТ",0,IF(ISBLANK(D300),"",IF(H300="",I300,H300)))</f>
        <v>2</v>
      </c>
      <c r="K300" s="178" t="s">
        <v>129</v>
      </c>
      <c r="L300" s="1003"/>
      <c r="M300" s="247">
        <f>IF(OR($D$290=65,$D$290=80,$D$290=100,$D$290=150),0,IFERROR(IF(L300&lt;&gt;"","",VLOOKUP(C300&amp;'Калькулятор КНС'!D300&amp;'Калькулятор КНС'!K300,НН!A:J,10,)),""))</f>
        <v>0</v>
      </c>
      <c r="N300" s="202">
        <f t="shared" si="36"/>
        <v>0</v>
      </c>
      <c r="O300" s="167"/>
    </row>
    <row r="301" spans="2:15" ht="15" hidden="1" outlineLevel="1">
      <c r="B301" s="957"/>
      <c r="C301" s="180" t="s">
        <v>66</v>
      </c>
      <c r="D301" s="180" t="s">
        <v>1291</v>
      </c>
      <c r="E301" s="792" t="s">
        <v>2086</v>
      </c>
      <c r="F301" s="212" t="str">
        <f t="array" ref="F301">IF(C301="","",IF(OR(C301=Списки!$AG$15:$AG$17),"нет","да"))</f>
        <v>да</v>
      </c>
      <c r="G301" s="204"/>
      <c r="H301" s="210">
        <v>2</v>
      </c>
      <c r="I301" s="193"/>
      <c r="J301" s="186">
        <f t="shared" ref="J301" si="38">IF($C$288="НЕТ",0,IF(ISBLANK(D301),"",IF(H301="",I301,H301)))</f>
        <v>2</v>
      </c>
      <c r="K301" s="178" t="s">
        <v>129</v>
      </c>
      <c r="L301" s="1003"/>
      <c r="M301" s="247">
        <f>IF(OR($D$290=65,$D$290=80,$D$290=100,$D$290=150),0,IFERROR(IF(L301&lt;&gt;"","",VLOOKUP(C301&amp;'Калькулятор КНС'!D301&amp;'Калькулятор КНС'!K301,НН!A:J,10,)),""))</f>
        <v>0</v>
      </c>
      <c r="N301" s="202">
        <f t="shared" si="36"/>
        <v>0</v>
      </c>
      <c r="O301" s="167"/>
    </row>
    <row r="302" spans="2:15" ht="15" collapsed="1">
      <c r="B302" s="1425"/>
      <c r="C302" s="1426"/>
      <c r="D302" s="1426"/>
      <c r="E302" s="1426"/>
      <c r="F302" s="1426"/>
      <c r="G302" s="1426"/>
      <c r="H302" s="1426"/>
      <c r="I302" s="1426"/>
      <c r="J302" s="1426"/>
      <c r="K302" s="1426"/>
      <c r="L302" s="1426"/>
      <c r="M302" s="1426"/>
      <c r="N302" s="1427"/>
      <c r="O302" s="167"/>
    </row>
    <row r="303" spans="2:15" ht="15" hidden="1" outlineLevel="1">
      <c r="B303" s="1096"/>
      <c r="C303" s="290"/>
      <c r="D303" s="291"/>
      <c r="E303" s="1223">
        <f>65</f>
        <v>65</v>
      </c>
      <c r="F303" s="1346"/>
      <c r="G303" s="1346"/>
      <c r="H303" s="1346"/>
      <c r="I303" s="1346"/>
      <c r="J303" s="1346"/>
      <c r="K303" s="1346"/>
      <c r="L303" s="1346"/>
      <c r="M303" s="1346"/>
      <c r="N303" s="1433"/>
      <c r="O303" s="167"/>
    </row>
    <row r="304" spans="2:15" ht="15" hidden="1" outlineLevel="1">
      <c r="B304" s="957"/>
      <c r="C304" s="180" t="s">
        <v>197</v>
      </c>
      <c r="D304" s="180" t="s">
        <v>987</v>
      </c>
      <c r="E304" s="792"/>
      <c r="F304" s="212" t="str">
        <f t="array" ref="F304">IF(C304="","",IF(OR(C304=Списки!$AG$15:$AG$17),"нет","да"))</f>
        <v>да</v>
      </c>
      <c r="G304" s="204"/>
      <c r="H304" s="966"/>
      <c r="I304" s="193">
        <f>ОЛ_НАСОСНАЯ_СТАНЦИЯ!$I$44</f>
        <v>2</v>
      </c>
      <c r="J304" s="186">
        <f t="shared" ref="J304:J305" si="39">IF($C$288="НЕТ",0,IF(ISBLANK(D304),"",IF(H304="",I304,H304)))</f>
        <v>2</v>
      </c>
      <c r="K304" s="178" t="s">
        <v>129</v>
      </c>
      <c r="L304" s="226"/>
      <c r="M304" s="247">
        <f>IF(OR($D$290=50,$D$290=80,$D$290=100,$D$290=150),0,IFERROR(IF(L304&lt;&gt;"","",VLOOKUP(C304&amp;'Калькулятор КНС'!D304&amp;'Калькулятор КНС'!K304,НН!A:J,10,)),""))</f>
        <v>0</v>
      </c>
      <c r="N304" s="202">
        <f t="shared" ref="N304:N313" si="40">IFERROR(IF(L304="",M304*J304,J304*L304),"")</f>
        <v>0</v>
      </c>
      <c r="O304" s="167"/>
    </row>
    <row r="305" spans="1:15" ht="15" hidden="1" outlineLevel="1">
      <c r="B305" s="957"/>
      <c r="C305" s="180" t="s">
        <v>197</v>
      </c>
      <c r="D305" s="180" t="s">
        <v>1029</v>
      </c>
      <c r="E305" s="792"/>
      <c r="F305" s="212" t="str">
        <f t="array" ref="F305">IF(C305="","",IF(OR(C305=Списки!$AG$15:$AG$17),"нет","да"))</f>
        <v>да</v>
      </c>
      <c r="G305" s="204"/>
      <c r="H305" s="966"/>
      <c r="I305" s="193">
        <f>0.5*I304</f>
        <v>1</v>
      </c>
      <c r="J305" s="186">
        <f t="shared" si="39"/>
        <v>1</v>
      </c>
      <c r="K305" s="178" t="s">
        <v>163</v>
      </c>
      <c r="L305" s="226"/>
      <c r="M305" s="247">
        <f>IF(OR($D$290=50,$D$290=80,$D$290=100,$D$290=150),0,IFERROR(IF(L305&lt;&gt;"","",VLOOKUP(C305&amp;'Калькулятор КНС'!D305&amp;'Калькулятор КНС'!K305,НН!A:J,10,)),""))</f>
        <v>0</v>
      </c>
      <c r="N305" s="202">
        <f t="shared" si="40"/>
        <v>0</v>
      </c>
      <c r="O305" s="167"/>
    </row>
    <row r="306" spans="1:15" ht="15" hidden="1" outlineLevel="1">
      <c r="B306" s="957"/>
      <c r="C306" s="180" t="s">
        <v>197</v>
      </c>
      <c r="D306" s="180" t="s">
        <v>1928</v>
      </c>
      <c r="E306" s="792"/>
      <c r="F306" s="212" t="str">
        <f t="array" ref="F306">IF(C306="","",IF(OR(C306=Списки!$AG$15:$AG$17),"нет","да"))</f>
        <v>да</v>
      </c>
      <c r="G306" s="204"/>
      <c r="H306" s="966"/>
      <c r="I306" s="186">
        <f>I304</f>
        <v>2</v>
      </c>
      <c r="J306" s="186">
        <f>IF(C266="НЕТ",0,IF(ISBLANK(D306),"",IF(H306="",I306,H306)))</f>
        <v>2</v>
      </c>
      <c r="K306" s="178" t="s">
        <v>129</v>
      </c>
      <c r="L306" s="1003"/>
      <c r="M306" s="247">
        <f>IF(OR($D$290=50,$D$290=80,$D$290=100,$D$290=150),0,IFERROR(IF(L306&lt;&gt;"","",VLOOKUP(C306&amp;'Калькулятор КНС'!D306&amp;'Калькулятор КНС'!K306,НН!A:J,10,)),""))</f>
        <v>0</v>
      </c>
      <c r="N306" s="188">
        <f t="shared" si="40"/>
        <v>0</v>
      </c>
      <c r="O306" s="167"/>
    </row>
    <row r="307" spans="1:15" ht="15" hidden="1" outlineLevel="1">
      <c r="B307" s="957"/>
      <c r="C307" s="180" t="s">
        <v>68</v>
      </c>
      <c r="D307" s="180" t="s">
        <v>1461</v>
      </c>
      <c r="E307" s="792"/>
      <c r="F307" s="212" t="str">
        <f t="array" ref="F307">IF(C307="","",IF(OR(C307=Списки!$AG$15:$AG$17),"нет","да"))</f>
        <v>да</v>
      </c>
      <c r="G307" s="204"/>
      <c r="H307" s="210">
        <v>14</v>
      </c>
      <c r="I307" s="193"/>
      <c r="J307" s="186">
        <f t="shared" ref="J307:J311" si="41">IF($C$288="НЕТ",0,IF(ISBLANK(D307),"",IF(H307="",I307,H307)))</f>
        <v>14</v>
      </c>
      <c r="K307" s="178" t="s">
        <v>163</v>
      </c>
      <c r="L307" s="226"/>
      <c r="M307" s="247">
        <f>IF(OR($D$290=50,$D$290=80,$D$290=100,$D$290=150),0,IFERROR(IF(L307&lt;&gt;"","",VLOOKUP(C307&amp;'Калькулятор КНС'!D307&amp;'Калькулятор КНС'!K307,НН!A:J,10,)),""))</f>
        <v>0</v>
      </c>
      <c r="N307" s="202">
        <f t="shared" si="40"/>
        <v>0</v>
      </c>
      <c r="O307" s="167"/>
    </row>
    <row r="308" spans="1:15" ht="15" hidden="1" outlineLevel="1">
      <c r="B308" s="957"/>
      <c r="C308" s="180" t="s">
        <v>66</v>
      </c>
      <c r="D308" s="180" t="s">
        <v>1415</v>
      </c>
      <c r="E308" s="792"/>
      <c r="F308" s="212" t="str">
        <f t="array" ref="F308">IF(C308="","",IF(OR(C308=Списки!$AG$15:$AG$17),"нет","да"))</f>
        <v>да</v>
      </c>
      <c r="G308" s="204"/>
      <c r="H308" s="966"/>
      <c r="I308" s="193">
        <f>I310+2</f>
        <v>16</v>
      </c>
      <c r="J308" s="186">
        <f t="shared" si="41"/>
        <v>16</v>
      </c>
      <c r="K308" s="178" t="s">
        <v>129</v>
      </c>
      <c r="L308" s="226"/>
      <c r="M308" s="247">
        <f>IF(OR($D$290=50,$D$290=80,$D$290=100,$D$290=150),0,IFERROR(IF(L308&lt;&gt;"","",VLOOKUP(C308&amp;'Калькулятор КНС'!D308&amp;'Калькулятор КНС'!K308,НН!A:J,10,)),""))</f>
        <v>0</v>
      </c>
      <c r="N308" s="202">
        <f t="shared" si="40"/>
        <v>0</v>
      </c>
      <c r="O308" s="167"/>
    </row>
    <row r="309" spans="1:15" ht="24" hidden="1" outlineLevel="1">
      <c r="B309" s="179"/>
      <c r="C309" s="180" t="s">
        <v>66</v>
      </c>
      <c r="D309" s="180" t="s">
        <v>1075</v>
      </c>
      <c r="E309" s="792"/>
      <c r="F309" s="212" t="str">
        <f t="array" ref="F309">IF(C309="","",IF(OR(C309=Списки!$AG$15:$AG$17),"нет","да"))</f>
        <v>да</v>
      </c>
      <c r="G309" s="204"/>
      <c r="H309" s="966"/>
      <c r="I309" s="193">
        <f>I304</f>
        <v>2</v>
      </c>
      <c r="J309" s="186">
        <f t="shared" si="41"/>
        <v>2</v>
      </c>
      <c r="K309" s="178" t="s">
        <v>129</v>
      </c>
      <c r="L309" s="226"/>
      <c r="M309" s="247">
        <f>IF(OR($D$290=50,$D$290=80,$D$290=100,$D$290=150),0,IFERROR(IF(L309&lt;&gt;"","",VLOOKUP(C309&amp;'Калькулятор КНС'!D309&amp;'Калькулятор КНС'!K309,НН!A:J,10,)),""))</f>
        <v>0</v>
      </c>
      <c r="N309" s="202">
        <f t="shared" si="40"/>
        <v>0</v>
      </c>
      <c r="O309" s="167"/>
    </row>
    <row r="310" spans="1:15" ht="15" hidden="1" outlineLevel="1">
      <c r="B310" s="179"/>
      <c r="C310" s="180" t="s">
        <v>66</v>
      </c>
      <c r="D310" s="180" t="s">
        <v>1072</v>
      </c>
      <c r="E310" s="792"/>
      <c r="F310" s="212" t="str">
        <f t="array" ref="F310">IF(C310="","",IF(OR(C310=Списки!$AG$15:$AG$17),"нет","да"))</f>
        <v>да</v>
      </c>
      <c r="G310" s="204"/>
      <c r="H310" s="966"/>
      <c r="I310" s="193">
        <v>14</v>
      </c>
      <c r="J310" s="186">
        <f t="shared" si="41"/>
        <v>14</v>
      </c>
      <c r="K310" s="178" t="s">
        <v>129</v>
      </c>
      <c r="L310" s="226"/>
      <c r="M310" s="247">
        <f>IF(OR($D$290=50,$D$290=80,$D$290=100,$D$290=150),0,IFERROR(IF(L310&lt;&gt;"","",VLOOKUP(C310&amp;'Калькулятор КНС'!D310&amp;'Калькулятор КНС'!K310,НН!A:J,10,)),""))</f>
        <v>0</v>
      </c>
      <c r="N310" s="202">
        <f t="shared" si="40"/>
        <v>0</v>
      </c>
      <c r="O310" s="167"/>
    </row>
    <row r="311" spans="1:15" ht="15" hidden="1" outlineLevel="1">
      <c r="B311" s="179"/>
      <c r="C311" s="180" t="s">
        <v>66</v>
      </c>
      <c r="D311" s="180" t="s">
        <v>1074</v>
      </c>
      <c r="E311" s="796"/>
      <c r="F311" s="212" t="str">
        <f t="array" ref="F311">IF(C311="","",IF(OR(C311=Списки!$AG$15:$AG$17),"нет","да"))</f>
        <v>да</v>
      </c>
      <c r="G311" s="204"/>
      <c r="H311" s="966"/>
      <c r="I311" s="193">
        <f>I310</f>
        <v>14</v>
      </c>
      <c r="J311" s="186">
        <f t="shared" si="41"/>
        <v>14</v>
      </c>
      <c r="K311" s="178" t="s">
        <v>129</v>
      </c>
      <c r="L311" s="226"/>
      <c r="M311" s="247">
        <f>IF(OR($D$290=50,$D$290=80,$D$290=100,$D$290=150),0,IFERROR(IF(L311&lt;&gt;"","",VLOOKUP(C311&amp;'Калькулятор КНС'!D311&amp;'Калькулятор КНС'!K311,НН!A:J,10,)),""))</f>
        <v>0</v>
      </c>
      <c r="N311" s="202">
        <f t="shared" si="40"/>
        <v>0</v>
      </c>
      <c r="O311" s="167"/>
    </row>
    <row r="312" spans="1:15" ht="15" hidden="1" outlineLevel="1">
      <c r="B312" s="957"/>
      <c r="C312" s="180" t="s">
        <v>66</v>
      </c>
      <c r="D312" s="180" t="s">
        <v>1188</v>
      </c>
      <c r="E312" s="792" t="s">
        <v>2086</v>
      </c>
      <c r="F312" s="212" t="str">
        <f t="array" ref="F312">IF(C312="","",IF(OR(C312=Списки!$AG$15:$AG$17),"нет","да"))</f>
        <v>да</v>
      </c>
      <c r="G312" s="204"/>
      <c r="H312" s="210">
        <v>2</v>
      </c>
      <c r="I312" s="193"/>
      <c r="J312" s="186">
        <f>IF($C$288="НЕТ",0,IF(ISBLANK(D312),"",IF(H312="",I312,H312)))</f>
        <v>2</v>
      </c>
      <c r="K312" s="178" t="s">
        <v>129</v>
      </c>
      <c r="L312" s="1003"/>
      <c r="M312" s="247">
        <f>IF(OR($D$290=50,$D$290=80,$D$290=100,$D$290=150),0,IFERROR(IF(L312&lt;&gt;"","",VLOOKUP(C312&amp;'Калькулятор КНС'!D312&amp;'Калькулятор КНС'!K312,НН!A:J,10,)),""))</f>
        <v>0</v>
      </c>
      <c r="N312" s="202">
        <f t="shared" si="40"/>
        <v>0</v>
      </c>
      <c r="O312" s="167"/>
    </row>
    <row r="313" spans="1:15" ht="15" hidden="1" outlineLevel="1">
      <c r="B313" s="957"/>
      <c r="C313" s="180" t="s">
        <v>66</v>
      </c>
      <c r="D313" s="180" t="s">
        <v>1298</v>
      </c>
      <c r="E313" s="792" t="s">
        <v>2086</v>
      </c>
      <c r="F313" s="212" t="str">
        <f t="array" ref="F313">IF(C313="","",IF(OR(C313=Списки!$AG$15:$AG$17),"нет","да"))</f>
        <v>да</v>
      </c>
      <c r="G313" s="204"/>
      <c r="H313" s="210">
        <v>2</v>
      </c>
      <c r="I313" s="193"/>
      <c r="J313" s="186">
        <f t="shared" ref="J313" si="42">IF($C$288="НЕТ",0,IF(ISBLANK(D313),"",IF(H313="",I313,H313)))</f>
        <v>2</v>
      </c>
      <c r="K313" s="178" t="s">
        <v>129</v>
      </c>
      <c r="L313" s="1003"/>
      <c r="M313" s="247">
        <f>IF(OR($D$290=50,$D$290=80,$D$290=100,$D$290=150),0,IFERROR(IF(L313&lt;&gt;"","",VLOOKUP(C313&amp;'Калькулятор КНС'!D313&amp;'Калькулятор КНС'!K313,НН!A:J,10,)),""))</f>
        <v>0</v>
      </c>
      <c r="N313" s="202">
        <f t="shared" si="40"/>
        <v>0</v>
      </c>
      <c r="O313" s="167"/>
    </row>
    <row r="314" spans="1:15" ht="16.5" customHeight="1" collapsed="1">
      <c r="A314" s="1431"/>
      <c r="B314" s="1431"/>
      <c r="C314" s="1431"/>
      <c r="D314" s="1431"/>
      <c r="E314" s="1431"/>
      <c r="F314" s="1431"/>
      <c r="G314" s="1431"/>
      <c r="H314" s="1431"/>
      <c r="I314" s="1431"/>
      <c r="J314" s="1431"/>
      <c r="K314" s="1431"/>
      <c r="L314" s="1431"/>
      <c r="M314" s="1431"/>
      <c r="N314" s="1432"/>
      <c r="O314" s="167"/>
    </row>
    <row r="315" spans="1:15" ht="15" hidden="1" outlineLevel="1">
      <c r="B315" s="1096"/>
      <c r="C315" s="290"/>
      <c r="D315" s="291"/>
      <c r="E315" s="1223">
        <f>80</f>
        <v>80</v>
      </c>
      <c r="F315" s="293"/>
      <c r="G315" s="216"/>
      <c r="H315" s="230"/>
      <c r="I315" s="294"/>
      <c r="J315" s="219"/>
      <c r="K315" s="220"/>
      <c r="L315" s="255"/>
      <c r="M315" s="256"/>
      <c r="N315" s="356"/>
      <c r="O315" s="167"/>
    </row>
    <row r="316" spans="1:15" ht="15" hidden="1" outlineLevel="1">
      <c r="B316" s="957"/>
      <c r="C316" s="180" t="s">
        <v>197</v>
      </c>
      <c r="D316" s="180" t="s">
        <v>989</v>
      </c>
      <c r="E316" s="792"/>
      <c r="F316" s="212" t="str">
        <f t="array" ref="F316">IF(C316="","",IF(OR(C316=Списки!$AG$15:$AG$17),"нет","да"))</f>
        <v>да</v>
      </c>
      <c r="G316" s="204"/>
      <c r="H316" s="966"/>
      <c r="I316" s="193">
        <f>ОЛ_НАСОСНАЯ_СТАНЦИЯ!$I$44</f>
        <v>2</v>
      </c>
      <c r="J316" s="186">
        <f t="shared" ref="J316:J317" si="43">IF($C$288="НЕТ",0,IF(ISBLANK(D316),"",IF(H316="",I316,H316)))</f>
        <v>2</v>
      </c>
      <c r="K316" s="178" t="s">
        <v>129</v>
      </c>
      <c r="L316" s="226"/>
      <c r="M316" s="247">
        <f>IF(OR($D$290=50,$D$290=65,$D$290=100,$D$290=150),0,IFERROR(IF(L316&lt;&gt;"","",VLOOKUP(C316&amp;'Калькулятор КНС'!D316&amp;'Калькулятор КНС'!K316,НН!A:J,10,)),""))</f>
        <v>0</v>
      </c>
      <c r="N316" s="202">
        <f t="shared" ref="N316:N325" si="44">IFERROR(IF(L316="",M316*J316,J316*L316),"")</f>
        <v>0</v>
      </c>
      <c r="O316" s="167"/>
    </row>
    <row r="317" spans="1:15" ht="15" hidden="1" outlineLevel="1">
      <c r="B317" s="957"/>
      <c r="C317" s="180" t="s">
        <v>197</v>
      </c>
      <c r="D317" s="180" t="s">
        <v>1031</v>
      </c>
      <c r="E317" s="792"/>
      <c r="F317" s="212" t="str">
        <f t="array" ref="F317">IF(C317="","",IF(OR(C317=Списки!$AG$15:$AG$17),"нет","да"))</f>
        <v>да</v>
      </c>
      <c r="G317" s="204"/>
      <c r="H317" s="966"/>
      <c r="I317" s="193">
        <f>0.5*I316</f>
        <v>1</v>
      </c>
      <c r="J317" s="186">
        <f t="shared" si="43"/>
        <v>1</v>
      </c>
      <c r="K317" s="178" t="s">
        <v>163</v>
      </c>
      <c r="L317" s="226"/>
      <c r="M317" s="247">
        <f>IF(OR($D$290=50,$D$290=65,$D$290=100,$D$290=150),0,IFERROR(IF(L317&lt;&gt;"","",VLOOKUP(C317&amp;'Калькулятор КНС'!D317&amp;'Калькулятор КНС'!K317,НН!A:J,10,)),""))</f>
        <v>0</v>
      </c>
      <c r="N317" s="202">
        <f t="shared" si="44"/>
        <v>0</v>
      </c>
      <c r="O317" s="167"/>
    </row>
    <row r="318" spans="1:15" ht="15" hidden="1" outlineLevel="1">
      <c r="B318" s="957"/>
      <c r="C318" s="180" t="s">
        <v>197</v>
      </c>
      <c r="D318" s="180" t="s">
        <v>1060</v>
      </c>
      <c r="E318" s="792"/>
      <c r="F318" s="212" t="str">
        <f t="array" ref="F318">IF(C318="","",IF(OR(C318=Списки!$AG$15:$AG$17),"нет","да"))</f>
        <v>да</v>
      </c>
      <c r="G318" s="204"/>
      <c r="H318" s="966"/>
      <c r="I318" s="186">
        <f>I316</f>
        <v>2</v>
      </c>
      <c r="J318" s="186">
        <f>IF(C266="НЕТ",0,IF(ISBLANK(D318),"",IF(H318="",I318,H318)))</f>
        <v>2</v>
      </c>
      <c r="K318" s="178" t="s">
        <v>129</v>
      </c>
      <c r="L318" s="1003"/>
      <c r="M318" s="247">
        <f>IF(OR($D$290=50,$D$290=65,$D$290=100,$D$290=150),0,IFERROR(IF(L318&lt;&gt;"","",VLOOKUP(C318&amp;'Калькулятор КНС'!D318&amp;'Калькулятор КНС'!K318,НН!A:J,10,)),""))</f>
        <v>0</v>
      </c>
      <c r="N318" s="188">
        <f t="shared" si="44"/>
        <v>0</v>
      </c>
      <c r="O318" s="167"/>
    </row>
    <row r="319" spans="1:15" ht="15" hidden="1" outlineLevel="1">
      <c r="B319" s="957"/>
      <c r="C319" s="180" t="s">
        <v>68</v>
      </c>
      <c r="D319" s="180" t="s">
        <v>1463</v>
      </c>
      <c r="E319" s="792"/>
      <c r="F319" s="212" t="str">
        <f t="array" ref="F319">IF(C319="","",IF(OR(C319=Списки!$AG$15:$AG$17),"нет","да"))</f>
        <v>да</v>
      </c>
      <c r="G319" s="204"/>
      <c r="H319" s="210">
        <v>14</v>
      </c>
      <c r="I319" s="193"/>
      <c r="J319" s="186">
        <f t="shared" ref="J319:J323" si="45">IF($C$288="НЕТ",0,IF(ISBLANK(D319),"",IF(H319="",I319,H319)))</f>
        <v>14</v>
      </c>
      <c r="K319" s="178" t="s">
        <v>163</v>
      </c>
      <c r="L319" s="226"/>
      <c r="M319" s="247">
        <f>IF(OR($D$290=50,$D$290=65,$D$290=100,$D$290=150),0,IFERROR(IF(L319&lt;&gt;"","",VLOOKUP(C319&amp;'Калькулятор КНС'!D319&amp;'Калькулятор КНС'!K319,НН!A:J,10,)),""))</f>
        <v>0</v>
      </c>
      <c r="N319" s="202">
        <f t="shared" si="44"/>
        <v>0</v>
      </c>
      <c r="O319" s="167"/>
    </row>
    <row r="320" spans="1:15" ht="15" hidden="1" outlineLevel="1">
      <c r="B320" s="957"/>
      <c r="C320" s="180" t="s">
        <v>66</v>
      </c>
      <c r="D320" s="180" t="s">
        <v>1416</v>
      </c>
      <c r="E320" s="792"/>
      <c r="F320" s="212" t="str">
        <f t="array" ref="F320">IF(C320="","",IF(OR(C320=Списки!$AG$15:$AG$17),"нет","да"))</f>
        <v>да</v>
      </c>
      <c r="G320" s="204"/>
      <c r="H320" s="966"/>
      <c r="I320" s="193">
        <f>I322+2</f>
        <v>16</v>
      </c>
      <c r="J320" s="186">
        <f t="shared" si="45"/>
        <v>16</v>
      </c>
      <c r="K320" s="178" t="s">
        <v>129</v>
      </c>
      <c r="L320" s="226"/>
      <c r="M320" s="247">
        <f>IF(OR($D$290=50,$D$290=65,$D$290=100,$D$290=150),0,IFERROR(IF(L320&lt;&gt;"","",VLOOKUP(C320&amp;'Калькулятор КНС'!D320&amp;'Калькулятор КНС'!K320,НН!A:J,10,)),""))</f>
        <v>0</v>
      </c>
      <c r="N320" s="202">
        <f t="shared" si="44"/>
        <v>0</v>
      </c>
      <c r="O320" s="167"/>
    </row>
    <row r="321" spans="2:15" ht="24" hidden="1" outlineLevel="1">
      <c r="B321" s="179"/>
      <c r="C321" s="180" t="s">
        <v>66</v>
      </c>
      <c r="D321" s="180" t="s">
        <v>1078</v>
      </c>
      <c r="E321" s="792"/>
      <c r="F321" s="212" t="str">
        <f t="array" ref="F321">IF(C321="","",IF(OR(C321=Списки!$AG$15:$AG$17),"нет","да"))</f>
        <v>да</v>
      </c>
      <c r="G321" s="204"/>
      <c r="H321" s="966"/>
      <c r="I321" s="193">
        <f>I316</f>
        <v>2</v>
      </c>
      <c r="J321" s="186">
        <f t="shared" si="45"/>
        <v>2</v>
      </c>
      <c r="K321" s="178" t="s">
        <v>129</v>
      </c>
      <c r="L321" s="226"/>
      <c r="M321" s="247">
        <f>IF(OR($D$290=50,$D$290=65,$D$290=100,$D$290=150),0,IFERROR(IF(L321&lt;&gt;"","",VLOOKUP(C321&amp;'Калькулятор КНС'!D321&amp;'Калькулятор КНС'!K321,НН!A:J,10,)),""))</f>
        <v>0</v>
      </c>
      <c r="N321" s="202">
        <f t="shared" si="44"/>
        <v>0</v>
      </c>
      <c r="O321" s="167"/>
    </row>
    <row r="322" spans="2:15" ht="15" hidden="1" outlineLevel="1">
      <c r="B322" s="179"/>
      <c r="C322" s="180" t="s">
        <v>66</v>
      </c>
      <c r="D322" s="180" t="s">
        <v>1079</v>
      </c>
      <c r="E322" s="792"/>
      <c r="F322" s="212" t="str">
        <f t="array" ref="F322">IF(C322="","",IF(OR(C322=Списки!$AG$15:$AG$17),"нет","да"))</f>
        <v>да</v>
      </c>
      <c r="G322" s="204"/>
      <c r="H322" s="966"/>
      <c r="I322" s="193">
        <v>14</v>
      </c>
      <c r="J322" s="186">
        <f t="shared" si="45"/>
        <v>14</v>
      </c>
      <c r="K322" s="178" t="s">
        <v>129</v>
      </c>
      <c r="L322" s="226"/>
      <c r="M322" s="247">
        <f>IF(OR($D$290=50,$D$290=65,$D$290=100,$D$290=150),0,IFERROR(IF(L322&lt;&gt;"","",VLOOKUP(C322&amp;'Калькулятор КНС'!D322&amp;'Калькулятор КНС'!K322,НН!A:J,10,)),""))</f>
        <v>0</v>
      </c>
      <c r="N322" s="202">
        <f t="shared" si="44"/>
        <v>0</v>
      </c>
      <c r="O322" s="167"/>
    </row>
    <row r="323" spans="2:15" ht="15" hidden="1" outlineLevel="1">
      <c r="B323" s="179"/>
      <c r="C323" s="180" t="s">
        <v>66</v>
      </c>
      <c r="D323" s="180" t="s">
        <v>1081</v>
      </c>
      <c r="E323" s="796"/>
      <c r="F323" s="212" t="str">
        <f t="array" ref="F323">IF(C323="","",IF(OR(C323=Списки!$AG$15:$AG$17),"нет","да"))</f>
        <v>да</v>
      </c>
      <c r="G323" s="204"/>
      <c r="H323" s="966"/>
      <c r="I323" s="193">
        <f>I322</f>
        <v>14</v>
      </c>
      <c r="J323" s="186">
        <f t="shared" si="45"/>
        <v>14</v>
      </c>
      <c r="K323" s="178" t="s">
        <v>129</v>
      </c>
      <c r="L323" s="226"/>
      <c r="M323" s="247">
        <f>IF(OR($D$290=50,$D$290=65,$D$290=100,$D$290=150),0,IFERROR(IF(L323&lt;&gt;"","",VLOOKUP(C323&amp;'Калькулятор КНС'!D323&amp;'Калькулятор КНС'!K323,НН!A:J,10,)),""))</f>
        <v>0</v>
      </c>
      <c r="N323" s="202">
        <f t="shared" si="44"/>
        <v>0</v>
      </c>
      <c r="O323" s="167"/>
    </row>
    <row r="324" spans="2:15" ht="15" hidden="1" outlineLevel="1">
      <c r="B324" s="957"/>
      <c r="C324" s="180" t="s">
        <v>66</v>
      </c>
      <c r="D324" s="180" t="s">
        <v>1190</v>
      </c>
      <c r="E324" s="792" t="s">
        <v>2086</v>
      </c>
      <c r="F324" s="212" t="str">
        <f t="array" ref="F324">IF(C324="","",IF(OR(C324=Списки!$AG$15:$AG$17),"нет","да"))</f>
        <v>да</v>
      </c>
      <c r="G324" s="204"/>
      <c r="H324" s="210">
        <v>2</v>
      </c>
      <c r="I324" s="193"/>
      <c r="J324" s="186">
        <f>IF($C$288="НЕТ",0,IF(ISBLANK(D324),"",IF(H324="",I324,H324)))</f>
        <v>2</v>
      </c>
      <c r="K324" s="178" t="s">
        <v>129</v>
      </c>
      <c r="L324" s="1003"/>
      <c r="M324" s="247">
        <f>IF(OR($D$290=50,$D$290=65,$D$290=100,$D$290=150),0,IFERROR(IF(L324&lt;&gt;"","",VLOOKUP(C324&amp;'Калькулятор КНС'!D324&amp;'Калькулятор КНС'!K324,НН!A:J,10,)),""))</f>
        <v>0</v>
      </c>
      <c r="N324" s="202">
        <f t="shared" si="44"/>
        <v>0</v>
      </c>
      <c r="O324" s="167"/>
    </row>
    <row r="325" spans="2:15" ht="15" hidden="1" outlineLevel="1">
      <c r="B325" s="957"/>
      <c r="C325" s="180" t="s">
        <v>66</v>
      </c>
      <c r="D325" s="180" t="s">
        <v>1303</v>
      </c>
      <c r="E325" s="792" t="s">
        <v>2086</v>
      </c>
      <c r="F325" s="212" t="str">
        <f t="array" ref="F325">IF(C325="","",IF(OR(C325=Списки!$AG$15:$AG$17),"нет","да"))</f>
        <v>да</v>
      </c>
      <c r="G325" s="204"/>
      <c r="H325" s="210">
        <v>2</v>
      </c>
      <c r="I325" s="193"/>
      <c r="J325" s="186">
        <f t="shared" ref="J325" si="46">IF($C$288="НЕТ",0,IF(ISBLANK(D325),"",IF(H325="",I325,H325)))</f>
        <v>2</v>
      </c>
      <c r="K325" s="178" t="s">
        <v>129</v>
      </c>
      <c r="L325" s="1003"/>
      <c r="M325" s="247">
        <f>IF(OR($D$290=50,$D$290=65,$D$290=100,$D$290=150),0,IFERROR(IF(L325&lt;&gt;"","",VLOOKUP(C325&amp;'Калькулятор КНС'!D325&amp;'Калькулятор КНС'!K325,НН!A:J,10,)),""))</f>
        <v>0</v>
      </c>
      <c r="N325" s="202">
        <f t="shared" si="44"/>
        <v>0</v>
      </c>
      <c r="O325" s="167"/>
    </row>
    <row r="326" spans="2:15" ht="15">
      <c r="B326" s="1425"/>
      <c r="C326" s="1426"/>
      <c r="D326" s="1426"/>
      <c r="E326" s="1426"/>
      <c r="F326" s="1426"/>
      <c r="G326" s="1426"/>
      <c r="H326" s="1426"/>
      <c r="I326" s="1426"/>
      <c r="J326" s="1426"/>
      <c r="K326" s="1426"/>
      <c r="L326" s="1426"/>
      <c r="M326" s="1426"/>
      <c r="N326" s="1427"/>
      <c r="O326" s="167"/>
    </row>
    <row r="327" spans="2:15" ht="15" outlineLevel="1">
      <c r="B327" s="1096"/>
      <c r="C327" s="290"/>
      <c r="D327" s="291"/>
      <c r="E327" s="1223">
        <f>100</f>
        <v>100</v>
      </c>
      <c r="F327" s="293"/>
      <c r="G327" s="216"/>
      <c r="H327" s="230"/>
      <c r="I327" s="294"/>
      <c r="J327" s="219"/>
      <c r="K327" s="220"/>
      <c r="L327" s="255"/>
      <c r="M327" s="256"/>
      <c r="N327" s="356"/>
      <c r="O327" s="167"/>
    </row>
    <row r="328" spans="2:15" ht="15" outlineLevel="1">
      <c r="B328" s="957"/>
      <c r="C328" s="180" t="s">
        <v>197</v>
      </c>
      <c r="D328" s="180" t="s">
        <v>992</v>
      </c>
      <c r="E328" s="792"/>
      <c r="F328" s="212" t="str">
        <f t="array" ref="F328">IF(C328="","",IF(OR(C328=Списки!$AG$15:$AG$17),"нет","да"))</f>
        <v>да</v>
      </c>
      <c r="G328" s="204"/>
      <c r="H328" s="966"/>
      <c r="I328" s="193">
        <f>ОЛ_НАСОСНАЯ_СТАНЦИЯ!$I$44</f>
        <v>2</v>
      </c>
      <c r="J328" s="186">
        <f t="shared" ref="J328:J329" si="47">IF($C$288="НЕТ",0,IF(ISBLANK(D328),"",IF(H328="",I328,H328)))</f>
        <v>2</v>
      </c>
      <c r="K328" s="178" t="s">
        <v>129</v>
      </c>
      <c r="L328" s="226"/>
      <c r="M328" s="247">
        <f>IF(OR($D$290=50,$D$290=65,$D$290=80,$D$290=150),0,IFERROR(IF(L328&lt;&gt;"","",VLOOKUP(C328&amp;'Калькулятор КНС'!D328&amp;'Калькулятор КНС'!K328,НН!A:J,10,)),""))</f>
        <v>6200</v>
      </c>
      <c r="N328" s="202">
        <f t="shared" ref="N328:N343" si="48">IFERROR(IF(L328="",M328*J328,J328*L328),"")</f>
        <v>12400</v>
      </c>
      <c r="O328" s="167"/>
    </row>
    <row r="329" spans="2:15" ht="15" outlineLevel="1">
      <c r="B329" s="957"/>
      <c r="C329" s="180" t="s">
        <v>197</v>
      </c>
      <c r="D329" s="180" t="s">
        <v>1039</v>
      </c>
      <c r="E329" s="792"/>
      <c r="F329" s="212" t="str">
        <f t="array" ref="F329">IF(C329="","",IF(OR(C329=Списки!$AG$15:$AG$17),"нет","да"))</f>
        <v>да</v>
      </c>
      <c r="G329" s="204"/>
      <c r="H329" s="966"/>
      <c r="I329" s="193">
        <f>0.5*I328</f>
        <v>1</v>
      </c>
      <c r="J329" s="186">
        <f t="shared" si="47"/>
        <v>1</v>
      </c>
      <c r="K329" s="178" t="s">
        <v>163</v>
      </c>
      <c r="L329" s="226"/>
      <c r="M329" s="247">
        <f>IF(OR($D$290=50,$D$290=65,$D$290=80,$D$290=150),0,IFERROR(IF(L329&lt;&gt;"","",VLOOKUP(C329&amp;'Калькулятор КНС'!D329&amp;'Калькулятор КНС'!K329,НН!A:J,10,)),""))</f>
        <v>2903</v>
      </c>
      <c r="N329" s="202">
        <f t="shared" si="48"/>
        <v>2903</v>
      </c>
      <c r="O329" s="167"/>
    </row>
    <row r="330" spans="2:15" ht="15" outlineLevel="1">
      <c r="B330" s="957"/>
      <c r="C330" s="180" t="s">
        <v>197</v>
      </c>
      <c r="D330" s="180" t="s">
        <v>733</v>
      </c>
      <c r="E330" s="792"/>
      <c r="F330" s="212" t="str">
        <f t="array" ref="F330">IF(C330="","",IF(OR(C330=Списки!$AG$15:$AG$17),"нет","да"))</f>
        <v>да</v>
      </c>
      <c r="G330" s="204"/>
      <c r="H330" s="966"/>
      <c r="I330" s="186">
        <f>I328</f>
        <v>2</v>
      </c>
      <c r="J330" s="186">
        <f>IF(C277="НЕТ",0,IF(ISBLANK(D330),"",IF(H330="",I330,H330)))</f>
        <v>2</v>
      </c>
      <c r="K330" s="178" t="s">
        <v>129</v>
      </c>
      <c r="L330" s="1003"/>
      <c r="M330" s="247">
        <f>IF(OR($D$290=50,$D$290=65,$D$290=80,$D$290=150),0,IFERROR(IF(L330&lt;&gt;"","",VLOOKUP(C330&amp;'Калькулятор КНС'!D330&amp;'Калькулятор КНС'!K330,НН!A:J,10,)),""))</f>
        <v>2180</v>
      </c>
      <c r="N330" s="188">
        <f t="shared" si="48"/>
        <v>4360</v>
      </c>
      <c r="O330" s="167"/>
    </row>
    <row r="331" spans="2:15" ht="15" outlineLevel="1">
      <c r="B331" s="957"/>
      <c r="C331" s="180" t="s">
        <v>68</v>
      </c>
      <c r="D331" s="180" t="s">
        <v>601</v>
      </c>
      <c r="E331" s="792"/>
      <c r="F331" s="212" t="str">
        <f t="array" ref="F331">IF(C331="","",IF(OR(C331=Списки!$AG$15:$AG$17),"нет","да"))</f>
        <v>да</v>
      </c>
      <c r="G331" s="204"/>
      <c r="H331" s="210">
        <f>5.5*3+5</f>
        <v>21.5</v>
      </c>
      <c r="I331" s="193"/>
      <c r="J331" s="186">
        <f t="shared" ref="J331:J339" si="49">IF($C$288="НЕТ",0,IF(ISBLANK(D331),"",IF(H331="",I331,H331)))</f>
        <v>21.5</v>
      </c>
      <c r="K331" s="178" t="s">
        <v>163</v>
      </c>
      <c r="L331" s="226"/>
      <c r="M331" s="247">
        <f>IF(OR($D$290=50,$D$290=65,$D$290=80,$D$290=150),0,IFERROR(IF(L331&lt;&gt;"","",VLOOKUP(C331&amp;'Калькулятор КНС'!D331&amp;'Калькулятор КНС'!K331,НН!A:J,10,)),""))</f>
        <v>3600</v>
      </c>
      <c r="N331" s="202">
        <f t="shared" si="48"/>
        <v>77400</v>
      </c>
      <c r="O331" s="167"/>
    </row>
    <row r="332" spans="2:15" ht="15" outlineLevel="1">
      <c r="B332" s="957"/>
      <c r="C332" s="180" t="s">
        <v>68</v>
      </c>
      <c r="D332" s="180" t="s">
        <v>1470</v>
      </c>
      <c r="E332" s="792"/>
      <c r="F332" s="212" t="str">
        <f t="array" ref="F332">IF(C332="","",IF(OR(C332=Списки!$AG$15:$AG$17),"нет","да"))</f>
        <v>да</v>
      </c>
      <c r="G332" s="204"/>
      <c r="H332" s="210">
        <f>(0.8+0.5+0.7)*2</f>
        <v>4</v>
      </c>
      <c r="I332" s="193"/>
      <c r="J332" s="186">
        <f t="shared" ref="J332" si="50">IF($C$288="НЕТ",0,IF(ISBLANK(D332),"",IF(H332="",I332,H332)))</f>
        <v>4</v>
      </c>
      <c r="K332" s="178" t="s">
        <v>163</v>
      </c>
      <c r="L332" s="226"/>
      <c r="M332" s="247">
        <f>IF(OR($D$290=50,$D$290=65,$D$290=80,$D$290=150),0,IFERROR(IF(L332&lt;&gt;"","",VLOOKUP(C332&amp;'Калькулятор КНС'!D332&amp;'Калькулятор КНС'!K332,НН!A:J,10,)),""))</f>
        <v>8500</v>
      </c>
      <c r="N332" s="202">
        <f t="shared" ref="N332" si="51">IFERROR(IF(L332="",M332*J332,J332*L332),"")</f>
        <v>34000</v>
      </c>
      <c r="O332" s="167"/>
    </row>
    <row r="333" spans="2:15" ht="15" outlineLevel="1">
      <c r="B333" s="957"/>
      <c r="C333" s="180" t="s">
        <v>66</v>
      </c>
      <c r="D333" s="180" t="s">
        <v>713</v>
      </c>
      <c r="E333" s="792"/>
      <c r="F333" s="212" t="str">
        <f t="array" ref="F333">IF(C333="","",IF(OR(C333=Списки!$AG$15:$AG$17),"нет","да"))</f>
        <v>да</v>
      </c>
      <c r="G333" s="204"/>
      <c r="H333" s="966"/>
      <c r="I333" s="193">
        <f>I338+2</f>
        <v>13</v>
      </c>
      <c r="J333" s="186">
        <f t="shared" si="49"/>
        <v>13</v>
      </c>
      <c r="K333" s="178" t="s">
        <v>129</v>
      </c>
      <c r="L333" s="226"/>
      <c r="M333" s="247">
        <f>IF(OR($D$290=50,$D$290=65,$D$290=80,$D$290=150),0,IFERROR(IF(L333&lt;&gt;"","",VLOOKUP(C333&amp;'Калькулятор КНС'!D333&amp;'Калькулятор КНС'!K333,НН!A:J,10,)),""))</f>
        <v>19.86</v>
      </c>
      <c r="N333" s="202">
        <f t="shared" si="48"/>
        <v>258.18</v>
      </c>
      <c r="O333" s="167"/>
    </row>
    <row r="334" spans="2:15" ht="15" outlineLevel="1">
      <c r="B334" s="957"/>
      <c r="C334" s="180" t="s">
        <v>66</v>
      </c>
      <c r="D334" s="180" t="s">
        <v>1418</v>
      </c>
      <c r="E334" s="792"/>
      <c r="F334" s="212" t="str">
        <f t="array" ref="F334">IF(C334="","",IF(OR(C334=Списки!$AG$15:$AG$17),"нет","да"))</f>
        <v>да</v>
      </c>
      <c r="G334" s="204"/>
      <c r="H334" s="966"/>
      <c r="I334" s="193">
        <f>H336+2</f>
        <v>16</v>
      </c>
      <c r="J334" s="186">
        <f t="shared" ref="J334" si="52">IF($C$288="НЕТ",0,IF(ISBLANK(D334),"",IF(H334="",I334,H334)))</f>
        <v>16</v>
      </c>
      <c r="K334" s="178" t="s">
        <v>129</v>
      </c>
      <c r="L334" s="226"/>
      <c r="M334" s="247">
        <f>IF(OR($D$290=50,$D$290=65,$D$290=80,$D$290=150),0,IFERROR(IF(L334&lt;&gt;"","",VLOOKUP(C334&amp;'Калькулятор КНС'!D334&amp;'Калькулятор КНС'!K334,НН!A:J,10,)),""))</f>
        <v>150</v>
      </c>
      <c r="N334" s="202">
        <f t="shared" ref="N334" si="53">IFERROR(IF(L334="",M334*J334,J334*L334),"")</f>
        <v>2400</v>
      </c>
      <c r="O334" s="167"/>
    </row>
    <row r="335" spans="2:15" ht="24" outlineLevel="1">
      <c r="B335" s="179"/>
      <c r="C335" s="180" t="s">
        <v>66</v>
      </c>
      <c r="D335" s="180" t="s">
        <v>1085</v>
      </c>
      <c r="E335" s="792"/>
      <c r="F335" s="212" t="str">
        <f t="array" ref="F335">IF(C335="","",IF(OR(C335=Списки!$AG$15:$AG$17),"нет","да"))</f>
        <v>да</v>
      </c>
      <c r="G335" s="204"/>
      <c r="H335" s="966"/>
      <c r="I335" s="193">
        <f>I328</f>
        <v>2</v>
      </c>
      <c r="J335" s="186">
        <f t="shared" si="49"/>
        <v>2</v>
      </c>
      <c r="K335" s="178" t="s">
        <v>129</v>
      </c>
      <c r="L335" s="226"/>
      <c r="M335" s="247">
        <f>IF(OR($D$290=50,$D$290=65,$D$290=80,$D$290=150),0,IFERROR(IF(L335&lt;&gt;"","",VLOOKUP(C335&amp;'Калькулятор КНС'!D335&amp;'Калькулятор КНС'!K335,НН!A:J,10,)),""))</f>
        <v>8500</v>
      </c>
      <c r="N335" s="202">
        <f t="shared" si="48"/>
        <v>17000</v>
      </c>
      <c r="O335" s="167"/>
    </row>
    <row r="336" spans="2:15" ht="15" outlineLevel="1">
      <c r="B336" s="179"/>
      <c r="C336" s="180" t="s">
        <v>66</v>
      </c>
      <c r="D336" s="180" t="s">
        <v>721</v>
      </c>
      <c r="E336" s="792"/>
      <c r="F336" s="212" t="str">
        <f t="array" ref="F336">IF(C336="","",IF(OR(C336=Списки!$AG$15:$AG$17),"нет","да"))</f>
        <v>да</v>
      </c>
      <c r="G336" s="204"/>
      <c r="H336" s="210">
        <v>14</v>
      </c>
      <c r="I336" s="193"/>
      <c r="J336" s="186">
        <f t="shared" ref="J336" si="54">IF($C$288="НЕТ",0,IF(ISBLANK(D336),"",IF(H336="",I336,H336)))</f>
        <v>14</v>
      </c>
      <c r="K336" s="178" t="s">
        <v>129</v>
      </c>
      <c r="L336" s="226"/>
      <c r="M336" s="247">
        <f>IF(OR($D$290=50,$D$290=65,$D$290=80,$D$290=150),0,IFERROR(IF(L336&lt;&gt;"","",VLOOKUP(C336&amp;'Калькулятор КНС'!D336&amp;'Калькулятор КНС'!K336,НН!A:J,10,)),""))</f>
        <v>7900</v>
      </c>
      <c r="N336" s="202">
        <f t="shared" ref="N336" si="55">IFERROR(IF(L336="",M336*J336,J336*L336),"")</f>
        <v>110600</v>
      </c>
      <c r="O336" s="167"/>
    </row>
    <row r="337" spans="2:15" ht="15" outlineLevel="1">
      <c r="B337" s="179"/>
      <c r="C337" s="180" t="s">
        <v>66</v>
      </c>
      <c r="D337" s="180" t="s">
        <v>722</v>
      </c>
      <c r="E337" s="792"/>
      <c r="F337" s="212" t="str">
        <f t="array" ref="F337">IF(C337="","",IF(OR(C337=Списки!$AG$15:$AG$17),"нет","да"))</f>
        <v>да</v>
      </c>
      <c r="G337" s="204"/>
      <c r="H337" s="966"/>
      <c r="I337" s="193">
        <f>H336</f>
        <v>14</v>
      </c>
      <c r="J337" s="186">
        <f t="shared" ref="J337" si="56">IF($C$288="НЕТ",0,IF(ISBLANK(D337),"",IF(H337="",I337,H337)))</f>
        <v>14</v>
      </c>
      <c r="K337" s="178" t="s">
        <v>129</v>
      </c>
      <c r="L337" s="226"/>
      <c r="M337" s="247">
        <f>IF(OR($D$290=50,$D$290=65,$D$290=80,$D$290=150),0,IFERROR(IF(L337&lt;&gt;"","",VLOOKUP(C337&amp;'Калькулятор КНС'!D337&amp;'Калькулятор КНС'!K337,НН!A:J,10,)),""))</f>
        <v>550</v>
      </c>
      <c r="N337" s="202">
        <f t="shared" ref="N337" si="57">IFERROR(IF(L337="",M337*J337,J337*L337),"")</f>
        <v>7700</v>
      </c>
      <c r="O337" s="167"/>
    </row>
    <row r="338" spans="2:15" ht="15" outlineLevel="1">
      <c r="B338" s="179"/>
      <c r="C338" s="180" t="s">
        <v>66</v>
      </c>
      <c r="D338" s="180" t="s">
        <v>716</v>
      </c>
      <c r="E338" s="792"/>
      <c r="F338" s="212" t="str">
        <f t="array" ref="F338">IF(C338="","",IF(OR(C338=Списки!$AG$15:$AG$17),"нет","да"))</f>
        <v>да</v>
      </c>
      <c r="G338" s="204"/>
      <c r="H338" s="966"/>
      <c r="I338" s="193">
        <v>11</v>
      </c>
      <c r="J338" s="186">
        <f t="shared" si="49"/>
        <v>11</v>
      </c>
      <c r="K338" s="178" t="s">
        <v>129</v>
      </c>
      <c r="L338" s="226"/>
      <c r="M338" s="247">
        <f>IF(OR($D$290=50,$D$290=65,$D$290=80,$D$290=150),0,IFERROR(IF(L338&lt;&gt;"","",VLOOKUP(C338&amp;'Калькулятор КНС'!D338&amp;'Калькулятор КНС'!K338,НН!A:J,10,)),""))</f>
        <v>5800</v>
      </c>
      <c r="N338" s="202">
        <f t="shared" si="48"/>
        <v>63800</v>
      </c>
      <c r="O338" s="167"/>
    </row>
    <row r="339" spans="2:15" ht="15" outlineLevel="1">
      <c r="B339" s="179"/>
      <c r="C339" s="180" t="s">
        <v>66</v>
      </c>
      <c r="D339" s="180" t="s">
        <v>717</v>
      </c>
      <c r="E339" s="796"/>
      <c r="F339" s="212" t="str">
        <f t="array" ref="F339">IF(C339="","",IF(OR(C339=Списки!$AG$15:$AG$17),"нет","да"))</f>
        <v>да</v>
      </c>
      <c r="G339" s="204"/>
      <c r="H339" s="966"/>
      <c r="I339" s="193">
        <f>I338</f>
        <v>11</v>
      </c>
      <c r="J339" s="186">
        <f t="shared" si="49"/>
        <v>11</v>
      </c>
      <c r="K339" s="178" t="s">
        <v>129</v>
      </c>
      <c r="L339" s="226"/>
      <c r="M339" s="247">
        <f>IF(OR($D$290=50,$D$290=65,$D$290=80,$D$290=150),0,IFERROR(IF(L339&lt;&gt;"","",VLOOKUP(C339&amp;'Калькулятор КНС'!D339&amp;'Калькулятор КНС'!K339,НН!A:J,10,)),""))</f>
        <v>400</v>
      </c>
      <c r="N339" s="202">
        <f t="shared" si="48"/>
        <v>4400</v>
      </c>
      <c r="O339" s="167"/>
    </row>
    <row r="340" spans="2:15" ht="15" outlineLevel="1">
      <c r="B340" s="957"/>
      <c r="C340" s="180" t="s">
        <v>66</v>
      </c>
      <c r="D340" s="180" t="s">
        <v>1192</v>
      </c>
      <c r="E340" s="792"/>
      <c r="F340" s="212" t="str">
        <f t="array" ref="F340">IF(C340="","",IF(OR(C340=Списки!$AG$15:$AG$17),"нет","да"))</f>
        <v>да</v>
      </c>
      <c r="G340" s="204"/>
      <c r="H340" s="210">
        <v>2</v>
      </c>
      <c r="I340" s="193"/>
      <c r="J340" s="186">
        <f>IF($C$288="НЕТ",0,IF(ISBLANK(D340),"",IF(H340="",I340,H340)))</f>
        <v>2</v>
      </c>
      <c r="K340" s="178" t="s">
        <v>129</v>
      </c>
      <c r="L340" s="1003"/>
      <c r="M340" s="247">
        <f>IF(OR($D$290=50,$D$290=65,$D$290=80,$D$290=150),0,IFERROR(IF(L340&lt;&gt;"","",VLOOKUP(C340&amp;'Калькулятор КНС'!D340&amp;'Калькулятор КНС'!K340,НН!A:J,10,)),""))</f>
        <v>8946</v>
      </c>
      <c r="N340" s="202">
        <f t="shared" si="48"/>
        <v>17892</v>
      </c>
      <c r="O340" s="167"/>
    </row>
    <row r="341" spans="2:15" ht="15" outlineLevel="1">
      <c r="B341" s="957"/>
      <c r="C341" s="180" t="s">
        <v>66</v>
      </c>
      <c r="D341" s="180" t="s">
        <v>720</v>
      </c>
      <c r="E341" s="792"/>
      <c r="F341" s="212" t="str">
        <f t="array" ref="F341">IF(C341="","",IF(OR(C341=Списки!$AG$15:$AG$17),"нет","да"))</f>
        <v>да</v>
      </c>
      <c r="G341" s="204"/>
      <c r="H341" s="210">
        <v>2</v>
      </c>
      <c r="I341" s="193"/>
      <c r="J341" s="186">
        <f>IF($C$288="НЕТ",0,IF(ISBLANK(D341),"",IF(H341="",I341,H341)))</f>
        <v>2</v>
      </c>
      <c r="K341" s="178" t="s">
        <v>129</v>
      </c>
      <c r="L341" s="1003"/>
      <c r="M341" s="247">
        <f>IF(OR($D$290=50,$D$290=65,$D$290=80,$D$290=150),0,IFERROR(IF(L341&lt;&gt;"","",VLOOKUP(C341&amp;'Калькулятор КНС'!D341&amp;'Калькулятор КНС'!K341,НН!A:J,10,)),""))</f>
        <v>20581.68</v>
      </c>
      <c r="N341" s="202">
        <f t="shared" ref="N341:N342" si="58">IFERROR(IF(L341="",M341*J341,J341*L341),"")</f>
        <v>41163.360000000001</v>
      </c>
      <c r="O341" s="167"/>
    </row>
    <row r="342" spans="2:15" ht="15" outlineLevel="1">
      <c r="B342" s="957"/>
      <c r="C342" s="180" t="s">
        <v>66</v>
      </c>
      <c r="D342" s="180" t="s">
        <v>1324</v>
      </c>
      <c r="E342" s="792"/>
      <c r="F342" s="212" t="str">
        <f t="array" ref="F342">IF(C342="","",IF(OR(C342=Списки!$AG$15:$AG$17),"нет","да"))</f>
        <v>да</v>
      </c>
      <c r="G342" s="204"/>
      <c r="H342" s="210">
        <v>2</v>
      </c>
      <c r="I342" s="193"/>
      <c r="J342" s="186">
        <f t="shared" ref="J342" si="59">IF($C$288="НЕТ",0,IF(ISBLANK(D342),"",IF(H342="",I342,H342)))</f>
        <v>2</v>
      </c>
      <c r="K342" s="178" t="s">
        <v>129</v>
      </c>
      <c r="L342" s="1003"/>
      <c r="M342" s="247">
        <f>IF(OR($D$290=50,$D$290=65,$D$290=80,$D$290=150),0,IFERROR(IF(L342&lt;&gt;"","",VLOOKUP(C342&amp;'Калькулятор КНС'!D342&amp;'Калькулятор КНС'!K342,НН!A:J,10,)),""))</f>
        <v>19254.48</v>
      </c>
      <c r="N342" s="202">
        <f t="shared" si="58"/>
        <v>38508.959999999999</v>
      </c>
      <c r="O342" s="167"/>
    </row>
    <row r="343" spans="2:15" ht="15" outlineLevel="1">
      <c r="B343" s="957"/>
      <c r="C343" s="180" t="s">
        <v>66</v>
      </c>
      <c r="D343" s="180" t="s">
        <v>1321</v>
      </c>
      <c r="E343" s="792"/>
      <c r="F343" s="212" t="str">
        <f t="array" ref="F343">IF(C343="","",IF(OR(C343=Списки!$AG$15:$AG$17),"нет","да"))</f>
        <v>да</v>
      </c>
      <c r="G343" s="204"/>
      <c r="H343" s="210">
        <v>2</v>
      </c>
      <c r="I343" s="193"/>
      <c r="J343" s="186">
        <f t="shared" ref="J343" si="60">IF($C$288="НЕТ",0,IF(ISBLANK(D343),"",IF(H343="",I343,H343)))</f>
        <v>2</v>
      </c>
      <c r="K343" s="178" t="s">
        <v>129</v>
      </c>
      <c r="L343" s="1003"/>
      <c r="M343" s="247">
        <f>IF(OR($D$290=50,$D$290=65,$D$290=80,$D$290=150),0,IFERROR(IF(L343&lt;&gt;"","",VLOOKUP(C343&amp;'Калькулятор КНС'!D343&amp;'Калькулятор КНС'!K343,НН!A:J,10,)),""))</f>
        <v>14083.44</v>
      </c>
      <c r="N343" s="202">
        <f t="shared" si="48"/>
        <v>28166.880000000001</v>
      </c>
      <c r="O343" s="167"/>
    </row>
    <row r="344" spans="2:15" ht="15" outlineLevel="1">
      <c r="B344" s="957"/>
      <c r="C344" s="180" t="s">
        <v>66</v>
      </c>
      <c r="D344" s="180" t="s">
        <v>718</v>
      </c>
      <c r="E344" s="792"/>
      <c r="F344" s="212" t="str">
        <f t="array" ref="F344">IF(C344="","",IF(OR(C344=Списки!$AG$15:$AG$17),"нет","да"))</f>
        <v>да</v>
      </c>
      <c r="G344" s="204"/>
      <c r="H344" s="210">
        <v>1</v>
      </c>
      <c r="I344" s="193"/>
      <c r="J344" s="186">
        <f t="shared" ref="J344" si="61">IF($C$288="НЕТ",0,IF(ISBLANK(D344),"",IF(H344="",I344,H344)))</f>
        <v>1</v>
      </c>
      <c r="K344" s="178" t="s">
        <v>129</v>
      </c>
      <c r="L344" s="1003"/>
      <c r="M344" s="247">
        <f>IF(OR($D$290=50,$D$290=65,$D$290=80,$D$290=150),0,IFERROR(IF(L344&lt;&gt;"","",VLOOKUP(C344&amp;'Калькулятор КНС'!D344&amp;'Калькулятор КНС'!K344,НН!A:J,10,)),""))</f>
        <v>6454.56</v>
      </c>
      <c r="N344" s="202">
        <f t="shared" ref="N344" si="62">IFERROR(IF(L344="",M344*J344,J344*L344),"")</f>
        <v>6454.56</v>
      </c>
      <c r="O344" s="167"/>
    </row>
    <row r="345" spans="2:15" ht="15" outlineLevel="1">
      <c r="B345" s="957"/>
      <c r="C345" s="180" t="s">
        <v>66</v>
      </c>
      <c r="D345" s="180" t="s">
        <v>602</v>
      </c>
      <c r="E345" s="792"/>
      <c r="F345" s="212" t="str">
        <f t="array" ref="F345">IF(C345="","",IF(OR(C345=Списки!$AG$15:$AG$17),"нет","да"))</f>
        <v>да</v>
      </c>
      <c r="G345" s="204"/>
      <c r="H345" s="210">
        <v>2</v>
      </c>
      <c r="I345" s="193"/>
      <c r="J345" s="186">
        <f t="shared" ref="J345" si="63">IF($C$288="НЕТ",0,IF(ISBLANK(D345),"",IF(H345="",I345,H345)))</f>
        <v>2</v>
      </c>
      <c r="K345" s="178" t="s">
        <v>129</v>
      </c>
      <c r="L345" s="1003"/>
      <c r="M345" s="247">
        <f>IF(OR($D$290=50,$D$290=65,$D$290=80,$D$290=150),0,IFERROR(IF(L345&lt;&gt;"","",VLOOKUP(C345&amp;'Калькулятор КНС'!D345&amp;'Калькулятор КНС'!K345,НН!A:J,10,)),""))</f>
        <v>6572.16</v>
      </c>
      <c r="N345" s="202">
        <f t="shared" ref="N345" si="64">IFERROR(IF(L345="",M345*J345,J345*L345),"")</f>
        <v>13144.32</v>
      </c>
      <c r="O345" s="167"/>
    </row>
    <row r="346" spans="2:15" ht="15" outlineLevel="1">
      <c r="B346" s="957"/>
      <c r="C346" s="180" t="s">
        <v>66</v>
      </c>
      <c r="D346" s="180" t="s">
        <v>1361</v>
      </c>
      <c r="E346" s="792"/>
      <c r="F346" s="212" t="str">
        <f t="array" ref="F346">IF(C346="","",IF(OR(C346=Списки!$AG$15:$AG$17),"нет","да"))</f>
        <v>да</v>
      </c>
      <c r="G346" s="204"/>
      <c r="H346" s="210">
        <v>1</v>
      </c>
      <c r="I346" s="193"/>
      <c r="J346" s="186">
        <f t="shared" ref="J346" si="65">IF($C$288="НЕТ",0,IF(ISBLANK(D346),"",IF(H346="",I346,H346)))</f>
        <v>1</v>
      </c>
      <c r="K346" s="178" t="s">
        <v>129</v>
      </c>
      <c r="L346" s="1003"/>
      <c r="M346" s="247">
        <f>IF(OR($D$290=50,$D$290=65,$D$290=80,$D$290=150),0,IFERROR(IF(L346&lt;&gt;"","",VLOOKUP(C346&amp;'Калькулятор КНС'!D346&amp;'Калькулятор КНС'!K346,НН!A:J,10,)),""))</f>
        <v>3526.32</v>
      </c>
      <c r="N346" s="202">
        <f t="shared" ref="N346" si="66">IFERROR(IF(L346="",M346*J346,J346*L346),"")</f>
        <v>3526.32</v>
      </c>
      <c r="O346" s="167"/>
    </row>
    <row r="347" spans="2:15" ht="14.25" customHeight="1" collapsed="1">
      <c r="B347" s="1425"/>
      <c r="C347" s="1426"/>
      <c r="D347" s="1426"/>
      <c r="E347" s="1426"/>
      <c r="F347" s="1426"/>
      <c r="G347" s="1426"/>
      <c r="H347" s="1426"/>
      <c r="I347" s="1426"/>
      <c r="J347" s="1426"/>
      <c r="K347" s="1426"/>
      <c r="L347" s="1426"/>
      <c r="M347" s="1426"/>
      <c r="N347" s="1427"/>
      <c r="O347" s="167"/>
    </row>
    <row r="348" spans="2:15" ht="15" hidden="1" outlineLevel="1">
      <c r="B348" s="1096"/>
      <c r="C348" s="290"/>
      <c r="D348" s="291"/>
      <c r="E348" s="1223">
        <f>150</f>
        <v>150</v>
      </c>
      <c r="F348" s="293"/>
      <c r="G348" s="216"/>
      <c r="H348" s="230"/>
      <c r="I348" s="294"/>
      <c r="J348" s="219"/>
      <c r="K348" s="220"/>
      <c r="L348" s="255"/>
      <c r="M348" s="256"/>
      <c r="N348" s="356"/>
      <c r="O348" s="167"/>
    </row>
    <row r="349" spans="2:15" ht="15" hidden="1" outlineLevel="1">
      <c r="B349" s="957"/>
      <c r="C349" s="180" t="s">
        <v>197</v>
      </c>
      <c r="D349" s="180" t="s">
        <v>991</v>
      </c>
      <c r="E349" s="792"/>
      <c r="F349" s="212" t="str" cm="1">
        <f t="array" ref="F349">IF(C349="","",IF(OR(C349=Списки!$AG$15:$AG$17),"нет","да"))</f>
        <v>да</v>
      </c>
      <c r="G349" s="204"/>
      <c r="H349" s="966"/>
      <c r="I349" s="193">
        <f>ОЛ_НАСОСНАЯ_СТАНЦИЯ!$I$44</f>
        <v>2</v>
      </c>
      <c r="J349" s="186">
        <f>IF($C$288="НЕТ",0,IF(ISBLANK(D349),"",IF(H349="",I349,H349)))</f>
        <v>2</v>
      </c>
      <c r="K349" s="178" t="s">
        <v>129</v>
      </c>
      <c r="L349" s="226"/>
      <c r="M349" s="247">
        <f>IF(OR($D$290=50,$D$290=65,$D$290=80,$D$290=100),0,IFERROR(IF(L349&lt;&gt;"","",VLOOKUP(C349&amp;'Калькулятор КНС'!D349&amp;'Калькулятор КНС'!K349,НН!A:J,10,)),""))</f>
        <v>0</v>
      </c>
      <c r="N349" s="202">
        <f t="shared" ref="N349" si="67">IFERROR(IF(L349="",M349*J349,J349*L349),"")</f>
        <v>0</v>
      </c>
      <c r="O349" s="167"/>
    </row>
    <row r="350" spans="2:15" ht="15" hidden="1" outlineLevel="1">
      <c r="B350" s="957"/>
      <c r="C350" s="180" t="s">
        <v>197</v>
      </c>
      <c r="D350" s="180" t="s">
        <v>1038</v>
      </c>
      <c r="E350" s="792"/>
      <c r="F350" s="212" t="str">
        <f t="array" ref="F350">IF(C350="","",IF(OR(C350=Списки!$AG$15:$AG$17),"нет","да"))</f>
        <v>да</v>
      </c>
      <c r="G350" s="204"/>
      <c r="H350" s="966"/>
      <c r="I350" s="193">
        <f>0.5*I349</f>
        <v>1</v>
      </c>
      <c r="J350" s="186">
        <f t="shared" ref="J350" si="68">IF($C$288="НЕТ",0,IF(ISBLANK(D350),"",IF(H350="",I350,H350)))</f>
        <v>1</v>
      </c>
      <c r="K350" s="178" t="s">
        <v>163</v>
      </c>
      <c r="L350" s="226"/>
      <c r="M350" s="247">
        <f>IF(OR($D$290=50,$D$290=65,$D$290=80,$D$290=100),0,IFERROR(IF(L350&lt;&gt;"","",VLOOKUP(C350&amp;'Калькулятор КНС'!D350&amp;'Калькулятор КНС'!K350,НН!A:J,10,)),""))</f>
        <v>0</v>
      </c>
      <c r="N350" s="202">
        <f t="shared" ref="N350:N351" si="69">IFERROR(IF(L350="",M350*J350,J350*L350),"")</f>
        <v>0</v>
      </c>
      <c r="O350" s="167"/>
    </row>
    <row r="351" spans="2:15" ht="15" hidden="1" outlineLevel="1">
      <c r="B351" s="957"/>
      <c r="C351" s="180" t="s">
        <v>197</v>
      </c>
      <c r="D351" s="180" t="s">
        <v>733</v>
      </c>
      <c r="E351" s="792"/>
      <c r="F351" s="212" t="str">
        <f t="array" ref="F351">IF(C351="","",IF(OR(C351=Списки!$AG$15:$AG$17),"нет","да"))</f>
        <v>да</v>
      </c>
      <c r="G351" s="204"/>
      <c r="H351" s="966"/>
      <c r="I351" s="186">
        <f>I349</f>
        <v>2</v>
      </c>
      <c r="J351" s="186">
        <f>IF(C288="НЕТ",0,IF(ISBLANK(D351),"",IF(H351="",I351,H351)))</f>
        <v>2</v>
      </c>
      <c r="K351" s="178" t="s">
        <v>129</v>
      </c>
      <c r="L351" s="1003"/>
      <c r="M351" s="247">
        <f>IF(OR($D$290=50,$D$290=65,$D$290=80,$D$290=100),0,IFERROR(IF(L351&lt;&gt;"","",VLOOKUP(C351&amp;'Калькулятор КНС'!D351&amp;'Калькулятор КНС'!K351,НН!A:J,10,)),""))</f>
        <v>0</v>
      </c>
      <c r="N351" s="188">
        <f t="shared" si="69"/>
        <v>0</v>
      </c>
      <c r="O351" s="167"/>
    </row>
    <row r="352" spans="2:15" ht="15" hidden="1" outlineLevel="1">
      <c r="B352" s="957"/>
      <c r="C352" s="180" t="s">
        <v>68</v>
      </c>
      <c r="D352" s="180" t="s">
        <v>1469</v>
      </c>
      <c r="E352" s="792"/>
      <c r="F352" s="212" t="str">
        <f t="array" ref="F352">IF(C352="","",IF(OR(C352=Списки!$AG$15:$AG$17),"нет","да"))</f>
        <v>да</v>
      </c>
      <c r="G352" s="204"/>
      <c r="H352" s="210">
        <v>14</v>
      </c>
      <c r="I352" s="193"/>
      <c r="J352" s="186">
        <f t="shared" ref="J352" si="70">IF($C$288="НЕТ",0,IF(ISBLANK(D352),"",IF(H352="",I352,H352)))</f>
        <v>14</v>
      </c>
      <c r="K352" s="178" t="s">
        <v>163</v>
      </c>
      <c r="L352" s="226"/>
      <c r="M352" s="247">
        <f>IF(OR($D$290=50,$D$290=65,$D$290=80,$D$290=100),0,IFERROR(IF(L352&lt;&gt;"","",VLOOKUP(C352&amp;'Калькулятор КНС'!D352&amp;'Калькулятор КНС'!K352,НН!A:J,10,)),""))</f>
        <v>0</v>
      </c>
      <c r="N352" s="202">
        <f t="shared" ref="N352" si="71">IFERROR(IF(L352="",M352*J352,J352*L352),"")</f>
        <v>0</v>
      </c>
      <c r="O352" s="167"/>
    </row>
    <row r="353" spans="2:15" ht="15" hidden="1" outlineLevel="1">
      <c r="B353" s="957"/>
      <c r="C353" s="180" t="s">
        <v>66</v>
      </c>
      <c r="D353" s="180" t="s">
        <v>1418</v>
      </c>
      <c r="E353" s="792"/>
      <c r="F353" s="212" t="str">
        <f t="array" ref="F353">IF(C353="","",IF(OR(C353=Списки!$AG$15:$AG$17),"нет","да"))</f>
        <v>да</v>
      </c>
      <c r="G353" s="204"/>
      <c r="H353" s="966"/>
      <c r="I353" s="193">
        <f>I355+2</f>
        <v>16</v>
      </c>
      <c r="J353" s="186">
        <f t="shared" ref="J353" si="72">IF($C$288="НЕТ",0,IF(ISBLANK(D353),"",IF(H353="",I353,H353)))</f>
        <v>16</v>
      </c>
      <c r="K353" s="178" t="s">
        <v>129</v>
      </c>
      <c r="L353" s="226"/>
      <c r="M353" s="247">
        <f>IF(OR($D$290=50,$D$290=65,$D$290=80,$D$290=100),0,IFERROR(IF(L353&lt;&gt;"","",VLOOKUP(C353&amp;'Калькулятор КНС'!D353&amp;'Калькулятор КНС'!K353,НН!A:J,10,)),""))</f>
        <v>0</v>
      </c>
      <c r="N353" s="202">
        <f t="shared" ref="N353" si="73">IFERROR(IF(L353="",M353*J353,J353*L353),"")</f>
        <v>0</v>
      </c>
      <c r="O353" s="365"/>
    </row>
    <row r="354" spans="2:15" ht="27.75" hidden="1" customHeight="1" outlineLevel="1">
      <c r="B354" s="179"/>
      <c r="C354" s="180" t="s">
        <v>66</v>
      </c>
      <c r="D354" s="180" t="s">
        <v>1085</v>
      </c>
      <c r="E354" s="792"/>
      <c r="F354" s="212" t="str">
        <f t="array" ref="F354">IF(C354="","",IF(OR(C354=Списки!$AG$15:$AG$17),"нет","да"))</f>
        <v>да</v>
      </c>
      <c r="G354" s="204"/>
      <c r="H354" s="966"/>
      <c r="I354" s="193">
        <f>I349</f>
        <v>2</v>
      </c>
      <c r="J354" s="186">
        <f t="shared" ref="J354" si="74">IF($C$288="НЕТ",0,IF(ISBLANK(D354),"",IF(H354="",I354,H354)))</f>
        <v>2</v>
      </c>
      <c r="K354" s="178" t="s">
        <v>129</v>
      </c>
      <c r="L354" s="226"/>
      <c r="M354" s="247">
        <f>IF(OR($D$290=50,$D$290=65,$D$290=80,$D$290=100),0,IFERROR(IF(L354&lt;&gt;"","",VLOOKUP(C354&amp;'Калькулятор КНС'!D354&amp;'Калькулятор КНС'!K354,НН!A:J,10,)),""))</f>
        <v>0</v>
      </c>
      <c r="N354" s="202">
        <f t="shared" ref="N354" si="75">IFERROR(IF(L354="",M354*J354,J354*L354),"")</f>
        <v>0</v>
      </c>
      <c r="O354" s="365"/>
    </row>
    <row r="355" spans="2:15" ht="15" hidden="1" outlineLevel="1">
      <c r="B355" s="179"/>
      <c r="C355" s="180" t="s">
        <v>66</v>
      </c>
      <c r="D355" s="180" t="s">
        <v>721</v>
      </c>
      <c r="E355" s="792"/>
      <c r="F355" s="212" t="str">
        <f t="array" ref="F355">IF(C355="","",IF(OR(C355=Списки!$AG$15:$AG$17),"нет","да"))</f>
        <v>да</v>
      </c>
      <c r="G355" s="204"/>
      <c r="H355" s="966"/>
      <c r="I355" s="193">
        <v>14</v>
      </c>
      <c r="J355" s="186">
        <f t="shared" ref="J355" si="76">IF($C$288="НЕТ",0,IF(ISBLANK(D355),"",IF(H355="",I355,H355)))</f>
        <v>14</v>
      </c>
      <c r="K355" s="178" t="s">
        <v>129</v>
      </c>
      <c r="L355" s="226"/>
      <c r="M355" s="247">
        <f>IF(OR($D$290=50,$D$290=65,$D$290=80,$D$290=100),0,IFERROR(IF(L355&lt;&gt;"","",VLOOKUP(C355&amp;'Калькулятор КНС'!D355&amp;'Калькулятор КНС'!K355,НН!A:J,10,)),""))</f>
        <v>0</v>
      </c>
      <c r="N355" s="202">
        <f t="shared" ref="N355" si="77">IFERROR(IF(L355="",M355*J355,J355*L355),"")</f>
        <v>0</v>
      </c>
      <c r="O355" s="484"/>
    </row>
    <row r="356" spans="2:15" ht="15" hidden="1" outlineLevel="1">
      <c r="B356" s="179"/>
      <c r="C356" s="180" t="s">
        <v>66</v>
      </c>
      <c r="D356" s="180" t="s">
        <v>722</v>
      </c>
      <c r="E356" s="796"/>
      <c r="F356" s="212" t="str">
        <f t="array" ref="F356">IF(C356="","",IF(OR(C356=Списки!$AG$15:$AG$17),"нет","да"))</f>
        <v>да</v>
      </c>
      <c r="G356" s="204"/>
      <c r="H356" s="966"/>
      <c r="I356" s="193">
        <f>I355</f>
        <v>14</v>
      </c>
      <c r="J356" s="186">
        <f t="shared" ref="J356" si="78">IF($C$288="НЕТ",0,IF(ISBLANK(D356),"",IF(H356="",I356,H356)))</f>
        <v>14</v>
      </c>
      <c r="K356" s="178" t="s">
        <v>129</v>
      </c>
      <c r="L356" s="226"/>
      <c r="M356" s="247">
        <f>IF(OR($D$290=50,$D$290=65,$D$290=80,$D$290=100),0,IFERROR(IF(L356&lt;&gt;"","",VLOOKUP(C356&amp;'Калькулятор КНС'!D356&amp;'Калькулятор КНС'!K356,НН!A:J,10,)),""))</f>
        <v>0</v>
      </c>
      <c r="N356" s="202">
        <f t="shared" ref="N356:N375" si="79">IFERROR(IF(L356="",M356*J356,J356*L356),"")</f>
        <v>0</v>
      </c>
      <c r="O356" s="484"/>
    </row>
    <row r="357" spans="2:15" ht="15" hidden="1" outlineLevel="1">
      <c r="B357" s="957"/>
      <c r="C357" s="180" t="s">
        <v>66</v>
      </c>
      <c r="D357" s="180" t="s">
        <v>720</v>
      </c>
      <c r="E357" s="792" t="s">
        <v>2086</v>
      </c>
      <c r="F357" s="212" t="str">
        <f t="array" ref="F357">IF(C357="","",IF(OR(C357=Списки!$AG$15:$AG$17),"нет","да"))</f>
        <v>да</v>
      </c>
      <c r="G357" s="204"/>
      <c r="H357" s="210">
        <v>2</v>
      </c>
      <c r="I357" s="193"/>
      <c r="J357" s="186">
        <f>IF($C$288="НЕТ",0,IF(ISBLANK(D357),"",IF(H357="",I357,H357)))</f>
        <v>2</v>
      </c>
      <c r="K357" s="178" t="s">
        <v>129</v>
      </c>
      <c r="L357" s="1003"/>
      <c r="M357" s="247">
        <f>IF(OR($D$290=50,$D$290=65,$D$290=80,$D$290=100),0,IFERROR(IF(L357&lt;&gt;"","",VLOOKUP(C357&amp;'Калькулятор КНС'!D357&amp;'Калькулятор КНС'!K357,НН!A:J,10,)),""))</f>
        <v>0</v>
      </c>
      <c r="N357" s="202">
        <f t="shared" ref="N357:N369" si="80">IFERROR(IF(L357="",M357*J357,J357*L357),"")</f>
        <v>0</v>
      </c>
      <c r="O357" s="484"/>
    </row>
    <row r="358" spans="2:15" ht="15" hidden="1" outlineLevel="1">
      <c r="B358" s="957"/>
      <c r="C358" s="180" t="s">
        <v>66</v>
      </c>
      <c r="D358" s="180" t="s">
        <v>1321</v>
      </c>
      <c r="E358" s="792" t="s">
        <v>2086</v>
      </c>
      <c r="F358" s="212" t="str">
        <f t="array" ref="F358">IF(C358="","",IF(OR(C358=Списки!$AG$15:$AG$17),"нет","да"))</f>
        <v>да</v>
      </c>
      <c r="G358" s="204"/>
      <c r="H358" s="210">
        <v>2</v>
      </c>
      <c r="I358" s="193"/>
      <c r="J358" s="186">
        <f t="shared" ref="J358" si="81">IF($C$288="НЕТ",0,IF(ISBLANK(D358),"",IF(H358="",I358,H358)))</f>
        <v>2</v>
      </c>
      <c r="K358" s="178" t="s">
        <v>129</v>
      </c>
      <c r="L358" s="1003"/>
      <c r="M358" s="247">
        <f>IF(OR($D$290=50,$D$290=65,$D$290=80,$D$290=100),0,IFERROR(IF(L358&lt;&gt;"","",VLOOKUP(C358&amp;'Калькулятор КНС'!D358&amp;'Калькулятор КНС'!K358,НН!A:J,10,)),""))</f>
        <v>0</v>
      </c>
      <c r="N358" s="202">
        <f t="shared" ref="N358" si="82">IFERROR(IF(L358="",M358*J358,J358*L358),"")</f>
        <v>0</v>
      </c>
      <c r="O358" s="484"/>
    </row>
    <row r="359" spans="2:15" ht="15">
      <c r="B359" s="1425"/>
      <c r="C359" s="1426"/>
      <c r="D359" s="1426"/>
      <c r="E359" s="1426"/>
      <c r="F359" s="1426"/>
      <c r="G359" s="1426"/>
      <c r="H359" s="1426"/>
      <c r="I359" s="1426"/>
      <c r="J359" s="1426"/>
      <c r="K359" s="1426"/>
      <c r="L359" s="1426"/>
      <c r="M359" s="1426"/>
      <c r="N359" s="1427"/>
      <c r="O359" s="484"/>
    </row>
    <row r="360" spans="2:15" ht="15" outlineLevel="1">
      <c r="B360" s="957"/>
      <c r="C360" s="1211"/>
      <c r="D360" s="388" t="s">
        <v>2044</v>
      </c>
      <c r="E360" s="1116">
        <f>ОЛ_НАСОСНАЯ_СТАНЦИЯ!$E$58+50</f>
        <v>150</v>
      </c>
      <c r="F360" s="774"/>
      <c r="G360" s="459"/>
      <c r="H360" s="459"/>
      <c r="I360" s="459"/>
      <c r="J360" s="459"/>
      <c r="K360" s="459"/>
      <c r="L360" s="459"/>
      <c r="M360" s="459"/>
      <c r="N360" s="1222"/>
      <c r="O360" s="484"/>
    </row>
    <row r="361" spans="2:15" ht="15" outlineLevel="1">
      <c r="B361" s="957"/>
      <c r="C361" s="180" t="s">
        <v>71</v>
      </c>
      <c r="D361" s="180" t="s">
        <v>2045</v>
      </c>
      <c r="E361" s="1230"/>
      <c r="F361" s="212" t="str">
        <f t="array" ref="F361">IF(C361="","",IF(OR(C361=Списки!$AG$15:$AG$17),"нет","да"))</f>
        <v>да</v>
      </c>
      <c r="G361" s="204"/>
      <c r="H361" s="966"/>
      <c r="I361" s="186">
        <f>1*ОЛ_НАСОСНАЯ_СТАНЦИЯ!J47</f>
        <v>1</v>
      </c>
      <c r="J361" s="186">
        <f>IF(ОЛ_НАСОСНАЯ_СТАНЦИЯ!$I$47="НЕТ",0,IF(ISBLANK(D361),"",IF(H361="",I361,H361)))</f>
        <v>1</v>
      </c>
      <c r="K361" s="178" t="s">
        <v>129</v>
      </c>
      <c r="L361" s="1236"/>
      <c r="M361" s="188" t="str">
        <f>IFERROR(IF(L361&lt;&gt;"","",VLOOKUP(C361&amp;'Калькулятор КНС'!D361&amp;'Калькулятор КНС'!K361,НН!A:J,10,)),"")</f>
        <v/>
      </c>
      <c r="N361" s="188" t="str">
        <f t="shared" ref="N361:N362" si="83">IFERROR(IF(L361="",M361*J361,J361*L361),"")</f>
        <v/>
      </c>
      <c r="O361" s="484"/>
    </row>
    <row r="362" spans="2:15" ht="24" outlineLevel="1">
      <c r="B362" s="957"/>
      <c r="C362" s="180" t="s">
        <v>71</v>
      </c>
      <c r="D362" s="180" t="s">
        <v>1662</v>
      </c>
      <c r="E362" s="1230"/>
      <c r="F362" s="212" t="str">
        <f t="array" ref="F362">IF(C362="","",IF(OR(C362=Списки!$AG$15:$AG$17),"нет","да"))</f>
        <v>да</v>
      </c>
      <c r="G362" s="204"/>
      <c r="H362" s="966"/>
      <c r="I362" s="186">
        <f>1*ОЛ_НАСОСНАЯ_СТАНЦИЯ!J47</f>
        <v>1</v>
      </c>
      <c r="J362" s="186">
        <f>IF(ОЛ_НАСОСНАЯ_СТАНЦИЯ!$I$47="НЕТ",0,IF(ISBLANK(D362),"",IF(H362="",I362,H362)))</f>
        <v>1</v>
      </c>
      <c r="K362" s="178" t="s">
        <v>129</v>
      </c>
      <c r="L362" s="1003"/>
      <c r="M362" s="188">
        <f>IFERROR(IF(L362&lt;&gt;"","",VLOOKUP(C362&amp;'Калькулятор КНС'!D362&amp;'Калькулятор КНС'!K362,НН!A:J,10,)),"")</f>
        <v>15000</v>
      </c>
      <c r="N362" s="188">
        <f t="shared" si="83"/>
        <v>15000</v>
      </c>
      <c r="O362" s="484"/>
    </row>
    <row r="363" spans="2:15" ht="15" collapsed="1">
      <c r="B363" s="1422"/>
      <c r="C363" s="1423"/>
      <c r="D363" s="1423"/>
      <c r="E363" s="1423"/>
      <c r="F363" s="1423"/>
      <c r="G363" s="1423"/>
      <c r="H363" s="1423"/>
      <c r="I363" s="1423"/>
      <c r="J363" s="1423"/>
      <c r="K363" s="1423"/>
      <c r="L363" s="1423"/>
      <c r="M363" s="1423"/>
      <c r="N363" s="1434"/>
      <c r="O363" s="484"/>
    </row>
    <row r="364" spans="2:15" ht="15" hidden="1" outlineLevel="1">
      <c r="B364" s="957"/>
      <c r="C364" s="1211"/>
      <c r="D364" s="388" t="s">
        <v>2084</v>
      </c>
      <c r="E364" s="1230"/>
      <c r="F364" s="1361"/>
      <c r="G364" s="1362"/>
      <c r="H364" s="1362"/>
      <c r="I364" s="1362"/>
      <c r="J364" s="1362"/>
      <c r="K364" s="1362"/>
      <c r="L364" s="1362"/>
      <c r="M364" s="1362"/>
      <c r="N364" s="1363"/>
      <c r="O364" s="484"/>
    </row>
    <row r="365" spans="2:15" ht="15" hidden="1" outlineLevel="1">
      <c r="B365" s="957"/>
      <c r="C365" s="704" t="s">
        <v>68</v>
      </c>
      <c r="D365" s="180" t="s">
        <v>724</v>
      </c>
      <c r="E365" s="1230"/>
      <c r="F365" s="485" t="str" cm="1">
        <f t="array" ref="F365">IF(C365="","",IF(OR(C365=Списки!$AG$15:$AG$17),"нет","да"))</f>
        <v>да</v>
      </c>
      <c r="G365" s="204"/>
      <c r="H365" s="210">
        <f>5*ОЛ_НАСОСНАЯ_СТАНЦИЯ!J48</f>
        <v>5</v>
      </c>
      <c r="I365" s="186"/>
      <c r="J365" s="186">
        <f>IF(ОЛ_НАСОСНАЯ_СТАНЦИЯ!$I$48="НЕТ",0,IF(ISBLANK(D365),"",IF(H365="",I365,H365)))</f>
        <v>0</v>
      </c>
      <c r="K365" s="178" t="s">
        <v>163</v>
      </c>
      <c r="L365" s="1003"/>
      <c r="M365" s="188">
        <f>IFERROR(IF(L365&lt;&gt;"","",VLOOKUP(C365&amp;'Калькулятор КНС'!D365&amp;'Калькулятор КНС'!K365,НН!A:J,10,)),"")</f>
        <v>2000</v>
      </c>
      <c r="N365" s="188">
        <f t="shared" ref="N365" si="84">IFERROR(IF(L365="",M365*J365,J365*L365),"")</f>
        <v>0</v>
      </c>
      <c r="O365" s="484"/>
    </row>
    <row r="366" spans="2:15" ht="15" hidden="1" outlineLevel="1">
      <c r="B366" s="957"/>
      <c r="C366" s="704" t="s">
        <v>66</v>
      </c>
      <c r="D366" s="180" t="s">
        <v>1187</v>
      </c>
      <c r="E366" s="1230"/>
      <c r="F366" s="485" t="str" cm="1">
        <f t="array" ref="F366">IF(C366="","",IF(OR(C366=Списки!$AG$15:$AG$17),"нет","да"))</f>
        <v>да</v>
      </c>
      <c r="G366" s="204"/>
      <c r="H366" s="210">
        <f>ОЛ_НАСОСНАЯ_СТАНЦИЯ!J48</f>
        <v>1</v>
      </c>
      <c r="I366" s="186"/>
      <c r="J366" s="186">
        <f>IF(ОЛ_НАСОСНАЯ_СТАНЦИЯ!$I$48="НЕТ",0,IF(ISBLANK(D366),"",IF(H366="",I366,H366)))</f>
        <v>0</v>
      </c>
      <c r="K366" s="178" t="s">
        <v>129</v>
      </c>
      <c r="L366" s="1003"/>
      <c r="M366" s="188">
        <f>IFERROR(IF(L366&lt;&gt;"","",VLOOKUP(C366&amp;'Калькулятор КНС'!D366&amp;'Калькулятор КНС'!K366,НН!A:J,10,)),"")</f>
        <v>1963.92</v>
      </c>
      <c r="N366" s="188">
        <f t="shared" ref="N366" si="85">IFERROR(IF(L366="",M366*J366,J366*L366),"")</f>
        <v>0</v>
      </c>
      <c r="O366" s="484"/>
    </row>
    <row r="367" spans="2:15" ht="15">
      <c r="B367" s="1422"/>
      <c r="C367" s="1423"/>
      <c r="D367" s="1423"/>
      <c r="E367" s="1423"/>
      <c r="F367" s="1423"/>
      <c r="G367" s="1423"/>
      <c r="H367" s="1423"/>
      <c r="I367" s="1423"/>
      <c r="J367" s="1423"/>
      <c r="K367" s="1423"/>
      <c r="L367" s="1423"/>
      <c r="M367" s="1423"/>
      <c r="N367" s="1424"/>
      <c r="O367" s="484"/>
    </row>
    <row r="368" spans="2:15" ht="15" outlineLevel="1">
      <c r="B368" s="957"/>
      <c r="C368" s="1211"/>
      <c r="D368" s="180"/>
      <c r="E368" s="1231" t="s">
        <v>2088</v>
      </c>
      <c r="F368" s="774"/>
      <c r="G368" s="459"/>
      <c r="H368" s="459"/>
      <c r="I368" s="459"/>
      <c r="J368" s="459"/>
      <c r="K368" s="459"/>
      <c r="L368" s="459"/>
      <c r="M368" s="459"/>
      <c r="N368" s="460"/>
      <c r="O368" s="484"/>
    </row>
    <row r="369" spans="2:15" ht="15" outlineLevel="1">
      <c r="B369" s="957"/>
      <c r="C369" s="180" t="s">
        <v>233</v>
      </c>
      <c r="D369" s="180" t="s">
        <v>1921</v>
      </c>
      <c r="E369" s="1230"/>
      <c r="F369" s="212" t="str">
        <f t="array" ref="F369">IF(C369="","",IF(OR(C369=Списки!$AG$15:$AG$17),"нет","да"))</f>
        <v>да</v>
      </c>
      <c r="G369" s="204"/>
      <c r="H369" s="966"/>
      <c r="I369" s="186">
        <f>ОЛ_НАСОСНАЯ_СТАНЦИЯ!I44</f>
        <v>2</v>
      </c>
      <c r="J369" s="186">
        <f>IF(ОЛ_НАСОСНАЯ_СТАНЦИЯ!$I$64="НЕТ",0,IF(ISBLANK(D369),"",IF(H369="",I369,H369)))</f>
        <v>2</v>
      </c>
      <c r="K369" s="178" t="s">
        <v>129</v>
      </c>
      <c r="L369" s="303"/>
      <c r="M369" s="188">
        <f>IFERROR(IF(L369&lt;&gt;"","",VLOOKUP(C369&amp;'Калькулятор КНС'!D369&amp;'Калькулятор КНС'!K369,НН!A:J,10,)),"")</f>
        <v>2000</v>
      </c>
      <c r="N369" s="188">
        <f t="shared" si="80"/>
        <v>4000</v>
      </c>
      <c r="O369" s="484"/>
    </row>
    <row r="370" spans="2:15" ht="15" outlineLevel="1">
      <c r="B370" s="957"/>
      <c r="C370" s="180" t="s">
        <v>233</v>
      </c>
      <c r="D370" s="180" t="s">
        <v>1922</v>
      </c>
      <c r="E370" s="1230"/>
      <c r="F370" s="212" t="str">
        <f t="array" ref="F370">IF(C370="","",IF(OR(C370=Списки!$AG$15:$AG$17),"нет","да"))</f>
        <v>да</v>
      </c>
      <c r="G370" s="204"/>
      <c r="H370" s="966"/>
      <c r="I370" s="186">
        <f>I369</f>
        <v>2</v>
      </c>
      <c r="J370" s="186">
        <f>IF(ОЛ_НАСОСНАЯ_СТАНЦИЯ!$I$64="НЕТ",0,IF(ISBLANK(D370),"",IF(H370="",I370,H370)))</f>
        <v>2</v>
      </c>
      <c r="K370" s="178" t="s">
        <v>129</v>
      </c>
      <c r="L370" s="303"/>
      <c r="M370" s="188">
        <f>IFERROR(IF(L370&lt;&gt;"","",VLOOKUP(C370&amp;'Калькулятор КНС'!D370&amp;'Калькулятор КНС'!K370,НН!A:J,10,)),"")</f>
        <v>2000</v>
      </c>
      <c r="N370" s="188">
        <f t="shared" ref="N370" si="86">IFERROR(IF(L370="",M370*J370,J370*L370),"")</f>
        <v>4000</v>
      </c>
      <c r="O370" s="484"/>
    </row>
    <row r="371" spans="2:15" ht="15" outlineLevel="1">
      <c r="B371" s="957"/>
      <c r="C371" s="180" t="s">
        <v>233</v>
      </c>
      <c r="D371" s="180" t="s">
        <v>1923</v>
      </c>
      <c r="E371" s="1230"/>
      <c r="F371" s="212" t="str">
        <f t="array" ref="F371">IF(C371="","",IF(OR(C371=Списки!$AG$15:$AG$17),"нет","да"))</f>
        <v>да</v>
      </c>
      <c r="G371" s="204"/>
      <c r="H371" s="966"/>
      <c r="I371" s="186">
        <f>I369</f>
        <v>2</v>
      </c>
      <c r="J371" s="186">
        <f>IF(ОЛ_НАСОСНАЯ_СТАНЦИЯ!$I$64="НЕТ",0,IF(ISBLANK(D371),"",IF(H371="",I371,H371)))</f>
        <v>2</v>
      </c>
      <c r="K371" s="178" t="s">
        <v>129</v>
      </c>
      <c r="L371" s="303"/>
      <c r="M371" s="188">
        <f>IFERROR(IF(L371&lt;&gt;"","",VLOOKUP(C371&amp;'Калькулятор КНС'!D371&amp;'Калькулятор КНС'!K371,НН!A:J,10,)),"")</f>
        <v>2000</v>
      </c>
      <c r="N371" s="188">
        <f t="shared" ref="N371" si="87">IFERROR(IF(L371="",M371*J371,J371*L371),"")</f>
        <v>4000</v>
      </c>
      <c r="O371" s="484"/>
    </row>
    <row r="372" spans="2:15" ht="15">
      <c r="B372" s="957"/>
      <c r="C372" s="704"/>
      <c r="D372" s="449"/>
      <c r="E372" s="1230"/>
      <c r="F372" s="485"/>
      <c r="G372" s="216"/>
      <c r="H372" s="1220"/>
      <c r="I372" s="219"/>
      <c r="J372" s="219"/>
      <c r="K372" s="220"/>
      <c r="L372" s="1221"/>
      <c r="M372" s="222"/>
      <c r="N372" s="197"/>
      <c r="O372" s="484"/>
    </row>
    <row r="373" spans="2:15" ht="15">
      <c r="B373" s="169" t="s">
        <v>606</v>
      </c>
      <c r="C373" s="170"/>
      <c r="D373" s="291" t="s">
        <v>607</v>
      </c>
      <c r="E373" s="292"/>
      <c r="F373" s="293" t="str">
        <f t="array" ref="F373">IF(ISBLANK(C373),"",IF(OR(C373=Списки!$AG$15:$AG$17),"нет","да"))</f>
        <v/>
      </c>
      <c r="G373" s="216"/>
      <c r="H373" s="230"/>
      <c r="I373" s="294"/>
      <c r="J373" s="219"/>
      <c r="K373" s="220"/>
      <c r="L373" s="255"/>
      <c r="M373" s="256" t="str">
        <f t="array" aca="1" ref="M373" ca="1">IFERROR(IF(L373&lt;&gt;"","",IF((VLOOKUP(D373&amp;K373,INDIRECT("'"&amp;INDEX(Списки!$AG$2:$AG$17,MATCH(TRUE,COUNTIF(INDIRECT("'"&amp;Списки!$AG$2:$AG$17 &amp;"'!A1:A300000"),D373&amp;K373)&gt;0,0))&amp;"'!A:h"),7,0))=0,"",VLOOKUP(D373&amp;K373,INDIRECT("'"&amp;INDEX(Списки!$AG$2:$AG$17,MATCH(TRUE,COUNTIF(INDIRECT("'"&amp;Списки!$AG$2:$AG$17 &amp;"'!A1:A300000"),D373&amp;K373)&gt;0,0))&amp;"'!A:h"),7,0))),"")</f>
        <v/>
      </c>
      <c r="N373" s="356" t="str">
        <f t="shared" ca="1" si="79"/>
        <v/>
      </c>
      <c r="O373" s="167"/>
    </row>
    <row r="374" spans="2:15" ht="15">
      <c r="B374" s="179"/>
      <c r="C374" s="180" t="s">
        <v>72</v>
      </c>
      <c r="D374" s="180" t="s">
        <v>608</v>
      </c>
      <c r="E374" s="255"/>
      <c r="F374" s="212" t="str">
        <f t="array" ref="F374">IF(C374="","",IF(OR(C374=Списки!$AG$15:$AG$17),"нет","да"))</f>
        <v>нет</v>
      </c>
      <c r="G374" s="204"/>
      <c r="H374" s="966"/>
      <c r="I374" s="193">
        <f>IF(G288="сложный",28*1.2,28)</f>
        <v>33.6</v>
      </c>
      <c r="J374" s="194">
        <f t="shared" ref="J374:J375" si="88">IF($C$288="НЕТ",0,ROUNDUP(IF(ISBLANK(D374),"",IF(H374="",I374,H374)),1))</f>
        <v>33.6</v>
      </c>
      <c r="K374" s="178" t="s">
        <v>212</v>
      </c>
      <c r="L374" s="187"/>
      <c r="M374" s="188">
        <f>IFERROR(IF(L374&lt;&gt;"","",VLOOKUP(C374&amp;'Калькулятор КНС'!D374&amp;'Калькулятор КНС'!K374,НН!A:J,10,)),"")</f>
        <v>1207.8</v>
      </c>
      <c r="N374" s="202">
        <f t="shared" si="79"/>
        <v>40582.080000000002</v>
      </c>
      <c r="O374" s="365" t="s">
        <v>734</v>
      </c>
    </row>
    <row r="375" spans="2:15" ht="15">
      <c r="B375" s="179"/>
      <c r="C375" s="180" t="s">
        <v>72</v>
      </c>
      <c r="D375" s="180" t="s">
        <v>610</v>
      </c>
      <c r="E375" s="255"/>
      <c r="F375" s="212" t="str">
        <f t="array" ref="F375">IF(C375="","",IF(OR(C375=Списки!$AG$15:$AG$17),"нет","да"))</f>
        <v>нет</v>
      </c>
      <c r="G375" s="204"/>
      <c r="H375" s="966"/>
      <c r="I375" s="193">
        <f>IF(G288="сложный",24*1.2,24)</f>
        <v>28.799999999999997</v>
      </c>
      <c r="J375" s="194">
        <f t="shared" si="88"/>
        <v>28.8</v>
      </c>
      <c r="K375" s="178" t="s">
        <v>212</v>
      </c>
      <c r="L375" s="187"/>
      <c r="M375" s="188">
        <f>IFERROR(IF(L375&lt;&gt;"","",VLOOKUP(C375&amp;'Калькулятор КНС'!D375&amp;'Калькулятор КНС'!K375,НН!A:J,10,)),"")</f>
        <v>1207.8</v>
      </c>
      <c r="N375" s="202">
        <f t="shared" si="79"/>
        <v>34784.639999999999</v>
      </c>
      <c r="O375" s="365" t="s">
        <v>735</v>
      </c>
    </row>
    <row r="376" spans="2:15" ht="15">
      <c r="B376" s="361"/>
      <c r="C376" s="306"/>
      <c r="D376" s="307" t="s">
        <v>377</v>
      </c>
      <c r="E376" s="362"/>
      <c r="F376" s="309"/>
      <c r="G376" s="310"/>
      <c r="H376" s="311"/>
      <c r="I376" s="363"/>
      <c r="J376" s="364"/>
      <c r="K376" s="314"/>
      <c r="L376" s="315"/>
      <c r="M376" s="316" t="str">
        <f t="array" aca="1" ref="M376" ca="1">IFERROR(IF(L376&lt;&gt;"","",IF((VLOOKUP(D376&amp;K376,INDIRECT("'"&amp;INDEX(Списки!$AG$2:$AG$17,MATCH(TRUE,COUNTIF(INDIRECT("'"&amp;Списки!$AG$2:$AG$17 &amp;"'!A1:A300000"),D376&amp;K376)&gt;0,0))&amp;"'!A:h"),7,0))=0,"",VLOOKUP(D376&amp;K376,INDIRECT("'"&amp;INDEX(Списки!$AG$2:$AG$17,MATCH(TRUE,COUNTIF(INDIRECT("'"&amp;Списки!$AG$2:$AG$17 &amp;"'!A1:A300000"),D376&amp;K376)&gt;0,0))&amp;"'!A:h"),7,0))),"")</f>
        <v/>
      </c>
      <c r="N376" s="317"/>
      <c r="O376" s="365"/>
    </row>
    <row r="377" spans="2:15" ht="18">
      <c r="B377" s="318"/>
      <c r="C377" s="319"/>
      <c r="D377" s="332"/>
      <c r="E377" s="405" t="s">
        <v>612</v>
      </c>
      <c r="F377" s="406"/>
      <c r="G377" s="407">
        <f>SUM(G353:G376)</f>
        <v>0</v>
      </c>
      <c r="H377" s="332"/>
      <c r="I377" s="332"/>
      <c r="J377" s="408"/>
      <c r="K377" s="503"/>
      <c r="L377" s="409"/>
      <c r="M377" s="501" t="str">
        <f t="array" aca="1" ref="M377" ca="1">IFERROR(IF(L377&lt;&gt;"","",IF((VLOOKUP(D377&amp;K377,INDIRECT("'"&amp;INDEX(Списки!$AG$2:$AG$17,MATCH(TRUE,COUNTIF(INDIRECT("'"&amp;Списки!$AG$2:$AG$17 &amp;"'!A1:A300000"),D377&amp;K377)&gt;0,0))&amp;"'!A:h"),7,0))=0,"",VLOOKUP(D377&amp;K377,INDIRECT("'"&amp;INDEX(Списки!$AG$2:$AG$17,MATCH(TRUE,COUNTIF(INDIRECT("'"&amp;Списки!$AG$2:$AG$17 &amp;"'!A1:A300000"),D377&amp;K377)&gt;0,0))&amp;"'!A:h"),7,0))),"")</f>
        <v/>
      </c>
      <c r="N377" s="411">
        <f ca="1">SUM(N290:N376)</f>
        <v>588444.30000000005</v>
      </c>
      <c r="O377" s="214"/>
    </row>
    <row r="378" spans="2:15" ht="15.75">
      <c r="B378" s="318"/>
      <c r="C378" s="319"/>
      <c r="D378" s="320"/>
      <c r="E378" s="333" t="s">
        <v>379</v>
      </c>
      <c r="F378" s="372"/>
      <c r="G378" s="373"/>
      <c r="H378" s="374"/>
      <c r="I378" s="374"/>
      <c r="J378" s="375"/>
      <c r="K378" s="376"/>
      <c r="L378" s="377"/>
      <c r="M378" s="378"/>
      <c r="N378" s="341" cm="1">
        <f t="array" ref="N378">SUM(SUMIF(C327:C376,Списки!$AG$2:$AG$14,N327:N376))</f>
        <v>513077.58</v>
      </c>
      <c r="O378" s="379"/>
    </row>
    <row r="379" spans="2:15" ht="15.75">
      <c r="B379" s="318"/>
      <c r="C379" s="319"/>
      <c r="D379" s="380"/>
      <c r="E379" s="333" t="s">
        <v>382</v>
      </c>
      <c r="F379" s="372"/>
      <c r="G379" s="381"/>
      <c r="H379" s="374"/>
      <c r="I379" s="374"/>
      <c r="J379" s="382">
        <f>ROUNDUP(SUMIFS($J$353:$J$376,$K$353:$K$376,Списки!$S$5)-SUMIFS($J$353:$J$376,$K$353:$K$376,Списки!$S$5,$D$353:$D$376,"*изготов*"),1)</f>
        <v>28.8</v>
      </c>
      <c r="K379" s="376" t="s">
        <v>212</v>
      </c>
      <c r="L379" s="383"/>
      <c r="M379" s="709" t="str">
        <f t="array" aca="1" ref="M379" ca="1">IF(D379="ФОТ",I379*#REF!,IFERROR(IF(L379&lt;&gt;"","",IF((VLOOKUP(D379&amp;K379,INDIRECT("'"&amp;INDEX(Списки!$AG$2:$AG$17,MATCH(TRUE,COUNTIF(INDIRECT("'"&amp;Списки!$AG$2:$AG$17 &amp;"'!A1:A300000"),D379&amp;K379)&gt;0,0))&amp;"'!A:h"),7,0))=0,"",VLOOKUP(D379&amp;K379,INDIRECT("'"&amp;INDEX(Списки!$AG$2:$AG$17,MATCH(TRUE,COUNTIF(INDIRECT("'"&amp;Списки!$AG$2:$AG$17 &amp;"'!A1:A300000"),D379&amp;K379)&gt;0,0))&amp;"'!A:h"),7,0))),""))</f>
        <v/>
      </c>
      <c r="N379" s="385">
        <f>SUMIF($K$350:$K$376,Списки!$S$5,$N$350:$N$376)-SUMIFS($N$350:$N$376,$K$350:$K$376,Списки!$S$5,$D$350:$D$376,"*изготов*")</f>
        <v>34784.639999999999</v>
      </c>
      <c r="O379" s="379"/>
    </row>
    <row r="380" spans="2:15" ht="15.75">
      <c r="B380" s="318"/>
      <c r="C380" s="319"/>
      <c r="D380" s="380"/>
      <c r="E380" s="333" t="s">
        <v>383</v>
      </c>
      <c r="F380" s="372"/>
      <c r="G380" s="381"/>
      <c r="H380" s="374"/>
      <c r="I380" s="374"/>
      <c r="J380" s="382">
        <f>ROUNDUP(SUMIFS($J$353:$J$376,$K$353:$K$376,Списки!$S$5,$D$353:$D$376,"*изготов*"),1)</f>
        <v>33.6</v>
      </c>
      <c r="K380" s="376" t="s">
        <v>212</v>
      </c>
      <c r="L380" s="383"/>
      <c r="M380" s="709"/>
      <c r="N380" s="385">
        <f>SUMIFS($N$350:$N$376,$K$350:$K$376,Списки!$S$5,$D$350:$D$376,"*изготов*")</f>
        <v>40582.080000000002</v>
      </c>
      <c r="O380" s="379"/>
    </row>
    <row r="381" spans="2:15" ht="15">
      <c r="B381" s="386">
        <v>6</v>
      </c>
      <c r="C381" s="502"/>
      <c r="D381" s="388" t="s">
        <v>480</v>
      </c>
      <c r="E381" s="389"/>
      <c r="F381" s="390" t="str">
        <f t="array" ref="F381">IF(ISBLANK(C381),"",IF(OR(C381=Списки!$AG$15:$AG$17),"нет","да"))</f>
        <v/>
      </c>
      <c r="G381" s="391"/>
      <c r="H381" s="389"/>
      <c r="I381" s="392"/>
      <c r="J381" s="392"/>
      <c r="K381" s="393"/>
      <c r="L381" s="394"/>
      <c r="M381" s="395"/>
      <c r="N381" s="390"/>
      <c r="O381" s="167"/>
    </row>
    <row r="382" spans="2:15" ht="15" outlineLevel="1">
      <c r="B382" s="169" t="s">
        <v>481</v>
      </c>
      <c r="C382" s="290"/>
      <c r="D382" s="291" t="s">
        <v>482</v>
      </c>
      <c r="E382" s="292"/>
      <c r="F382" s="293" t="str">
        <f t="array" ref="F382">IF(ISBLANK(C382),"",IF(OR(C382=Списки!$AG$15:$AG$17),"нет","да"))</f>
        <v/>
      </c>
      <c r="G382" s="216"/>
      <c r="H382" s="230"/>
      <c r="I382" s="294"/>
      <c r="J382" s="219"/>
      <c r="K382" s="220"/>
      <c r="L382" s="255"/>
      <c r="M382" s="256"/>
      <c r="N382" s="356"/>
      <c r="O382" s="167"/>
    </row>
    <row r="383" spans="2:15" ht="15" outlineLevel="1">
      <c r="B383" s="957"/>
      <c r="C383" s="208" t="s">
        <v>69</v>
      </c>
      <c r="D383" s="180" t="s">
        <v>1577</v>
      </c>
      <c r="E383" s="1286"/>
      <c r="F383" s="212" t="str">
        <f t="array" ref="F383">IF(C383="","",IF(OR(C383=Списки!$AG$15:$AG$17),"нет","да"))</f>
        <v>да</v>
      </c>
      <c r="G383" s="206">
        <f>8.022*J383/1000</f>
        <v>1.026816</v>
      </c>
      <c r="H383" s="210">
        <f>VLOOKUP(D290+50,'Для расчетов'!A33:I58,9,0)*I334</f>
        <v>128</v>
      </c>
      <c r="I383" s="193"/>
      <c r="J383" s="186">
        <f t="shared" ref="J383:J386" si="89">IF(ISBLANK(D383),"",IF(H383="",I383,H383))</f>
        <v>128</v>
      </c>
      <c r="K383" s="178" t="s">
        <v>129</v>
      </c>
      <c r="L383" s="226"/>
      <c r="M383" s="188">
        <f>IFERROR(IF(L383&lt;&gt;"","",VLOOKUP(C383&amp;'Калькулятор КНС'!D383&amp;'Калькулятор КНС'!K383,НН!A:J,10,)),"")</f>
        <v>270</v>
      </c>
      <c r="N383" s="202">
        <f t="shared" ref="N383:N386" si="90">IFERROR(IF(L383="",M383*J383,J383*L383),"")</f>
        <v>34560</v>
      </c>
      <c r="O383" s="167"/>
    </row>
    <row r="384" spans="2:15" ht="15" outlineLevel="1">
      <c r="B384" s="957"/>
      <c r="C384" s="208" t="s">
        <v>69</v>
      </c>
      <c r="D384" s="180" t="s">
        <v>738</v>
      </c>
      <c r="E384" s="1287"/>
      <c r="F384" s="212" t="str">
        <f t="array" ref="F384">IF(C384="","",IF(OR(C384=Списки!$AG$15:$AG$17),"нет","да"))</f>
        <v>да</v>
      </c>
      <c r="G384" s="206">
        <f>15.4*J384/1000</f>
        <v>3.9424000000000001</v>
      </c>
      <c r="H384" s="184"/>
      <c r="I384" s="193">
        <f>H383*2</f>
        <v>256</v>
      </c>
      <c r="J384" s="186">
        <f t="shared" si="89"/>
        <v>256</v>
      </c>
      <c r="K384" s="178" t="s">
        <v>129</v>
      </c>
      <c r="L384" s="226"/>
      <c r="M384" s="188">
        <f>IFERROR(IF(L384&lt;&gt;"","",VLOOKUP(C384&amp;'Калькулятор КНС'!D384&amp;'Калькулятор КНС'!K384,НН!A:J,10,)),"")</f>
        <v>10.01</v>
      </c>
      <c r="N384" s="202">
        <f t="shared" si="90"/>
        <v>2562.56</v>
      </c>
      <c r="O384" s="167"/>
    </row>
    <row r="385" spans="2:15" ht="15" outlineLevel="1">
      <c r="B385" s="957"/>
      <c r="C385" s="208" t="s">
        <v>69</v>
      </c>
      <c r="D385" s="180" t="s">
        <v>739</v>
      </c>
      <c r="E385" s="1287"/>
      <c r="F385" s="212" t="str">
        <f t="array" ref="F385">IF(C385="","",IF(OR(C385=Списки!$AG$15:$AG$17),"нет","да"))</f>
        <v>да</v>
      </c>
      <c r="G385" s="206">
        <f>0.62*0.09*J385</f>
        <v>7.1423999999999994</v>
      </c>
      <c r="H385" s="184"/>
      <c r="I385" s="193">
        <f>H383</f>
        <v>128</v>
      </c>
      <c r="J385" s="186">
        <f t="shared" si="89"/>
        <v>128</v>
      </c>
      <c r="K385" s="178" t="s">
        <v>129</v>
      </c>
      <c r="L385" s="226"/>
      <c r="M385" s="188">
        <f>IFERROR(IF(L385&lt;&gt;"","",VLOOKUP(C385&amp;'Калькулятор КНС'!D385&amp;'Калькулятор КНС'!K385,НН!A:J,10,)),"")</f>
        <v>9.9700000000000006</v>
      </c>
      <c r="N385" s="202">
        <f t="shared" si="90"/>
        <v>1276.1600000000001</v>
      </c>
      <c r="O385" s="167"/>
    </row>
    <row r="386" spans="2:15" ht="15" outlineLevel="1">
      <c r="B386" s="957"/>
      <c r="C386" s="208" t="s">
        <v>69</v>
      </c>
      <c r="D386" s="180" t="s">
        <v>740</v>
      </c>
      <c r="E386" s="1287"/>
      <c r="F386" s="212" t="str">
        <f t="array" ref="F386">IF(C386="","",IF(OR(C386=Списки!$AG$15:$AG$17),"нет","да"))</f>
        <v>да</v>
      </c>
      <c r="G386" s="206">
        <f>3.36*J386/1000</f>
        <v>0.43007999999999996</v>
      </c>
      <c r="H386" s="184"/>
      <c r="I386" s="193">
        <f>H383</f>
        <v>128</v>
      </c>
      <c r="J386" s="186">
        <f t="shared" si="89"/>
        <v>128</v>
      </c>
      <c r="K386" s="178" t="s">
        <v>129</v>
      </c>
      <c r="L386" s="226"/>
      <c r="M386" s="188">
        <f>IFERROR(IF(L386&lt;&gt;"","",VLOOKUP(C386&amp;'Калькулятор КНС'!D386&amp;'Калькулятор КНС'!K386,НН!A:J,10,)),"")</f>
        <v>51</v>
      </c>
      <c r="N386" s="202">
        <f t="shared" si="90"/>
        <v>6528</v>
      </c>
      <c r="O386" s="167"/>
    </row>
    <row r="387" spans="2:15" ht="15" customHeight="1" outlineLevel="1">
      <c r="B387" s="957"/>
      <c r="C387" s="208" t="s">
        <v>69</v>
      </c>
      <c r="D387" s="180" t="s">
        <v>613</v>
      </c>
      <c r="E387" s="1287"/>
      <c r="F387" s="212" t="str">
        <f t="array" ref="F387">IF(C387="","",IF(OR(C387=Списки!$AG$15:$AG$17),"нет","да"))</f>
        <v>да</v>
      </c>
      <c r="G387" s="206">
        <f>8.022*J387/1000</f>
        <v>0.70593600000000001</v>
      </c>
      <c r="H387" s="210">
        <f>VLOOKUP(D290,'Для расчетов'!A37:I62,9,0)*I338</f>
        <v>88</v>
      </c>
      <c r="I387" s="193"/>
      <c r="J387" s="186">
        <f t="shared" ref="J387:J390" si="91">IF(ISBLANK(D387),"",IF(H387="",I387,H387))</f>
        <v>88</v>
      </c>
      <c r="K387" s="178" t="s">
        <v>129</v>
      </c>
      <c r="L387" s="226"/>
      <c r="M387" s="188">
        <f>IFERROR(IF(L387&lt;&gt;"","",VLOOKUP(C387&amp;'Калькулятор КНС'!D387&amp;'Калькулятор КНС'!K387,НН!A:J,10,)),"")</f>
        <v>135</v>
      </c>
      <c r="N387" s="202">
        <f t="shared" ref="N387:N390" si="92">IFERROR(IF(L387="",M387*J387,J387*L387),"")</f>
        <v>11880</v>
      </c>
      <c r="O387" s="365"/>
    </row>
    <row r="388" spans="2:15" ht="15" outlineLevel="1">
      <c r="B388" s="957"/>
      <c r="C388" s="208" t="s">
        <v>69</v>
      </c>
      <c r="D388" s="180" t="s">
        <v>614</v>
      </c>
      <c r="E388" s="1287"/>
      <c r="F388" s="212" t="str">
        <f t="array" ref="F388">IF(C388="","",IF(OR(C388=Списки!$AG$15:$AG$17),"нет","да"))</f>
        <v>да</v>
      </c>
      <c r="G388" s="206">
        <f>15.4*J388/1000</f>
        <v>2.7103999999999999</v>
      </c>
      <c r="H388" s="184"/>
      <c r="I388" s="193">
        <f>H387*2</f>
        <v>176</v>
      </c>
      <c r="J388" s="186">
        <f t="shared" si="91"/>
        <v>176</v>
      </c>
      <c r="K388" s="178" t="s">
        <v>129</v>
      </c>
      <c r="L388" s="226"/>
      <c r="M388" s="188">
        <f>IFERROR(IF(L388&lt;&gt;"","",VLOOKUP(C388&amp;'Калькулятор КНС'!D388&amp;'Калькулятор КНС'!K388,НН!A:J,10,)),"")</f>
        <v>6.9</v>
      </c>
      <c r="N388" s="202">
        <f t="shared" si="92"/>
        <v>1214.4000000000001</v>
      </c>
      <c r="O388" s="365"/>
    </row>
    <row r="389" spans="2:15" ht="15" outlineLevel="1">
      <c r="B389" s="957"/>
      <c r="C389" s="208" t="s">
        <v>69</v>
      </c>
      <c r="D389" s="180" t="s">
        <v>615</v>
      </c>
      <c r="E389" s="1287"/>
      <c r="F389" s="212" t="str">
        <f t="array" ref="F389">IF(C389="","",IF(OR(C389=Списки!$AG$15:$AG$17),"нет","да"))</f>
        <v>да</v>
      </c>
      <c r="G389" s="206">
        <f>0.62*0.09*J389</f>
        <v>4.9103999999999992</v>
      </c>
      <c r="H389" s="184"/>
      <c r="I389" s="193">
        <f>H387</f>
        <v>88</v>
      </c>
      <c r="J389" s="186">
        <f t="shared" si="91"/>
        <v>88</v>
      </c>
      <c r="K389" s="178" t="s">
        <v>129</v>
      </c>
      <c r="L389" s="226"/>
      <c r="M389" s="188">
        <f>IFERROR(IF(L389&lt;&gt;"","",VLOOKUP(C389&amp;'Калькулятор КНС'!D389&amp;'Калькулятор КНС'!K389,НН!A:J,10,)),"")</f>
        <v>6.83</v>
      </c>
      <c r="N389" s="202">
        <f t="shared" si="92"/>
        <v>601.04</v>
      </c>
      <c r="O389" s="365"/>
    </row>
    <row r="390" spans="2:15" ht="15" outlineLevel="1">
      <c r="B390" s="957"/>
      <c r="C390" s="208" t="s">
        <v>69</v>
      </c>
      <c r="D390" s="180" t="s">
        <v>616</v>
      </c>
      <c r="E390" s="1287"/>
      <c r="F390" s="212" t="str">
        <f t="array" ref="F390">IF(C390="","",IF(OR(C390=Списки!$AG$15:$AG$17),"нет","да"))</f>
        <v>да</v>
      </c>
      <c r="G390" s="206">
        <f>3.36*J390/1000</f>
        <v>0.29568</v>
      </c>
      <c r="H390" s="184"/>
      <c r="I390" s="193">
        <f>H387</f>
        <v>88</v>
      </c>
      <c r="J390" s="186">
        <f t="shared" si="91"/>
        <v>88</v>
      </c>
      <c r="K390" s="178" t="s">
        <v>129</v>
      </c>
      <c r="L390" s="226"/>
      <c r="M390" s="188">
        <f>IFERROR(IF(L390&lt;&gt;"","",VLOOKUP(C390&amp;'Калькулятор КНС'!D390&amp;'Калькулятор КНС'!K390,НН!A:J,10,)),"")</f>
        <v>18.899999999999999</v>
      </c>
      <c r="N390" s="202">
        <f t="shared" si="92"/>
        <v>1663.1999999999998</v>
      </c>
      <c r="O390" s="365"/>
    </row>
    <row r="391" spans="2:15" ht="15" outlineLevel="1">
      <c r="B391" s="179"/>
      <c r="C391" s="208" t="s">
        <v>69</v>
      </c>
      <c r="D391" s="180" t="s">
        <v>483</v>
      </c>
      <c r="E391" s="1287"/>
      <c r="F391" s="212" t="str">
        <f t="array" ref="F391">IF(C391="","",IF(OR(C391=Списки!$AG$15:$AG$17),"нет","да"))</f>
        <v>да</v>
      </c>
      <c r="G391" s="206">
        <f>4.08*J391/1000</f>
        <v>0.13056000000000001</v>
      </c>
      <c r="H391" s="210">
        <v>32</v>
      </c>
      <c r="I391" s="193" t="str">
        <f>IF(H391="",#REF!*2,"")</f>
        <v/>
      </c>
      <c r="J391" s="186">
        <f t="shared" ref="J391:J398" si="93">IF(ISBLANK(D391),"",IF(H391="",I391,H391))</f>
        <v>32</v>
      </c>
      <c r="K391" s="178" t="s">
        <v>129</v>
      </c>
      <c r="L391" s="226"/>
      <c r="M391" s="188">
        <f>IFERROR(IF(L391&lt;&gt;"","",VLOOKUP(C391&amp;'Калькулятор КНС'!D391&amp;'Калькулятор КНС'!K391,НН!A:J,10,)),"")</f>
        <v>74</v>
      </c>
      <c r="N391" s="202">
        <f t="shared" ref="N391:N400" si="94">IFERROR(IF(L391="",M391*J391,J391*L391),"")</f>
        <v>2368</v>
      </c>
      <c r="O391" s="365"/>
    </row>
    <row r="392" spans="2:15" ht="15" outlineLevel="1">
      <c r="B392" s="179"/>
      <c r="C392" s="208" t="s">
        <v>69</v>
      </c>
      <c r="D392" s="180" t="s">
        <v>484</v>
      </c>
      <c r="E392" s="1287"/>
      <c r="F392" s="212" t="str">
        <f t="array" ref="F392">IF(C392="","",IF(OR(C392=Списки!$AG$15:$AG$17),"нет","да"))</f>
        <v>да</v>
      </c>
      <c r="G392" s="206">
        <f>11.4*J392/1000</f>
        <v>0.72960000000000003</v>
      </c>
      <c r="H392" s="184"/>
      <c r="I392" s="193">
        <f>H391*2</f>
        <v>64</v>
      </c>
      <c r="J392" s="186">
        <f t="shared" si="93"/>
        <v>64</v>
      </c>
      <c r="K392" s="178" t="s">
        <v>129</v>
      </c>
      <c r="L392" s="226"/>
      <c r="M392" s="188">
        <f>IFERROR(IF(L392&lt;&gt;"","",VLOOKUP(C392&amp;'Калькулятор КНС'!D392&amp;'Калькулятор КНС'!K392,НН!A:J,10,)),"")</f>
        <v>4.41</v>
      </c>
      <c r="N392" s="202">
        <f t="shared" si="94"/>
        <v>282.24</v>
      </c>
      <c r="O392" s="365"/>
    </row>
    <row r="393" spans="2:15" ht="15" outlineLevel="1">
      <c r="B393" s="179"/>
      <c r="C393" s="208" t="s">
        <v>69</v>
      </c>
      <c r="D393" s="180" t="s">
        <v>485</v>
      </c>
      <c r="E393" s="1287"/>
      <c r="F393" s="212" t="str">
        <f t="array" ref="F393">IF(C393="","",IF(OR(C393=Списки!$AG$15:$AG$17),"нет","да"))</f>
        <v>да</v>
      </c>
      <c r="G393" s="206">
        <f>0.222*0.03*J393</f>
        <v>0.21312</v>
      </c>
      <c r="H393" s="184"/>
      <c r="I393" s="193">
        <f>H391</f>
        <v>32</v>
      </c>
      <c r="J393" s="186">
        <f t="shared" si="93"/>
        <v>32</v>
      </c>
      <c r="K393" s="178" t="s">
        <v>129</v>
      </c>
      <c r="L393" s="226"/>
      <c r="M393" s="188">
        <f>IFERROR(IF(L393&lt;&gt;"","",VLOOKUP(C393&amp;'Калькулятор КНС'!D393&amp;'Калькулятор КНС'!K393,НН!A:J,10,)),"")</f>
        <v>4.24</v>
      </c>
      <c r="N393" s="202">
        <f t="shared" si="94"/>
        <v>135.68</v>
      </c>
      <c r="O393" s="365"/>
    </row>
    <row r="394" spans="2:15" ht="15" outlineLevel="1">
      <c r="B394" s="179"/>
      <c r="C394" s="208" t="s">
        <v>69</v>
      </c>
      <c r="D394" s="180" t="s">
        <v>486</v>
      </c>
      <c r="E394" s="1287"/>
      <c r="F394" s="212" t="str">
        <f t="array" ref="F394">IF(C394="","",IF(OR(C394=Списки!$AG$15:$AG$17),"нет","да"))</f>
        <v>да</v>
      </c>
      <c r="G394" s="206">
        <f>1.945*J394/1000</f>
        <v>6.2240000000000004E-2</v>
      </c>
      <c r="H394" s="184"/>
      <c r="I394" s="193">
        <f>H391</f>
        <v>32</v>
      </c>
      <c r="J394" s="186">
        <f t="shared" si="93"/>
        <v>32</v>
      </c>
      <c r="K394" s="178" t="s">
        <v>129</v>
      </c>
      <c r="L394" s="226"/>
      <c r="M394" s="188">
        <f>IFERROR(IF(L394&lt;&gt;"","",VLOOKUP(C394&amp;'Калькулятор КНС'!D394&amp;'Калькулятор КНС'!K394,НН!A:J,10,)),"")</f>
        <v>14.98</v>
      </c>
      <c r="N394" s="202">
        <f t="shared" si="94"/>
        <v>479.36</v>
      </c>
      <c r="O394" s="365"/>
    </row>
    <row r="395" spans="2:15" ht="15" outlineLevel="1">
      <c r="B395" s="179"/>
      <c r="C395" s="208" t="s">
        <v>69</v>
      </c>
      <c r="D395" s="180" t="s">
        <v>617</v>
      </c>
      <c r="E395" s="1287"/>
      <c r="F395" s="212" t="str">
        <f t="array" ref="F395">IF(C395="","",IF(OR(C395=Списки!$AG$15:$AG$17),"нет","да"))</f>
        <v>да</v>
      </c>
      <c r="G395" s="204"/>
      <c r="H395" s="210">
        <v>12</v>
      </c>
      <c r="I395" s="193"/>
      <c r="J395" s="186">
        <f t="shared" si="93"/>
        <v>12</v>
      </c>
      <c r="K395" s="178" t="s">
        <v>129</v>
      </c>
      <c r="L395" s="226"/>
      <c r="M395" s="188">
        <f>IFERROR(IF(L395&lt;&gt;"","",VLOOKUP(C395&amp;'Калькулятор КНС'!D395&amp;'Калькулятор КНС'!K395,НН!A:J,10,)),"")</f>
        <v>8</v>
      </c>
      <c r="N395" s="202">
        <f t="shared" si="94"/>
        <v>96</v>
      </c>
      <c r="O395" s="365"/>
    </row>
    <row r="396" spans="2:15" ht="15" outlineLevel="1">
      <c r="B396" s="179"/>
      <c r="C396" s="208" t="s">
        <v>69</v>
      </c>
      <c r="D396" s="180" t="s">
        <v>618</v>
      </c>
      <c r="E396" s="1287"/>
      <c r="F396" s="212" t="str">
        <f t="array" ref="F396">IF(C396="","",IF(OR(C396=Списки!$AG$15:$AG$17),"нет","да"))</f>
        <v>да</v>
      </c>
      <c r="G396" s="204">
        <f t="shared" ref="G396:G398" si="95">2.5*0.25*J396/1000</f>
        <v>1.4999999999999999E-2</v>
      </c>
      <c r="H396" s="184"/>
      <c r="I396" s="193">
        <f>H395*2</f>
        <v>24</v>
      </c>
      <c r="J396" s="186">
        <f t="shared" si="93"/>
        <v>24</v>
      </c>
      <c r="K396" s="178" t="s">
        <v>129</v>
      </c>
      <c r="L396" s="226"/>
      <c r="M396" s="188">
        <f>IFERROR(IF(L396&lt;&gt;"","",VLOOKUP(C396&amp;'Калькулятор КНС'!D396&amp;'Калькулятор КНС'!K396,НН!A:J,10,)),"")</f>
        <v>1.39</v>
      </c>
      <c r="N396" s="202">
        <f t="shared" si="94"/>
        <v>33.36</v>
      </c>
      <c r="O396" s="365"/>
    </row>
    <row r="397" spans="2:15" ht="15" outlineLevel="1">
      <c r="B397" s="179"/>
      <c r="C397" s="208" t="s">
        <v>69</v>
      </c>
      <c r="D397" s="180" t="s">
        <v>619</v>
      </c>
      <c r="E397" s="1287"/>
      <c r="F397" s="212" t="str">
        <f t="array" ref="F397">IF(C397="","",IF(OR(C397=Списки!$AG$15:$AG$17),"нет","да"))</f>
        <v>да</v>
      </c>
      <c r="G397" s="204">
        <f t="shared" si="95"/>
        <v>7.4999999999999997E-3</v>
      </c>
      <c r="H397" s="184"/>
      <c r="I397" s="193">
        <f>H395</f>
        <v>12</v>
      </c>
      <c r="J397" s="186">
        <f t="shared" si="93"/>
        <v>12</v>
      </c>
      <c r="K397" s="178" t="s">
        <v>129</v>
      </c>
      <c r="L397" s="226"/>
      <c r="M397" s="188">
        <f>IFERROR(IF(L397&lt;&gt;"","",VLOOKUP(C397&amp;'Калькулятор КНС'!D397&amp;'Калькулятор КНС'!K397,НН!A:J,10,)),"")</f>
        <v>1.49</v>
      </c>
      <c r="N397" s="202">
        <f t="shared" si="94"/>
        <v>17.88</v>
      </c>
      <c r="O397" s="365"/>
    </row>
    <row r="398" spans="2:15" ht="15" outlineLevel="1">
      <c r="B398" s="179"/>
      <c r="C398" s="208" t="s">
        <v>69</v>
      </c>
      <c r="D398" s="180" t="s">
        <v>620</v>
      </c>
      <c r="E398" s="1288"/>
      <c r="F398" s="212" t="str">
        <f t="array" ref="F398">IF(C398="","",IF(OR(C398=Списки!$AG$15:$AG$17),"нет","да"))</f>
        <v>да</v>
      </c>
      <c r="G398" s="204">
        <f t="shared" si="95"/>
        <v>7.4999999999999997E-3</v>
      </c>
      <c r="H398" s="184"/>
      <c r="I398" s="193">
        <f>H395</f>
        <v>12</v>
      </c>
      <c r="J398" s="186">
        <f t="shared" si="93"/>
        <v>12</v>
      </c>
      <c r="K398" s="178" t="s">
        <v>129</v>
      </c>
      <c r="L398" s="226"/>
      <c r="M398" s="188">
        <f>IFERROR(IF(L398&lt;&gt;"","",VLOOKUP(C398&amp;'Калькулятор КНС'!D398&amp;'Калькулятор КНС'!K398,НН!A:J,10,)),"")</f>
        <v>3.1</v>
      </c>
      <c r="N398" s="202">
        <f t="shared" si="94"/>
        <v>37.200000000000003</v>
      </c>
      <c r="O398" s="365"/>
    </row>
    <row r="399" spans="2:15" ht="15" outlineLevel="1">
      <c r="B399" s="169" t="s">
        <v>487</v>
      </c>
      <c r="C399" s="290"/>
      <c r="D399" s="291" t="s">
        <v>488</v>
      </c>
      <c r="E399" s="292"/>
      <c r="F399" s="293"/>
      <c r="G399" s="216"/>
      <c r="H399" s="403"/>
      <c r="I399" s="403"/>
      <c r="J399" s="219"/>
      <c r="K399" s="220"/>
      <c r="L399" s="287"/>
      <c r="M399" s="479"/>
      <c r="N399" s="480"/>
      <c r="O399" s="365"/>
    </row>
    <row r="400" spans="2:15" ht="24" outlineLevel="1">
      <c r="B400" s="179"/>
      <c r="C400" s="208"/>
      <c r="D400" s="180" t="s">
        <v>489</v>
      </c>
      <c r="E400" s="255"/>
      <c r="F400" s="212" t="str">
        <f t="array" ref="F400">IF(ISBLANK(C400),"",IF(OR(C400=Списки!$AG$15:$AG$17),"нет","да"))</f>
        <v/>
      </c>
      <c r="G400" s="204"/>
      <c r="H400" s="193"/>
      <c r="I400" s="193"/>
      <c r="J400" s="186"/>
      <c r="K400" s="178"/>
      <c r="L400" s="188"/>
      <c r="M400" s="188" t="str">
        <f>IFERROR(IF(L400&lt;&gt;"","",VLOOKUP(C400&amp;'Калькулятор КНС'!D400&amp;'Калькулятор КНС'!K400,НН!A:J,10,)),"")</f>
        <v/>
      </c>
      <c r="N400" s="189" t="str">
        <f t="shared" si="94"/>
        <v/>
      </c>
      <c r="O400" s="365"/>
    </row>
    <row r="401" spans="2:15" ht="15" outlineLevel="1">
      <c r="B401" s="361"/>
      <c r="C401" s="306"/>
      <c r="D401" s="307" t="s">
        <v>377</v>
      </c>
      <c r="E401" s="362"/>
      <c r="F401" s="309"/>
      <c r="G401" s="310"/>
      <c r="H401" s="311"/>
      <c r="I401" s="363"/>
      <c r="J401" s="364"/>
      <c r="K401" s="314"/>
      <c r="L401" s="315"/>
      <c r="M401" s="316"/>
      <c r="N401" s="317"/>
      <c r="O401" s="365"/>
    </row>
    <row r="402" spans="2:15" ht="18" outlineLevel="1">
      <c r="B402" s="318"/>
      <c r="C402" s="319"/>
      <c r="D402" s="332"/>
      <c r="E402" s="405" t="s">
        <v>490</v>
      </c>
      <c r="F402" s="406"/>
      <c r="G402" s="407">
        <f>SUM(G387:G401)</f>
        <v>9.7879360000000002</v>
      </c>
      <c r="H402" s="332"/>
      <c r="I402" s="332"/>
      <c r="J402" s="408"/>
      <c r="K402" s="503"/>
      <c r="L402" s="409"/>
      <c r="M402" s="501"/>
      <c r="N402" s="411">
        <f>SUM(N383:N401)</f>
        <v>63735.079999999994</v>
      </c>
      <c r="O402" s="329"/>
    </row>
    <row r="403" spans="2:15" ht="15.75" outlineLevel="1">
      <c r="B403" s="318"/>
      <c r="C403" s="319"/>
      <c r="D403" s="320"/>
      <c r="E403" s="333" t="s">
        <v>379</v>
      </c>
      <c r="F403" s="372"/>
      <c r="G403" s="373"/>
      <c r="H403" s="374"/>
      <c r="I403" s="374"/>
      <c r="J403" s="375"/>
      <c r="K403" s="376"/>
      <c r="L403" s="377"/>
      <c r="M403" s="378"/>
      <c r="N403" s="341" cm="1">
        <f t="array" ref="N403">SUM(SUMIF(C383:C401,Списки!$AG$2:$AG$14,N383:N401))</f>
        <v>63735.079999999994</v>
      </c>
      <c r="O403" s="379"/>
    </row>
    <row r="404" spans="2:15" ht="15.75" outlineLevel="1">
      <c r="B404" s="318"/>
      <c r="C404" s="319"/>
      <c r="D404" s="320"/>
      <c r="E404" s="333" t="s">
        <v>382</v>
      </c>
      <c r="F404" s="372"/>
      <c r="G404" s="381"/>
      <c r="H404" s="374"/>
      <c r="I404" s="374"/>
      <c r="J404" s="382">
        <f>ROUNDUP(SUMIFS($J$387:$J$401,$K$387:$K$401,Списки!$S$5)-SUMIFS($J$387:$J$401,$K$387:$K$401,Списки!$S$5,$D$387:$D$401,"*изготов*"),1)</f>
        <v>0</v>
      </c>
      <c r="K404" s="376" t="s">
        <v>212</v>
      </c>
      <c r="L404" s="383"/>
      <c r="M404" s="384"/>
      <c r="N404" s="385">
        <f>SUMIF($K$383:$K$401,Списки!$S$5,$N$383:$N$401)-SUMIFS($N$383:$N$401,$K$383:$K$401,Списки!$S$5,$D$383:$D$401,"*изготов*")</f>
        <v>0</v>
      </c>
      <c r="O404" s="379"/>
    </row>
    <row r="405" spans="2:15" ht="15.75" outlineLevel="1">
      <c r="B405" s="318"/>
      <c r="C405" s="513"/>
      <c r="D405" s="380"/>
      <c r="E405" s="333" t="s">
        <v>383</v>
      </c>
      <c r="F405" s="346"/>
      <c r="G405" s="716"/>
      <c r="H405" s="346"/>
      <c r="I405" s="346"/>
      <c r="J405" s="514">
        <f>ROUNDUP(SUMIFS($J$387:$J$401,$K$387:$K$401,Списки!$S$5,$D$387:$D$401,"*изготов*"),1)</f>
        <v>0</v>
      </c>
      <c r="K405" s="515" t="s">
        <v>212</v>
      </c>
      <c r="L405" s="716"/>
      <c r="M405" s="717"/>
      <c r="N405" s="718">
        <f>SUMIFS($N$387:$N$401,$K$387:$K$401,Списки!$S$5,$D$387:$D$401,"*изготов*")</f>
        <v>0</v>
      </c>
      <c r="O405" s="379"/>
    </row>
    <row r="406" spans="2:15" ht="15">
      <c r="B406" s="386">
        <v>7</v>
      </c>
      <c r="C406" s="683" t="s">
        <v>115</v>
      </c>
      <c r="D406" s="388" t="s">
        <v>491</v>
      </c>
      <c r="E406" s="389"/>
      <c r="F406" s="390"/>
      <c r="G406" s="391"/>
      <c r="H406" s="389"/>
      <c r="I406" s="392"/>
      <c r="J406" s="392"/>
      <c r="K406" s="393"/>
      <c r="L406" s="394"/>
      <c r="M406" s="395"/>
      <c r="N406" s="390"/>
      <c r="O406" s="214"/>
    </row>
    <row r="407" spans="2:15" ht="15" outlineLevel="1">
      <c r="B407" s="169" t="s">
        <v>492</v>
      </c>
      <c r="C407" s="290"/>
      <c r="D407" s="291" t="s">
        <v>493</v>
      </c>
      <c r="E407" s="292"/>
      <c r="F407" s="293" t="str">
        <f t="array" ref="F407">IF(ISBLANK(C407),"",IF(OR(C407=Списки!$AG$15:$AG$17),"нет","да"))</f>
        <v/>
      </c>
      <c r="G407" s="216"/>
      <c r="H407" s="230"/>
      <c r="I407" s="294"/>
      <c r="J407" s="219"/>
      <c r="K407" s="220"/>
      <c r="L407" s="255"/>
      <c r="M407" s="256"/>
      <c r="N407" s="356"/>
      <c r="O407" s="167"/>
    </row>
    <row r="408" spans="2:15" ht="36" outlineLevel="1">
      <c r="B408" s="179"/>
      <c r="C408" s="208" t="s">
        <v>67</v>
      </c>
      <c r="D408" s="180" t="str">
        <f>CONCATENATE("Задвижка шиберная с невыдв.шпинделем с ручным управлением DN",E408," PN10 и удлиненным штоком L=",ОЛ_НАСОСНАЯ_СТАНЦИЯ!E41-ОЛ_НАСОСНАЯ_СТАНЦИЯ!E42/2," мм (высота штока указана от оси трубы")</f>
        <v>Задвижка шиберная с невыдв.шпинделем с ручным управлением DN400 PN10 и удлиненным штоком L=9710 мм (высота штока указана от оси трубы</v>
      </c>
      <c r="E408" s="1116">
        <f>ОЛ_НАСОСНАЯ_СТАНЦИЯ!E42</f>
        <v>400</v>
      </c>
      <c r="F408" s="212" t="str">
        <f t="array" ref="F408">IF(C408="","",IF(OR(C408=Списки!$AG$15:$AG$17),"нет","да"))</f>
        <v>да</v>
      </c>
      <c r="G408" s="204"/>
      <c r="H408" s="966"/>
      <c r="I408" s="193">
        <f>ОЛ_НАСОСНАЯ_СТАНЦИЯ!E44</f>
        <v>1</v>
      </c>
      <c r="J408" s="186">
        <f>IF(ОЛ_НАСОСНАЯ_СТАНЦИЯ!E47="нет",0,IF(ISBLANK(D408),"",IF(H408="",I408,H408)))</f>
        <v>1</v>
      </c>
      <c r="K408" s="178" t="s">
        <v>129</v>
      </c>
      <c r="L408" s="187">
        <v>250000</v>
      </c>
      <c r="M408" s="188" t="str">
        <f>IFERROR(IF(L408&lt;&gt;"","",VLOOKUP(C408&amp;'Калькулятор КНС'!D408&amp;'Калькулятор КНС'!K408,НН!A:J,10,)),"")</f>
        <v/>
      </c>
      <c r="N408" s="799">
        <f t="shared" ref="N408:N409" si="96">IFERROR(IF(L408="",M408*J408,J408*L408),"")</f>
        <v>250000</v>
      </c>
      <c r="O408" s="167"/>
    </row>
    <row r="409" spans="2:15" ht="28.5" customHeight="1" outlineLevel="1">
      <c r="B409" s="179"/>
      <c r="C409" s="208" t="s">
        <v>67</v>
      </c>
      <c r="D409" s="180" t="s">
        <v>2146</v>
      </c>
      <c r="E409" s="1227"/>
      <c r="F409" s="212" t="str">
        <f t="array" ref="F409">IF(C409="","",IF(OR(C409=Списки!$AG$15:$AG$17),"нет","да"))</f>
        <v>да</v>
      </c>
      <c r="G409" s="204"/>
      <c r="H409" s="210">
        <v>4</v>
      </c>
      <c r="I409" s="193"/>
      <c r="J409" s="186">
        <f>IF($C$406="нет",0,IF(ISBLANK(D409),"",IF(H409="",I409,H409)))</f>
        <v>4</v>
      </c>
      <c r="K409" s="178" t="s">
        <v>129</v>
      </c>
      <c r="L409" s="801"/>
      <c r="M409" s="247">
        <f>IFERROR(IF(L409&lt;&gt;"","",VLOOKUP(C409&amp;'Калькулятор КНС'!D409&amp;'Калькулятор КНС'!K409,НН!A:J,10,)),"")</f>
        <v>45000</v>
      </c>
      <c r="N409" s="1109">
        <f t="shared" si="96"/>
        <v>180000</v>
      </c>
      <c r="O409" s="670"/>
    </row>
    <row r="410" spans="2:15" ht="24" outlineLevel="1">
      <c r="B410" s="179"/>
      <c r="C410" s="208" t="s">
        <v>67</v>
      </c>
      <c r="D410" s="180" t="s">
        <v>2147</v>
      </c>
      <c r="E410" s="1227"/>
      <c r="F410" s="212" t="str">
        <f t="array" ref="F410">IF(C410="","",IF(OR(C410=Списки!$AG$15:$AG$17),"нет","да"))</f>
        <v>да</v>
      </c>
      <c r="G410" s="204"/>
      <c r="H410" s="210">
        <v>4</v>
      </c>
      <c r="I410" s="193"/>
      <c r="J410" s="186">
        <f>IF($C$406="нет",0,IF(ISBLANK(D410),"",IF(H410="",I410,H410)))</f>
        <v>4</v>
      </c>
      <c r="K410" s="178" t="s">
        <v>129</v>
      </c>
      <c r="L410" s="187"/>
      <c r="M410" s="188">
        <f>IFERROR(IF(L410&lt;&gt;"","",VLOOKUP(C410&amp;'Калькулятор КНС'!D410&amp;'Калькулятор КНС'!K410,НН!A:J,10,)),"")</f>
        <v>55000</v>
      </c>
      <c r="N410" s="799">
        <f t="shared" ref="N410" si="97">IFERROR(IF(L410="",M410*J410,J410*L410),"")</f>
        <v>220000</v>
      </c>
      <c r="O410" s="670"/>
    </row>
    <row r="411" spans="2:15" ht="29.25" customHeight="1" outlineLevel="1">
      <c r="B411" s="179"/>
      <c r="C411" s="208" t="s">
        <v>67</v>
      </c>
      <c r="D411" s="180" t="s">
        <v>2154</v>
      </c>
      <c r="E411" s="1227"/>
      <c r="F411" s="212" t="str">
        <f t="array" ref="F411">IF(C411="","",IF(OR(C411=Списки!$AG$15:$AG$17),"нет","да"))</f>
        <v>да</v>
      </c>
      <c r="G411" s="204"/>
      <c r="H411" s="210">
        <v>4</v>
      </c>
      <c r="I411" s="193"/>
      <c r="J411" s="186">
        <f>IF($C$406="нет",0,IF(ISBLANK(D411),"",IF(H411="",I411,H411)))</f>
        <v>4</v>
      </c>
      <c r="K411" s="178" t="s">
        <v>129</v>
      </c>
      <c r="L411" s="187"/>
      <c r="M411" s="188">
        <f>IFERROR(IF(L411&lt;&gt;"","",VLOOKUP(C411&amp;'Калькулятор КНС'!D411&amp;'Калькулятор КНС'!K411,НН!A:J,10,)),"")</f>
        <v>50000</v>
      </c>
      <c r="N411" s="799">
        <f t="shared" ref="N411:N431" si="98">IFERROR(IF(L411="",M411*J411,J411*L411),"")</f>
        <v>200000</v>
      </c>
      <c r="O411" s="670"/>
    </row>
    <row r="412" spans="2:15" ht="42.75" customHeight="1" outlineLevel="1">
      <c r="B412" s="800"/>
      <c r="C412" s="666" t="s">
        <v>234</v>
      </c>
      <c r="D412" s="1117" t="s">
        <v>2185</v>
      </c>
      <c r="E412" s="797"/>
      <c r="F412" s="242" t="str">
        <f t="array" ref="F412">IF(C412="","",IF(OR(C412=Списки!$AG$15:$AG$17),"нет","да"))</f>
        <v>да</v>
      </c>
      <c r="G412" s="301"/>
      <c r="H412" s="1115"/>
      <c r="I412" s="296">
        <f>ОЛ_НАСОСНАЯ_СТАНЦИЯ!E55+ОЛ_НАСОСНАЯ_СТАНЦИЯ!E56+ОЛ_НАСОСНАЯ_СТАНЦИЯ!E57</f>
        <v>4</v>
      </c>
      <c r="J412" s="245">
        <f>IF($C$406="нет",0,IF($C$406="нет",0,IF(ISBLANK(D412),"",IF(H412="",I412,H412))))</f>
        <v>4</v>
      </c>
      <c r="K412" s="246" t="s">
        <v>129</v>
      </c>
      <c r="L412" s="187">
        <v>1</v>
      </c>
      <c r="M412" s="188" t="str">
        <f>IFERROR(IF(L412&lt;&gt;"","",VLOOKUP(C412&amp;'Калькулятор КНС'!D412&amp;'Калькулятор КНС'!K412,НН!A:J,10,)),"")</f>
        <v/>
      </c>
      <c r="N412" s="799">
        <f t="shared" si="98"/>
        <v>4</v>
      </c>
      <c r="O412" s="670"/>
    </row>
    <row r="413" spans="2:15" ht="20.25" customHeight="1" outlineLevel="1">
      <c r="B413" s="800"/>
      <c r="C413" s="666" t="s">
        <v>234</v>
      </c>
      <c r="D413" s="241" t="s">
        <v>1952</v>
      </c>
      <c r="E413" s="1116">
        <f>ОЛ_НАСОСНАЯ_СТАНЦИЯ!E58</f>
        <v>100</v>
      </c>
      <c r="F413" s="242" t="str">
        <f t="array" ref="F413">IF(C413="","",IF(OR(C413=Списки!$AG$15:$AG$17),"нет","да"))</f>
        <v>да</v>
      </c>
      <c r="G413" s="301"/>
      <c r="H413" s="1115"/>
      <c r="I413" s="296">
        <f>ОЛ_НАСОСНАЯ_СТАНЦИЯ!E55+ОЛ_НАСОСНАЯ_СТАНЦИЯ!E56</f>
        <v>3</v>
      </c>
      <c r="J413" s="245">
        <f>IF($C$406="нет",0,IF($C$406="нет",0,IF(ISBLANK(D413),"",IF(H413="",I413,H413))))</f>
        <v>3</v>
      </c>
      <c r="K413" s="246" t="s">
        <v>129</v>
      </c>
      <c r="L413" s="187">
        <v>1</v>
      </c>
      <c r="M413" s="188" t="str">
        <f>IFERROR(IF(L413&lt;&gt;"","",VLOOKUP(C413&amp;'Калькулятор КНС'!D413&amp;'Калькулятор КНС'!K413,НН!A:J,10,)),"")</f>
        <v/>
      </c>
      <c r="N413" s="799">
        <f t="shared" ref="N413" si="99">IFERROR(IF(L413="",M413*J413,J413*L413),"")</f>
        <v>3</v>
      </c>
      <c r="O413" s="670" t="s">
        <v>2083</v>
      </c>
    </row>
    <row r="414" spans="2:15" ht="24" outlineLevel="1">
      <c r="B414" s="800"/>
      <c r="C414" s="666" t="s">
        <v>167</v>
      </c>
      <c r="D414" s="241" t="s">
        <v>742</v>
      </c>
      <c r="E414" s="227"/>
      <c r="F414" s="242" t="str">
        <f t="array" ref="F414">IF(C414="","",IF(OR(C414=Списки!$AG$15:$AG$17),"нет","да"))</f>
        <v>да</v>
      </c>
      <c r="G414" s="301"/>
      <c r="H414" s="1115"/>
      <c r="I414" s="296">
        <f>(ОЛ_НАСОСНАЯ_СТАНЦИЯ!E55+ОЛ_НАСОСНАЯ_СТАНЦИЯ!E56)+2</f>
        <v>5</v>
      </c>
      <c r="J414" s="245">
        <f>IF($C$406="нет",0,IF($C$406="нет",0,IF(ISBLANK(D414),"",IF(H414="",I414,H414))))</f>
        <v>5</v>
      </c>
      <c r="K414" s="246" t="s">
        <v>129</v>
      </c>
      <c r="L414" s="801"/>
      <c r="M414" s="188">
        <f>IFERROR(IF(L414&lt;&gt;"","",VLOOKUP(C414&amp;'Калькулятор КНС'!D414&amp;'Калькулятор КНС'!K414,НН!A:J,10,)),"")</f>
        <v>7500</v>
      </c>
      <c r="N414" s="799">
        <f t="shared" si="98"/>
        <v>37500</v>
      </c>
      <c r="O414" s="1204" t="s">
        <v>2042</v>
      </c>
    </row>
    <row r="415" spans="2:15" ht="50.25" customHeight="1" outlineLevel="1">
      <c r="B415" s="179"/>
      <c r="C415" s="208" t="s">
        <v>235</v>
      </c>
      <c r="D415" s="241" t="s">
        <v>2121</v>
      </c>
      <c r="E415" s="1234"/>
      <c r="F415" s="242" t="str">
        <f t="array" ref="F415">IF(C415="","",IF(OR(C415=Списки!$AG$15:$AG$17),"нет","да"))</f>
        <v>да</v>
      </c>
      <c r="G415" s="301"/>
      <c r="H415" s="1115"/>
      <c r="I415" s="296">
        <f>ОЛ_НАСОСНАЯ_СТАНЦИЯ!I44</f>
        <v>2</v>
      </c>
      <c r="J415" s="245">
        <f>IF(ОЛ_НАСОСНАЯ_СТАНЦИЯ!$I$64="нет",0,IF(ISBLANK(D415),"",IF(H415="",I415,H415)))</f>
        <v>2</v>
      </c>
      <c r="K415" s="246" t="s">
        <v>129</v>
      </c>
      <c r="L415" s="801"/>
      <c r="M415" s="247">
        <f>IFERROR(IF(L415&lt;&gt;"","",VLOOKUP(C415&amp;'Калькулятор КНС'!D415&amp;'Калькулятор КНС'!K415,НН!A:J,10,)),"")</f>
        <v>40000</v>
      </c>
      <c r="N415" s="1109">
        <f t="shared" si="98"/>
        <v>80000</v>
      </c>
      <c r="O415" s="1204" t="s">
        <v>2035</v>
      </c>
    </row>
    <row r="416" spans="2:15" ht="50.25" customHeight="1" outlineLevel="1">
      <c r="B416" s="179"/>
      <c r="C416" s="208" t="s">
        <v>235</v>
      </c>
      <c r="D416" s="180" t="s">
        <v>2123</v>
      </c>
      <c r="E416" s="227"/>
      <c r="F416" s="212" t="str">
        <f t="array" ref="F416">IF(C416="","",IF(OR(C416=Списки!$AG$15:$AG$17),"нет","да"))</f>
        <v>да</v>
      </c>
      <c r="G416" s="204"/>
      <c r="H416" s="966"/>
      <c r="I416" s="193">
        <v>1</v>
      </c>
      <c r="J416" s="186">
        <f>IF(ОЛ_НАСОСНАЯ_СТАНЦИЯ!$I$65="нет",0,IF(ISBLANK(D416),"",IF(H416="",I416,H416)))</f>
        <v>1</v>
      </c>
      <c r="K416" s="178" t="s">
        <v>129</v>
      </c>
      <c r="L416" s="196"/>
      <c r="M416" s="188">
        <f>IFERROR(IF(L416&lt;&gt;"","",VLOOKUP(C416&amp;'Калькулятор КНС'!D416&amp;'Калькулятор КНС'!K416,НН!A:J,10,)),"")</f>
        <v>80000</v>
      </c>
      <c r="N416" s="799">
        <f t="shared" si="98"/>
        <v>80000</v>
      </c>
      <c r="O416" s="365"/>
    </row>
    <row r="417" spans="2:16" ht="39" customHeight="1" outlineLevel="1">
      <c r="B417" s="179"/>
      <c r="C417" s="208" t="s">
        <v>236</v>
      </c>
      <c r="D417" s="180" t="str">
        <f>CONCATENATE("Расходомер электромагнитный DN",E417," с фланцевым типом присоединения, с раздельным конструкционным исполнением, со степенью защиты IP68 ")</f>
        <v xml:space="preserve">Расходомер электромагнитный DN150 с фланцевым типом присоединения, с раздельным конструкционным исполнением, со степенью защиты IP68 </v>
      </c>
      <c r="E417" s="1116">
        <f>ОЛ_НАСОСНАЯ_СТАНЦИЯ!E58+50</f>
        <v>150</v>
      </c>
      <c r="F417" s="212" t="str">
        <f t="array" ref="F417">IF(C417="","",IF(OR(C417=Списки!$AG$15:$AG$17),"нет","да"))</f>
        <v>да</v>
      </c>
      <c r="G417" s="204"/>
      <c r="H417" s="966"/>
      <c r="I417" s="193">
        <f>ОЛ_НАСОСНАЯ_СТАНЦИЯ!I44</f>
        <v>2</v>
      </c>
      <c r="J417" s="186">
        <f>IF(ОЛ_НАСОСНАЯ_СТАНЦИЯ!$I$66="нет",0,IF(ISBLANK(D417),"",IF(H417="",I417,H417)))</f>
        <v>2</v>
      </c>
      <c r="K417" s="178" t="s">
        <v>129</v>
      </c>
      <c r="L417" s="196"/>
      <c r="M417" s="188">
        <f>IFERROR(IF(L417&lt;&gt;"","",VLOOKUP(C417&amp;'Калькулятор КНС'!D417&amp;'Калькулятор КНС'!K417,НН!A:J,10,)),"")</f>
        <v>360000</v>
      </c>
      <c r="N417" s="799">
        <f t="shared" ref="N417" si="100">IFERROR(IF(L417="",M417*J417,J417*L417),"")</f>
        <v>720000</v>
      </c>
      <c r="O417" s="365"/>
    </row>
    <row r="418" spans="2:16" ht="20.25" customHeight="1" outlineLevel="1">
      <c r="B418" s="179"/>
      <c r="C418" s="208" t="s">
        <v>233</v>
      </c>
      <c r="D418" s="180" t="s">
        <v>2092</v>
      </c>
      <c r="E418" s="227"/>
      <c r="F418" s="212" t="str">
        <f t="array" ref="F418">IF(C418="","",IF(OR(C418=Списки!$AG$15:$AG$17),"нет","да"))</f>
        <v>да</v>
      </c>
      <c r="G418" s="204"/>
      <c r="H418" s="966"/>
      <c r="I418" s="193">
        <v>1</v>
      </c>
      <c r="J418" s="186">
        <f>IF($C$406="нет",0,IF(ISBLANK(D418),"",IF(H418="",I418,H418)))</f>
        <v>1</v>
      </c>
      <c r="K418" s="178" t="s">
        <v>129</v>
      </c>
      <c r="L418" s="196"/>
      <c r="M418" s="188">
        <f>IFERROR(IF(L418&lt;&gt;"","",VLOOKUP(C418&amp;'Калькулятор КНС'!D418&amp;'Калькулятор КНС'!K418,НН!A:J,10,)),"")</f>
        <v>320000</v>
      </c>
      <c r="N418" s="799">
        <f t="shared" ref="N418" si="101">IFERROR(IF(L418="",M418*J418,J418*L418),"")</f>
        <v>320000</v>
      </c>
      <c r="O418" s="1110" t="s">
        <v>1948</v>
      </c>
    </row>
    <row r="419" spans="2:16" ht="18.75" customHeight="1" outlineLevel="1">
      <c r="B419" s="179"/>
      <c r="C419" s="208" t="s">
        <v>237</v>
      </c>
      <c r="D419" s="180" t="s">
        <v>2119</v>
      </c>
      <c r="E419" s="1028"/>
      <c r="F419" s="212" t="str">
        <f t="array" ref="F419">IF(C419="","",IF(OR(C419=Списки!$AG$15:$AG$17),"нет","да"))</f>
        <v>да</v>
      </c>
      <c r="G419" s="204"/>
      <c r="H419" s="966"/>
      <c r="I419" s="193">
        <v>1</v>
      </c>
      <c r="J419" s="186">
        <v>1</v>
      </c>
      <c r="K419" s="178" t="s">
        <v>129</v>
      </c>
      <c r="L419" s="987">
        <v>1</v>
      </c>
      <c r="M419" s="188" t="str">
        <f>IFERROR(IF(L419&lt;&gt;"","",VLOOKUP(C419&amp;'Калькулятор КНС'!D419&amp;'Калькулятор КНС'!K419,НН!A:J,10,)),"")</f>
        <v/>
      </c>
      <c r="N419" s="799">
        <f t="shared" si="98"/>
        <v>1</v>
      </c>
      <c r="O419" s="1110" t="s">
        <v>1948</v>
      </c>
    </row>
    <row r="420" spans="2:16" ht="56.25" outlineLevel="1">
      <c r="B420" s="800"/>
      <c r="C420" s="666" t="s">
        <v>197</v>
      </c>
      <c r="D420" s="241" t="s">
        <v>748</v>
      </c>
      <c r="E420" s="1228" t="s">
        <v>2080</v>
      </c>
      <c r="F420" s="242" t="str">
        <f t="array" ref="F420">IF(C420="","",IF(OR(C420=Списки!$AG$15:$AG$17),"нет","да"))</f>
        <v>да</v>
      </c>
      <c r="G420" s="301"/>
      <c r="H420" s="1115"/>
      <c r="I420" s="296">
        <f>I5/1000</f>
        <v>11.5</v>
      </c>
      <c r="J420" s="245">
        <f>IF($C$406="нет",0,IF($C$406="нет",0,IF(ISBLANK(D420),"",IF(H420="",I420,H420))))</f>
        <v>11.5</v>
      </c>
      <c r="K420" s="246" t="s">
        <v>163</v>
      </c>
      <c r="L420" s="801"/>
      <c r="M420" s="188">
        <f>IFERROR(IF(L420&lt;&gt;"","",VLOOKUP(C420&amp;'Калькулятор КНС'!D420&amp;'Калькулятор КНС'!K420,НН!A:J,10,)),"")</f>
        <v>1201</v>
      </c>
      <c r="N420" s="799">
        <f t="shared" si="98"/>
        <v>13811.5</v>
      </c>
      <c r="O420" s="491"/>
    </row>
    <row r="421" spans="2:16" ht="21" customHeight="1" outlineLevel="1">
      <c r="B421" s="179"/>
      <c r="C421" s="208" t="s">
        <v>64</v>
      </c>
      <c r="D421" s="180" t="s">
        <v>978</v>
      </c>
      <c r="E421" s="216"/>
      <c r="F421" s="212" t="str">
        <f t="array" ref="F421">IF(C421="","",IF(OR(C421=Списки!$AG$15:$AG$17),"нет","да"))</f>
        <v>да</v>
      </c>
      <c r="G421" s="204"/>
      <c r="H421" s="966"/>
      <c r="I421" s="193">
        <v>1</v>
      </c>
      <c r="J421" s="186">
        <f t="shared" ref="J421:J422" si="102">IF($C$406="нет",0,IF(ISBLANK(D421),"",IF(H421="",I421,H421)))</f>
        <v>1</v>
      </c>
      <c r="K421" s="178" t="s">
        <v>129</v>
      </c>
      <c r="L421" s="196"/>
      <c r="M421" s="188">
        <f>IFERROR(IF(L421&lt;&gt;"","",VLOOKUP(C421&amp;'Калькулятор КНС'!D421&amp;'Калькулятор КНС'!K421,НН!A:J,10,)),"")</f>
        <v>30000</v>
      </c>
      <c r="N421" s="799">
        <f t="shared" si="98"/>
        <v>30000</v>
      </c>
      <c r="O421" s="802"/>
      <c r="P421" s="168"/>
    </row>
    <row r="422" spans="2:16" ht="18" customHeight="1" outlineLevel="1">
      <c r="B422" s="179"/>
      <c r="C422" s="208" t="s">
        <v>64</v>
      </c>
      <c r="D422" s="180" t="s">
        <v>2139</v>
      </c>
      <c r="E422" s="216"/>
      <c r="F422" s="212" t="str">
        <f t="array" ref="F422">IF(C422="","",IF(OR(C422=Списки!$AG$15:$AG$17),"нет","да"))</f>
        <v>да</v>
      </c>
      <c r="G422" s="204"/>
      <c r="H422" s="966"/>
      <c r="I422" s="193">
        <v>1</v>
      </c>
      <c r="J422" s="186">
        <f t="shared" si="102"/>
        <v>1</v>
      </c>
      <c r="K422" s="178" t="s">
        <v>129</v>
      </c>
      <c r="L422" s="196"/>
      <c r="M422" s="188">
        <f>IFERROR(IF(L422&lt;&gt;"","",VLOOKUP(C422&amp;'Калькулятор КНС'!D422&amp;'Калькулятор КНС'!K422,НН!A:J,10,)),"")</f>
        <v>2000</v>
      </c>
      <c r="N422" s="799">
        <f t="shared" si="98"/>
        <v>2000</v>
      </c>
      <c r="O422" s="802"/>
      <c r="P422" s="168"/>
    </row>
    <row r="423" spans="2:16" ht="15" outlineLevel="1">
      <c r="B423" s="179"/>
      <c r="C423" s="208"/>
      <c r="D423" s="180"/>
      <c r="E423" s="216"/>
      <c r="F423" s="215"/>
      <c r="G423" s="216"/>
      <c r="H423" s="216"/>
      <c r="I423" s="218"/>
      <c r="J423" s="219"/>
      <c r="K423" s="220"/>
      <c r="L423" s="221"/>
      <c r="M423" s="222"/>
      <c r="N423" s="289"/>
      <c r="O423" s="491"/>
      <c r="P423" s="168"/>
    </row>
    <row r="424" spans="2:16" ht="15" outlineLevel="1">
      <c r="B424" s="169" t="s">
        <v>494</v>
      </c>
      <c r="C424" s="290"/>
      <c r="D424" s="291" t="s">
        <v>495</v>
      </c>
      <c r="E424" s="292"/>
      <c r="F424" s="293" t="str">
        <f t="array" ref="F424">IF(ISBLANK(C424),"",IF(OR(C424=Списки!$AG$15:$AG$17),"нет","да"))</f>
        <v/>
      </c>
      <c r="G424" s="230"/>
      <c r="H424" s="230"/>
      <c r="I424" s="230"/>
      <c r="J424" s="230"/>
      <c r="K424" s="440"/>
      <c r="L424" s="255"/>
      <c r="M424" s="256"/>
      <c r="N424" s="356"/>
      <c r="O424" s="167"/>
      <c r="P424" s="168"/>
    </row>
    <row r="425" spans="2:16" ht="17.25" customHeight="1" outlineLevel="1">
      <c r="B425" s="179"/>
      <c r="C425" s="180" t="s">
        <v>72</v>
      </c>
      <c r="D425" s="180" t="s">
        <v>496</v>
      </c>
      <c r="E425" s="504">
        <f>J408</f>
        <v>1</v>
      </c>
      <c r="F425" s="212" t="str">
        <f t="array" ref="F425">IF(C425="","",IF(OR(C425=Списки!$AG$15:$AG$17),"нет","да"))</f>
        <v>нет</v>
      </c>
      <c r="G425" s="204"/>
      <c r="H425" s="210"/>
      <c r="I425" s="193">
        <f>1*E425</f>
        <v>1</v>
      </c>
      <c r="J425" s="194">
        <f t="shared" ref="J425" si="103">IF($C$406="нет",0,ROUNDUP(IF(ISBLANK(D425),"",IF(H425="",I425,H425)),1))</f>
        <v>1</v>
      </c>
      <c r="K425" s="178" t="s">
        <v>212</v>
      </c>
      <c r="L425" s="187"/>
      <c r="M425" s="188">
        <f>IFERROR(IF(L425&lt;&gt;"","",VLOOKUP(C425&amp;'Калькулятор КНС'!D425&amp;'Калькулятор КНС'!K425,НН!A:J,10,)),"")</f>
        <v>1207.8</v>
      </c>
      <c r="N425" s="202">
        <f t="shared" ref="N425" si="104">IFERROR(IF(L425="",M425*J425,J425*L425),"")</f>
        <v>1207.8</v>
      </c>
      <c r="O425" s="167"/>
      <c r="P425" s="168"/>
    </row>
    <row r="426" spans="2:16" ht="15" outlineLevel="1">
      <c r="B426" s="179"/>
      <c r="C426" s="180" t="s">
        <v>72</v>
      </c>
      <c r="D426" s="180" t="s">
        <v>749</v>
      </c>
      <c r="E426" s="504">
        <f>J409+J410</f>
        <v>8</v>
      </c>
      <c r="F426" s="212" t="str">
        <f t="array" ref="F426">IF(C426="","",IF(OR(C426=Списки!$AG$15:$AG$17),"нет","да"))</f>
        <v>нет</v>
      </c>
      <c r="G426" s="204"/>
      <c r="H426" s="210"/>
      <c r="I426" s="193">
        <f>1*E426</f>
        <v>8</v>
      </c>
      <c r="J426" s="194">
        <f t="shared" ref="J426:J431" si="105">IF($C$406="нет",0,ROUNDUP(IF(ISBLANK(D426),"",IF(H426="",I426,H426)),1))</f>
        <v>8</v>
      </c>
      <c r="K426" s="178" t="s">
        <v>212</v>
      </c>
      <c r="L426" s="187"/>
      <c r="M426" s="188">
        <f>IFERROR(IF(L426&lt;&gt;"","",VLOOKUP(C426&amp;'Калькулятор КНС'!D426&amp;'Калькулятор КНС'!K426,НН!A:J,10,)),"")</f>
        <v>1207.8</v>
      </c>
      <c r="N426" s="202">
        <f t="shared" si="98"/>
        <v>9662.4</v>
      </c>
      <c r="O426" s="365" t="s">
        <v>497</v>
      </c>
      <c r="P426" s="353" t="s">
        <v>750</v>
      </c>
    </row>
    <row r="427" spans="2:16" ht="19.5" customHeight="1" outlineLevel="1">
      <c r="B427" s="179"/>
      <c r="C427" s="180" t="s">
        <v>72</v>
      </c>
      <c r="D427" s="180" t="s">
        <v>498</v>
      </c>
      <c r="E427" s="504">
        <f>J411</f>
        <v>4</v>
      </c>
      <c r="F427" s="212" t="str">
        <f t="array" ref="F427">IF(C427="","",IF(OR(C427=Списки!$AG$15:$AG$17),"нет","да"))</f>
        <v>нет</v>
      </c>
      <c r="G427" s="204"/>
      <c r="H427" s="210"/>
      <c r="I427" s="193">
        <f>1*E427</f>
        <v>4</v>
      </c>
      <c r="J427" s="194">
        <f t="shared" si="105"/>
        <v>4</v>
      </c>
      <c r="K427" s="178" t="s">
        <v>212</v>
      </c>
      <c r="L427" s="187"/>
      <c r="M427" s="188">
        <f>IFERROR(IF(L427&lt;&gt;"","",VLOOKUP(C427&amp;'Калькулятор КНС'!D427&amp;'Калькулятор КНС'!K427,НН!A:J,10,)),"")</f>
        <v>1207.8</v>
      </c>
      <c r="N427" s="202">
        <f t="shared" si="98"/>
        <v>4831.2</v>
      </c>
      <c r="O427" s="365" t="s">
        <v>499</v>
      </c>
      <c r="P427" s="353" t="s">
        <v>751</v>
      </c>
    </row>
    <row r="428" spans="2:16" ht="15" outlineLevel="1">
      <c r="B428" s="179"/>
      <c r="C428" s="180" t="s">
        <v>72</v>
      </c>
      <c r="D428" s="180" t="s">
        <v>965</v>
      </c>
      <c r="E428" s="504">
        <f>ОЛ_НАСОСНАЯ_СТАНЦИЯ!E55+ОЛ_НАСОСНАЯ_СТАНЦИЯ!E56</f>
        <v>3</v>
      </c>
      <c r="F428" s="212" t="str">
        <f t="array" ref="F428">IF(C428="","",IF(OR(C428=Списки!$AG$15:$AG$17),"нет","да"))</f>
        <v>нет</v>
      </c>
      <c r="G428" s="204"/>
      <c r="H428" s="210"/>
      <c r="I428" s="193">
        <f>2*E428</f>
        <v>6</v>
      </c>
      <c r="J428" s="194">
        <f t="shared" si="105"/>
        <v>6</v>
      </c>
      <c r="K428" s="178" t="s">
        <v>212</v>
      </c>
      <c r="L428" s="187"/>
      <c r="M428" s="188">
        <f>IFERROR(IF(L428&lt;&gt;"","",VLOOKUP(C428&amp;'Калькулятор КНС'!D428&amp;'Калькулятор КНС'!K428,НН!A:J,10,)),"")</f>
        <v>1207.8</v>
      </c>
      <c r="N428" s="202">
        <f t="shared" si="98"/>
        <v>7246.7999999999993</v>
      </c>
      <c r="O428" s="365"/>
      <c r="P428" s="353"/>
    </row>
    <row r="429" spans="2:16" ht="15" outlineLevel="1">
      <c r="B429" s="179"/>
      <c r="C429" s="180" t="s">
        <v>72</v>
      </c>
      <c r="D429" s="180" t="s">
        <v>752</v>
      </c>
      <c r="E429" s="504">
        <f>J413</f>
        <v>3</v>
      </c>
      <c r="F429" s="212" t="str">
        <f t="array" ref="F429">IF(C429="","",IF(OR(C429=Списки!$AG$15:$AG$17),"нет","да"))</f>
        <v>нет</v>
      </c>
      <c r="G429" s="204"/>
      <c r="H429" s="210"/>
      <c r="I429" s="193">
        <f>3*E429</f>
        <v>9</v>
      </c>
      <c r="J429" s="194">
        <f t="shared" si="105"/>
        <v>9</v>
      </c>
      <c r="K429" s="178" t="s">
        <v>212</v>
      </c>
      <c r="L429" s="187"/>
      <c r="M429" s="188">
        <f>IFERROR(IF(L429&lt;&gt;"","",VLOOKUP(C429&amp;'Калькулятор КНС'!D429&amp;'Калькулятор КНС'!K429,НН!A:J,10,)),"")</f>
        <v>1207.8</v>
      </c>
      <c r="N429" s="202">
        <f t="shared" si="98"/>
        <v>10870.199999999999</v>
      </c>
      <c r="O429" s="365" t="s">
        <v>753</v>
      </c>
      <c r="P429" s="168"/>
    </row>
    <row r="430" spans="2:16" ht="15" outlineLevel="1">
      <c r="B430" s="179"/>
      <c r="C430" s="180" t="s">
        <v>72</v>
      </c>
      <c r="D430" s="180" t="s">
        <v>754</v>
      </c>
      <c r="E430" s="504">
        <f>J414</f>
        <v>5</v>
      </c>
      <c r="F430" s="212" t="str">
        <f t="array" ref="F430">IF(C430="","",IF(OR(C430=Списки!$AG$15:$AG$17),"нет","да"))</f>
        <v>нет</v>
      </c>
      <c r="G430" s="204"/>
      <c r="H430" s="210"/>
      <c r="I430" s="193">
        <f>1*E430</f>
        <v>5</v>
      </c>
      <c r="J430" s="194">
        <f t="shared" si="105"/>
        <v>5</v>
      </c>
      <c r="K430" s="178" t="s">
        <v>212</v>
      </c>
      <c r="L430" s="187"/>
      <c r="M430" s="188">
        <f>IFERROR(IF(L430&lt;&gt;"","",VLOOKUP(C430&amp;'Калькулятор КНС'!D430&amp;'Калькулятор КНС'!K430,НН!A:J,10,)),"")</f>
        <v>1207.8</v>
      </c>
      <c r="N430" s="202">
        <f t="shared" si="98"/>
        <v>6039</v>
      </c>
      <c r="O430" s="365" t="s">
        <v>755</v>
      </c>
      <c r="P430" s="168"/>
    </row>
    <row r="431" spans="2:16" ht="15" outlineLevel="1">
      <c r="B431" s="179"/>
      <c r="C431" s="180" t="s">
        <v>72</v>
      </c>
      <c r="D431" s="180" t="s">
        <v>756</v>
      </c>
      <c r="E431" s="803">
        <f>J415+J416</f>
        <v>3</v>
      </c>
      <c r="F431" s="212" t="str">
        <f t="array" ref="F431">IF(C431="","",IF(OR(C431=Списки!$AG$15:$AG$17),"нет","да"))</f>
        <v>нет</v>
      </c>
      <c r="G431" s="204"/>
      <c r="H431" s="210"/>
      <c r="I431" s="193">
        <f>1*J415+1*J416</f>
        <v>3</v>
      </c>
      <c r="J431" s="194">
        <f t="shared" si="105"/>
        <v>3</v>
      </c>
      <c r="K431" s="178" t="s">
        <v>212</v>
      </c>
      <c r="L431" s="187"/>
      <c r="M431" s="188">
        <f>IFERROR(IF(L431&lt;&gt;"","",VLOOKUP(C431&amp;'Калькулятор КНС'!D431&amp;'Калькулятор КНС'!K431,НН!A:J,10,)),"")</f>
        <v>1207.8</v>
      </c>
      <c r="N431" s="202">
        <f t="shared" si="98"/>
        <v>3623.3999999999996</v>
      </c>
      <c r="O431" s="365"/>
      <c r="P431" s="168"/>
    </row>
    <row r="432" spans="2:16" ht="15" outlineLevel="1">
      <c r="B432" s="179"/>
      <c r="C432" s="180" t="s">
        <v>72</v>
      </c>
      <c r="D432" s="180" t="s">
        <v>2043</v>
      </c>
      <c r="E432" s="803">
        <f>J417</f>
        <v>2</v>
      </c>
      <c r="F432" s="212" t="str">
        <f t="array" ref="F432">IF(C432="","",IF(OR(C432=Списки!$AG$15:$AG$17),"нет","да"))</f>
        <v>нет</v>
      </c>
      <c r="G432" s="204"/>
      <c r="H432" s="210"/>
      <c r="I432" s="193">
        <f>1*J417</f>
        <v>2</v>
      </c>
      <c r="J432" s="194">
        <f t="shared" ref="J432" si="106">IF($C$406="нет",0,ROUNDUP(IF(ISBLANK(D432),"",IF(H432="",I432,H432)),1))</f>
        <v>2</v>
      </c>
      <c r="K432" s="178" t="s">
        <v>212</v>
      </c>
      <c r="L432" s="187"/>
      <c r="M432" s="188">
        <f>IFERROR(IF(L432&lt;&gt;"","",VLOOKUP(C432&amp;'Калькулятор КНС'!D432&amp;'Калькулятор КНС'!K432,НН!A:J,10,)),"")</f>
        <v>1207.8</v>
      </c>
      <c r="N432" s="202">
        <f t="shared" ref="N432" si="107">IFERROR(IF(L432="",M432*J432,J432*L432),"")</f>
        <v>2415.6</v>
      </c>
      <c r="O432" s="365"/>
      <c r="P432" s="168"/>
    </row>
    <row r="433" spans="2:16" ht="15" outlineLevel="1">
      <c r="B433" s="179"/>
      <c r="C433" s="180" t="s">
        <v>72</v>
      </c>
      <c r="D433" s="180" t="s">
        <v>969</v>
      </c>
      <c r="E433" s="803">
        <f>J419</f>
        <v>1</v>
      </c>
      <c r="F433" s="212" t="str">
        <f t="array" ref="F433">IF(C433="","",IF(OR(C433=Списки!$AG$15:$AG$17),"нет","да"))</f>
        <v>нет</v>
      </c>
      <c r="G433" s="204"/>
      <c r="H433" s="210"/>
      <c r="I433" s="193">
        <f>6*J419</f>
        <v>6</v>
      </c>
      <c r="J433" s="194">
        <f t="shared" ref="J433" si="108">IF($C$406="нет",0,ROUNDUP(IF(ISBLANK(D433),"",IF(H433="",I433,H433)),1))</f>
        <v>6</v>
      </c>
      <c r="K433" s="178" t="s">
        <v>212</v>
      </c>
      <c r="L433" s="187"/>
      <c r="M433" s="188">
        <f>IFERROR(IF(L433&lt;&gt;"","",VLOOKUP(C433&amp;'Калькулятор КНС'!D433&amp;'Калькулятор КНС'!K433,НН!A:J,10,)),"")</f>
        <v>1207.8</v>
      </c>
      <c r="N433" s="202">
        <f t="shared" ref="N433" si="109">IFERROR(IF(L433="",M433*J433,J433*L433),"")</f>
        <v>7246.7999999999993</v>
      </c>
      <c r="O433" s="365"/>
      <c r="P433" s="168"/>
    </row>
    <row r="434" spans="2:16" ht="15" outlineLevel="1">
      <c r="B434" s="361"/>
      <c r="C434" s="306"/>
      <c r="D434" s="307" t="s">
        <v>377</v>
      </c>
      <c r="E434" s="362"/>
      <c r="F434" s="309"/>
      <c r="G434" s="310"/>
      <c r="H434" s="311"/>
      <c r="I434" s="363"/>
      <c r="J434" s="364"/>
      <c r="K434" s="314"/>
      <c r="L434" s="315"/>
      <c r="M434" s="316"/>
      <c r="N434" s="317"/>
      <c r="O434" s="365"/>
      <c r="P434" s="298"/>
    </row>
    <row r="435" spans="2:16" ht="22.5" customHeight="1" outlineLevel="1">
      <c r="B435" s="318"/>
      <c r="C435" s="506"/>
      <c r="D435" s="332"/>
      <c r="E435" s="405" t="s">
        <v>500</v>
      </c>
      <c r="F435" s="332"/>
      <c r="G435" s="407">
        <f>SUM(G409:G434)</f>
        <v>0</v>
      </c>
      <c r="H435" s="332"/>
      <c r="I435" s="332"/>
      <c r="J435" s="408"/>
      <c r="K435" s="503"/>
      <c r="L435" s="409"/>
      <c r="M435" s="501"/>
      <c r="N435" s="509">
        <f>SUM(N408:N434)</f>
        <v>2186462.6999999997</v>
      </c>
      <c r="O435" s="214"/>
      <c r="P435" s="331"/>
    </row>
    <row r="436" spans="2:16" ht="15.75" outlineLevel="1">
      <c r="B436" s="318"/>
      <c r="C436" s="506"/>
      <c r="D436" s="332"/>
      <c r="E436" s="333" t="s">
        <v>379</v>
      </c>
      <c r="F436" s="336"/>
      <c r="G436" s="335"/>
      <c r="H436" s="336"/>
      <c r="I436" s="336"/>
      <c r="J436" s="511"/>
      <c r="K436" s="512"/>
      <c r="L436" s="335"/>
      <c r="M436" s="804"/>
      <c r="N436" s="341" cm="1">
        <f t="array" ref="N436">SUM(SUMIF(C408:C434,Списки!$AG$2:$AG$14,N408:N434))</f>
        <v>2133319.5</v>
      </c>
      <c r="O436" s="379"/>
      <c r="P436" s="331"/>
    </row>
    <row r="437" spans="2:16" ht="15.75" outlineLevel="1">
      <c r="B437" s="318"/>
      <c r="C437" s="513"/>
      <c r="D437" s="805"/>
      <c r="E437" s="343" t="s">
        <v>382</v>
      </c>
      <c r="F437" s="346"/>
      <c r="G437" s="716"/>
      <c r="H437" s="346"/>
      <c r="I437" s="346"/>
      <c r="J437" s="514">
        <f>ROUNDUP(SUMIFS($J$409:$J$434,$K$409:$K$434,Списки!$S$5)-SUMIFS($J$409:$J$434,$K$409:$K$434,Списки!$S$5,$D$409:$D$434,"*изготов*"),1)</f>
        <v>44</v>
      </c>
      <c r="K437" s="515" t="s">
        <v>212</v>
      </c>
      <c r="L437" s="716"/>
      <c r="M437" s="717"/>
      <c r="N437" s="718">
        <f>SUMIF($K$408:$K$434,Списки!$S$5,$N$408:$N$434)-SUMIFS($N$408:$N$434,$K$408:$K$434,Списки!$S$5,$D$408:$D$434,"*изготов*")</f>
        <v>53143.199999999997</v>
      </c>
      <c r="O437" s="379"/>
      <c r="P437" s="331"/>
    </row>
    <row r="438" spans="2:16" ht="15.75" outlineLevel="1">
      <c r="B438" s="318"/>
      <c r="C438" s="513"/>
      <c r="D438" s="380"/>
      <c r="E438" s="333" t="s">
        <v>383</v>
      </c>
      <c r="F438" s="346"/>
      <c r="G438" s="716"/>
      <c r="H438" s="346"/>
      <c r="I438" s="346"/>
      <c r="J438" s="514">
        <f>ROUNDUP(SUMIFS($J$409:$J$434,$K$409:$K$434,Списки!$S$5,$D$409:$D$434,"*изготов*"),1)</f>
        <v>0</v>
      </c>
      <c r="K438" s="515" t="s">
        <v>212</v>
      </c>
      <c r="L438" s="716"/>
      <c r="M438" s="717"/>
      <c r="N438" s="718">
        <f>SUMIFS($N$408:$N$434,$K$408:$K$434,Списки!$S$5,$D$408:$D$434,"*изготов*")</f>
        <v>0</v>
      </c>
      <c r="O438" s="379"/>
      <c r="P438" s="331"/>
    </row>
    <row r="441" spans="2:16" ht="15.75">
      <c r="C441" s="961"/>
      <c r="D441" s="961"/>
      <c r="E441" s="539" t="s">
        <v>501</v>
      </c>
      <c r="F441" s="538"/>
      <c r="G441" s="540"/>
      <c r="H441" s="538"/>
      <c r="I441" s="538"/>
      <c r="J441" s="541">
        <f>ROUNDUP(SUMIF($E$13:$E$439,"в т.ч. Работы участка фитингов, ФОТ:",$J$13:$J$439),1)</f>
        <v>649</v>
      </c>
      <c r="K441" s="542" t="s">
        <v>212</v>
      </c>
      <c r="L441" s="806"/>
      <c r="M441" s="807"/>
      <c r="N441" s="544">
        <f>SUMIF($E$14:$E$439,"в т.ч. Работы участка фитингов, ФОТ:",$N$14:$N$439)</f>
        <v>762028.89230769221</v>
      </c>
      <c r="O441" s="808"/>
    </row>
    <row r="442" spans="2:16" ht="15.75">
      <c r="C442" s="961"/>
      <c r="D442" s="961"/>
      <c r="E442" s="539" t="s">
        <v>502</v>
      </c>
      <c r="F442" s="538"/>
      <c r="G442" s="540"/>
      <c r="H442" s="538"/>
      <c r="I442" s="538"/>
      <c r="J442" s="541">
        <f>ROUNDUP(SUMIF($E$13:$E$439,"в т.ч. Работы участка РМУ, ФОТ:",$J$13:$J$439),1)</f>
        <v>102</v>
      </c>
      <c r="K442" s="542" t="s">
        <v>212</v>
      </c>
      <c r="L442" s="806"/>
      <c r="M442" s="807"/>
      <c r="N442" s="544">
        <f>SUMIF($E$14:$E$439,"в т.ч. Работы участка РМУ, ФОТ:",$N$14:$N$439)</f>
        <v>123195.6</v>
      </c>
      <c r="O442" s="808"/>
    </row>
    <row r="443" spans="2:16" ht="15.75">
      <c r="C443" s="961"/>
      <c r="D443" s="961"/>
      <c r="E443" s="539" t="s">
        <v>503</v>
      </c>
      <c r="F443" s="538"/>
      <c r="G443" s="540"/>
      <c r="H443" s="538"/>
      <c r="I443" s="538"/>
      <c r="J443" s="541">
        <f>ROUNDUP(SUMIF($E$13:$E$439,"в т.ч. Работы участка фитингов, ФОТ:",$J$13:$J$439)/11,1)</f>
        <v>59</v>
      </c>
      <c r="K443" s="542" t="s">
        <v>212</v>
      </c>
      <c r="L443" s="962">
        <v>1207.8</v>
      </c>
      <c r="M443" s="582"/>
      <c r="N443" s="544">
        <f>J443*L443</f>
        <v>71260.2</v>
      </c>
      <c r="O443" s="808"/>
    </row>
    <row r="444" spans="2:16" ht="15.75">
      <c r="C444" s="961"/>
      <c r="D444" s="961"/>
      <c r="E444" s="547" t="s">
        <v>504</v>
      </c>
      <c r="F444" s="538"/>
      <c r="G444" s="540"/>
      <c r="H444" s="538"/>
      <c r="I444" s="538"/>
      <c r="J444" s="548"/>
      <c r="K444" s="549"/>
      <c r="L444" s="963"/>
      <c r="M444" s="548"/>
      <c r="N444" s="544"/>
      <c r="O444" s="535"/>
    </row>
    <row r="445" spans="2:16" ht="15.75">
      <c r="C445" s="961"/>
      <c r="D445" s="961"/>
      <c r="E445" s="550" t="s">
        <v>505</v>
      </c>
      <c r="F445" s="538"/>
      <c r="G445" s="540"/>
      <c r="H445" s="538"/>
      <c r="I445" s="538"/>
      <c r="J445" s="551">
        <f>IF($J$13&lt;2,ROUNDUP(K452*0.05,1),ROUNDUP(K452*0.05,1)/$J$13)</f>
        <v>44.7</v>
      </c>
      <c r="K445" s="552" t="s">
        <v>193</v>
      </c>
      <c r="L445" s="964">
        <v>109.4</v>
      </c>
      <c r="M445" s="577"/>
      <c r="N445" s="544">
        <f t="shared" ref="N445:N447" si="110">J445*L445</f>
        <v>4890.18</v>
      </c>
      <c r="O445" s="808"/>
    </row>
    <row r="446" spans="2:16" ht="15.75">
      <c r="C446" s="961"/>
      <c r="D446" s="961"/>
      <c r="E446" s="550" t="s">
        <v>506</v>
      </c>
      <c r="F446" s="538"/>
      <c r="G446" s="540"/>
      <c r="H446" s="538"/>
      <c r="I446" s="538"/>
      <c r="J446" s="554">
        <f>ROUNDUP(J441+302,)</f>
        <v>951</v>
      </c>
      <c r="K446" s="552" t="s">
        <v>507</v>
      </c>
      <c r="L446" s="964">
        <v>122</v>
      </c>
      <c r="M446" s="577"/>
      <c r="N446" s="544">
        <f t="shared" si="110"/>
        <v>116022</v>
      </c>
      <c r="O446" s="808"/>
    </row>
    <row r="447" spans="2:16" ht="15.75">
      <c r="C447" s="961"/>
      <c r="D447" s="961"/>
      <c r="E447" s="550" t="s">
        <v>508</v>
      </c>
      <c r="F447" s="538"/>
      <c r="G447" s="540"/>
      <c r="H447" s="538"/>
      <c r="I447" s="538"/>
      <c r="J447" s="557">
        <f>ROUNDUP(J441+J443,1)</f>
        <v>708</v>
      </c>
      <c r="K447" s="552" t="s">
        <v>212</v>
      </c>
      <c r="L447" s="1008">
        <v>1584.73</v>
      </c>
      <c r="M447" s="577"/>
      <c r="N447" s="809">
        <f t="shared" si="110"/>
        <v>1121988.8400000001</v>
      </c>
      <c r="O447" s="808"/>
    </row>
    <row r="448" spans="2:16" ht="15.75">
      <c r="C448" s="961"/>
      <c r="D448" s="961"/>
      <c r="E448" s="550"/>
      <c r="F448" s="538"/>
      <c r="G448" s="725" t="str">
        <f>IF($J$13&lt;2,"","за 1 корп:")</f>
        <v/>
      </c>
      <c r="H448" s="561" t="str">
        <f>IF($J$13&lt;2,"","за "&amp;$J$13&amp;" корп:")</f>
        <v/>
      </c>
      <c r="I448" s="565"/>
      <c r="J448" s="725" t="str">
        <f>IF($J$13&lt;2,"","за 1 корп:")</f>
        <v/>
      </c>
      <c r="K448" s="561" t="str">
        <f>IF($J$13&lt;2,"","за "&amp;$J$13&amp;" корп:")</f>
        <v/>
      </c>
      <c r="L448" s="726"/>
      <c r="M448" s="725" t="str">
        <f>IF($J$13&lt;2,"","за 1 корп:")</f>
        <v/>
      </c>
      <c r="N448" s="561" t="str">
        <f>IF($J$13&lt;2,"","за "&amp;$J$13&amp;" корп:")</f>
        <v/>
      </c>
      <c r="O448" s="558"/>
    </row>
    <row r="449" spans="3:15" ht="18">
      <c r="C449" s="961"/>
      <c r="D449" s="961"/>
      <c r="E449" s="562" t="s">
        <v>509</v>
      </c>
      <c r="F449" s="538"/>
      <c r="G449" s="564" t="str">
        <f>IF($J$13&lt;2,"",G435+G402+G377+G283+G253+G133+G115+G95)</f>
        <v/>
      </c>
      <c r="H449" s="728">
        <f>IF($J$13&lt;2,G435+G402+G377+G283+G253+G133+G115+G95,(G435+G402+G377+G283+G253+G133+G115+G95)*$J$13)</f>
        <v>11308.274793142858</v>
      </c>
      <c r="I449" s="565"/>
      <c r="J449" s="566"/>
      <c r="K449" s="567"/>
      <c r="L449" s="568"/>
      <c r="M449" s="568" t="str">
        <f>IF($J$13&lt;2,"",M454+M451+M452+M455+M453)</f>
        <v/>
      </c>
      <c r="N449" s="570">
        <f>N454+N451+N452+N455+N453</f>
        <v>5754682.2892328892</v>
      </c>
      <c r="O449" s="558">
        <f ca="1">SUMIF(E14:E439,"Итого:*",N14:N439)+SUM(N445:N447)+N443</f>
        <v>5754682.2892328883</v>
      </c>
    </row>
    <row r="450" spans="3:15" ht="18">
      <c r="C450" s="961"/>
      <c r="D450" s="961"/>
      <c r="E450" s="571" t="s">
        <v>510</v>
      </c>
      <c r="F450" s="572"/>
      <c r="G450" s="573"/>
      <c r="H450" s="574"/>
      <c r="I450" s="574"/>
      <c r="J450" s="575"/>
      <c r="K450" s="576"/>
      <c r="L450" s="577"/>
      <c r="M450" s="577"/>
      <c r="N450" s="578"/>
      <c r="O450" s="535"/>
    </row>
    <row r="451" spans="3:15" ht="15">
      <c r="C451" s="961"/>
      <c r="D451" s="961"/>
      <c r="E451" s="579" t="s">
        <v>511</v>
      </c>
      <c r="F451" s="572"/>
      <c r="G451" s="573"/>
      <c r="H451" s="574"/>
      <c r="I451" s="574"/>
      <c r="J451" s="585"/>
      <c r="K451" s="586"/>
      <c r="L451" s="582"/>
      <c r="M451" s="583" t="str">
        <f>IF($J$13&lt;2,"",SUMIF($E$14:$E$439,"в т.ч. Труба, муфта:",$N$14:$N$439))</f>
        <v/>
      </c>
      <c r="N451" s="584">
        <f>IF($J$13&lt;2,SUMIF($E$14:$E$439,"в т.ч. Труба, муфта:",$N$14:$N$439),SUMIF($E$14:$E$439,"в т.ч. Труба, муфта:",$N$14:$N$439)*$J$13)</f>
        <v>12</v>
      </c>
      <c r="O451" s="558">
        <f>(N255+N256+N284+N285+N379+N380)*0.33</f>
        <v>100194.73200000002</v>
      </c>
    </row>
    <row r="452" spans="3:15" ht="15">
      <c r="C452" s="961"/>
      <c r="D452" s="961"/>
      <c r="E452" s="579" t="s">
        <v>512</v>
      </c>
      <c r="F452" s="572"/>
      <c r="G452" s="573"/>
      <c r="H452" s="574"/>
      <c r="I452" s="574"/>
      <c r="J452" s="585" t="str">
        <f>IF($J$13&lt;2,"",SUMIF($E$14:$E$439,"в т.ч. Формовка:",$J$14:$J$439))</f>
        <v/>
      </c>
      <c r="K452" s="586">
        <f>IF($J$13&lt;2,SUMIF($E$14:$E$439,"в т.ч. Формовка:",$J$14:$J$439),$J$13*(SUMIF($E$14:$E$439,"в т.ч. Формовка:",$J$14:$J$439)))</f>
        <v>892.85084061350892</v>
      </c>
      <c r="L452" s="582"/>
      <c r="M452" s="583" t="str">
        <f>IF($J$13&lt;2,"",SUMIF($E$14:$E$439,"в т.ч. Формовка:",$N$14:$N$439))</f>
        <v/>
      </c>
      <c r="N452" s="584">
        <f>IF($J$13&lt;2,SUMIF($E$14:$E$439,"в т.ч. Формовка:",$N$14:$N$439),SUMIF($E$14:$E$439,"в т.ч. Формовка:",$N$14:$N$439)*$J$13)</f>
        <v>235980.67903161401</v>
      </c>
      <c r="O452" s="535"/>
    </row>
    <row r="453" spans="3:15" ht="15">
      <c r="C453" s="961"/>
      <c r="D453" s="961"/>
      <c r="E453" s="587" t="s">
        <v>513</v>
      </c>
      <c r="F453" s="572"/>
      <c r="G453" s="573"/>
      <c r="H453" s="574"/>
      <c r="I453" s="574"/>
      <c r="J453" s="729" t="str">
        <f>IFERROR(ROUNDUP(IF($J$13&lt;2,"",SUMIF($E$14:$E$439,"в т.ч. Работы участка фитингов, ФОТ:",$J$14:$J$439)+SUMIF($E$14:$E$439,"в т.ч. Работы участка РМУ, ФОТ:",$J$14:$J$439)+#REF!+J443),1),"")</f>
        <v/>
      </c>
      <c r="K453" s="730">
        <f>ROUNDUP(IF($J$13&lt;2,SUMIF($E$14:$E$439,"в т.ч. Работы участка фитингов, ФОТ:",$J$14:$J$439)+SUMIF($E$14:$E$439,"в т.ч. Работы участка РМУ, ФОТ:",$J$14:$J$439)+J443,$J$13*(SUMIF($E$14:$E$439,"в т.ч. Работы участка фитингов, ФОТ:",$J$14:$J$439)+SUMIF($E$14:$E$439,"в т.ч. Работы участка РМУ, ФОТ:",$J$14:$J$439)+J443)),1)</f>
        <v>810</v>
      </c>
      <c r="L453" s="582"/>
      <c r="M453" s="583" t="str">
        <f>IF($J$13&lt;2,"",N441+N443+N442)</f>
        <v/>
      </c>
      <c r="N453" s="584">
        <f>IF($J$13&lt;2,N441+N443+N442,(N441+N443+N442)*$J$13)</f>
        <v>956484.69230769214</v>
      </c>
      <c r="O453" s="558"/>
    </row>
    <row r="454" spans="3:15" ht="15">
      <c r="C454" s="961"/>
      <c r="D454" s="961"/>
      <c r="E454" s="579" t="s">
        <v>514</v>
      </c>
      <c r="F454" s="572"/>
      <c r="G454" s="573"/>
      <c r="H454" s="574"/>
      <c r="I454" s="574"/>
      <c r="J454" s="580"/>
      <c r="K454" s="581"/>
      <c r="L454" s="582"/>
      <c r="M454" s="583" t="str">
        <f>IF($J$13&lt;2,"",SUMIF($E$14:$E$439,"в т.ч. Материалы на закупку:",$N$14:$N$439))</f>
        <v/>
      </c>
      <c r="N454" s="584">
        <f>IF($J$13&lt;2,SUMIF($E$14:$E$439,"в т.ч. Материалы на закупку:",$N$14:$N$439),SUMIF($E$14:$E$439,"в т.ч. Материалы на закупку:",$N$14:$N$439)*$J$13)</f>
        <v>3319303.8978935834</v>
      </c>
      <c r="O454" s="558"/>
    </row>
    <row r="455" spans="3:15" ht="15.75" thickBot="1">
      <c r="C455" s="961"/>
      <c r="D455" s="961"/>
      <c r="E455" s="579" t="s">
        <v>504</v>
      </c>
      <c r="F455" s="572"/>
      <c r="G455" s="573"/>
      <c r="H455" s="574"/>
      <c r="I455" s="574"/>
      <c r="J455" s="580"/>
      <c r="K455" s="581"/>
      <c r="L455" s="582"/>
      <c r="M455" s="590" t="str">
        <f>IF($J$13&lt;2,"",N445+N446+N447)</f>
        <v/>
      </c>
      <c r="N455" s="584">
        <f>IF($J$13&lt;2,N445+N446+N447,(N445+N446+N447)*$J$13)</f>
        <v>1242901.02</v>
      </c>
      <c r="O455" s="558"/>
    </row>
    <row r="456" spans="3:15" ht="22.5" customHeight="1" thickTop="1">
      <c r="C456" s="961"/>
      <c r="D456" s="961"/>
      <c r="E456" s="591" t="s">
        <v>515</v>
      </c>
      <c r="F456" s="528"/>
      <c r="G456" s="592"/>
      <c r="H456" s="528"/>
      <c r="I456" s="528"/>
      <c r="J456" s="528"/>
      <c r="K456" s="528"/>
      <c r="L456" s="528"/>
      <c r="M456" s="593"/>
      <c r="N456" s="594">
        <v>0.43</v>
      </c>
      <c r="O456" s="535"/>
    </row>
    <row r="457" spans="3:15" ht="31.5" customHeight="1">
      <c r="C457" s="961"/>
      <c r="D457" s="961"/>
      <c r="E457" s="595" t="s">
        <v>516</v>
      </c>
      <c r="F457" s="538"/>
      <c r="G457" s="596"/>
      <c r="H457" s="538"/>
      <c r="I457" s="538"/>
      <c r="J457" s="596"/>
      <c r="K457" s="596"/>
      <c r="L457" s="596"/>
      <c r="M457" s="597" t="str">
        <f>IF($J$13&lt;2,"",ROUNDUP(M449*N456+M449,-2))</f>
        <v/>
      </c>
      <c r="N457" s="570">
        <f>ROUNDUP(N449*N456+N449,-2)</f>
        <v>8229200</v>
      </c>
      <c r="O457" s="810"/>
    </row>
    <row r="458" spans="3:15" ht="14.45" customHeight="1">
      <c r="C458" s="961"/>
      <c r="D458" s="961"/>
      <c r="E458" s="599" t="s">
        <v>517</v>
      </c>
      <c r="F458" s="598"/>
      <c r="G458" s="600"/>
      <c r="H458" s="598"/>
      <c r="I458" s="598"/>
      <c r="J458" s="600"/>
      <c r="K458" s="600"/>
      <c r="L458" s="600"/>
      <c r="M458" s="601"/>
      <c r="N458" s="602">
        <f>(N457-N449)/N457</f>
        <v>0.30069966834772649</v>
      </c>
      <c r="O458" s="118"/>
    </row>
  </sheetData>
  <autoFilter ref="B10:Q457" xr:uid="{00000000-0009-0000-0000-000009000000}"/>
  <mergeCells count="21">
    <mergeCell ref="B367:N367"/>
    <mergeCell ref="B359:N359"/>
    <mergeCell ref="G139:N139"/>
    <mergeCell ref="H140:N140"/>
    <mergeCell ref="A314:N314"/>
    <mergeCell ref="B326:N326"/>
    <mergeCell ref="B347:N347"/>
    <mergeCell ref="F291:N291"/>
    <mergeCell ref="F233:N233"/>
    <mergeCell ref="F236:N236"/>
    <mergeCell ref="F303:N303"/>
    <mergeCell ref="F364:N364"/>
    <mergeCell ref="B302:N302"/>
    <mergeCell ref="B363:N363"/>
    <mergeCell ref="L148:M148"/>
    <mergeCell ref="K177:L177"/>
    <mergeCell ref="L162:M162"/>
    <mergeCell ref="D157:N157"/>
    <mergeCell ref="F230:N230"/>
    <mergeCell ref="F122:G123"/>
    <mergeCell ref="J122:N123"/>
  </mergeCells>
  <conditionalFormatting sqref="B162 E162:L162 N162 B163:N170 C171:N171">
    <cfRule type="containsText" dxfId="269" priority="290" operator="containsText" text="0">
      <formula>NOT(ISERROR(SEARCH("0",B162)))</formula>
    </cfRule>
  </conditionalFormatting>
  <conditionalFormatting sqref="B302">
    <cfRule type="expression" dxfId="268" priority="56">
      <formula>$D$290=OR($D$290=65,$D$290=80,$D$290=100,$D$290=150)</formula>
    </cfRule>
  </conditionalFormatting>
  <conditionalFormatting sqref="B417:D417 F417 B432:N432">
    <cfRule type="expression" dxfId="267" priority="127">
      <formula>$G$417="нет"</formula>
    </cfRule>
  </conditionalFormatting>
  <conditionalFormatting sqref="B42:N42">
    <cfRule type="expression" dxfId="261" priority="1">
      <formula>$J$42=0</formula>
    </cfRule>
  </conditionalFormatting>
  <conditionalFormatting sqref="B127:N127">
    <cfRule type="expression" dxfId="260" priority="4">
      <formula>$C$121="Алюминиевая"</formula>
    </cfRule>
    <cfRule type="expression" dxfId="259" priority="5">
      <formula>$C$121="Нержавеющая сталь"</formula>
    </cfRule>
  </conditionalFormatting>
  <conditionalFormatting sqref="B129:N130">
    <cfRule type="expression" dxfId="258" priority="3">
      <formula>$C$121="Алюминиевая"</formula>
    </cfRule>
  </conditionalFormatting>
  <conditionalFormatting sqref="B131:N131">
    <cfRule type="expression" dxfId="257" priority="2">
      <formula>$C$121="Нержавеющая сталь"</formula>
    </cfRule>
  </conditionalFormatting>
  <conditionalFormatting sqref="B157:N160">
    <cfRule type="expression" dxfId="256" priority="116">
      <formula>$C$157="нет"</formula>
    </cfRule>
  </conditionalFormatting>
  <conditionalFormatting sqref="B162:N171">
    <cfRule type="expression" dxfId="255" priority="129">
      <formula>$C$162="нет"</formula>
    </cfRule>
  </conditionalFormatting>
  <conditionalFormatting sqref="B163:N170 E162:L162 B162 N162 C171:N171">
    <cfRule type="containsText" dxfId="254" priority="289" operator="containsText" text="да, нет">
      <formula>NOT(ISERROR(SEARCH("да, нет",B162)))</formula>
    </cfRule>
  </conditionalFormatting>
  <conditionalFormatting sqref="B177:N179">
    <cfRule type="expression" dxfId="252" priority="126">
      <formula>$C$177="нет"</formula>
    </cfRule>
  </conditionalFormatting>
  <conditionalFormatting sqref="B290:N301 B302">
    <cfRule type="expression" dxfId="250" priority="60">
      <formula>IF(OR($D$290=65,$D$290=80,$D$290=100,$D$290=150),0,)</formula>
    </cfRule>
  </conditionalFormatting>
  <conditionalFormatting sqref="B291:N301 B302">
    <cfRule type="expression" dxfId="249" priority="58">
      <formula>IF(OR($D$290=65,$D$290=80,$D$290=100,$D$290=150),0)</formula>
    </cfRule>
    <cfRule type="expression" dxfId="248" priority="63">
      <formula>$N$292:$N$301="0"</formula>
    </cfRule>
  </conditionalFormatting>
  <conditionalFormatting sqref="B291:N301">
    <cfRule type="expression" dxfId="247" priority="49">
      <formula>$D$290=OR($D$290=65,$D$290=80,$D$290=100,$D$290=150)</formula>
    </cfRule>
    <cfRule type="expression" dxfId="246" priority="52">
      <formula>$D$290&lt;&gt;$E$291</formula>
    </cfRule>
  </conditionalFormatting>
  <conditionalFormatting sqref="B292:N301 B302">
    <cfRule type="expression" dxfId="245" priority="57">
      <formula>"ИЛИ($D$287=65;$D$287=80;$D$287=100;$D$287=150)"</formula>
    </cfRule>
  </conditionalFormatting>
  <conditionalFormatting sqref="B292:N301">
    <cfRule type="expression" dxfId="243" priority="51">
      <formula>"$D$287=65;$D$287=80;$D$287=100;$D$287=150"</formula>
    </cfRule>
  </conditionalFormatting>
  <conditionalFormatting sqref="B303:N313">
    <cfRule type="expression" dxfId="242" priority="46">
      <formula>$D$290&lt;&gt;$E$303</formula>
    </cfRule>
  </conditionalFormatting>
  <conditionalFormatting sqref="B425:N425">
    <cfRule type="expression" dxfId="241" priority="22">
      <formula>$J$408=0</formula>
    </cfRule>
  </conditionalFormatting>
  <conditionalFormatting sqref="C119">
    <cfRule type="expression" dxfId="240" priority="8">
      <formula>$C$258="нет"</formula>
    </cfRule>
  </conditionalFormatting>
  <conditionalFormatting sqref="C121">
    <cfRule type="containsErrors" dxfId="239" priority="9">
      <formula>ISERROR(C121)</formula>
    </cfRule>
    <cfRule type="expression" dxfId="238" priority="10">
      <formula>$C$258="нет"</formula>
    </cfRule>
  </conditionalFormatting>
  <conditionalFormatting sqref="C204">
    <cfRule type="expression" dxfId="237" priority="251">
      <formula>$C$194="нет"</formula>
    </cfRule>
  </conditionalFormatting>
  <conditionalFormatting sqref="C50:D50 F50:N50 C51:N56">
    <cfRule type="expression" dxfId="236" priority="2577">
      <formula>$C$50="НЕТ"</formula>
    </cfRule>
  </conditionalFormatting>
  <conditionalFormatting sqref="C157:D157 C368:D372 C328:D346 F328:N346 C349:D358 C360:D362 C364:D366 C139:G139 C140:H140 F368 F369:N372">
    <cfRule type="containsErrors" dxfId="235" priority="117">
      <formula>ISERROR(C139)</formula>
    </cfRule>
  </conditionalFormatting>
  <conditionalFormatting sqref="C162:D162 C230:D239">
    <cfRule type="containsErrors" dxfId="234" priority="284">
      <formula>ISERROR(C162)</formula>
    </cfRule>
    <cfRule type="expression" dxfId="233" priority="285">
      <formula>$C$172="нет"</formula>
    </cfRule>
  </conditionalFormatting>
  <conditionalFormatting sqref="C168:D169 F168:N171">
    <cfRule type="expression" dxfId="232" priority="294">
      <formula>$F$140&lt;1200</formula>
    </cfRule>
  </conditionalFormatting>
  <conditionalFormatting sqref="C170:D171">
    <cfRule type="expression" dxfId="231" priority="296">
      <formula>$F$140&lt;1200</formula>
    </cfRule>
  </conditionalFormatting>
  <conditionalFormatting sqref="C199:D203">
    <cfRule type="expression" dxfId="230" priority="262">
      <formula>$C$194="нет"</formula>
    </cfRule>
  </conditionalFormatting>
  <conditionalFormatting sqref="C205:D206 C208:D208 F208:N208">
    <cfRule type="expression" dxfId="229" priority="371">
      <formula>$C$182="нет"</formula>
    </cfRule>
  </conditionalFormatting>
  <conditionalFormatting sqref="C292:D301">
    <cfRule type="containsErrors" dxfId="228" priority="78">
      <formula>ISERROR(C292)</formula>
    </cfRule>
  </conditionalFormatting>
  <conditionalFormatting sqref="C303:D313">
    <cfRule type="containsErrors" dxfId="227" priority="66">
      <formula>ISERROR(C303)</formula>
    </cfRule>
  </conditionalFormatting>
  <conditionalFormatting sqref="C316:D325">
    <cfRule type="containsErrors" dxfId="226" priority="82">
      <formula>ISERROR(C316)</formula>
    </cfRule>
  </conditionalFormatting>
  <conditionalFormatting sqref="C327:D346 F327:N346 C348:D358 C360:D362 C364:D366 F368 C368:D372 F369:N372 F348:N358 F361:N362 F365:N366 F360 C315:D325 F315:N325 C291:D301 F292:N301 F304:N313 C303:D313 F303 F364 C288:N290 F291 C373:N380">
    <cfRule type="expression" dxfId="225" priority="449">
      <formula>$C$288="нет"</formula>
    </cfRule>
  </conditionalFormatting>
  <conditionalFormatting sqref="C383:D398 F383:N398">
    <cfRule type="containsErrors" dxfId="224" priority="21">
      <formula>ISERROR(C383)</formula>
    </cfRule>
  </conditionalFormatting>
  <conditionalFormatting sqref="C269:E275 C276:N277 G273:L275 G269:K272 C268:N268">
    <cfRule type="expression" dxfId="223" priority="398">
      <formula>$C$259="ПЭ"</formula>
    </cfRule>
  </conditionalFormatting>
  <conditionalFormatting sqref="C204:G204">
    <cfRule type="containsErrors" dxfId="222" priority="252">
      <formula>ISERROR(C204)</formula>
    </cfRule>
  </conditionalFormatting>
  <conditionalFormatting sqref="C176:I177 C178:N180 J177:K177 M177:N177">
    <cfRule type="expression" dxfId="221" priority="360">
      <formula>$C$148="нет"</formula>
    </cfRule>
  </conditionalFormatting>
  <conditionalFormatting sqref="C176:I177 J177:K177 M177:N177 C178:N198 C199:G199 C200:N203 J176:N176 C275:D277 C443:K447 M443:N447 C448:N1048576">
    <cfRule type="containsErrors" dxfId="219" priority="364">
      <formula>ISERROR(C176)</formula>
    </cfRule>
  </conditionalFormatting>
  <conditionalFormatting sqref="C15:N15">
    <cfRule type="expression" dxfId="217" priority="532">
      <formula>$E$14="труба частями"</formula>
    </cfRule>
  </conditionalFormatting>
  <conditionalFormatting sqref="C28:N28">
    <cfRule type="expression" dxfId="215" priority="1145">
      <formula>$J$28=0</formula>
    </cfRule>
  </conditionalFormatting>
  <conditionalFormatting sqref="C32:N32">
    <cfRule type="containsErrors" dxfId="214" priority="138">
      <formula>ISERROR(C32)</formula>
    </cfRule>
  </conditionalFormatting>
  <conditionalFormatting sqref="C34:N34">
    <cfRule type="expression" dxfId="212" priority="146">
      <formula>$J$28=0</formula>
    </cfRule>
  </conditionalFormatting>
  <conditionalFormatting sqref="C42:N42">
    <cfRule type="expression" dxfId="211" priority="150">
      <formula>$J$28=0</formula>
    </cfRule>
  </conditionalFormatting>
  <conditionalFormatting sqref="C51:N51">
    <cfRule type="expression" dxfId="210" priority="2579">
      <formula>$C$50="нет"</formula>
    </cfRule>
  </conditionalFormatting>
  <conditionalFormatting sqref="C63:N72 C90:N91">
    <cfRule type="expression" dxfId="207" priority="494">
      <formula>$C$63="нет"</formula>
    </cfRule>
  </conditionalFormatting>
  <conditionalFormatting sqref="C91:N91">
    <cfRule type="expression" dxfId="205" priority="490">
      <formula>$E$91="нет"</formula>
    </cfRule>
  </conditionalFormatting>
  <conditionalFormatting sqref="C124:N125">
    <cfRule type="expression" dxfId="203" priority="7">
      <formula>$C$121="Алюминиевая"</formula>
    </cfRule>
  </conditionalFormatting>
  <conditionalFormatting sqref="C146:N147 C163:I163 C158:N161 C1:N31 C33:N49 C172:N175 C216:N229 C149:N156 C209:N213 D214:N214 C214:C215 E215:N215 C240:N257">
    <cfRule type="containsErrors" dxfId="202" priority="299">
      <formula>ISERROR(C1)</formula>
    </cfRule>
  </conditionalFormatting>
  <conditionalFormatting sqref="C149:N156 C158:N161 C163:I163 E162:I162 N162:N163 C157:D157 C148:L148 N148">
    <cfRule type="expression" dxfId="201" priority="967">
      <formula>$C$148="нет"</formula>
    </cfRule>
  </conditionalFormatting>
  <conditionalFormatting sqref="C150:N151 C220:N220">
    <cfRule type="expression" dxfId="200" priority="529">
      <formula>$L$148="Квадратный (прямоугольный)"</formula>
    </cfRule>
  </conditionalFormatting>
  <conditionalFormatting sqref="C164:N169 D168:D170 F170:N171 C170:D171">
    <cfRule type="containsErrors" dxfId="199" priority="295">
      <formula>ISERROR(C164)</formula>
    </cfRule>
  </conditionalFormatting>
  <conditionalFormatting sqref="C164:N171 J162:L162 C140:H140 C141:N144 C145:D145 F145:N145 C146:N146">
    <cfRule type="expression" dxfId="198" priority="297">
      <formula>$C$140="нет"</formula>
    </cfRule>
  </conditionalFormatting>
  <conditionalFormatting sqref="C168:N171">
    <cfRule type="expression" dxfId="197" priority="293">
      <formula>#REF!="нет"</formula>
    </cfRule>
  </conditionalFormatting>
  <conditionalFormatting sqref="C182:N188">
    <cfRule type="expression" dxfId="196" priority="374">
      <formula>$C$182="нет"</formula>
    </cfRule>
  </conditionalFormatting>
  <conditionalFormatting sqref="C189:N192 F269:F275 M269:N275">
    <cfRule type="expression" dxfId="195" priority="939">
      <formula>$C$189="нет"</formula>
    </cfRule>
  </conditionalFormatting>
  <conditionalFormatting sqref="C194:N197">
    <cfRule type="expression" dxfId="194" priority="951">
      <formula>$C$194="нет"</formula>
    </cfRule>
  </conditionalFormatting>
  <conditionalFormatting sqref="C200:N203">
    <cfRule type="expression" dxfId="193" priority="379">
      <formula>$C$194="нет"</formula>
    </cfRule>
  </conditionalFormatting>
  <conditionalFormatting sqref="C211:N213">
    <cfRule type="expression" dxfId="192" priority="927">
      <formula>$C$211="нет"</formula>
    </cfRule>
  </conditionalFormatting>
  <conditionalFormatting sqref="C217:N217">
    <cfRule type="expression" dxfId="190" priority="521">
      <formula>$C$148="нет"</formula>
    </cfRule>
    <cfRule type="expression" dxfId="189" priority="526">
      <formula>$L$148="Квадратный (прямоугольный)"</formula>
    </cfRule>
  </conditionalFormatting>
  <conditionalFormatting sqref="C218:N219">
    <cfRule type="expression" dxfId="188" priority="488">
      <formula>#REF!="нет"</formula>
    </cfRule>
  </conditionalFormatting>
  <conditionalFormatting sqref="C218:N220">
    <cfRule type="expression" dxfId="187" priority="962">
      <formula>$C$140="нет"</formula>
    </cfRule>
  </conditionalFormatting>
  <conditionalFormatting sqref="C221:N223">
    <cfRule type="expression" dxfId="186" priority="487">
      <formula>$C$148="нет"</formula>
    </cfRule>
  </conditionalFormatting>
  <conditionalFormatting sqref="C240:N242">
    <cfRule type="expression" dxfId="185" priority="912">
      <formula>$C$182="нет"</formula>
    </cfRule>
  </conditionalFormatting>
  <conditionalFormatting sqref="C244:N248">
    <cfRule type="expression" dxfId="184" priority="911">
      <formula>$C$189="нет"</formula>
    </cfRule>
  </conditionalFormatting>
  <conditionalFormatting sqref="C250:N251">
    <cfRule type="expression" dxfId="183" priority="503">
      <formula>#REF!=0</formula>
    </cfRule>
    <cfRule type="expression" dxfId="182" priority="504">
      <formula>$C$211="нет"</formula>
    </cfRule>
  </conditionalFormatting>
  <conditionalFormatting sqref="C258:N261 C269:E275 C275:D277 G273:L275 G269:K272 C262:K262 L262:N266 C263:D266 F263:K266 C267:N268 C278:N279 C280:D280 F280:N280 H280:H281 C281:N287">
    <cfRule type="expression" dxfId="181" priority="467">
      <formula>$C$258="нет"</formula>
    </cfRule>
  </conditionalFormatting>
  <conditionalFormatting sqref="C261:N261 C262:K266 M262:N266">
    <cfRule type="expression" dxfId="180" priority="397">
      <formula>$C$259="Нержавеющая сталь"</formula>
    </cfRule>
  </conditionalFormatting>
  <conditionalFormatting sqref="C269:N272">
    <cfRule type="containsErrors" dxfId="179" priority="11">
      <formula>ISERROR(C269)</formula>
    </cfRule>
  </conditionalFormatting>
  <conditionalFormatting sqref="C315:N325">
    <cfRule type="expression" dxfId="178" priority="45">
      <formula>$D$290&lt;&gt;$E$315</formula>
    </cfRule>
  </conditionalFormatting>
  <conditionalFormatting sqref="C327:N346">
    <cfRule type="expression" dxfId="177" priority="44">
      <formula>$D$290&lt;&gt;$E$327</formula>
    </cfRule>
  </conditionalFormatting>
  <conditionalFormatting sqref="C348:N358">
    <cfRule type="expression" dxfId="176" priority="43">
      <formula>$D$290&lt;&gt;$E$348</formula>
    </cfRule>
  </conditionalFormatting>
  <conditionalFormatting sqref="C407:N414 C177:C180">
    <cfRule type="containsErrors" dxfId="173" priority="271">
      <formula>ISERROR(C177)</formula>
    </cfRule>
  </conditionalFormatting>
  <conditionalFormatting sqref="C416:N416 C415:D415 F415:N415">
    <cfRule type="containsErrors" dxfId="170" priority="157">
      <formula>ISERROR(C415)</formula>
    </cfRule>
  </conditionalFormatting>
  <conditionalFormatting sqref="C418:N438 C417:D417 F417:N417 C406:N407 C408:D413 F408:N413 C414:N414 C415:D415 F415:N415 C416:N416">
    <cfRule type="expression" dxfId="168" priority="452">
      <formula>$C$406="нет"</formula>
    </cfRule>
  </conditionalFormatting>
  <conditionalFormatting sqref="C418:N442 C259:C260">
    <cfRule type="containsErrors" dxfId="167" priority="426">
      <formula>ISERROR(C259)</formula>
    </cfRule>
  </conditionalFormatting>
  <conditionalFormatting sqref="C431:N431">
    <cfRule type="expression" dxfId="166" priority="29">
      <formula>$J$415:$J$417=0</formula>
    </cfRule>
  </conditionalFormatting>
  <conditionalFormatting sqref="C432:N432">
    <cfRule type="expression" dxfId="165" priority="30">
      <formula>$J$417=0</formula>
    </cfRule>
  </conditionalFormatting>
  <conditionalFormatting sqref="D163">
    <cfRule type="containsErrors" dxfId="164" priority="274">
      <formula>ISERROR(D163)</formula>
    </cfRule>
    <cfRule type="expression" dxfId="163" priority="275">
      <formula>$C$140="нет"</formula>
    </cfRule>
    <cfRule type="expression" dxfId="162" priority="281">
      <formula>$C$172="нет"</formula>
    </cfRule>
    <cfRule type="containsErrors" dxfId="161" priority="282">
      <formula>ISERROR(D163)</formula>
    </cfRule>
    <cfRule type="expression" dxfId="160" priority="283">
      <formula>$C$140="нет"</formula>
    </cfRule>
  </conditionalFormatting>
  <conditionalFormatting sqref="D204">
    <cfRule type="expression" dxfId="159" priority="378">
      <formula>$C$194="нет"</formula>
    </cfRule>
  </conditionalFormatting>
  <conditionalFormatting sqref="D364">
    <cfRule type="containsErrors" dxfId="158" priority="54">
      <formula>ISERROR(D364)</formula>
    </cfRule>
  </conditionalFormatting>
  <conditionalFormatting sqref="D414:D416">
    <cfRule type="expression" dxfId="157" priority="33">
      <formula>$I$5&gt;10000</formula>
    </cfRule>
  </conditionalFormatting>
  <conditionalFormatting sqref="D422">
    <cfRule type="expression" dxfId="156" priority="34">
      <formula>$I$5&gt;6000</formula>
    </cfRule>
  </conditionalFormatting>
  <conditionalFormatting sqref="D178:F180">
    <cfRule type="containsErrors" dxfId="155" priority="270">
      <formula>ISERROR(D178)</formula>
    </cfRule>
  </conditionalFormatting>
  <conditionalFormatting sqref="D360:F360">
    <cfRule type="containsErrors" dxfId="154" priority="92">
      <formula>ISERROR(D360)</formula>
    </cfRule>
  </conditionalFormatting>
  <conditionalFormatting sqref="D92:N92">
    <cfRule type="expression" dxfId="153" priority="1036">
      <formula>#REF!="нет"</formula>
    </cfRule>
  </conditionalFormatting>
  <conditionalFormatting sqref="E89 E122:E123">
    <cfRule type="expression" dxfId="152" priority="431">
      <formula>$C$140="нет"</formula>
    </cfRule>
  </conditionalFormatting>
  <conditionalFormatting sqref="E145">
    <cfRule type="expression" dxfId="150" priority="227">
      <formula>$E$142="нет"</formula>
    </cfRule>
    <cfRule type="expression" dxfId="149" priority="228">
      <formula>$C$137="нет"</formula>
    </cfRule>
  </conditionalFormatting>
  <conditionalFormatting sqref="E152">
    <cfRule type="expression" dxfId="148" priority="448">
      <formula>$C$140="нет"</formula>
    </cfRule>
  </conditionalFormatting>
  <conditionalFormatting sqref="E173:E180">
    <cfRule type="expression" dxfId="147" priority="401">
      <formula>$C$140="нет"</formula>
    </cfRule>
  </conditionalFormatting>
  <conditionalFormatting sqref="E183">
    <cfRule type="expression" dxfId="145" priority="441">
      <formula>$C$140="нет"</formula>
    </cfRule>
    <cfRule type="expression" dxfId="143" priority="443">
      <formula>$C$172="нет"</formula>
    </cfRule>
  </conditionalFormatting>
  <conditionalFormatting sqref="E191:E192">
    <cfRule type="expression" dxfId="142" priority="435">
      <formula>$C$140="нет"</formula>
    </cfRule>
    <cfRule type="expression" dxfId="140" priority="437">
      <formula>$C$172="нет"</formula>
    </cfRule>
  </conditionalFormatting>
  <conditionalFormatting sqref="E199:E200">
    <cfRule type="expression" dxfId="139" priority="124">
      <formula>$C$194="нет"</formula>
    </cfRule>
  </conditionalFormatting>
  <conditionalFormatting sqref="E205:E208">
    <cfRule type="containsErrors" dxfId="138" priority="229">
      <formula>ISERROR(E205)</formula>
    </cfRule>
    <cfRule type="expression" dxfId="137" priority="230">
      <formula>$C$140="нет"</formula>
    </cfRule>
    <cfRule type="expression" dxfId="135" priority="232">
      <formula>$C$172="нет"</formula>
    </cfRule>
    <cfRule type="expression" dxfId="134" priority="233">
      <formula>$C$189="нет"</formula>
    </cfRule>
  </conditionalFormatting>
  <conditionalFormatting sqref="E233">
    <cfRule type="containsErrors" dxfId="133" priority="110">
      <formula>ISERROR(E233)</formula>
    </cfRule>
  </conditionalFormatting>
  <conditionalFormatting sqref="E236">
    <cfRule type="containsErrors" dxfId="132" priority="107">
      <formula>ISERROR(E236)</formula>
    </cfRule>
  </conditionalFormatting>
  <conditionalFormatting sqref="E276:E277">
    <cfRule type="containsErrors" dxfId="131" priority="303">
      <formula>ISERROR(E276)</formula>
    </cfRule>
  </conditionalFormatting>
  <conditionalFormatting sqref="E280">
    <cfRule type="expression" dxfId="130" priority="423">
      <formula>$C$140="нет"</formula>
    </cfRule>
  </conditionalFormatting>
  <conditionalFormatting sqref="E291">
    <cfRule type="expression" dxfId="128" priority="76">
      <formula>$C$406="нет"</formula>
    </cfRule>
    <cfRule type="containsErrors" dxfId="127" priority="77">
      <formula>ISERROR(E291)</formula>
    </cfRule>
  </conditionalFormatting>
  <conditionalFormatting sqref="E303">
    <cfRule type="expression" dxfId="126" priority="64">
      <formula>$C$406="нет"</formula>
    </cfRule>
  </conditionalFormatting>
  <conditionalFormatting sqref="E315">
    <cfRule type="expression" dxfId="125" priority="69">
      <formula>$C$406="нет"</formula>
    </cfRule>
    <cfRule type="containsErrors" dxfId="124" priority="70">
      <formula>ISERROR(E315)</formula>
    </cfRule>
  </conditionalFormatting>
  <conditionalFormatting sqref="E327">
    <cfRule type="expression" dxfId="123" priority="67">
      <formula>$C$406="нет"</formula>
    </cfRule>
    <cfRule type="containsErrors" dxfId="122" priority="68">
      <formula>ISERROR(E327)</formula>
    </cfRule>
  </conditionalFormatting>
  <conditionalFormatting sqref="E348">
    <cfRule type="expression" dxfId="121" priority="102">
      <formula>$C$406="нет"</formula>
    </cfRule>
    <cfRule type="containsErrors" dxfId="120" priority="103">
      <formula>ISERROR(E348)</formula>
    </cfRule>
  </conditionalFormatting>
  <conditionalFormatting sqref="E383">
    <cfRule type="expression" dxfId="119" priority="15">
      <formula>$C$140="нет"</formula>
    </cfRule>
    <cfRule type="expression" dxfId="117" priority="17">
      <formula>$C$172="нет"</formula>
    </cfRule>
    <cfRule type="expression" dxfId="116" priority="18">
      <formula>$C$189="нет"</formula>
    </cfRule>
    <cfRule type="expression" dxfId="115" priority="19">
      <formula>$C$258="нет"</formula>
    </cfRule>
    <cfRule type="containsErrors" dxfId="114" priority="20">
      <formula>ISERROR(E383)</formula>
    </cfRule>
  </conditionalFormatting>
  <conditionalFormatting sqref="E408">
    <cfRule type="expression" dxfId="113" priority="179">
      <formula>$C$406="нет"</formula>
    </cfRule>
  </conditionalFormatting>
  <conditionalFormatting sqref="E409:E412">
    <cfRule type="expression" dxfId="112" priority="152">
      <formula>$C$140="нет"</formula>
    </cfRule>
    <cfRule type="expression" dxfId="110" priority="154">
      <formula>$C$172="нет"</formula>
    </cfRule>
    <cfRule type="expression" dxfId="109" priority="155">
      <formula>$C$189="нет"</formula>
    </cfRule>
    <cfRule type="expression" dxfId="108" priority="156">
      <formula>$C$258="нет"</formula>
    </cfRule>
  </conditionalFormatting>
  <conditionalFormatting sqref="E413">
    <cfRule type="expression" dxfId="107" priority="175">
      <formula>$C$406="нет"</formula>
    </cfRule>
  </conditionalFormatting>
  <conditionalFormatting sqref="E417">
    <cfRule type="expression" dxfId="106" priority="13">
      <formula>$C$406="нет"</formula>
    </cfRule>
    <cfRule type="containsErrors" dxfId="105" priority="14">
      <formula>ISERROR(E417)</formula>
    </cfRule>
  </conditionalFormatting>
  <conditionalFormatting sqref="E230:F230">
    <cfRule type="containsErrors" dxfId="104" priority="114">
      <formula>ISERROR(E230)</formula>
    </cfRule>
    <cfRule type="expression" dxfId="103" priority="115">
      <formula>$C$172="нет"</formula>
    </cfRule>
  </conditionalFormatting>
  <conditionalFormatting sqref="E231:F238">
    <cfRule type="containsErrors" dxfId="102" priority="213">
      <formula>ISERROR(E231)</formula>
    </cfRule>
    <cfRule type="expression" dxfId="101" priority="214">
      <formula>$C$172="нет"</formula>
    </cfRule>
  </conditionalFormatting>
  <conditionalFormatting sqref="E233:F233 C172:N175 C176:I177 J177:K177 M177:N177 C178:N180 C225:N229 G231:J232 G234:N235 G237:N238">
    <cfRule type="expression" dxfId="100" priority="111">
      <formula>$C$172="нет"</formula>
    </cfRule>
  </conditionalFormatting>
  <conditionalFormatting sqref="E236:F236">
    <cfRule type="expression" dxfId="99" priority="108">
      <formula>$C$172="нет"</formula>
    </cfRule>
  </conditionalFormatting>
  <conditionalFormatting sqref="E303:F303">
    <cfRule type="containsErrors" dxfId="98" priority="65">
      <formula>ISERROR(E303)</formula>
    </cfRule>
  </conditionalFormatting>
  <conditionalFormatting sqref="E162:I162 N162:N163">
    <cfRule type="containsErrors" dxfId="97" priority="291">
      <formula>ISERROR(E162)</formula>
    </cfRule>
  </conditionalFormatting>
  <conditionalFormatting sqref="E162:I162">
    <cfRule type="expression" dxfId="96" priority="292">
      <formula>$L$148="Квадратный (прямоугольный)"</formula>
    </cfRule>
  </conditionalFormatting>
  <conditionalFormatting sqref="E148:J148">
    <cfRule type="expression" dxfId="95" priority="565">
      <formula>$L$148="Квадратный (прямоугольный)"</formula>
    </cfRule>
  </conditionalFormatting>
  <conditionalFormatting sqref="E239:N239 G231:J232 G234:J235 G237:J238 F233 F236 C273:N275 H417:N417 C417:D417 F417">
    <cfRule type="containsErrors" dxfId="94" priority="362">
      <formula>ISERROR(C231)</formula>
    </cfRule>
  </conditionalFormatting>
  <conditionalFormatting sqref="E239:N239">
    <cfRule type="expression" dxfId="93" priority="359">
      <formula>$C$172="нет"</formula>
    </cfRule>
  </conditionalFormatting>
  <conditionalFormatting sqref="E276:N277">
    <cfRule type="expression" dxfId="92" priority="304">
      <formula>$C$258="нет"</formula>
    </cfRule>
  </conditionalFormatting>
  <conditionalFormatting sqref="F200:F203">
    <cfRule type="expression" dxfId="91" priority="254">
      <formula>$C$194="нет"</formula>
    </cfRule>
  </conditionalFormatting>
  <conditionalFormatting sqref="F364">
    <cfRule type="containsErrors" dxfId="90" priority="55">
      <formula>ISERROR(F364)</formula>
    </cfRule>
  </conditionalFormatting>
  <conditionalFormatting sqref="F127:N127">
    <cfRule type="expression" dxfId="87" priority="6">
      <formula>$C$121="Алюминиевая"</formula>
    </cfRule>
  </conditionalFormatting>
  <conditionalFormatting sqref="F205:N206">
    <cfRule type="expression" dxfId="86" priority="948">
      <formula>$C$182="нет"</formula>
    </cfRule>
  </conditionalFormatting>
  <conditionalFormatting sqref="F205:N208 C205:D208">
    <cfRule type="containsErrors" dxfId="85" priority="377">
      <formula>ISERROR(C205)</formula>
    </cfRule>
  </conditionalFormatting>
  <conditionalFormatting sqref="F292:N301 F304:N313">
    <cfRule type="containsErrors" dxfId="84" priority="75">
      <formula>ISERROR(F292)</formula>
    </cfRule>
  </conditionalFormatting>
  <conditionalFormatting sqref="F316:N325">
    <cfRule type="containsErrors" dxfId="83" priority="79">
      <formula>ISERROR(F316)</formula>
    </cfRule>
  </conditionalFormatting>
  <conditionalFormatting sqref="F349:N358">
    <cfRule type="containsErrors" dxfId="82" priority="100">
      <formula>ISERROR(F349)</formula>
    </cfRule>
  </conditionalFormatting>
  <conditionalFormatting sqref="F361:N362 F365:N366">
    <cfRule type="containsErrors" dxfId="81" priority="96">
      <formula>ISERROR(F361)</formula>
    </cfRule>
  </conditionalFormatting>
  <conditionalFormatting sqref="G417">
    <cfRule type="containsErrors" dxfId="78" priority="42">
      <formula>ISERROR(G417)</formula>
    </cfRule>
  </conditionalFormatting>
  <conditionalFormatting sqref="G161:I161">
    <cfRule type="containsText" dxfId="77" priority="221" operator="containsText" text="да, нет">
      <formula>NOT(ISERROR(SEARCH("да, нет",G161)))</formula>
    </cfRule>
    <cfRule type="containsText" dxfId="76" priority="222" operator="containsText" text="0">
      <formula>NOT(ISERROR(SEARCH("0",G161)))</formula>
    </cfRule>
    <cfRule type="expression" dxfId="75" priority="223">
      <formula>#REF!="нет"</formula>
    </cfRule>
    <cfRule type="expression" dxfId="74" priority="224">
      <formula>$F$140&lt;1200</formula>
    </cfRule>
    <cfRule type="containsErrors" dxfId="73" priority="225">
      <formula>ISERROR(G161)</formula>
    </cfRule>
    <cfRule type="expression" dxfId="72" priority="226">
      <formula>$C$140="нет"</formula>
    </cfRule>
  </conditionalFormatting>
  <conditionalFormatting sqref="H29 H425:H433">
    <cfRule type="expression" dxfId="71" priority="151">
      <formula>$I29&lt;&gt;""</formula>
    </cfRule>
  </conditionalFormatting>
  <conditionalFormatting sqref="H35">
    <cfRule type="expression" dxfId="70" priority="145">
      <formula>$I35&lt;&gt;""</formula>
    </cfRule>
  </conditionalFormatting>
  <conditionalFormatting sqref="H37">
    <cfRule type="expression" dxfId="69" priority="147">
      <formula>$I37&lt;&gt;""</formula>
    </cfRule>
  </conditionalFormatting>
  <conditionalFormatting sqref="H43">
    <cfRule type="expression" dxfId="68" priority="149">
      <formula>$I43&lt;&gt;""</formula>
    </cfRule>
  </conditionalFormatting>
  <conditionalFormatting sqref="H53:H55">
    <cfRule type="expression" dxfId="67" priority="396">
      <formula>$C$50="нет"</formula>
    </cfRule>
  </conditionalFormatting>
  <conditionalFormatting sqref="H58:H60">
    <cfRule type="expression" dxfId="66" priority="394">
      <formula>$C$50="нет"</formula>
    </cfRule>
    <cfRule type="expression" dxfId="65" priority="395">
      <formula>$C$50="НЕТ"</formula>
    </cfRule>
  </conditionalFormatting>
  <conditionalFormatting sqref="H64:H72">
    <cfRule type="expression" dxfId="64" priority="390">
      <formula>$C$50="нет"</formula>
    </cfRule>
    <cfRule type="expression" dxfId="63" priority="391">
      <formula>$C$50="НЕТ"</formula>
    </cfRule>
  </conditionalFormatting>
  <conditionalFormatting sqref="H86:H91">
    <cfRule type="expression" dxfId="59" priority="389">
      <formula>#REF!="нет"</formula>
    </cfRule>
  </conditionalFormatting>
  <conditionalFormatting sqref="H151">
    <cfRule type="expression" dxfId="58" priority="540">
      <formula>$I151&lt;&gt;""</formula>
    </cfRule>
  </conditionalFormatting>
  <conditionalFormatting sqref="H152">
    <cfRule type="expression" dxfId="57" priority="531">
      <formula>$I$152&lt;&gt;""</formula>
    </cfRule>
  </conditionalFormatting>
  <conditionalFormatting sqref="H178:H180">
    <cfRule type="containsErrors" dxfId="56" priority="269">
      <formula>ISERROR(H178)</formula>
    </cfRule>
  </conditionalFormatting>
  <conditionalFormatting sqref="H183:H189">
    <cfRule type="expression" dxfId="55" priority="545">
      <formula>$I183&lt;&gt;""</formula>
    </cfRule>
  </conditionalFormatting>
  <conditionalFormatting sqref="H205:H206">
    <cfRule type="expression" dxfId="54" priority="375">
      <formula>$I205&lt;&gt;""</formula>
    </cfRule>
  </conditionalFormatting>
  <conditionalFormatting sqref="H208">
    <cfRule type="expression" dxfId="53" priority="372">
      <formula>$I208&lt;&gt;""</formula>
    </cfRule>
  </conditionalFormatting>
  <conditionalFormatting sqref="H208:H210 H195:H198">
    <cfRule type="expression" dxfId="52" priority="956">
      <formula>$I195&lt;&gt;""</formula>
    </cfRule>
  </conditionalFormatting>
  <conditionalFormatting sqref="H212:H213">
    <cfRule type="expression" dxfId="51" priority="530">
      <formula>$I$212&lt;&gt;""</formula>
    </cfRule>
  </conditionalFormatting>
  <conditionalFormatting sqref="H216 H218:H219">
    <cfRule type="expression" dxfId="50" priority="916">
      <formula>D216=""</formula>
    </cfRule>
  </conditionalFormatting>
  <conditionalFormatting sqref="H216:H219">
    <cfRule type="expression" dxfId="49" priority="528">
      <formula>$I216&lt;&gt;""</formula>
    </cfRule>
  </conditionalFormatting>
  <conditionalFormatting sqref="H224:H229 H237:H251 H231:H232 H234:H235">
    <cfRule type="expression" dxfId="48" priority="335">
      <formula>$I224&lt;&gt;""</formula>
    </cfRule>
    <cfRule type="expression" dxfId="47" priority="337">
      <formula>D224=""</formula>
    </cfRule>
  </conditionalFormatting>
  <conditionalFormatting sqref="H177:I177">
    <cfRule type="containsErrors" dxfId="46" priority="265">
      <formula>ISERROR(H177)</formula>
    </cfRule>
  </conditionalFormatting>
  <conditionalFormatting sqref="H199:I199">
    <cfRule type="expression" dxfId="45" priority="256">
      <formula>$C$172="нет"</formula>
    </cfRule>
  </conditionalFormatting>
  <conditionalFormatting sqref="H204:I204">
    <cfRule type="expression" dxfId="44" priority="250">
      <formula>$C$172="нет"</formula>
    </cfRule>
  </conditionalFormatting>
  <conditionalFormatting sqref="H216:J216 H218:J219 H224:J229 H231:J232 H234:J235 H237:J251">
    <cfRule type="expression" dxfId="43" priority="917">
      <formula>$K216="шт"</formula>
    </cfRule>
  </conditionalFormatting>
  <conditionalFormatting sqref="H199:N199">
    <cfRule type="containsErrors" dxfId="42" priority="255">
      <formula>ISERROR(H199)</formula>
    </cfRule>
  </conditionalFormatting>
  <conditionalFormatting sqref="H204:N204">
    <cfRule type="containsErrors" dxfId="41" priority="249">
      <formula>ISERROR(H204)</formula>
    </cfRule>
  </conditionalFormatting>
  <conditionalFormatting sqref="H417:N417">
    <cfRule type="expression" dxfId="39" priority="128">
      <formula>$G$417="нет"</formula>
    </cfRule>
  </conditionalFormatting>
  <conditionalFormatting sqref="I32:J32">
    <cfRule type="expression" dxfId="38" priority="144">
      <formula>$C$172="нет"</formula>
    </cfRule>
  </conditionalFormatting>
  <conditionalFormatting sqref="I200:N203">
    <cfRule type="expression" dxfId="37" priority="253">
      <formula>$C$194="нет"</formula>
    </cfRule>
  </conditionalFormatting>
  <conditionalFormatting sqref="I231:N232">
    <cfRule type="expression" dxfId="36" priority="204">
      <formula>$C$172="нет"</formula>
    </cfRule>
  </conditionalFormatting>
  <conditionalFormatting sqref="I237:N238 I231:N232 I234:N235">
    <cfRule type="containsErrors" dxfId="35" priority="203">
      <formula>ISERROR(I231)</formula>
    </cfRule>
  </conditionalFormatting>
  <conditionalFormatting sqref="J163:M163 J162:L162">
    <cfRule type="containsErrors" dxfId="33" priority="279">
      <formula>ISERROR(J162)</formula>
    </cfRule>
  </conditionalFormatting>
  <conditionalFormatting sqref="J163:M163">
    <cfRule type="expression" dxfId="32" priority="280">
      <formula>$C$140="нет"</formula>
    </cfRule>
  </conditionalFormatting>
  <conditionalFormatting sqref="J176:N176">
    <cfRule type="expression" dxfId="31" priority="381">
      <formula>$C$148="нет"</formula>
    </cfRule>
    <cfRule type="expression" dxfId="29" priority="901">
      <formula>$C$172="нет"</formula>
    </cfRule>
  </conditionalFormatting>
  <conditionalFormatting sqref="J178:N180">
    <cfRule type="containsErrors" dxfId="28" priority="266">
      <formula>ISERROR(J178)</formula>
    </cfRule>
  </conditionalFormatting>
  <conditionalFormatting sqref="K163">
    <cfRule type="containsErrors" dxfId="26" priority="276">
      <formula>ISERROR(K163)</formula>
    </cfRule>
    <cfRule type="expression" dxfId="25" priority="277">
      <formula>$C$140="нет"</formula>
    </cfRule>
    <cfRule type="expression" dxfId="24" priority="278">
      <formula>$M163&lt;&gt;""</formula>
    </cfRule>
  </conditionalFormatting>
  <conditionalFormatting sqref="L207">
    <cfRule type="expression" dxfId="23" priority="373">
      <formula>$M207&lt;&gt;""</formula>
    </cfRule>
  </conditionalFormatting>
  <conditionalFormatting sqref="L208:L210 L173:L176 L178:L181 L183:L185 L188:L189 L237:L239 L226:L229 L231:L232 L234:L235">
    <cfRule type="expression" dxfId="22" priority="959">
      <formula>D173=""</formula>
    </cfRule>
  </conditionalFormatting>
  <conditionalFormatting sqref="L218:L219 L241:L242 L245:L248 L193:L206">
    <cfRule type="expression" dxfId="21" priority="918">
      <formula>D193=""</formula>
    </cfRule>
  </conditionalFormatting>
  <conditionalFormatting sqref="L218:L219 L244:L248 L51:L93 L402:L404">
    <cfRule type="expression" dxfId="20" priority="1199">
      <formula>$M51&lt;&gt;""</formula>
    </cfRule>
  </conditionalFormatting>
  <conditionalFormatting sqref="L226:L229 L231:L232 L234:L235 L237:L239">
    <cfRule type="expression" dxfId="19" priority="2066">
      <formula>$M226=""</formula>
    </cfRule>
  </conditionalFormatting>
  <conditionalFormatting sqref="L241:L242 L245:L248 L218:L219">
    <cfRule type="expression" dxfId="18" priority="914">
      <formula>$M218=""</formula>
    </cfRule>
  </conditionalFormatting>
  <conditionalFormatting sqref="L250:L251 L419:L420 L424:L433 L183:L206 L208:L217 L173:L176 L178:L181 L237:L242 L273:L281 L15:L49 L141:L147 L150:L156 L158:L161 L224:L229 L164:L171 L406:L414 L231:L232 L234:L235 L327:L346 L369:L375 L348:L358 L361:L362 L365:L366 L315:L325 L292:L301 L304:L313 L377:L399 L95:L113 L133:L138 L283:L290">
    <cfRule type="expression" dxfId="17" priority="546">
      <formula>$M15&lt;&gt;""</formula>
    </cfRule>
  </conditionalFormatting>
  <conditionalFormatting sqref="L251">
    <cfRule type="expression" dxfId="16" priority="505">
      <formula>$M251=""</formula>
    </cfRule>
    <cfRule type="expression" dxfId="15" priority="509">
      <formula>D251=""</formula>
    </cfRule>
  </conditionalFormatting>
  <conditionalFormatting sqref="L262:L266">
    <cfRule type="expression" dxfId="14" priority="385">
      <formula>$C$259="ПЭ"</formula>
    </cfRule>
    <cfRule type="expression" dxfId="13" priority="386">
      <formula>$M262&lt;&gt;""</formula>
    </cfRule>
  </conditionalFormatting>
  <conditionalFormatting sqref="L273:L274">
    <cfRule type="expression" dxfId="11" priority="181">
      <formula>$C$258="нет"</formula>
    </cfRule>
    <cfRule type="containsErrors" dxfId="10" priority="182">
      <formula>ISERROR(L273)</formula>
    </cfRule>
  </conditionalFormatting>
  <conditionalFormatting sqref="L443:L447">
    <cfRule type="containsErrors" dxfId="9" priority="27">
      <formula>ISERROR(L443)</formula>
    </cfRule>
  </conditionalFormatting>
  <conditionalFormatting sqref="L409:N409">
    <cfRule type="containsErrors" dxfId="6" priority="24">
      <formula>ISERROR(L409)</formula>
    </cfRule>
  </conditionalFormatting>
  <conditionalFormatting sqref="L417:N417">
    <cfRule type="containsErrors" dxfId="4" priority="26">
      <formula>ISERROR(L417)</formula>
    </cfRule>
  </conditionalFormatting>
  <dataValidations disablePrompts="1" count="19">
    <dataValidation allowBlank="1" sqref="G5 E86:E88 E217 E90:E93" xr:uid="{9A59D5C4-FA9A-47F5-884F-FDBEF67955B0}"/>
    <dataValidation type="custom"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215 K74 K85 K128 K284:K290 K279 K373 K399 E435 K406:K407 E402 E377 E283 E253 E133 E115 E95 K134 K51 K254 K116:K121 K96:K101 K424 K137:K138 K261 K257 K403:K404 K268 K348 K327 K315 K378:K382" xr:uid="{215C83DE-328D-41E7-B6E3-6F3CB71C1765}">
      <formula1>E51=#REF!</formula1>
    </dataValidation>
    <dataValidation allowBlank="1" showInputMessage="1" sqref="D22 D24 D230 D27 D172 D182 D189 D194 D211 D177 D199 D41 D33" xr:uid="{2CD45399-6EFB-4F8B-8531-EA0460FCCD5B}"/>
    <dataValidation type="list" allowBlank="1" showInputMessage="1" showErrorMessage="1" sqref="D8" xr:uid="{86A0F208-8F14-4BDA-9066-E39FC77F3E9A}">
      <formula1>Материал</formula1>
    </dataValidation>
    <dataValidation type="list" allowBlank="1" showInputMessage="1" showErrorMessage="1" sqref="E8" xr:uid="{55385E7A-54C3-4EDE-9795-B66B8EA6575F}">
      <formula1>Среда</formula1>
    </dataValidation>
    <dataValidation type="list" allowBlank="1" showInputMessage="1" showErrorMessage="1" sqref="C8" xr:uid="{52834A30-A52C-4DA9-A9FB-EA81223DF552}">
      <formula1>Изделие</formula1>
    </dataValidation>
    <dataValidation type="list" allowBlank="1" showInputMessage="1" showErrorMessage="1" sqref="C374:C377 C103:C108 C280:C283 C401:C402 C328:C346 C51:C62 C183:C188 C245:C249 C190:C193 C241:C243 C178:C181 C86:C94 C124:C127 C64:C73 C110:C114 C262:C267 C75:C84 C164:C171 C383:C398 C158:C161 C269:C278 C251:C253 C14:C49 C212:C214 C226:C239 C173:C176 C195:C198 C200:C203 C205:C210 C141:C147 C217:C224 C150:C156 C365:C366 C425:C435 C369:C372 C408:C423 C304:C313 C316:C325 C349:C358 C361:C362 C292:C301 C129:C132" xr:uid="{8222C9C3-1B43-4953-9F57-32FD6918608E}">
      <formula1>Категории</formula1>
    </dataValidation>
    <dataValidation type="list" allowBlank="1" showInputMessage="1" sqref="D252 D224:D225 D56 D434 D250 D282 D240 D49 D132 D64:D73 D244 D183:D184 D94 D376 D26 D401 D114 D40 D32" xr:uid="{212854FE-18EB-4C79-9B64-138A14D335B5}">
      <formula1>INDIRECT(SUBSTITUTE(C26," ","_"))</formula1>
    </dataValidation>
    <dataValidation type="list" allowBlank="1" showInputMessage="1" showErrorMessage="1" sqref="K77 K63 K51 I172 K65:K73 K151 K186:K187 I204 K35:K40 I177 I199 K43:K49 K28:K32 J32 K13:K26" xr:uid="{95C0812E-1B99-4D82-9381-2413D102FC64}">
      <formula1>ЕИ</formula1>
    </dataValidation>
    <dataValidation type="list" errorStyle="information" allowBlank="1" showInputMessage="1" showErrorMessage="1" errorTitle="Не совпадает с ЕИ в каталоге" error="Введенные ЕИ не соотвествуют ЕИ в каталоге. Моэет быть причиной не соотвествия указанной стоимости" sqref="K280:K282 K374:K376 K400:K401 K75:K76 K52:K62 K86:K94 K102:K114 K124:K127 K258:K260 K183:K185 K150 K164:K171 K262:K267 K78:K84 K173:K181 K383:K398 K269:K278 K158:K161 K237:K252 K188:K214 K141:K147 K152:K156 K216:K229 K231:K232 K234:K235 K365:K366 K425:K434 K408:K423 K369:K372 K304:K313 K316:K325 K349:K358 K361:K362 K292:K301 K328:K346 I122:I123 K129:K132" xr:uid="{00ACC4DE-DA94-4948-8E42-BFA0C4E33BA4}">
      <formula1>ЕИ</formula1>
    </dataValidation>
    <dataValidation type="list" allowBlank="1" showInputMessage="1" showErrorMessage="1" sqref="J162 J148" xr:uid="{E2E7AD1B-EA14-49C4-AC9A-580D5A5AA135}">
      <formula1>Давление</formula1>
    </dataValidation>
    <dataValidation type="list" allowBlank="1" showInputMessage="1" showErrorMessage="1" sqref="H148:H149 H162:H163" xr:uid="{5316B843-2C72-4A98-B68E-BA4D415D11B2}">
      <formula1>Жесткость</formula1>
    </dataValidation>
    <dataValidation type="list" allowBlank="1" showInputMessage="1" showErrorMessage="1" sqref="N149 N163" xr:uid="{072FA1B7-53F1-4631-B1B8-7B832EE21A4B}">
      <formula1>"квадратный (прямоугольный,круглый"</formula1>
    </dataValidation>
    <dataValidation type="list" allowBlank="1" showInputMessage="1" showErrorMessage="1" sqref="G288" xr:uid="{42518BB8-2195-427B-A5CE-08022D5C7FE3}">
      <formula1>"Простой,Сложный"</formula1>
    </dataValidation>
    <dataValidation type="list" allowBlank="1" showInputMessage="1" showErrorMessage="1" sqref="E168:E171 E145 E364" xr:uid="{8291E0C7-96D0-4F72-A4E3-2C6D94D75F6D}">
      <formula1>"Да,Нет"</formula1>
    </dataValidation>
    <dataValidation type="list" allowBlank="1" showInputMessage="1" showErrorMessage="1" sqref="C259" xr:uid="{3087636C-5E46-4EEB-9109-68B65E8CF4D6}">
      <formula1>"ПЭ,Нержавеющая сталь"</formula1>
    </dataValidation>
    <dataValidation type="list" allowBlank="1" showInputMessage="1" showErrorMessage="1" sqref="L148:M148" xr:uid="{A5AB521F-70F0-4EF0-8A19-1A1A0357BC0F}">
      <formula1>"Квадратный (прямоугольный),Круглый,"</formula1>
    </dataValidation>
    <dataValidation type="list" allowBlank="1" showInputMessage="1" showErrorMessage="1" sqref="L162" xr:uid="{C7A51B0E-D17F-445E-AD44-71A18DFAD044}">
      <formula1>"Металлический"</formula1>
    </dataValidation>
    <dataValidation type="list" allowBlank="1" showInputMessage="1" showErrorMessage="1" sqref="C121" xr:uid="{1B3C85D0-8A59-4760-AB12-5C2DDC8722C9}">
      <formula1>"Нержавеющая сталь,Алюминиевая"</formula1>
    </dataValidation>
  </dataValidations>
  <hyperlinks>
    <hyperlink ref="M1" location="'Содержание'!A1" display="к содержанию" xr:uid="{00000000-0004-0000-0900-000000000000}"/>
  </hyperlinks>
  <pageMargins left="0.25" right="0.25" top="0.75" bottom="0.75" header="0.3" footer="0.3"/>
  <pageSetup paperSize="9" scale="40" fitToHeight="0" orientation="landscape" horizontalDpi="2147483648"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88" id="{C667E48F-F01A-42F1-A96C-C8F4A4B29978}">
            <xm:f>ОЛ_НАСОСНАЯ_СТАНЦИЯ!$I$64="нет"</xm:f>
            <x14:dxf>
              <font>
                <color theme="0"/>
              </font>
            </x14:dxf>
          </x14:cfRule>
          <x14:cfRule type="expression" priority="89" id="{9D59C578-4502-491D-B504-316CC85612D4}">
            <xm:f>ОЛ_НАСОСНАЯ_СТАНЦИЯ!I64="нет"</xm:f>
            <x14:dxf>
              <font>
                <color theme="0"/>
              </font>
            </x14:dxf>
          </x14:cfRule>
          <xm:sqref>B368:E371</xm:sqref>
        </x14:conditionalFormatting>
        <x14:conditionalFormatting xmlns:xm="http://schemas.microsoft.com/office/excel/2006/main">
          <x14:cfRule type="expression" priority="113" id="{E9CBB441-7538-41B8-8D55-C98A8472BC00}">
            <xm:f>ОЛ_НАСОСНАЯ_СТАНЦИЯ!$E$27="нет"</xm:f>
            <x14:dxf>
              <font>
                <color theme="0"/>
              </font>
            </x14:dxf>
          </x14:cfRule>
          <xm:sqref>B233:F233 B236:F236 B230:F230 B231:N232 B234:N235</xm:sqref>
        </x14:conditionalFormatting>
        <x14:conditionalFormatting xmlns:xm="http://schemas.microsoft.com/office/excel/2006/main">
          <x14:cfRule type="expression" priority="120" id="{FAB1A639-9B9E-4085-9C2C-B0B82A6B2064}">
            <xm:f>ОЛ_НАСОСНАЯ_СТАНЦИЯ!$E$27="нет"</xm:f>
            <x14:dxf>
              <font>
                <color theme="0"/>
              </font>
            </x14:dxf>
          </x14:cfRule>
          <x14:cfRule type="expression" priority="121" id="{88DAB670-A52A-4CEC-97AE-4FD910315928}">
            <xm:f>ОЛ_НАСОСНАЯ_СТАНЦИЯ!E27="нет"</xm:f>
            <x14:dxf>
              <font>
                <color theme="0"/>
              </font>
            </x14:dxf>
          </x14:cfRule>
          <xm:sqref>B199:I202</xm:sqref>
        </x14:conditionalFormatting>
        <x14:conditionalFormatting xmlns:xm="http://schemas.microsoft.com/office/excel/2006/main">
          <x14:cfRule type="expression" priority="125" id="{80A7A909-074E-44DB-9F64-30991235D7CF}">
            <xm:f>ОЛ_НАСОСНАЯ_СТАНЦИЯ!$E$27="нет"</xm:f>
            <x14:dxf>
              <font>
                <color theme="0"/>
              </font>
            </x14:dxf>
          </x14:cfRule>
          <xm:sqref>B177:N179</xm:sqref>
        </x14:conditionalFormatting>
        <x14:conditionalFormatting xmlns:xm="http://schemas.microsoft.com/office/excel/2006/main">
          <x14:cfRule type="expression" priority="118" id="{BDB96E71-8659-453A-B539-0241F2A1B2AD}">
            <xm:f>ОЛ_НАСОСНАЯ_СТАНЦИЯ!$E$27="нет"</xm:f>
            <x14:dxf>
              <font>
                <color theme="0"/>
              </font>
            </x14:dxf>
          </x14:cfRule>
          <xm:sqref>B204:N208 B237:N238</xm:sqref>
        </x14:conditionalFormatting>
        <x14:conditionalFormatting xmlns:xm="http://schemas.microsoft.com/office/excel/2006/main">
          <x14:cfRule type="expression" priority="48" id="{20396B64-BFB8-4782-A195-4336A5D3CAE7}">
            <xm:f>IF(OR($D$290=65,$D$290=80,$D$290=100,$D$290=150),0,IFERROR(IF(L292&lt;&gt;"","",VLOOKUP(C292&amp;D292&amp;K292,НН!A:J,10,)),""))</xm:f>
            <x14:dxf>
              <font>
                <color theme="0"/>
              </font>
              <fill>
                <patternFill>
                  <fgColor theme="2"/>
                  <bgColor theme="2"/>
                </patternFill>
              </fill>
            </x14:dxf>
          </x14:cfRule>
          <xm:sqref>B292:N301</xm:sqref>
        </x14:conditionalFormatting>
        <x14:conditionalFormatting xmlns:xm="http://schemas.microsoft.com/office/excel/2006/main">
          <x14:cfRule type="expression" priority="361" id="{001E00CA-001F-4685-97DE-000500B6000C}">
            <xm:f>$E$139=Списки!$AW$2</xm:f>
            <x14:dxf>
              <font>
                <color theme="0"/>
              </font>
              <fill>
                <patternFill patternType="solid">
                  <fgColor theme="2"/>
                  <bgColor theme="2"/>
                </patternFill>
              </fill>
            </x14:dxf>
          </x14:cfRule>
          <xm:sqref>C176:I177 C178:N180 J177:K177 M177:N177</xm:sqref>
        </x14:conditionalFormatting>
        <x14:conditionalFormatting xmlns:xm="http://schemas.microsoft.com/office/excel/2006/main">
          <x14:cfRule type="expression" priority="2661" id="{008E00DE-00C7-4176-A9F4-0018001E00D8}">
            <xm:f>$E$14=Списки!$AI$3</xm:f>
            <x14:dxf>
              <fill>
                <patternFill patternType="solid">
                  <fgColor theme="0" tint="-0.14996795556505021"/>
                  <bgColor theme="0" tint="-0.14996795556505021"/>
                </patternFill>
              </fill>
            </x14:dxf>
          </x14:cfRule>
          <xm:sqref>C14:N14</xm:sqref>
        </x14:conditionalFormatting>
        <x14:conditionalFormatting xmlns:xm="http://schemas.microsoft.com/office/excel/2006/main">
          <x14:cfRule type="expression" priority="2660" id="{0058000A-0094-414D-8D47-00DF00D900FC}">
            <xm:f>$E$14=Списки!$AI$2</xm:f>
            <x14:dxf>
              <font>
                <color theme="0"/>
              </font>
              <fill>
                <patternFill patternType="solid">
                  <fgColor theme="2"/>
                  <bgColor theme="2"/>
                </patternFill>
              </fill>
            </x14:dxf>
          </x14:cfRule>
          <xm:sqref>C16:N21</xm:sqref>
        </x14:conditionalFormatting>
        <x14:conditionalFormatting xmlns:xm="http://schemas.microsoft.com/office/excel/2006/main">
          <x14:cfRule type="expression" priority="137" id="{22D4C136-FABA-4926-BA5D-83F0D756A9FF}">
            <xm:f>ОЛ_НАСОСНАЯ_СТАНЦИЯ!$E$47="нет"</xm:f>
            <x14:dxf>
              <font>
                <color theme="0"/>
              </font>
            </x14:dxf>
          </x14:cfRule>
          <xm:sqref>C32:N38</xm:sqref>
        </x14:conditionalFormatting>
        <x14:conditionalFormatting xmlns:xm="http://schemas.microsoft.com/office/excel/2006/main">
          <x14:cfRule type="expression" priority="1213" id="{002A003B-00F9-4CE1-B29F-004B0002009F}">
            <xm:f>#REF!=Списки!$A$3</xm:f>
            <x14:dxf>
              <font>
                <color theme="0"/>
              </font>
              <fill>
                <patternFill patternType="solid">
                  <fgColor theme="2"/>
                  <bgColor theme="2"/>
                </patternFill>
              </fill>
            </x14:dxf>
          </x14:cfRule>
          <xm:sqref>C57:N61</xm:sqref>
        </x14:conditionalFormatting>
        <x14:conditionalFormatting xmlns:xm="http://schemas.microsoft.com/office/excel/2006/main">
          <x14:cfRule type="expression" priority="485" id="{00D500E8-007A-4D47-B080-002900930032}">
            <xm:f>ОЛ_НАСОСНАЯ_СТАНЦИЯ!$E$72="нет"</xm:f>
            <x14:dxf>
              <font>
                <color theme="0"/>
              </font>
              <fill>
                <patternFill patternType="solid">
                  <fgColor theme="2"/>
                  <bgColor theme="2"/>
                </patternFill>
              </fill>
            </x14:dxf>
          </x14:cfRule>
          <xm:sqref>C58:N61 C92:N92</xm:sqref>
        </x14:conditionalFormatting>
        <x14:conditionalFormatting xmlns:xm="http://schemas.microsoft.com/office/excel/2006/main">
          <x14:cfRule type="expression" priority="1703" id="{004B006C-0022-43A3-9C10-0065001A0023}">
            <xm:f>OR(ОЛ_НАСОСНАЯ_СТАНЦИЯ!$E$46=Списки!$H$2,ОЛ_НАСОСНАЯ_СТАНЦИЯ!$E$46=Списки!$H$5)</xm:f>
            <x14:dxf>
              <font>
                <color theme="0"/>
              </font>
              <fill>
                <patternFill patternType="solid">
                  <fgColor theme="2"/>
                  <bgColor theme="2"/>
                </patternFill>
              </fill>
            </x14:dxf>
          </x14:cfRule>
          <xm:sqref>C74:N83 C93:N93</xm:sqref>
        </x14:conditionalFormatting>
        <x14:conditionalFormatting xmlns:xm="http://schemas.microsoft.com/office/excel/2006/main">
          <x14:cfRule type="expression" priority="1336" id="{00F5002E-0014-4AEC-BB8F-006800BD00F7}">
            <xm:f>OR(ОЛ_НАСОСНАЯ_СТАНЦИЯ!$E$46=Списки!$H$3,ОЛ_НАСОСНАЯ_СТАНЦИЯ!$E$46=Списки!$H$5)</xm:f>
            <x14:dxf>
              <font>
                <color theme="0"/>
              </font>
              <fill>
                <patternFill patternType="solid">
                  <fgColor theme="2"/>
                  <bgColor theme="2"/>
                </patternFill>
              </fill>
            </x14:dxf>
          </x14:cfRule>
          <xm:sqref>C101:N118</xm:sqref>
        </x14:conditionalFormatting>
        <x14:conditionalFormatting xmlns:xm="http://schemas.microsoft.com/office/excel/2006/main">
          <x14:cfRule type="expression" priority="2662" id="{00A600D2-006C-44F2-B750-005F005F0006}">
            <xm:f>$E$139=Списки!$AW$2</xm:f>
            <x14:dxf>
              <font>
                <color theme="0"/>
              </font>
              <fill>
                <patternFill patternType="solid">
                  <fgColor theme="2"/>
                  <bgColor theme="2"/>
                </patternFill>
              </fill>
            </x14:dxf>
          </x14:cfRule>
          <xm:sqref>C216:N223 C146:N147 C149:N156 C158:N161 C163:N169 D168:D170 C170:D171 F170:N171 E162:L162 N162 C140:H140 C157:D157 C141:N144 C145:D145 F145:N145 C148:L148 N148</xm:sqref>
        </x14:conditionalFormatting>
        <x14:conditionalFormatting xmlns:xm="http://schemas.microsoft.com/office/excel/2006/main">
          <x14:cfRule type="expression" priority="32" id="{868DACFB-A7D9-4435-A71B-B0ED41971A83}">
            <xm:f>ОЛ_НАСОСНАЯ_СТАНЦИЯ!$I$47="нет"</xm:f>
            <x14:dxf>
              <font>
                <color theme="0"/>
              </font>
              <fill>
                <patternFill>
                  <bgColor theme="2"/>
                </patternFill>
              </fill>
            </x14:dxf>
          </x14:cfRule>
          <xm:sqref>C361:N362</xm:sqref>
        </x14:conditionalFormatting>
        <x14:conditionalFormatting xmlns:xm="http://schemas.microsoft.com/office/excel/2006/main">
          <x14:cfRule type="expression" priority="31" id="{7F9376CD-5B0C-41F5-879E-5B16A777D59A}">
            <xm:f>ОЛ_НАСОСНАЯ_СТАНЦИЯ!$I$48="нет"</xm:f>
            <x14:dxf>
              <font>
                <color theme="0"/>
              </font>
              <fill>
                <patternFill>
                  <bgColor theme="2"/>
                </patternFill>
              </fill>
            </x14:dxf>
          </x14:cfRule>
          <xm:sqref>C365:N366</xm:sqref>
        </x14:conditionalFormatting>
        <x14:conditionalFormatting xmlns:xm="http://schemas.microsoft.com/office/excel/2006/main">
          <x14:cfRule type="expression" priority="28" id="{9F9612AC-CB33-4ABB-8130-7AF03BB03A96}">
            <xm:f>ОЛ_НАСОСНАЯ_СТАНЦИЯ!$E$47="нет"</xm:f>
            <x14:dxf>
              <font>
                <color theme="0"/>
              </font>
              <fill>
                <patternFill>
                  <bgColor theme="2"/>
                </patternFill>
              </fill>
            </x14:dxf>
          </x14:cfRule>
          <xm:sqref>C408:N408</xm:sqref>
        </x14:conditionalFormatting>
        <x14:conditionalFormatting xmlns:xm="http://schemas.microsoft.com/office/excel/2006/main">
          <x14:cfRule type="expression" priority="35" id="{0B7FACC6-0AA1-46F3-B045-CCF20FA3AB4C}">
            <xm:f>ОЛ_НАСОСНАЯ_СТАНЦИЯ!$I$64="нет"</xm:f>
            <x14:dxf>
              <font>
                <color theme="0"/>
              </font>
              <fill>
                <patternFill>
                  <bgColor theme="2"/>
                </patternFill>
              </fill>
            </x14:dxf>
          </x14:cfRule>
          <xm:sqref>C415:N415</xm:sqref>
        </x14:conditionalFormatting>
        <x14:conditionalFormatting xmlns:xm="http://schemas.microsoft.com/office/excel/2006/main">
          <x14:cfRule type="expression" priority="38" id="{81C7DDBE-1EF5-4419-9001-2B3984DD1076}">
            <xm:f>ОЛ_НАСОСНАЯ_СТАНЦИЯ!$I$65="нет"</xm:f>
            <x14:dxf>
              <font>
                <color theme="0"/>
              </font>
              <fill>
                <patternFill>
                  <bgColor theme="2"/>
                </patternFill>
              </fill>
            </x14:dxf>
          </x14:cfRule>
          <xm:sqref>C416:N416</xm:sqref>
        </x14:conditionalFormatting>
        <x14:conditionalFormatting xmlns:xm="http://schemas.microsoft.com/office/excel/2006/main">
          <x14:cfRule type="expression" priority="432" id="{004C0055-0094-458D-828C-0098006A007C}">
            <xm:f>$E$139=Списки!$AW$2</xm:f>
            <x14:dxf>
              <font>
                <color theme="0"/>
              </font>
              <fill>
                <patternFill patternType="solid">
                  <fgColor theme="2"/>
                  <bgColor theme="2"/>
                </patternFill>
              </fill>
            </x14:dxf>
          </x14:cfRule>
          <xm:sqref>E89 E122:E123</xm:sqref>
        </x14:conditionalFormatting>
        <x14:conditionalFormatting xmlns:xm="http://schemas.microsoft.com/office/excel/2006/main">
          <x14:cfRule type="expression" priority="402" id="{00100018-0037-4D74-9236-003C00C8004F}">
            <xm:f>$E$139=Списки!$AW$2</xm:f>
            <x14:dxf>
              <font>
                <color theme="0"/>
              </font>
              <fill>
                <patternFill patternType="solid">
                  <fgColor theme="2"/>
                  <bgColor theme="2"/>
                </patternFill>
              </fill>
            </x14:dxf>
          </x14:cfRule>
          <xm:sqref>E173:E180</xm:sqref>
        </x14:conditionalFormatting>
        <x14:conditionalFormatting xmlns:xm="http://schemas.microsoft.com/office/excel/2006/main">
          <x14:cfRule type="expression" priority="442" id="{00AC0036-00C3-410D-B405-0039001F0018}">
            <xm:f>$E$139=Списки!$AW$2</xm:f>
            <x14:dxf>
              <font>
                <color theme="0"/>
              </font>
              <fill>
                <patternFill patternType="solid">
                  <fgColor theme="2"/>
                  <bgColor theme="2"/>
                </patternFill>
              </fill>
            </x14:dxf>
          </x14:cfRule>
          <xm:sqref>E183</xm:sqref>
        </x14:conditionalFormatting>
        <x14:conditionalFormatting xmlns:xm="http://schemas.microsoft.com/office/excel/2006/main">
          <x14:cfRule type="expression" priority="436" id="{00C300EC-00BE-49AA-A153-0067006600D4}">
            <xm:f>$E$139=Списки!$AW$2</xm:f>
            <x14:dxf>
              <font>
                <color theme="0"/>
              </font>
              <fill>
                <patternFill patternType="solid">
                  <fgColor theme="2"/>
                  <bgColor theme="2"/>
                </patternFill>
              </fill>
            </x14:dxf>
          </x14:cfRule>
          <xm:sqref>E191:E192</xm:sqref>
        </x14:conditionalFormatting>
        <x14:conditionalFormatting xmlns:xm="http://schemas.microsoft.com/office/excel/2006/main">
          <x14:cfRule type="expression" priority="231" id="{B9B65CC9-554C-4959-B6FF-F1E322A29D9D}">
            <xm:f>$E$139=Списки!$AW$2</xm:f>
            <x14:dxf>
              <font>
                <color theme="0"/>
              </font>
              <fill>
                <patternFill patternType="solid">
                  <fgColor theme="2"/>
                  <bgColor theme="2"/>
                </patternFill>
              </fill>
            </x14:dxf>
          </x14:cfRule>
          <xm:sqref>E205:E208</xm:sqref>
        </x14:conditionalFormatting>
        <x14:conditionalFormatting xmlns:xm="http://schemas.microsoft.com/office/excel/2006/main">
          <x14:cfRule type="expression" priority="424" id="{00E6001B-00C3-4169-B490-002C00E300BC}">
            <xm:f>$E$139=Списки!$AW$2</xm:f>
            <x14:dxf>
              <font>
                <color theme="0"/>
              </font>
              <fill>
                <patternFill patternType="solid">
                  <fgColor theme="2"/>
                  <bgColor theme="2"/>
                </patternFill>
              </fill>
            </x14:dxf>
          </x14:cfRule>
          <xm:sqref>E280</xm:sqref>
        </x14:conditionalFormatting>
        <x14:conditionalFormatting xmlns:xm="http://schemas.microsoft.com/office/excel/2006/main">
          <x14:cfRule type="expression" priority="16" id="{6F3DD556-BCCB-48FC-B874-A7492F7C0C83}">
            <xm:f>$E$139=Списки!$AW$2</xm:f>
            <x14:dxf>
              <font>
                <color theme="0"/>
              </font>
              <fill>
                <patternFill patternType="solid">
                  <fgColor theme="2"/>
                  <bgColor theme="2"/>
                </patternFill>
              </fill>
            </x14:dxf>
          </x14:cfRule>
          <xm:sqref>E383</xm:sqref>
        </x14:conditionalFormatting>
        <x14:conditionalFormatting xmlns:xm="http://schemas.microsoft.com/office/excel/2006/main">
          <x14:cfRule type="expression" priority="153" id="{3EFBA3AE-C088-476D-8F05-FBD3F58DF185}">
            <xm:f>$E$139=Списки!$AW$2</xm:f>
            <x14:dxf>
              <font>
                <color theme="0"/>
              </font>
              <fill>
                <patternFill patternType="solid">
                  <fgColor theme="2"/>
                  <bgColor theme="2"/>
                </patternFill>
              </fill>
            </x14:dxf>
          </x14:cfRule>
          <xm:sqref>E409:E412</xm:sqref>
        </x14:conditionalFormatting>
        <x14:conditionalFormatting xmlns:xm="http://schemas.microsoft.com/office/excel/2006/main">
          <x14:cfRule type="expression" priority="135" id="{52B822B9-1215-48C2-BF9C-1A3A6ECCF534}">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x14:cfRule>
          <xm:sqref>E415</xm:sqref>
        </x14:conditionalFormatting>
        <x14:conditionalFormatting xmlns:xm="http://schemas.microsoft.com/office/excel/2006/main">
          <x14:cfRule type="expression" priority="2666" id="{9D59C578-4502-491D-B504-316CC85612D4}">
            <xm:f>ОЛ_НАСОСНАЯ_СТАНЦИЯ!#REF!="нет"</xm:f>
            <x14:dxf>
              <font>
                <color theme="0"/>
              </font>
            </x14:dxf>
          </x14:cfRule>
          <xm:sqref>F368 F369:G371</xm:sqref>
        </x14:conditionalFormatting>
        <x14:conditionalFormatting xmlns:xm="http://schemas.microsoft.com/office/excel/2006/main">
          <x14:cfRule type="expression" priority="2665" id="{C667E48F-F01A-42F1-A96C-C8F4A4B29978}">
            <xm:f>ОЛ_НАСОСНАЯ_СТАНЦИЯ!$I$64="нет"</xm:f>
            <x14:dxf>
              <font>
                <color theme="0"/>
              </font>
            </x14:dxf>
          </x14:cfRule>
          <xm:sqref>F368 F369:N371</xm:sqref>
        </x14:conditionalFormatting>
        <x14:conditionalFormatting xmlns:xm="http://schemas.microsoft.com/office/excel/2006/main">
          <x14:cfRule type="expression" priority="36" id="{07DB17AD-8931-4392-AE90-0600E28ABA1A}">
            <xm:f>ОЛ_НАСОСНАЯ_СТАНЦИЯ!$I$66="нет"</xm:f>
            <x14:dxf>
              <font>
                <color theme="0"/>
              </font>
              <fill>
                <patternFill>
                  <bgColor theme="2"/>
                </patternFill>
              </fill>
            </x14:dxf>
          </x14:cfRule>
          <x14:cfRule type="expression" priority="37" id="{E60EE2F1-1C73-4522-84FC-041B6DD7F18D}">
            <xm:f>ОЛ_НАСОСНАЯ_СТАНЦИЯ!$I$66="нет"</xm:f>
            <x14:dxf>
              <fill>
                <patternFill>
                  <bgColor theme="2"/>
                </patternFill>
              </fill>
            </x14:dxf>
          </x14:cfRule>
          <xm:sqref>F417:N417 C417:D417</xm:sqref>
        </x14:conditionalFormatting>
        <x14:conditionalFormatting xmlns:xm="http://schemas.microsoft.com/office/excel/2006/main">
          <x14:cfRule type="expression" priority="392" id="{00EC0017-00E4-4EC3-87C9-00BA001100DF}">
            <xm:f>ОЛ_НАСОСНАЯ_СТАНЦИЯ!$E$72="нет"</xm:f>
            <x14:dxf>
              <font>
                <color theme="0"/>
              </font>
              <fill>
                <patternFill patternType="solid">
                  <fgColor theme="2"/>
                  <bgColor theme="2"/>
                </patternFill>
              </fill>
            </x14:dxf>
          </x14:cfRule>
          <x14:cfRule type="expression" priority="393" id="{00A10078-0045-40FC-B8F4-00E7001F000C}">
            <xm:f>#REF!=Списки!$A$3</xm:f>
            <x14:dxf>
              <font>
                <color theme="0"/>
              </font>
              <fill>
                <patternFill patternType="solid">
                  <fgColor theme="2"/>
                  <bgColor theme="2"/>
                </patternFill>
              </fill>
            </x14:dxf>
          </x14:cfRule>
          <xm:sqref>H64:H72</xm:sqref>
        </x14:conditionalFormatting>
        <x14:conditionalFormatting xmlns:xm="http://schemas.microsoft.com/office/excel/2006/main">
          <x14:cfRule type="expression" priority="388" id="{00F800E7-00F1-4A59-A6E1-00DA00750038}">
            <xm:f>ОЛ_НАСОСНАЯ_СТАНЦИЯ!$E$72="нет"</xm:f>
            <x14:dxf>
              <font>
                <color theme="0"/>
              </font>
              <fill>
                <patternFill patternType="solid">
                  <fgColor theme="2"/>
                  <bgColor theme="2"/>
                </patternFill>
              </fill>
            </x14:dxf>
          </x14:cfRule>
          <xm:sqref>H86:H91</xm:sqref>
        </x14:conditionalFormatting>
        <x14:conditionalFormatting xmlns:xm="http://schemas.microsoft.com/office/excel/2006/main">
          <x14:cfRule type="expression" priority="2670" id="{9D59C578-4502-491D-B504-316CC85612D4}">
            <xm:f>ОЛ_НАСОСНАЯ_СТАНЦИЯ!M65="нет"</xm:f>
            <x14:dxf>
              <font>
                <color theme="0"/>
              </font>
            </x14:dxf>
          </x14:cfRule>
          <xm:sqref>H369:N371</xm:sqref>
        </x14:conditionalFormatting>
        <x14:conditionalFormatting xmlns:xm="http://schemas.microsoft.com/office/excel/2006/main">
          <x14:cfRule type="expression" priority="2678" id="{88DAB670-A52A-4CEC-97AE-4FD910315928}">
            <xm:f>ОЛ_НАСОСНАЯ_СТАНЦИЯ!#REF!="нет"</xm:f>
            <x14:dxf>
              <font>
                <color theme="0"/>
              </font>
            </x14:dxf>
          </x14:cfRule>
          <xm:sqref>J199:K202</xm:sqref>
        </x14:conditionalFormatting>
        <x14:conditionalFormatting xmlns:xm="http://schemas.microsoft.com/office/excel/2006/main">
          <x14:cfRule type="expression" priority="382" id="{006000A6-0020-4A28-9731-006500020032}">
            <xm:f>$E$139=Списки!$AW$2</xm:f>
            <x14:dxf>
              <font>
                <color theme="0"/>
              </font>
              <fill>
                <patternFill patternType="solid">
                  <fgColor theme="2"/>
                  <bgColor theme="2"/>
                </patternFill>
              </fill>
            </x14:dxf>
          </x14:cfRule>
          <xm:sqref>J176:N176</xm:sqref>
        </x14:conditionalFormatting>
        <x14:conditionalFormatting xmlns:xm="http://schemas.microsoft.com/office/excel/2006/main">
          <x14:cfRule type="expression" priority="2675" id="{FAB1A639-9B9E-4085-9C2C-B0B82A6B2064}">
            <xm:f>ОЛ_НАСОСНАЯ_СТАНЦИЯ!$E$27="нет"</xm:f>
            <x14:dxf>
              <font>
                <color theme="0"/>
              </font>
            </x14:dxf>
          </x14:cfRule>
          <xm:sqref>J199:N202</xm:sqref>
        </x14:conditionalFormatting>
        <x14:conditionalFormatting xmlns:xm="http://schemas.microsoft.com/office/excel/2006/main">
          <x14:cfRule type="expression" priority="12" id="{B825060E-C518-4BF7-8D61-664EB469E69C}">
            <xm:f>$E$14=Списки!$AI$3</xm:f>
            <x14:dxf>
              <fill>
                <patternFill patternType="solid">
                  <fgColor theme="0" tint="-0.14996795556505021"/>
                  <bgColor theme="0" tint="-0.14996795556505021"/>
                </patternFill>
              </fill>
            </x14:dxf>
          </x14:cfRule>
          <xm:sqref>L269:L272</xm:sqref>
        </x14:conditionalFormatting>
        <x14:conditionalFormatting xmlns:xm="http://schemas.microsoft.com/office/excel/2006/main">
          <x14:cfRule type="expression" priority="2676" id="{88DAB670-A52A-4CEC-97AE-4FD910315928}">
            <xm:f>ОЛ_НАСОСНАЯ_СТАНЦИЯ!M27="нет"</xm:f>
            <x14:dxf>
              <font>
                <color theme="0"/>
              </font>
            </x14:dxf>
          </x14:cfRule>
          <xm:sqref>L199:N202</xm:sqref>
        </x14:conditionalFormatting>
        <x14:conditionalFormatting xmlns:xm="http://schemas.microsoft.com/office/excel/2006/main">
          <x14:cfRule type="expression" priority="23" id="{A8D6FFFD-EAB6-49FA-AC8B-A4BB91E22615}">
            <xm:f>ОЛ_НАСОСНАЯ_СТАНЦИЯ!$I$64="нет"</xm:f>
            <x14:dxf>
              <font>
                <color theme="0"/>
              </font>
              <fill>
                <patternFill>
                  <bgColor theme="2"/>
                </patternFill>
              </fill>
            </x14:dxf>
          </x14:cfRule>
          <xm:sqref>L409:N409</xm:sqref>
        </x14:conditionalFormatting>
        <x14:conditionalFormatting xmlns:xm="http://schemas.microsoft.com/office/excel/2006/main">
          <x14:cfRule type="expression" priority="25" id="{E5C3A316-E14A-4C7C-AC18-43C12CE0304A}">
            <xm:f>ОЛ_НАСОСНАЯ_СТАНЦИЯ!$I$65="нет"</xm:f>
            <x14:dxf>
              <font>
                <color theme="0"/>
              </font>
              <fill>
                <patternFill>
                  <bgColor theme="2"/>
                </patternFill>
              </fill>
            </x14:dxf>
          </x14:cfRule>
          <xm:sqref>L417:N417</xm:sqref>
        </x14:conditionalFormatting>
      </x14:conditionalFormattings>
    </ext>
    <ext xmlns:x14="http://schemas.microsoft.com/office/spreadsheetml/2009/9/main" uri="{CCE6A557-97BC-4b89-ADB6-D9C93CAAB3DF}">
      <x14:dataValidations xmlns:xm="http://schemas.microsoft.com/office/excel/2006/main" disablePrompts="1" count="8">
        <x14:dataValidation type="list" allowBlank="1" showInputMessage="1" showErrorMessage="1" xr:uid="{1ABDEC1F-3C08-4E8A-8ACA-5626B29DCFDB}">
          <x14:formula1>
            <xm:f>Списки!$A$2:$A$3</xm:f>
          </x14:formula1>
          <xm:sqref>C140 C148:C149 C172 C182 C189 C194 C211 E51 C288 C406 C63 C50 C258 C260 C162:C163 C177 C199 C204 C157 C368 C360 C364 C119</xm:sqref>
        </x14:dataValidation>
        <x14:dataValidation type="list" allowBlank="1" showInputMessage="1" showErrorMessage="1" xr:uid="{9DCC5B58-B958-4BAC-83DD-B5D6D0A95AE3}">
          <x14:formula1>
            <xm:f>Списки!$AI$2:$AI$3</xm:f>
          </x14:formula1>
          <xm:sqref>E14</xm:sqref>
        </x14:dataValidation>
        <x14:dataValidation type="list" allowBlank="1" showInputMessage="1" showErrorMessage="1" xr:uid="{E19D31E6-CFE6-40A2-9552-2383903F9FB7}">
          <x14:formula1>
            <xm:f>Списки!$Z$2:$Z$31</xm:f>
          </x14:formula1>
          <xm:sqref>F148:F149 F140 F162:F163</xm:sqref>
        </x14:dataValidation>
        <x14:dataValidation type="list" allowBlank="1" showInputMessage="1" showErrorMessage="1" xr:uid="{C8A731BF-CE31-4BCE-A5B5-B01F471882A1}">
          <x14:formula1>
            <xm:f>Списки!$AW$2:$AW$3</xm:f>
          </x14:formula1>
          <xm:sqref>E139</xm:sqref>
        </x14:dataValidation>
        <x14:dataValidation type="list" allowBlank="1" showInputMessage="1" xr:uid="{A9FAC796-8626-4144-A9A8-9CE90C98261C}">
          <x14:formula1>
            <xm:f>OFFSET(НН!$B$1,MATCH(C15,Группа,0),2,COUNTIF(Группа,C15),1)</xm:f>
          </x14:formula1>
          <xm:sqref>D15 D231:D239 D51:D55 D58:D62 D86:D93 D103:D108 D110:D113 D25 D185:D188 D178:D181 D241:D243 D245:D249 D280:D281 D205:D208 D374:D375 D151 D262:D267 D23 D75:D84 D173:D176 D383:D398 D226:D229 D269:D278 D190:D193 D154:D161 D251 D20:D21 D164:D171 D141:D147 D217:D223 D42:D48 D28:D31 D34:D39 D368:D372 D425:D433 D408:D423 D316:D325 D304:D313 D349:D358 D292:D301 D360:D362 D364:D366 D328:D346 D129:D131 D124:D127</xm:sqref>
        </x14:dataValidation>
        <x14:dataValidation type="list" allowBlank="1" showInputMessage="1" showErrorMessage="1" xr:uid="{9D5BEB6F-7990-48BF-92BD-5EAA3707669A}">
          <x14:formula1>
            <xm:f>OFFSET(НН!$B$1,MATCH(C152,Группа,0),2,COUNTIF(Группа,C152),1)</xm:f>
          </x14:formula1>
          <xm:sqref>D209:D210 D152:D153 D195:D198 D200:D203 D212:D214</xm:sqref>
        </x14:dataValidation>
        <x14:dataValidation type="list" allowBlank="1" showInputMessage="1" showErrorMessage="1" xr:uid="{DB7AF104-050D-474E-9D1A-F50AFF6EF857}">
          <x14:formula1>
            <xm:f>Списки!$Y$5:$Y$29</xm:f>
          </x14:formula1>
          <xm:sqref>E280 E89</xm:sqref>
        </x14:dataValidation>
        <x14:dataValidation type="list" errorStyle="warning" allowBlank="1" showInputMessage="1" showErrorMessage="1" xr:uid="{9BBD5606-081B-4A3A-BF1B-E2DCFAEF75E5}">
          <x14:formula1>
            <xm:f>Списки!$BM$2:$BM$12</xm:f>
          </x14:formula1>
          <xm:sqref>E415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25">
    <pageSetUpPr fitToPage="1"/>
  </sheetPr>
  <dimension ref="A1:J146"/>
  <sheetViews>
    <sheetView showGridLines="0" view="pageBreakPreview" zoomScale="90" workbookViewId="0">
      <selection activeCell="C18" sqref="C18"/>
    </sheetView>
  </sheetViews>
  <sheetFormatPr defaultRowHeight="14.45" customHeight="1"/>
  <cols>
    <col min="1" max="1" width="5.28515625" customWidth="1"/>
    <col min="2" max="2" width="25.5703125" bestFit="1" customWidth="1"/>
    <col min="3" max="3" width="65.42578125" customWidth="1"/>
    <col min="4" max="4" width="5.5703125" bestFit="1" customWidth="1"/>
    <col min="5" max="5" width="6.7109375" bestFit="1" customWidth="1"/>
    <col min="6" max="6" width="12.5703125" bestFit="1" customWidth="1"/>
    <col min="7" max="7" width="15.5703125" customWidth="1"/>
  </cols>
  <sheetData>
    <row r="1" spans="1:10" ht="66.599999999999994" customHeight="1">
      <c r="A1" s="40"/>
      <c r="B1" s="1342" t="s">
        <v>239</v>
      </c>
      <c r="C1" s="1342"/>
      <c r="D1" s="1342"/>
      <c r="E1" s="1342"/>
      <c r="F1" s="1342"/>
      <c r="G1" s="1342"/>
      <c r="H1" s="1342"/>
      <c r="I1" s="1342"/>
      <c r="J1" s="604"/>
    </row>
    <row r="3" spans="1:10" ht="15">
      <c r="B3" s="88" t="s">
        <v>757</v>
      </c>
      <c r="C3" s="811" t="s">
        <v>758</v>
      </c>
      <c r="F3" s="88" t="s">
        <v>759</v>
      </c>
      <c r="G3" s="812" t="s">
        <v>760</v>
      </c>
    </row>
    <row r="5" spans="1:10" ht="30">
      <c r="A5" s="1042" t="s">
        <v>761</v>
      </c>
      <c r="B5" s="604"/>
      <c r="C5" s="813"/>
      <c r="D5" s="604"/>
      <c r="E5" s="604"/>
      <c r="F5" s="604"/>
      <c r="G5" s="604"/>
      <c r="H5" s="604"/>
      <c r="I5" s="604"/>
      <c r="J5" s="604"/>
    </row>
    <row r="6" spans="1:10" ht="30.95" customHeight="1">
      <c r="A6" s="1441" t="s">
        <v>57</v>
      </c>
      <c r="B6" s="1443" t="s">
        <v>320</v>
      </c>
      <c r="C6" s="1442" t="s">
        <v>762</v>
      </c>
      <c r="D6" s="1441" t="s">
        <v>88</v>
      </c>
      <c r="E6" s="1441" t="s">
        <v>763</v>
      </c>
      <c r="F6" s="1440" t="s">
        <v>764</v>
      </c>
      <c r="G6" s="1440" t="s">
        <v>765</v>
      </c>
      <c r="H6" s="1439" t="s">
        <v>766</v>
      </c>
      <c r="I6" s="1439" t="s">
        <v>767</v>
      </c>
      <c r="J6" s="1439"/>
    </row>
    <row r="7" spans="1:10" ht="15">
      <c r="A7" s="1441"/>
      <c r="B7" s="1444"/>
      <c r="C7" s="1442"/>
      <c r="D7" s="1441"/>
      <c r="E7" s="1441"/>
      <c r="F7" s="1440"/>
      <c r="G7" s="1440"/>
      <c r="H7" s="1439"/>
      <c r="I7" s="817" t="s">
        <v>763</v>
      </c>
      <c r="J7" s="817" t="s">
        <v>768</v>
      </c>
    </row>
    <row r="8" spans="1:10" ht="24" customHeight="1">
      <c r="A8" s="814"/>
      <c r="B8" s="818"/>
      <c r="C8" s="819"/>
      <c r="D8" s="814"/>
      <c r="E8" s="814"/>
      <c r="F8" s="815"/>
      <c r="G8" s="815"/>
      <c r="H8" s="816"/>
      <c r="I8" s="817"/>
      <c r="J8" s="817"/>
    </row>
    <row r="9" spans="1:10" ht="14.45" customHeight="1">
      <c r="A9" s="820" t="str">
        <f>IF(C9="","",A8+1)</f>
        <v/>
      </c>
      <c r="B9" s="821" t="str">
        <f>IFERROR(INDEX('Калькулятор КНС'!C:D,MATCH(C9,'Калькулятор КНС'!D:D,),1),"")</f>
        <v/>
      </c>
      <c r="C9" s="822" t="str" cm="1">
        <f t="array" ref="C9">IFERROR(INDEX('[5]Список для заявки'!$A$2:$A$400,SMALL(IF('[5]Список для заявки'!$A$2:$A$400&lt;&gt;"",ROW('[5]Список для заявки'!$A$2:$A$400)-1),ROW('[5]Список для заявки'!A1))),"")</f>
        <v/>
      </c>
      <c r="D9" s="823" t="str">
        <f>IFERROR(VLOOKUP(C9,'Калькулятор КНС'!D:K,8,),"")</f>
        <v/>
      </c>
      <c r="E9" s="824" t="str">
        <f>IFERROR(VLOOKUP(C9,'Калькулятор КНС'!D:K,7,),"")</f>
        <v/>
      </c>
      <c r="F9" s="825" t="str">
        <f>IFERROR(IF(VLOOKUP(C9,'Калькулятор КНС'!D:N,9,)="",VLOOKUP(C9,'Калькулятор КНС'!D:N,10,),VLOOKUP(C9,'Калькулятор КНС'!D:N,9,)),"")</f>
        <v/>
      </c>
      <c r="G9" s="825" t="str">
        <f>IFERROR(VLOOKUP(C9,'Калькулятор КНС'!D:N,11,),"")</f>
        <v/>
      </c>
      <c r="H9" s="826"/>
      <c r="I9" s="826"/>
      <c r="J9" s="826"/>
    </row>
    <row r="10" spans="1:10" ht="14.45" customHeight="1">
      <c r="A10" s="820" t="str">
        <f t="shared" ref="A10:A40" si="0">IF(C10="","",A9+1)</f>
        <v/>
      </c>
      <c r="B10" s="821" t="str">
        <f>IFERROR(INDEX('Калькулятор КНС'!C:D,MATCH(C10,'Калькулятор КНС'!D:D,),1),"")</f>
        <v/>
      </c>
      <c r="C10" s="822" t="str">
        <f t="array" ref="C10">IFERROR(INDEX(#REF!,SMALL(IF(#REF!&lt;&gt;"",ROW(#REF!)-1),ROW(#REF!))),"")</f>
        <v/>
      </c>
      <c r="D10" s="823" t="str">
        <f>IFERROR(VLOOKUP(C10,'Калькулятор КНС'!D:K,8,),"")</f>
        <v/>
      </c>
      <c r="E10" s="824" t="str">
        <f>IFERROR(VLOOKUP(C10,'Калькулятор КНС'!D:K,7,),"")</f>
        <v/>
      </c>
      <c r="F10" s="825" t="str">
        <f>IFERROR(IF(VLOOKUP(C10,'Калькулятор КНС'!D:N,9,)="",VLOOKUP(C10,'Калькулятор КНС'!D:N,10,),VLOOKUP(C10,'Калькулятор КНС'!D:N,9,)),"")</f>
        <v/>
      </c>
      <c r="G10" s="825" t="str">
        <f>IFERROR(VLOOKUP(C10,'Калькулятор КНС'!D:N,11,),"")</f>
        <v/>
      </c>
      <c r="H10" s="826"/>
      <c r="I10" s="826"/>
      <c r="J10" s="826"/>
    </row>
    <row r="11" spans="1:10" ht="14.45" customHeight="1">
      <c r="A11" s="820" t="str">
        <f t="shared" si="0"/>
        <v/>
      </c>
      <c r="B11" s="821" t="str">
        <f>IFERROR(INDEX('Калькулятор КНС'!C:D,MATCH(C11,'Калькулятор КНС'!D:D,),1),"")</f>
        <v/>
      </c>
      <c r="C11" s="822" t="str">
        <f t="array" ref="C11">IFERROR(INDEX(#REF!,SMALL(IF(#REF!&lt;&gt;"",ROW(#REF!)-1),ROW(#REF!))),"")</f>
        <v/>
      </c>
      <c r="D11" s="823" t="str">
        <f>IFERROR(VLOOKUP(C11,'Калькулятор КНС'!D:K,8,),"")</f>
        <v/>
      </c>
      <c r="E11" s="824" t="str">
        <f>IFERROR(VLOOKUP(C11,'Калькулятор КНС'!D:K,7,),"")</f>
        <v/>
      </c>
      <c r="F11" s="825" t="str">
        <f>IFERROR(IF(VLOOKUP(C11,'Калькулятор КНС'!D:N,9,)="",VLOOKUP(C11,'Калькулятор КНС'!D:N,10,),VLOOKUP(C11,'Калькулятор КНС'!D:N,9,)),"")</f>
        <v/>
      </c>
      <c r="G11" s="825" t="str">
        <f>IFERROR(VLOOKUP(C11,'Калькулятор КНС'!D:N,11,),"")</f>
        <v/>
      </c>
      <c r="H11" s="826"/>
      <c r="I11" s="826"/>
      <c r="J11" s="826"/>
    </row>
    <row r="12" spans="1:10" ht="14.45" customHeight="1">
      <c r="A12" s="820" t="str">
        <f t="shared" si="0"/>
        <v/>
      </c>
      <c r="B12" s="821" t="str">
        <f>IFERROR(INDEX('Калькулятор КНС'!C:D,MATCH(C12,'Калькулятор КНС'!D:D,),1),"")</f>
        <v/>
      </c>
      <c r="C12" s="822" t="str">
        <f t="array" ref="C12">IFERROR(INDEX(#REF!,SMALL(IF(#REF!&lt;&gt;"",ROW(#REF!)-1),ROW(#REF!))),"")</f>
        <v/>
      </c>
      <c r="D12" s="823" t="str">
        <f>IFERROR(VLOOKUP(C12,'Калькулятор КНС'!D:K,8,),"")</f>
        <v/>
      </c>
      <c r="E12" s="824" t="str">
        <f>IFERROR(VLOOKUP(C12,'Калькулятор КНС'!D:K,7,),"")</f>
        <v/>
      </c>
      <c r="F12" s="825" t="str">
        <f>IFERROR(IF(VLOOKUP(C12,'Калькулятор КНС'!D:N,9,)="",VLOOKUP(C12,'Калькулятор КНС'!D:N,10,),VLOOKUP(C12,'Калькулятор КНС'!D:N,9,)),"")</f>
        <v/>
      </c>
      <c r="G12" s="825" t="str">
        <f>IFERROR(VLOOKUP(C12,'Калькулятор КНС'!D:N,11,),"")</f>
        <v/>
      </c>
      <c r="H12" s="826"/>
      <c r="I12" s="826"/>
      <c r="J12" s="826"/>
    </row>
    <row r="13" spans="1:10" ht="14.45" customHeight="1">
      <c r="A13" s="820" t="str">
        <f t="shared" si="0"/>
        <v/>
      </c>
      <c r="B13" s="821" t="str">
        <f>IFERROR(INDEX('Калькулятор КНС'!C:D,MATCH(C13,'Калькулятор КНС'!D:D,),1),"")</f>
        <v/>
      </c>
      <c r="C13" s="822" t="str">
        <f t="array" ref="C13">IFERROR(INDEX(#REF!,SMALL(IF(#REF!&lt;&gt;"",ROW(#REF!)-1),ROW(#REF!))),"")</f>
        <v/>
      </c>
      <c r="D13" s="823" t="str">
        <f>IFERROR(VLOOKUP(C13,'Калькулятор КНС'!D:K,8,),"")</f>
        <v/>
      </c>
      <c r="E13" s="824" t="str">
        <f>IFERROR(VLOOKUP(C13,'Калькулятор КНС'!D:K,7,),"")</f>
        <v/>
      </c>
      <c r="F13" s="825" t="str">
        <f>IFERROR(IF(VLOOKUP(C13,'Калькулятор КНС'!D:N,9,)="",VLOOKUP(C13,'Калькулятор КНС'!D:N,10,),VLOOKUP(C13,'Калькулятор КНС'!D:N,9,)),"")</f>
        <v/>
      </c>
      <c r="G13" s="825" t="str">
        <f>IFERROR(VLOOKUP(C13,'Калькулятор КНС'!D:N,11,),"")</f>
        <v/>
      </c>
      <c r="H13" s="826"/>
      <c r="I13" s="826"/>
      <c r="J13" s="826"/>
    </row>
    <row r="14" spans="1:10" ht="14.45" customHeight="1">
      <c r="A14" s="820" t="str">
        <f t="shared" si="0"/>
        <v/>
      </c>
      <c r="B14" s="821" t="str">
        <f>IFERROR(INDEX('Калькулятор КНС'!C:D,MATCH(C14,'Калькулятор КНС'!D:D,),1),"")</f>
        <v/>
      </c>
      <c r="C14" s="822" t="str">
        <f t="array" ref="C14">IFERROR(INDEX(#REF!,SMALL(IF(#REF!&lt;&gt;"",ROW(#REF!)-1),ROW(#REF!))),"")</f>
        <v/>
      </c>
      <c r="D14" s="823" t="str">
        <f>IFERROR(VLOOKUP(C14,'Калькулятор КНС'!D:K,8,),"")</f>
        <v/>
      </c>
      <c r="E14" s="824" t="str">
        <f>IFERROR(VLOOKUP(C14,'Калькулятор КНС'!D:K,7,),"")</f>
        <v/>
      </c>
      <c r="F14" s="825" t="str">
        <f>IFERROR(IF(VLOOKUP(C14,'Калькулятор КНС'!D:N,9,)="",VLOOKUP(C14,'Калькулятор КНС'!D:N,10,),VLOOKUP(C14,'Калькулятор КНС'!D:N,9,)),"")</f>
        <v/>
      </c>
      <c r="G14" s="825" t="str">
        <f>IFERROR(VLOOKUP(C14,'Калькулятор КНС'!D:N,11,),"")</f>
        <v/>
      </c>
      <c r="H14" s="826"/>
      <c r="I14" s="826"/>
      <c r="J14" s="826"/>
    </row>
    <row r="15" spans="1:10" ht="14.45" customHeight="1">
      <c r="A15" s="820" t="str">
        <f t="shared" si="0"/>
        <v/>
      </c>
      <c r="B15" s="821" t="str">
        <f>IFERROR(INDEX('Калькулятор КНС'!C:D,MATCH(C15,'Калькулятор КНС'!D:D,),1),"")</f>
        <v/>
      </c>
      <c r="C15" s="822" t="str">
        <f t="array" ref="C15">IFERROR(INDEX(#REF!,SMALL(IF(#REF!&lt;&gt;"",ROW(#REF!)-1),ROW(#REF!))),"")</f>
        <v/>
      </c>
      <c r="D15" s="823" t="str">
        <f>IFERROR(VLOOKUP(C15,'Калькулятор КНС'!D:K,8,),"")</f>
        <v/>
      </c>
      <c r="E15" s="824" t="str">
        <f>IFERROR(VLOOKUP(C15,'Калькулятор КНС'!D:K,7,),"")</f>
        <v/>
      </c>
      <c r="F15" s="825" t="str">
        <f>IFERROR(IF(VLOOKUP(C15,'Калькулятор КНС'!D:N,9,)="",VLOOKUP(C15,'Калькулятор КНС'!D:N,10,),VLOOKUP(C15,'Калькулятор КНС'!D:N,9,)),"")</f>
        <v/>
      </c>
      <c r="G15" s="825" t="str">
        <f>IFERROR(VLOOKUP(C15,'Калькулятор КНС'!D:N,11,),"")</f>
        <v/>
      </c>
      <c r="H15" s="826"/>
      <c r="I15" s="826"/>
      <c r="J15" s="826"/>
    </row>
    <row r="16" spans="1:10" ht="14.45" customHeight="1">
      <c r="A16" s="820" t="str">
        <f t="shared" si="0"/>
        <v/>
      </c>
      <c r="B16" s="821" t="str">
        <f>IFERROR(INDEX('Калькулятор КНС'!C:D,MATCH(C16,'Калькулятор КНС'!D:D,),1),"")</f>
        <v/>
      </c>
      <c r="C16" s="822" t="str">
        <f t="array" ref="C16">IFERROR(INDEX(#REF!,SMALL(IF(#REF!&lt;&gt;"",ROW(#REF!)-1),ROW(#REF!))),"")</f>
        <v/>
      </c>
      <c r="D16" s="823" t="str">
        <f>IFERROR(VLOOKUP(C16,'Калькулятор КНС'!D:K,8,),"")</f>
        <v/>
      </c>
      <c r="E16" s="824" t="str">
        <f>IFERROR(VLOOKUP(C16,'Калькулятор КНС'!D:K,7,),"")</f>
        <v/>
      </c>
      <c r="F16" s="825" t="str">
        <f>IFERROR(IF(VLOOKUP(C16,'Калькулятор КНС'!D:N,9,)="",VLOOKUP(C16,'Калькулятор КНС'!D:N,10,),VLOOKUP(C16,'Калькулятор КНС'!D:N,9,)),"")</f>
        <v/>
      </c>
      <c r="G16" s="825" t="str">
        <f>IFERROR(VLOOKUP(C16,'Калькулятор КНС'!D:N,11,),"")</f>
        <v/>
      </c>
      <c r="H16" s="826"/>
      <c r="I16" s="826"/>
      <c r="J16" s="826"/>
    </row>
    <row r="17" spans="1:7" ht="14.45" customHeight="1">
      <c r="A17" s="820" t="str">
        <f t="shared" si="0"/>
        <v/>
      </c>
      <c r="B17" s="821" t="str">
        <f>IFERROR(INDEX('Калькулятор КНС'!C:D,MATCH(C17,'Калькулятор КНС'!D:D,),1),"")</f>
        <v/>
      </c>
      <c r="C17" s="822" t="str">
        <f t="array" ref="C17">IFERROR(INDEX(#REF!,SMALL(IF(#REF!&lt;&gt;"",ROW(#REF!)-1),ROW(#REF!))),"")</f>
        <v/>
      </c>
      <c r="D17" s="823" t="str">
        <f>IFERROR(VLOOKUP(C17,'Калькулятор КНС'!D:K,8,),"")</f>
        <v/>
      </c>
      <c r="E17" s="824" t="str">
        <f>IFERROR(VLOOKUP(C17,'Калькулятор КНС'!D:K,7,),"")</f>
        <v/>
      </c>
      <c r="F17" s="825" t="str">
        <f>IFERROR(IF(VLOOKUP(C17,'Калькулятор КНС'!D:N,9,)="",VLOOKUP(C17,'Калькулятор КНС'!D:N,10,),VLOOKUP(C17,'Калькулятор КНС'!D:N,9,)),"")</f>
        <v/>
      </c>
      <c r="G17" s="825" t="str">
        <f>IFERROR(VLOOKUP(C17,'Калькулятор КНС'!D:N,11,),"")</f>
        <v/>
      </c>
    </row>
    <row r="18" spans="1:7" ht="14.45" customHeight="1">
      <c r="A18" s="820" t="str">
        <f t="shared" si="0"/>
        <v/>
      </c>
      <c r="B18" s="821" t="str">
        <f>IFERROR(INDEX('Калькулятор КНС'!C:D,MATCH(C18,'Калькулятор КНС'!D:D,),1),"")</f>
        <v/>
      </c>
      <c r="C18" s="822" t="str">
        <f t="array" ref="C18">IFERROR(INDEX(#REF!,SMALL(IF(#REF!&lt;&gt;"",ROW(#REF!)-1),ROW(#REF!))),"")</f>
        <v/>
      </c>
      <c r="D18" s="823" t="str">
        <f>IFERROR(VLOOKUP(C18,'Калькулятор КНС'!D:K,8,),"")</f>
        <v/>
      </c>
      <c r="E18" s="824" t="str">
        <f>IFERROR(VLOOKUP(C18,'Калькулятор КНС'!D:K,7,),"")</f>
        <v/>
      </c>
      <c r="F18" s="825" t="str">
        <f>IFERROR(IF(VLOOKUP(C18,'Калькулятор КНС'!D:N,9,)="",VLOOKUP(C18,'Калькулятор КНС'!D:N,10,),VLOOKUP(C18,'Калькулятор КНС'!D:N,9,)),"")</f>
        <v/>
      </c>
      <c r="G18" s="825" t="str">
        <f>IFERROR(VLOOKUP(C18,'Калькулятор КНС'!D:N,11,),"")</f>
        <v/>
      </c>
    </row>
    <row r="19" spans="1:7" ht="14.45" customHeight="1">
      <c r="A19" s="820" t="str">
        <f t="shared" si="0"/>
        <v/>
      </c>
      <c r="B19" s="821" t="str">
        <f>IFERROR(INDEX('Калькулятор КНС'!C:D,MATCH(C19,'Калькулятор КНС'!D:D,),1),"")</f>
        <v/>
      </c>
      <c r="C19" s="822" t="str">
        <f t="array" ref="C19">IFERROR(INDEX(#REF!,SMALL(IF(#REF!&lt;&gt;"",ROW(#REF!)-1),ROW(#REF!))),"")</f>
        <v/>
      </c>
      <c r="D19" s="823" t="str">
        <f>IFERROR(VLOOKUP(C19,'Калькулятор КНС'!D:K,8,),"")</f>
        <v/>
      </c>
      <c r="E19" s="824" t="str">
        <f>IFERROR(VLOOKUP(C19,'Калькулятор КНС'!D:K,7,),"")</f>
        <v/>
      </c>
      <c r="F19" s="825" t="str">
        <f>IFERROR(IF(VLOOKUP(C19,'Калькулятор КНС'!D:N,9,)="",VLOOKUP(C19,'Калькулятор КНС'!D:N,10,),VLOOKUP(C19,'Калькулятор КНС'!D:N,9,)),"")</f>
        <v/>
      </c>
      <c r="G19" s="825" t="str">
        <f>IFERROR(VLOOKUP(C19,'Калькулятор КНС'!D:N,11,),"")</f>
        <v/>
      </c>
    </row>
    <row r="20" spans="1:7" ht="14.45" customHeight="1">
      <c r="A20" s="820" t="str">
        <f t="shared" si="0"/>
        <v/>
      </c>
      <c r="B20" s="821" t="str">
        <f>IFERROR(INDEX('Калькулятор КНС'!C:D,MATCH(C20,'Калькулятор КНС'!D:D,),1),"")</f>
        <v/>
      </c>
      <c r="C20" s="822" t="str">
        <f t="array" ref="C20">IFERROR(INDEX(#REF!,SMALL(IF(#REF!&lt;&gt;"",ROW(#REF!)-1),ROW(#REF!))),"")</f>
        <v/>
      </c>
      <c r="D20" s="823" t="str">
        <f>IFERROR(VLOOKUP(C20,'Калькулятор КНС'!D:K,8,),"")</f>
        <v/>
      </c>
      <c r="E20" s="824" t="str">
        <f>IFERROR(VLOOKUP(C20,'Калькулятор КНС'!D:K,7,),"")</f>
        <v/>
      </c>
      <c r="F20" s="825" t="str">
        <f>IFERROR(IF(VLOOKUP(C20,'Калькулятор КНС'!D:N,9,)="",VLOOKUP(C20,'Калькулятор КНС'!D:N,10,),VLOOKUP(C20,'Калькулятор КНС'!D:N,9,)),"")</f>
        <v/>
      </c>
      <c r="G20" s="825" t="str">
        <f>IFERROR(VLOOKUP(C20,'Калькулятор КНС'!D:N,11,),"")</f>
        <v/>
      </c>
    </row>
    <row r="21" spans="1:7" ht="14.45" customHeight="1">
      <c r="A21" s="820" t="str">
        <f t="shared" si="0"/>
        <v/>
      </c>
      <c r="B21" s="821" t="str">
        <f>IFERROR(INDEX('Калькулятор КНС'!C:D,MATCH(C21,'Калькулятор КНС'!D:D,),1),"")</f>
        <v/>
      </c>
      <c r="C21" s="822" t="str">
        <f t="array" ref="C21">IFERROR(INDEX(#REF!,SMALL(IF(#REF!&lt;&gt;"",ROW(#REF!)-1),ROW(#REF!))),"")</f>
        <v/>
      </c>
      <c r="D21" s="823" t="str">
        <f>IFERROR(VLOOKUP(C21,'Калькулятор КНС'!D:K,8,),"")</f>
        <v/>
      </c>
      <c r="E21" s="824" t="str">
        <f>IFERROR(VLOOKUP(C21,'Калькулятор КНС'!D:K,7,),"")</f>
        <v/>
      </c>
      <c r="F21" s="825" t="str">
        <f>IFERROR(IF(VLOOKUP(C21,'Калькулятор КНС'!D:N,9,)="",VLOOKUP(C21,'Калькулятор КНС'!D:N,10,),VLOOKUP(C21,'Калькулятор КНС'!D:N,9,)),"")</f>
        <v/>
      </c>
      <c r="G21" s="825" t="str">
        <f>IFERROR(VLOOKUP(C21,'Калькулятор КНС'!D:N,11,),"")</f>
        <v/>
      </c>
    </row>
    <row r="22" spans="1:7" ht="14.45" customHeight="1">
      <c r="A22" s="820" t="str">
        <f t="shared" si="0"/>
        <v/>
      </c>
      <c r="B22" s="821" t="str">
        <f>IFERROR(INDEX('Калькулятор КНС'!C:D,MATCH(C22,'Калькулятор КНС'!D:D,),1),"")</f>
        <v/>
      </c>
      <c r="C22" s="822" t="str">
        <f t="array" ref="C22">IFERROR(INDEX(#REF!,SMALL(IF(#REF!&lt;&gt;"",ROW(#REF!)-1),ROW(#REF!))),"")</f>
        <v/>
      </c>
      <c r="D22" s="823" t="str">
        <f>IFERROR(VLOOKUP(C22,'Калькулятор КНС'!D:K,8,),"")</f>
        <v/>
      </c>
      <c r="E22" s="824" t="str">
        <f>IFERROR(VLOOKUP(C22,'Калькулятор КНС'!D:K,7,),"")</f>
        <v/>
      </c>
      <c r="F22" s="825" t="str">
        <f>IFERROR(IF(VLOOKUP(C22,'Калькулятор КНС'!D:N,9,)="",VLOOKUP(C22,'Калькулятор КНС'!D:N,10,),VLOOKUP(C22,'Калькулятор КНС'!D:N,9,)),"")</f>
        <v/>
      </c>
      <c r="G22" s="825" t="str">
        <f>IFERROR(VLOOKUP(C22,'Калькулятор КНС'!D:N,11,),"")</f>
        <v/>
      </c>
    </row>
    <row r="23" spans="1:7" ht="14.45" customHeight="1">
      <c r="A23" s="820" t="str">
        <f t="shared" si="0"/>
        <v/>
      </c>
      <c r="B23" s="821" t="str">
        <f>IFERROR(INDEX('Калькулятор КНС'!C:D,MATCH(C23,'Калькулятор КНС'!D:D,),1),"")</f>
        <v/>
      </c>
      <c r="C23" s="822" t="str">
        <f t="array" ref="C23">IFERROR(INDEX(#REF!,SMALL(IF(#REF!&lt;&gt;"",ROW(#REF!)-1),ROW(#REF!))),"")</f>
        <v/>
      </c>
      <c r="D23" s="823" t="str">
        <f>IFERROR(VLOOKUP(C23,'Калькулятор КНС'!D:K,8,),"")</f>
        <v/>
      </c>
      <c r="E23" s="824" t="str">
        <f>IFERROR(VLOOKUP(C23,'Калькулятор КНС'!D:K,7,),"")</f>
        <v/>
      </c>
      <c r="F23" s="825" t="str">
        <f>IFERROR(IF(VLOOKUP(C23,'Калькулятор КНС'!D:N,9,)="",VLOOKUP(C23,'Калькулятор КНС'!D:N,10,),VLOOKUP(C23,'Калькулятор КНС'!D:N,9,)),"")</f>
        <v/>
      </c>
      <c r="G23" s="825" t="str">
        <f>IFERROR(VLOOKUP(C23,'Калькулятор КНС'!D:N,11,),"")</f>
        <v/>
      </c>
    </row>
    <row r="24" spans="1:7" ht="14.45" customHeight="1">
      <c r="A24" s="820" t="str">
        <f t="shared" si="0"/>
        <v/>
      </c>
      <c r="B24" s="821" t="str">
        <f>IFERROR(INDEX('Калькулятор КНС'!C:D,MATCH(C24,'Калькулятор КНС'!D:D,),1),"")</f>
        <v/>
      </c>
      <c r="C24" s="822" t="str">
        <f t="array" ref="C24">IFERROR(INDEX(#REF!,SMALL(IF(#REF!&lt;&gt;"",ROW(#REF!)-1),ROW(#REF!))),"")</f>
        <v/>
      </c>
      <c r="D24" s="823" t="str">
        <f>IFERROR(VLOOKUP(C24,'Калькулятор КНС'!D:K,8,),"")</f>
        <v/>
      </c>
      <c r="E24" s="824" t="str">
        <f>IFERROR(VLOOKUP(C24,'Калькулятор КНС'!D:K,7,),"")</f>
        <v/>
      </c>
      <c r="F24" s="825" t="str">
        <f>IFERROR(IF(VLOOKUP(C24,'Калькулятор КНС'!D:N,9,)="",VLOOKUP(C24,'Калькулятор КНС'!D:N,10,),VLOOKUP(C24,'Калькулятор КНС'!D:N,9,)),"")</f>
        <v/>
      </c>
      <c r="G24" s="825" t="str">
        <f>IFERROR(VLOOKUP(C24,'Калькулятор КНС'!D:N,11,),"")</f>
        <v/>
      </c>
    </row>
    <row r="25" spans="1:7" ht="14.45" customHeight="1">
      <c r="A25" s="820" t="str">
        <f t="shared" si="0"/>
        <v/>
      </c>
      <c r="B25" s="821" t="str">
        <f>IFERROR(INDEX('Калькулятор КНС'!C:D,MATCH(C25,'Калькулятор КНС'!D:D,),1),"")</f>
        <v/>
      </c>
      <c r="C25" s="822" t="str">
        <f t="array" ref="C25">IFERROR(INDEX(#REF!,SMALL(IF(#REF!&lt;&gt;"",ROW(#REF!)-1),ROW(#REF!))),"")</f>
        <v/>
      </c>
      <c r="D25" s="823" t="str">
        <f>IFERROR(VLOOKUP(C25,'Калькулятор КНС'!D:K,8,),"")</f>
        <v/>
      </c>
      <c r="E25" s="824" t="str">
        <f>IFERROR(VLOOKUP(C25,'Калькулятор КНС'!D:K,7,),"")</f>
        <v/>
      </c>
      <c r="F25" s="825" t="str">
        <f>IFERROR(IF(VLOOKUP(C25,'Калькулятор КНС'!D:N,9,)="",VLOOKUP(C25,'Калькулятор КНС'!D:N,10,),VLOOKUP(C25,'Калькулятор КНС'!D:N,9,)),"")</f>
        <v/>
      </c>
      <c r="G25" s="825" t="str">
        <f>IFERROR(VLOOKUP(C25,'Калькулятор КНС'!D:N,11,),"")</f>
        <v/>
      </c>
    </row>
    <row r="26" spans="1:7" ht="14.45" customHeight="1">
      <c r="A26" s="820" t="str">
        <f t="shared" si="0"/>
        <v/>
      </c>
      <c r="B26" s="821" t="str">
        <f>IFERROR(INDEX('Калькулятор КНС'!C:D,MATCH(C26,'Калькулятор КНС'!D:D,),1),"")</f>
        <v/>
      </c>
      <c r="C26" s="822" t="str">
        <f t="array" ref="C26">IFERROR(INDEX(#REF!,SMALL(IF(#REF!&lt;&gt;"",ROW(#REF!)-1),ROW(#REF!))),"")</f>
        <v/>
      </c>
      <c r="D26" s="823" t="str">
        <f>IFERROR(VLOOKUP(C26,'Калькулятор КНС'!D:K,8,),"")</f>
        <v/>
      </c>
      <c r="E26" s="824" t="str">
        <f>IFERROR(VLOOKUP(C26,'Калькулятор КНС'!D:K,7,),"")</f>
        <v/>
      </c>
      <c r="F26" s="825" t="str">
        <f>IFERROR(IF(VLOOKUP(C26,'Калькулятор КНС'!D:N,9,)="",VLOOKUP(C26,'Калькулятор КНС'!D:N,10,),VLOOKUP(C26,'Калькулятор КНС'!D:N,9,)),"")</f>
        <v/>
      </c>
      <c r="G26" s="825" t="str">
        <f>IFERROR(VLOOKUP(C26,'Калькулятор КНС'!D:N,11,),"")</f>
        <v/>
      </c>
    </row>
    <row r="27" spans="1:7" ht="14.45" customHeight="1">
      <c r="A27" s="820" t="str">
        <f t="shared" si="0"/>
        <v/>
      </c>
      <c r="B27" s="821" t="str">
        <f>IFERROR(INDEX('Калькулятор КНС'!C:D,MATCH(C27,'Калькулятор КНС'!D:D,),1),"")</f>
        <v/>
      </c>
      <c r="C27" s="822" t="str">
        <f t="array" ref="C27">IFERROR(INDEX(#REF!,SMALL(IF(#REF!&lt;&gt;"",ROW(#REF!)-1),ROW(#REF!))),"")</f>
        <v/>
      </c>
      <c r="D27" s="823" t="str">
        <f>IFERROR(VLOOKUP(C27,'Калькулятор КНС'!D:K,8,),"")</f>
        <v/>
      </c>
      <c r="E27" s="824" t="str">
        <f>IFERROR(VLOOKUP(C27,'Калькулятор КНС'!D:K,7,),"")</f>
        <v/>
      </c>
      <c r="F27" s="825" t="str">
        <f>IFERROR(IF(VLOOKUP(C27,'Калькулятор КНС'!D:N,9,)="",VLOOKUP(C27,'Калькулятор КНС'!D:N,10,),VLOOKUP(C27,'Калькулятор КНС'!D:N,9,)),"")</f>
        <v/>
      </c>
      <c r="G27" s="825" t="str">
        <f>IFERROR(VLOOKUP(C27,'Калькулятор КНС'!D:N,11,),"")</f>
        <v/>
      </c>
    </row>
    <row r="28" spans="1:7" ht="14.45" customHeight="1">
      <c r="A28" s="820" t="str">
        <f t="shared" si="0"/>
        <v/>
      </c>
      <c r="B28" s="821" t="str">
        <f>IFERROR(INDEX('Калькулятор КНС'!C:D,MATCH(C28,'Калькулятор КНС'!D:D,),1),"")</f>
        <v/>
      </c>
      <c r="C28" s="822" t="str">
        <f t="array" ref="C28">IFERROR(INDEX(#REF!,SMALL(IF(#REF!&lt;&gt;"",ROW(#REF!)-1),ROW(#REF!))),"")</f>
        <v/>
      </c>
      <c r="D28" s="823" t="str">
        <f>IFERROR(VLOOKUP(C28,'Калькулятор КНС'!D:K,8,),"")</f>
        <v/>
      </c>
      <c r="E28" s="824" t="str">
        <f>IFERROR(VLOOKUP(C28,'Калькулятор КНС'!D:K,7,),"")</f>
        <v/>
      </c>
      <c r="F28" s="825" t="str">
        <f>IFERROR(IF(VLOOKUP(C28,'Калькулятор КНС'!D:N,9,)="",VLOOKUP(C28,'Калькулятор КНС'!D:N,10,),VLOOKUP(C28,'Калькулятор КНС'!D:N,9,)),"")</f>
        <v/>
      </c>
      <c r="G28" s="825" t="str">
        <f>IFERROR(VLOOKUP(C28,'Калькулятор КНС'!D:N,11,),"")</f>
        <v/>
      </c>
    </row>
    <row r="29" spans="1:7" ht="14.45" customHeight="1">
      <c r="A29" s="820" t="str">
        <f t="shared" si="0"/>
        <v/>
      </c>
      <c r="B29" s="821" t="str">
        <f>IFERROR(INDEX('Калькулятор КНС'!C:D,MATCH(C29,'Калькулятор КНС'!D:D,),1),"")</f>
        <v/>
      </c>
      <c r="C29" s="822" t="str">
        <f t="array" ref="C29">IFERROR(INDEX(#REF!,SMALL(IF(#REF!&lt;&gt;"",ROW(#REF!)-1),ROW(#REF!))),"")</f>
        <v/>
      </c>
      <c r="D29" s="823" t="str">
        <f>IFERROR(VLOOKUP(C29,'Калькулятор КНС'!D:K,8,),"")</f>
        <v/>
      </c>
      <c r="E29" s="824" t="str">
        <f>IFERROR(VLOOKUP(C29,'Калькулятор КНС'!D:K,7,),"")</f>
        <v/>
      </c>
      <c r="F29" s="825" t="str">
        <f>IFERROR(IF(VLOOKUP(C29,'Калькулятор КНС'!D:N,9,)="",VLOOKUP(C29,'Калькулятор КНС'!D:N,10,),VLOOKUP(C29,'Калькулятор КНС'!D:N,9,)),"")</f>
        <v/>
      </c>
      <c r="G29" s="825" t="str">
        <f>IFERROR(VLOOKUP(C29,'Калькулятор КНС'!D:N,11,),"")</f>
        <v/>
      </c>
    </row>
    <row r="30" spans="1:7" ht="14.45" customHeight="1">
      <c r="A30" s="820" t="str">
        <f t="shared" si="0"/>
        <v/>
      </c>
      <c r="B30" s="821" t="str">
        <f>IFERROR(INDEX('Калькулятор КНС'!C:D,MATCH(C30,'Калькулятор КНС'!D:D,),1),"")</f>
        <v/>
      </c>
      <c r="C30" s="822" t="str">
        <f t="array" ref="C30">IFERROR(INDEX(#REF!,SMALL(IF(#REF!&lt;&gt;"",ROW(#REF!)-1),ROW(#REF!))),"")</f>
        <v/>
      </c>
      <c r="D30" s="823" t="str">
        <f>IFERROR(VLOOKUP(C30,'Калькулятор КНС'!D:K,8,),"")</f>
        <v/>
      </c>
      <c r="E30" s="824" t="str">
        <f>IFERROR(VLOOKUP(C30,'Калькулятор КНС'!D:K,7,),"")</f>
        <v/>
      </c>
      <c r="F30" s="825" t="str">
        <f>IFERROR(IF(VLOOKUP(C30,'Калькулятор КНС'!D:N,9,)="",VLOOKUP(C30,'Калькулятор КНС'!D:N,10,),VLOOKUP(C30,'Калькулятор КНС'!D:N,9,)),"")</f>
        <v/>
      </c>
      <c r="G30" s="825" t="str">
        <f>IFERROR(VLOOKUP(C30,'Калькулятор КНС'!D:N,11,),"")</f>
        <v/>
      </c>
    </row>
    <row r="31" spans="1:7" ht="14.45" customHeight="1">
      <c r="A31" s="820" t="str">
        <f t="shared" si="0"/>
        <v/>
      </c>
      <c r="B31" s="821" t="str">
        <f>IFERROR(INDEX('Калькулятор КНС'!C:D,MATCH(C31,'Калькулятор КНС'!D:D,),1),"")</f>
        <v/>
      </c>
      <c r="C31" s="822" t="str">
        <f t="array" ref="C31">IFERROR(INDEX(#REF!,SMALL(IF(#REF!&lt;&gt;"",ROW(#REF!)-1),ROW(#REF!))),"")</f>
        <v/>
      </c>
      <c r="D31" s="823" t="str">
        <f>IFERROR(VLOOKUP(C31,'Калькулятор КНС'!D:K,8,),"")</f>
        <v/>
      </c>
      <c r="E31" s="824" t="str">
        <f>IFERROR(VLOOKUP(C31,'Калькулятор КНС'!D:K,7,),"")</f>
        <v/>
      </c>
      <c r="F31" s="825" t="str">
        <f>IFERROR(IF(VLOOKUP(C31,'Калькулятор КНС'!D:N,9,)="",VLOOKUP(C31,'Калькулятор КНС'!D:N,10,),VLOOKUP(C31,'Калькулятор КНС'!D:N,9,)),"")</f>
        <v/>
      </c>
      <c r="G31" s="825" t="str">
        <f>IFERROR(VLOOKUP(C31,'Калькулятор КНС'!D:N,11,),"")</f>
        <v/>
      </c>
    </row>
    <row r="32" spans="1:7" ht="14.45" customHeight="1">
      <c r="A32" s="820" t="str">
        <f t="shared" si="0"/>
        <v/>
      </c>
      <c r="B32" s="821" t="str">
        <f>IFERROR(INDEX('Калькулятор КНС'!C:D,MATCH(C32,'Калькулятор КНС'!D:D,),1),"")</f>
        <v/>
      </c>
      <c r="C32" s="822" t="str">
        <f t="array" ref="C32">IFERROR(INDEX(#REF!,SMALL(IF(#REF!&lt;&gt;"",ROW(#REF!)-1),ROW(#REF!))),"")</f>
        <v/>
      </c>
      <c r="D32" s="823" t="str">
        <f>IFERROR(VLOOKUP(C32,'Калькулятор КНС'!D:K,8,),"")</f>
        <v/>
      </c>
      <c r="E32" s="824" t="str">
        <f>IFERROR(VLOOKUP(C32,'Калькулятор КНС'!D:K,7,),"")</f>
        <v/>
      </c>
      <c r="F32" s="825" t="str">
        <f>IFERROR(IF(VLOOKUP(C32,'Калькулятор КНС'!D:N,9,)="",VLOOKUP(C32,'Калькулятор КНС'!D:N,10,),VLOOKUP(C32,'Калькулятор КНС'!D:N,9,)),"")</f>
        <v/>
      </c>
      <c r="G32" s="825" t="str">
        <f>IFERROR(VLOOKUP(C32,'Калькулятор КНС'!D:N,11,),"")</f>
        <v/>
      </c>
    </row>
    <row r="33" spans="1:7" ht="14.45" customHeight="1">
      <c r="A33" s="820" t="str">
        <f t="shared" si="0"/>
        <v/>
      </c>
      <c r="B33" s="821" t="str">
        <f>IFERROR(INDEX('Калькулятор КНС'!C:D,MATCH(C33,'Калькулятор КНС'!D:D,),1),"")</f>
        <v/>
      </c>
      <c r="C33" s="822" t="str">
        <f t="array" ref="C33">IFERROR(INDEX(#REF!,SMALL(IF(#REF!&lt;&gt;"",ROW(#REF!)-1),ROW(#REF!))),"")</f>
        <v/>
      </c>
      <c r="D33" s="823" t="str">
        <f>IFERROR(VLOOKUP(C33,'Калькулятор КНС'!D:K,8,),"")</f>
        <v/>
      </c>
      <c r="E33" s="824" t="str">
        <f>IFERROR(VLOOKUP(C33,'Калькулятор КНС'!D:K,7,),"")</f>
        <v/>
      </c>
      <c r="F33" s="825" t="str">
        <f>IFERROR(IF(VLOOKUP(C33,'Калькулятор КНС'!D:N,9,)="",VLOOKUP(C33,'Калькулятор КНС'!D:N,10,),VLOOKUP(C33,'Калькулятор КНС'!D:N,9,)),"")</f>
        <v/>
      </c>
      <c r="G33" s="825" t="str">
        <f>IFERROR(VLOOKUP(C33,'Калькулятор КНС'!D:N,11,),"")</f>
        <v/>
      </c>
    </row>
    <row r="34" spans="1:7" ht="14.45" customHeight="1">
      <c r="A34" s="820" t="str">
        <f t="shared" si="0"/>
        <v/>
      </c>
      <c r="B34" s="821" t="str">
        <f>IFERROR(INDEX('Калькулятор КНС'!C:D,MATCH(C34,'Калькулятор КНС'!D:D,),1),"")</f>
        <v/>
      </c>
      <c r="C34" s="822" t="str">
        <f t="array" ref="C34">IFERROR(INDEX(#REF!,SMALL(IF(#REF!&lt;&gt;"",ROW(#REF!)-1),ROW(#REF!))),"")</f>
        <v/>
      </c>
      <c r="D34" s="823" t="str">
        <f>IFERROR(VLOOKUP(C34,'Калькулятор КНС'!D:K,8,),"")</f>
        <v/>
      </c>
      <c r="E34" s="824" t="str">
        <f>IFERROR(VLOOKUP(C34,'Калькулятор КНС'!D:K,7,),"")</f>
        <v/>
      </c>
      <c r="F34" s="825" t="str">
        <f>IFERROR(IF(VLOOKUP(C34,'Калькулятор КНС'!D:N,9,)="",VLOOKUP(C34,'Калькулятор КНС'!D:N,10,),VLOOKUP(C34,'Калькулятор КНС'!D:N,9,)),"")</f>
        <v/>
      </c>
      <c r="G34" s="825" t="str">
        <f>IFERROR(VLOOKUP(C34,'Калькулятор КНС'!D:N,11,),"")</f>
        <v/>
      </c>
    </row>
    <row r="35" spans="1:7" ht="14.45" customHeight="1">
      <c r="A35" s="820" t="str">
        <f t="shared" si="0"/>
        <v/>
      </c>
      <c r="B35" s="821" t="str">
        <f>IFERROR(INDEX('Калькулятор КНС'!C:D,MATCH(C35,'Калькулятор КНС'!D:D,),1),"")</f>
        <v/>
      </c>
      <c r="C35" s="822" t="str">
        <f t="array" ref="C35">IFERROR(INDEX(#REF!,SMALL(IF(#REF!&lt;&gt;"",ROW(#REF!)-1),ROW(#REF!))),"")</f>
        <v/>
      </c>
      <c r="D35" s="823" t="str">
        <f>IFERROR(VLOOKUP(C35,'Калькулятор КНС'!D:K,8,),"")</f>
        <v/>
      </c>
      <c r="E35" s="824" t="str">
        <f>IFERROR(VLOOKUP(C35,'Калькулятор КНС'!D:K,7,),"")</f>
        <v/>
      </c>
      <c r="F35" s="825" t="str">
        <f>IFERROR(IF(VLOOKUP(C35,'Калькулятор КНС'!D:N,9,)="",VLOOKUP(C35,'Калькулятор КНС'!D:N,10,),VLOOKUP(C35,'Калькулятор КНС'!D:N,9,)),"")</f>
        <v/>
      </c>
      <c r="G35" s="825" t="str">
        <f>IFERROR(VLOOKUP(C35,'Калькулятор КНС'!D:N,11,),"")</f>
        <v/>
      </c>
    </row>
    <row r="36" spans="1:7" ht="14.45" customHeight="1">
      <c r="A36" s="820" t="str">
        <f t="shared" si="0"/>
        <v/>
      </c>
      <c r="B36" s="821" t="str">
        <f>IFERROR(INDEX('Калькулятор КНС'!C:D,MATCH(C36,'Калькулятор КНС'!D:D,),1),"")</f>
        <v/>
      </c>
      <c r="C36" s="822" t="str">
        <f t="array" ref="C36">IFERROR(INDEX(#REF!,SMALL(IF(#REF!&lt;&gt;"",ROW(#REF!)-1),ROW(#REF!))),"")</f>
        <v/>
      </c>
      <c r="D36" s="823" t="str">
        <f>IFERROR(VLOOKUP(C36,'Калькулятор КНС'!D:K,8,),"")</f>
        <v/>
      </c>
      <c r="E36" s="824" t="str">
        <f>IFERROR(VLOOKUP(C36,'Калькулятор КНС'!D:K,7,),"")</f>
        <v/>
      </c>
      <c r="F36" s="825" t="str">
        <f>IFERROR(IF(VLOOKUP(C36,'Калькулятор КНС'!D:N,9,)="",VLOOKUP(C36,'Калькулятор КНС'!D:N,10,),VLOOKUP(C36,'Калькулятор КНС'!D:N,9,)),"")</f>
        <v/>
      </c>
      <c r="G36" s="825" t="str">
        <f>IFERROR(VLOOKUP(C36,'Калькулятор КНС'!D:N,11,),"")</f>
        <v/>
      </c>
    </row>
    <row r="37" spans="1:7" ht="14.45" customHeight="1">
      <c r="A37" s="820" t="str">
        <f t="shared" si="0"/>
        <v/>
      </c>
      <c r="B37" s="821" t="str">
        <f>IFERROR(INDEX('Калькулятор КНС'!C:D,MATCH(C37,'Калькулятор КНС'!D:D,),1),"")</f>
        <v/>
      </c>
      <c r="C37" s="822" t="str">
        <f t="array" ref="C37">IFERROR(INDEX(#REF!,SMALL(IF(#REF!&lt;&gt;"",ROW(#REF!)-1),ROW(#REF!))),"")</f>
        <v/>
      </c>
      <c r="D37" s="823" t="str">
        <f>IFERROR(VLOOKUP(C37,'Калькулятор КНС'!D:K,8,),"")</f>
        <v/>
      </c>
      <c r="E37" s="824" t="str">
        <f>IFERROR(VLOOKUP(C37,'Калькулятор КНС'!D:K,7,),"")</f>
        <v/>
      </c>
      <c r="F37" s="825" t="str">
        <f>IFERROR(IF(VLOOKUP(C37,'Калькулятор КНС'!D:N,9,)="",VLOOKUP(C37,'Калькулятор КНС'!D:N,10,),VLOOKUP(C37,'Калькулятор КНС'!D:N,9,)),"")</f>
        <v/>
      </c>
      <c r="G37" s="825" t="str">
        <f>IFERROR(VLOOKUP(C37,'Калькулятор КНС'!D:N,11,),"")</f>
        <v/>
      </c>
    </row>
    <row r="38" spans="1:7" ht="14.45" customHeight="1">
      <c r="A38" s="820" t="str">
        <f t="shared" si="0"/>
        <v/>
      </c>
      <c r="B38" s="821" t="str">
        <f>IFERROR(INDEX('Калькулятор КНС'!C:D,MATCH(C38,'Калькулятор КНС'!D:D,),1),"")</f>
        <v/>
      </c>
      <c r="C38" s="822" t="str">
        <f t="array" ref="C38">IFERROR(INDEX(#REF!,SMALL(IF(#REF!&lt;&gt;"",ROW(#REF!)-1),ROW(#REF!))),"")</f>
        <v/>
      </c>
      <c r="D38" s="823" t="str">
        <f>IFERROR(VLOOKUP(C38,'Калькулятор КНС'!D:K,8,),"")</f>
        <v/>
      </c>
      <c r="E38" s="824" t="str">
        <f>IFERROR(VLOOKUP(C38,'Калькулятор КНС'!D:K,7,),"")</f>
        <v/>
      </c>
      <c r="F38" s="825" t="str">
        <f>IFERROR(IF(VLOOKUP(C38,'Калькулятор КНС'!D:N,9,)="",VLOOKUP(C38,'Калькулятор КНС'!D:N,10,),VLOOKUP(C38,'Калькулятор КНС'!D:N,9,)),"")</f>
        <v/>
      </c>
      <c r="G38" s="825" t="str">
        <f>IFERROR(VLOOKUP(C38,'Калькулятор КНС'!D:N,11,),"")</f>
        <v/>
      </c>
    </row>
    <row r="39" spans="1:7" ht="14.45" customHeight="1">
      <c r="A39" s="820" t="str">
        <f t="shared" si="0"/>
        <v/>
      </c>
      <c r="B39" s="821" t="str">
        <f>IFERROR(INDEX('Калькулятор КНС'!C:D,MATCH(C39,'Калькулятор КНС'!D:D,),1),"")</f>
        <v/>
      </c>
      <c r="C39" s="822" t="str">
        <f t="array" ref="C39">IFERROR(INDEX(#REF!,SMALL(IF(#REF!&lt;&gt;"",ROW(#REF!)-1),ROW(#REF!))),"")</f>
        <v/>
      </c>
      <c r="D39" s="823" t="str">
        <f>IFERROR(VLOOKUP(C39,'Калькулятор КНС'!D:K,8,),"")</f>
        <v/>
      </c>
      <c r="E39" s="824" t="str">
        <f>IFERROR(VLOOKUP(C39,'Калькулятор КНС'!D:K,7,),"")</f>
        <v/>
      </c>
      <c r="F39" s="825" t="str">
        <f>IFERROR(IF(VLOOKUP(C39,'Калькулятор КНС'!D:N,9,)="",VLOOKUP(C39,'Калькулятор КНС'!D:N,10,),VLOOKUP(C39,'Калькулятор КНС'!D:N,9,)),"")</f>
        <v/>
      </c>
      <c r="G39" s="825" t="str">
        <f>IFERROR(VLOOKUP(C39,'Калькулятор КНС'!D:N,11,),"")</f>
        <v/>
      </c>
    </row>
    <row r="40" spans="1:7" ht="14.45" customHeight="1">
      <c r="A40" s="820" t="str">
        <f t="shared" si="0"/>
        <v/>
      </c>
      <c r="B40" s="821" t="str">
        <f>IFERROR(INDEX('Калькулятор КНС'!C:D,MATCH(C40,'Калькулятор КНС'!D:D,),1),"")</f>
        <v/>
      </c>
      <c r="C40" s="822" t="str">
        <f t="array" ref="C40">IFERROR(INDEX(#REF!,SMALL(IF(#REF!&lt;&gt;"",ROW(#REF!)-1),ROW(#REF!))),"")</f>
        <v/>
      </c>
      <c r="D40" s="823" t="str">
        <f>IFERROR(VLOOKUP(C40,'Калькулятор КНС'!D:K,8,),"")</f>
        <v/>
      </c>
      <c r="E40" s="824" t="str">
        <f>IFERROR(VLOOKUP(C40,'Калькулятор КНС'!D:K,7,),"")</f>
        <v/>
      </c>
      <c r="F40" s="825" t="str">
        <f>IFERROR(IF(VLOOKUP(C40,'Калькулятор КНС'!D:N,9,)="",VLOOKUP(C40,'Калькулятор КНС'!D:N,10,),VLOOKUP(C40,'Калькулятор КНС'!D:N,9,)),"")</f>
        <v/>
      </c>
      <c r="G40" s="825" t="str">
        <f>IFERROR(VLOOKUP(C40,'Калькулятор КНС'!D:N,11,),"")</f>
        <v/>
      </c>
    </row>
    <row r="41" spans="1:7" ht="14.45" customHeight="1">
      <c r="A41" s="820" t="str">
        <f t="shared" ref="A41:A104" si="1">IF(C41="","",A40+1)</f>
        <v/>
      </c>
      <c r="B41" s="821" t="str">
        <f>IFERROR(INDEX('Калькулятор КНС'!C:D,MATCH(C41,'Калькулятор КНС'!D:D,),1),"")</f>
        <v/>
      </c>
      <c r="C41" s="822" t="str">
        <f t="array" ref="C41">IFERROR(INDEX(#REF!,SMALL(IF(#REF!&lt;&gt;"",ROW(#REF!)-1),ROW(#REF!))),"")</f>
        <v/>
      </c>
      <c r="D41" s="823" t="str">
        <f>IFERROR(VLOOKUP(C41,'Калькулятор КНС'!D:K,8,),"")</f>
        <v/>
      </c>
      <c r="E41" s="824" t="str">
        <f>IFERROR(VLOOKUP(C41,'Калькулятор КНС'!D:K,7,),"")</f>
        <v/>
      </c>
      <c r="F41" s="825" t="str">
        <f>IFERROR(IF(VLOOKUP(C41,'Калькулятор КНС'!D:N,9,)="",VLOOKUP(C41,'Калькулятор КНС'!D:N,10,),VLOOKUP(C41,'Калькулятор КНС'!D:N,9,)),"")</f>
        <v/>
      </c>
      <c r="G41" s="825" t="str">
        <f>IFERROR(VLOOKUP(C41,'Калькулятор КНС'!D:N,11,),"")</f>
        <v/>
      </c>
    </row>
    <row r="42" spans="1:7" ht="14.45" customHeight="1">
      <c r="A42" s="820" t="str">
        <f t="shared" si="1"/>
        <v/>
      </c>
      <c r="B42" s="821" t="str">
        <f>IFERROR(INDEX('Калькулятор КНС'!C:D,MATCH(C42,'Калькулятор КНС'!D:D,),1),"")</f>
        <v/>
      </c>
      <c r="C42" s="822" t="str">
        <f t="array" ref="C42">IFERROR(INDEX(#REF!,SMALL(IF(#REF!&lt;&gt;"",ROW(#REF!)-1),ROW(#REF!))),"")</f>
        <v/>
      </c>
      <c r="D42" s="823" t="str">
        <f>IFERROR(VLOOKUP(C42,'Калькулятор КНС'!D:K,8,),"")</f>
        <v/>
      </c>
      <c r="E42" s="824" t="str">
        <f>IFERROR(VLOOKUP(C42,'Калькулятор КНС'!D:K,7,),"")</f>
        <v/>
      </c>
      <c r="F42" s="825" t="str">
        <f>IFERROR(IF(VLOOKUP(C42,'Калькулятор КНС'!D:N,9,)="",VLOOKUP(C42,'Калькулятор КНС'!D:N,10,),VLOOKUP(C42,'Калькулятор КНС'!D:N,9,)),"")</f>
        <v/>
      </c>
      <c r="G42" s="825" t="str">
        <f>IFERROR(VLOOKUP(C42,'Калькулятор КНС'!D:N,11,),"")</f>
        <v/>
      </c>
    </row>
    <row r="43" spans="1:7" ht="14.45" customHeight="1">
      <c r="A43" s="820" t="str">
        <f t="shared" si="1"/>
        <v/>
      </c>
      <c r="B43" s="821" t="str">
        <f>IFERROR(INDEX('Калькулятор КНС'!C:D,MATCH(C43,'Калькулятор КНС'!D:D,),1),"")</f>
        <v/>
      </c>
      <c r="C43" s="822" t="str">
        <f t="array" ref="C43">IFERROR(INDEX(#REF!,SMALL(IF(#REF!&lt;&gt;"",ROW(#REF!)-1),ROW(#REF!))),"")</f>
        <v/>
      </c>
      <c r="D43" s="823" t="str">
        <f>IFERROR(VLOOKUP(C43,'Калькулятор КНС'!D:K,8,),"")</f>
        <v/>
      </c>
      <c r="E43" s="824" t="str">
        <f>IFERROR(VLOOKUP(C43,'Калькулятор КНС'!D:K,7,),"")</f>
        <v/>
      </c>
      <c r="F43" s="825" t="str">
        <f>IFERROR(IF(VLOOKUP(C43,'Калькулятор КНС'!D:N,9,)="",VLOOKUP(C43,'Калькулятор КНС'!D:N,10,),VLOOKUP(C43,'Калькулятор КНС'!D:N,9,)),"")</f>
        <v/>
      </c>
      <c r="G43" s="825" t="str">
        <f>IFERROR(VLOOKUP(C43,'Калькулятор КНС'!D:N,11,),"")</f>
        <v/>
      </c>
    </row>
    <row r="44" spans="1:7" ht="14.45" customHeight="1">
      <c r="A44" s="820" t="str">
        <f t="shared" si="1"/>
        <v/>
      </c>
      <c r="B44" s="821" t="str">
        <f>IFERROR(INDEX('Калькулятор КНС'!C:D,MATCH(C44,'Калькулятор КНС'!D:D,),1),"")</f>
        <v/>
      </c>
      <c r="C44" s="822" t="str">
        <f t="array" ref="C44">IFERROR(INDEX(#REF!,SMALL(IF(#REF!&lt;&gt;"",ROW(#REF!)-1),ROW(#REF!))),"")</f>
        <v/>
      </c>
      <c r="D44" s="823" t="str">
        <f>IFERROR(VLOOKUP(C44,'Калькулятор КНС'!D:K,8,),"")</f>
        <v/>
      </c>
      <c r="E44" s="824" t="str">
        <f>IFERROR(VLOOKUP(C44,'Калькулятор КНС'!D:K,7,),"")</f>
        <v/>
      </c>
      <c r="F44" s="825" t="str">
        <f>IFERROR(IF(VLOOKUP(C44,'Калькулятор КНС'!D:N,9,)="",VLOOKUP(C44,'Калькулятор КНС'!D:N,10,),VLOOKUP(C44,'Калькулятор КНС'!D:N,9,)),"")</f>
        <v/>
      </c>
      <c r="G44" s="825" t="str">
        <f>IFERROR(VLOOKUP(C44,'Калькулятор КНС'!D:N,11,),"")</f>
        <v/>
      </c>
    </row>
    <row r="45" spans="1:7" ht="14.45" customHeight="1">
      <c r="A45" s="820" t="str">
        <f t="shared" si="1"/>
        <v/>
      </c>
      <c r="B45" s="821" t="str">
        <f>IFERROR(INDEX('Калькулятор КНС'!C:D,MATCH(C45,'Калькулятор КНС'!D:D,),1),"")</f>
        <v/>
      </c>
      <c r="C45" s="822" t="str">
        <f t="array" ref="C45">IFERROR(INDEX(#REF!,SMALL(IF(#REF!&lt;&gt;"",ROW(#REF!)-1),ROW(#REF!))),"")</f>
        <v/>
      </c>
      <c r="D45" s="823" t="str">
        <f>IFERROR(VLOOKUP(C45,'Калькулятор КНС'!D:K,8,),"")</f>
        <v/>
      </c>
      <c r="E45" s="824" t="str">
        <f>IFERROR(VLOOKUP(C45,'Калькулятор КНС'!D:K,7,),"")</f>
        <v/>
      </c>
      <c r="F45" s="825" t="str">
        <f>IFERROR(IF(VLOOKUP(C45,'Калькулятор КНС'!D:N,9,)="",VLOOKUP(C45,'Калькулятор КНС'!D:N,10,),VLOOKUP(C45,'Калькулятор КНС'!D:N,9,)),"")</f>
        <v/>
      </c>
      <c r="G45" s="825" t="str">
        <f>IFERROR(VLOOKUP(C45,'Калькулятор КНС'!D:N,11,),"")</f>
        <v/>
      </c>
    </row>
    <row r="46" spans="1:7" ht="14.45" customHeight="1">
      <c r="A46" s="820" t="str">
        <f t="shared" si="1"/>
        <v/>
      </c>
      <c r="B46" s="821" t="str">
        <f>IFERROR(INDEX('Калькулятор КНС'!C:D,MATCH(C46,'Калькулятор КНС'!D:D,),1),"")</f>
        <v/>
      </c>
      <c r="C46" s="822" t="str">
        <f t="array" ref="C46">IFERROR(INDEX(#REF!,SMALL(IF(#REF!&lt;&gt;"",ROW(#REF!)-1),ROW(#REF!))),"")</f>
        <v/>
      </c>
      <c r="D46" s="823" t="str">
        <f>IFERROR(VLOOKUP(C46,'Калькулятор КНС'!D:K,8,),"")</f>
        <v/>
      </c>
      <c r="E46" s="824" t="str">
        <f>IFERROR(VLOOKUP(C46,'Калькулятор КНС'!D:K,7,),"")</f>
        <v/>
      </c>
      <c r="F46" s="825" t="str">
        <f>IFERROR(IF(VLOOKUP(C46,'Калькулятор КНС'!D:N,9,)="",VLOOKUP(C46,'Калькулятор КНС'!D:N,10,),VLOOKUP(C46,'Калькулятор КНС'!D:N,9,)),"")</f>
        <v/>
      </c>
      <c r="G46" s="825" t="str">
        <f>IFERROR(VLOOKUP(C46,'Калькулятор КНС'!D:N,11,),"")</f>
        <v/>
      </c>
    </row>
    <row r="47" spans="1:7" ht="14.45" customHeight="1">
      <c r="A47" s="820" t="str">
        <f t="shared" si="1"/>
        <v/>
      </c>
      <c r="B47" s="821" t="str">
        <f>IFERROR(INDEX('Калькулятор КНС'!C:D,MATCH(C47,'Калькулятор КНС'!D:D,),1),"")</f>
        <v/>
      </c>
      <c r="C47" s="822" t="str">
        <f t="array" ref="C47">IFERROR(INDEX(#REF!,SMALL(IF(#REF!&lt;&gt;"",ROW(#REF!)-1),ROW(#REF!))),"")</f>
        <v/>
      </c>
      <c r="D47" s="823" t="str">
        <f>IFERROR(VLOOKUP(C47,'Калькулятор КНС'!D:K,8,),"")</f>
        <v/>
      </c>
      <c r="E47" s="824" t="str">
        <f>IFERROR(VLOOKUP(C47,'Калькулятор КНС'!D:K,7,),"")</f>
        <v/>
      </c>
      <c r="F47" s="825" t="str">
        <f>IFERROR(IF(VLOOKUP(C47,'Калькулятор КНС'!D:N,9,)="",VLOOKUP(C47,'Калькулятор КНС'!D:N,10,),VLOOKUP(C47,'Калькулятор КНС'!D:N,9,)),"")</f>
        <v/>
      </c>
      <c r="G47" s="825" t="str">
        <f>IFERROR(VLOOKUP(C47,'Калькулятор КНС'!D:N,11,),"")</f>
        <v/>
      </c>
    </row>
    <row r="48" spans="1:7" ht="14.45" customHeight="1">
      <c r="A48" s="820" t="str">
        <f t="shared" si="1"/>
        <v/>
      </c>
      <c r="B48" s="821" t="str">
        <f>IFERROR(INDEX('Калькулятор КНС'!C:D,MATCH(C48,'Калькулятор КНС'!D:D,),1),"")</f>
        <v/>
      </c>
      <c r="C48" s="822" t="str">
        <f t="array" ref="C48">IFERROR(INDEX(#REF!,SMALL(IF(#REF!&lt;&gt;"",ROW(#REF!)-1),ROW(#REF!))),"")</f>
        <v/>
      </c>
      <c r="D48" s="823" t="str">
        <f>IFERROR(VLOOKUP(C48,'Калькулятор КНС'!D:K,8,),"")</f>
        <v/>
      </c>
      <c r="E48" s="824" t="str">
        <f>IFERROR(VLOOKUP(C48,'Калькулятор КНС'!D:K,7,),"")</f>
        <v/>
      </c>
      <c r="F48" s="825" t="str">
        <f>IFERROR(IF(VLOOKUP(C48,'Калькулятор КНС'!D:N,9,)="",VLOOKUP(C48,'Калькулятор КНС'!D:N,10,),VLOOKUP(C48,'Калькулятор КНС'!D:N,9,)),"")</f>
        <v/>
      </c>
      <c r="G48" s="825" t="str">
        <f>IFERROR(VLOOKUP(C48,'Калькулятор КНС'!D:N,11,),"")</f>
        <v/>
      </c>
    </row>
    <row r="49" spans="1:7" ht="14.45" customHeight="1">
      <c r="A49" s="820" t="str">
        <f t="shared" si="1"/>
        <v/>
      </c>
      <c r="B49" s="821" t="str">
        <f>IFERROR(INDEX('Калькулятор КНС'!C:D,MATCH(C49,'Калькулятор КНС'!D:D,),1),"")</f>
        <v/>
      </c>
      <c r="C49" s="822" t="str">
        <f t="array" ref="C49">IFERROR(INDEX(#REF!,SMALL(IF(#REF!&lt;&gt;"",ROW(#REF!)-1),ROW(#REF!))),"")</f>
        <v/>
      </c>
      <c r="D49" s="823" t="str">
        <f>IFERROR(VLOOKUP(C49,'Калькулятор КНС'!D:K,8,),"")</f>
        <v/>
      </c>
      <c r="E49" s="824" t="str">
        <f>IFERROR(VLOOKUP(C49,'Калькулятор КНС'!D:K,7,),"")</f>
        <v/>
      </c>
      <c r="F49" s="825" t="str">
        <f>IFERROR(IF(VLOOKUP(C49,'Калькулятор КНС'!D:N,9,)="",VLOOKUP(C49,'Калькулятор КНС'!D:N,10,),VLOOKUP(C49,'Калькулятор КНС'!D:N,9,)),"")</f>
        <v/>
      </c>
      <c r="G49" s="825" t="str">
        <f>IFERROR(VLOOKUP(C49,'Калькулятор КНС'!D:N,11,),"")</f>
        <v/>
      </c>
    </row>
    <row r="50" spans="1:7" ht="14.45" customHeight="1">
      <c r="A50" s="820" t="str">
        <f t="shared" si="1"/>
        <v/>
      </c>
      <c r="B50" s="821" t="str">
        <f>IFERROR(INDEX('Калькулятор КНС'!C:D,MATCH(C50,'Калькулятор КНС'!D:D,),1),"")</f>
        <v/>
      </c>
      <c r="C50" s="822" t="str">
        <f t="array" ref="C50">IFERROR(INDEX(#REF!,SMALL(IF(#REF!&lt;&gt;"",ROW(#REF!)-1),ROW(#REF!))),"")</f>
        <v/>
      </c>
      <c r="D50" s="823" t="str">
        <f>IFERROR(VLOOKUP(C50,'Калькулятор КНС'!D:K,8,),"")</f>
        <v/>
      </c>
      <c r="E50" s="824" t="str">
        <f>IFERROR(VLOOKUP(C50,'Калькулятор КНС'!D:K,7,),"")</f>
        <v/>
      </c>
      <c r="F50" s="825" t="str">
        <f>IFERROR(IF(VLOOKUP(C50,'Калькулятор КНС'!D:N,9,)="",VLOOKUP(C50,'Калькулятор КНС'!D:N,10,),VLOOKUP(C50,'Калькулятор КНС'!D:N,9,)),"")</f>
        <v/>
      </c>
      <c r="G50" s="825" t="str">
        <f>IFERROR(VLOOKUP(C50,'Калькулятор КНС'!D:N,11,),"")</f>
        <v/>
      </c>
    </row>
    <row r="51" spans="1:7" ht="14.45" customHeight="1">
      <c r="A51" s="820" t="str">
        <f t="shared" si="1"/>
        <v/>
      </c>
      <c r="B51" s="821" t="str">
        <f>IFERROR(INDEX('Калькулятор КНС'!C:D,MATCH(C51,'Калькулятор КНС'!D:D,),1),"")</f>
        <v/>
      </c>
      <c r="C51" s="822" t="str">
        <f t="array" ref="C51">IFERROR(INDEX(#REF!,SMALL(IF(#REF!&lt;&gt;"",ROW(#REF!)-1),ROW(#REF!))),"")</f>
        <v/>
      </c>
      <c r="D51" s="823" t="str">
        <f>IFERROR(VLOOKUP(C51,'Калькулятор КНС'!D:K,8,),"")</f>
        <v/>
      </c>
      <c r="E51" s="824" t="str">
        <f>IFERROR(VLOOKUP(C51,'Калькулятор КНС'!D:K,7,),"")</f>
        <v/>
      </c>
      <c r="F51" s="825" t="str">
        <f>IFERROR(IF(VLOOKUP(C51,'Калькулятор КНС'!D:N,9,)="",VLOOKUP(C51,'Калькулятор КНС'!D:N,10,),VLOOKUP(C51,'Калькулятор КНС'!D:N,9,)),"")</f>
        <v/>
      </c>
      <c r="G51" s="825" t="str">
        <f>IFERROR(VLOOKUP(C51,'Калькулятор КНС'!D:N,11,),"")</f>
        <v/>
      </c>
    </row>
    <row r="52" spans="1:7" ht="14.45" customHeight="1">
      <c r="A52" s="820" t="str">
        <f t="shared" si="1"/>
        <v/>
      </c>
      <c r="B52" s="821" t="str">
        <f>IFERROR(INDEX('Калькулятор КНС'!C:D,MATCH(C52,'Калькулятор КНС'!D:D,),1),"")</f>
        <v/>
      </c>
      <c r="C52" s="822" t="str">
        <f t="array" ref="C52">IFERROR(INDEX(#REF!,SMALL(IF(#REF!&lt;&gt;"",ROW(#REF!)-1),ROW(#REF!))),"")</f>
        <v/>
      </c>
      <c r="D52" s="823" t="str">
        <f>IFERROR(VLOOKUP(C52,'Калькулятор КНС'!D:K,8,),"")</f>
        <v/>
      </c>
      <c r="E52" s="824" t="str">
        <f>IFERROR(VLOOKUP(C52,'Калькулятор КНС'!D:K,7,),"")</f>
        <v/>
      </c>
      <c r="F52" s="825" t="str">
        <f>IFERROR(IF(VLOOKUP(C52,'Калькулятор КНС'!D:N,9,)="",VLOOKUP(C52,'Калькулятор КНС'!D:N,10,),VLOOKUP(C52,'Калькулятор КНС'!D:N,9,)),"")</f>
        <v/>
      </c>
      <c r="G52" s="825" t="str">
        <f>IFERROR(VLOOKUP(C52,'Калькулятор КНС'!D:N,11,),"")</f>
        <v/>
      </c>
    </row>
    <row r="53" spans="1:7" ht="28.5" customHeight="1">
      <c r="A53" s="820" t="str">
        <f t="shared" si="1"/>
        <v/>
      </c>
      <c r="B53" s="821" t="str">
        <f>IFERROR(INDEX('Калькулятор КНС'!C:D,MATCH(C53,'Калькулятор КНС'!D:D,),1),"")</f>
        <v/>
      </c>
      <c r="C53" s="822" t="str">
        <f t="array" ref="C53">IFERROR(INDEX(#REF!,SMALL(IF(#REF!&lt;&gt;"",ROW(#REF!)-1),ROW(#REF!))),"")</f>
        <v/>
      </c>
      <c r="D53" s="823" t="str">
        <f>IFERROR(VLOOKUP(C53,'Калькулятор КНС'!D:K,8,),"")</f>
        <v/>
      </c>
      <c r="E53" s="824" t="str">
        <f>IFERROR(VLOOKUP(C53,'Калькулятор КНС'!D:K,7,),"")</f>
        <v/>
      </c>
      <c r="F53" s="825" t="str">
        <f>IFERROR(IF(VLOOKUP(C53,'Калькулятор КНС'!D:N,9,)="",VLOOKUP(C53,'Калькулятор КНС'!D:N,10,),VLOOKUP(C53,'Калькулятор КНС'!D:N,9,)),"")</f>
        <v/>
      </c>
      <c r="G53" s="825" t="str">
        <f>IFERROR(VLOOKUP(C53,'Калькулятор КНС'!D:N,11,),"")</f>
        <v/>
      </c>
    </row>
    <row r="54" spans="1:7" ht="14.45" customHeight="1">
      <c r="A54" s="820" t="str">
        <f t="shared" si="1"/>
        <v/>
      </c>
      <c r="B54" s="821" t="str">
        <f>IFERROR(INDEX('Калькулятор КНС'!C:D,MATCH(C54,'Калькулятор КНС'!D:D,),1),"")</f>
        <v/>
      </c>
      <c r="C54" s="822" t="str">
        <f t="array" ref="C54">IFERROR(INDEX(#REF!,SMALL(IF(#REF!&lt;&gt;"",ROW(#REF!)-1),ROW(#REF!))),"")</f>
        <v/>
      </c>
      <c r="D54" s="823" t="str">
        <f>IFERROR(VLOOKUP(C54,'Калькулятор КНС'!D:K,8,),"")</f>
        <v/>
      </c>
      <c r="E54" s="824" t="str">
        <f>IFERROR(VLOOKUP(C54,'Калькулятор КНС'!D:K,7,),"")</f>
        <v/>
      </c>
      <c r="F54" s="825" t="str">
        <f>IFERROR(IF(VLOOKUP(C54,'Калькулятор КНС'!D:N,9,)="",VLOOKUP(C54,'Калькулятор КНС'!D:N,10,),VLOOKUP(C54,'Калькулятор КНС'!D:N,9,)),"")</f>
        <v/>
      </c>
      <c r="G54" s="825" t="str">
        <f>IFERROR(VLOOKUP(C54,'Калькулятор КНС'!D:N,11,),"")</f>
        <v/>
      </c>
    </row>
    <row r="55" spans="1:7" ht="14.25" customHeight="1">
      <c r="A55" s="820" t="str">
        <f t="shared" si="1"/>
        <v/>
      </c>
      <c r="B55" s="821" t="str">
        <f>IFERROR(INDEX('Калькулятор КНС'!C:D,MATCH(C55,'Калькулятор КНС'!D:D,),1),"")</f>
        <v/>
      </c>
      <c r="C55" s="822" t="str">
        <f t="array" ref="C55">IFERROR(INDEX(#REF!,SMALL(IF(#REF!&lt;&gt;"",ROW(#REF!)-1),ROW(#REF!))),"")</f>
        <v/>
      </c>
      <c r="D55" s="823" t="str">
        <f>IFERROR(VLOOKUP(C55,'Калькулятор КНС'!D:K,8,),"")</f>
        <v/>
      </c>
      <c r="E55" s="824" t="str">
        <f>IFERROR(VLOOKUP(C55,'Калькулятор КНС'!D:K,7,),"")</f>
        <v/>
      </c>
      <c r="F55" s="825" t="str">
        <f>IFERROR(IF(VLOOKUP(C55,'Калькулятор КНС'!D:N,9,)="",VLOOKUP(C55,'Калькулятор КНС'!D:N,10,),VLOOKUP(C55,'Калькулятор КНС'!D:N,9,)),"")</f>
        <v/>
      </c>
      <c r="G55" s="825" t="str">
        <f>IFERROR(VLOOKUP(C55,'Калькулятор КНС'!D:N,11,),"")</f>
        <v/>
      </c>
    </row>
    <row r="56" spans="1:7" ht="14.45" customHeight="1">
      <c r="A56" s="820" t="str">
        <f t="shared" si="1"/>
        <v/>
      </c>
      <c r="B56" s="821" t="str">
        <f>IFERROR(INDEX('Калькулятор КНС'!C:D,MATCH(C56,'Калькулятор КНС'!D:D,),1),"")</f>
        <v/>
      </c>
      <c r="C56" s="822" t="str">
        <f t="array" ref="C56">IFERROR(INDEX(#REF!,SMALL(IF(#REF!&lt;&gt;"",ROW(#REF!)-1),ROW(#REF!))),"")</f>
        <v/>
      </c>
      <c r="D56" s="823" t="str">
        <f>IFERROR(VLOOKUP(C56,'Калькулятор КНС'!D:K,8,),"")</f>
        <v/>
      </c>
      <c r="E56" s="824" t="str">
        <f>IFERROR(VLOOKUP(C56,'Калькулятор КНС'!D:K,7,),"")</f>
        <v/>
      </c>
      <c r="F56" s="825" t="str">
        <f>IFERROR(IF(VLOOKUP(C56,'Калькулятор КНС'!D:N,9,)="",VLOOKUP(C56,'Калькулятор КНС'!D:N,10,),VLOOKUP(C56,'Калькулятор КНС'!D:N,9,)),"")</f>
        <v/>
      </c>
      <c r="G56" s="825" t="str">
        <f>IFERROR(VLOOKUP(C56,'Калькулятор КНС'!D:N,11,),"")</f>
        <v/>
      </c>
    </row>
    <row r="57" spans="1:7" ht="30" customHeight="1">
      <c r="A57" s="820" t="str">
        <f t="shared" si="1"/>
        <v/>
      </c>
      <c r="B57" s="821" t="str">
        <f>IFERROR(INDEX('Калькулятор КНС'!C:D,MATCH(C57,'Калькулятор КНС'!D:D,),1),"")</f>
        <v/>
      </c>
      <c r="C57" s="822" t="str">
        <f t="array" ref="C57">IFERROR(INDEX(#REF!,SMALL(IF(#REF!&lt;&gt;"",ROW(#REF!)-1),ROW(#REF!))),"")</f>
        <v/>
      </c>
      <c r="D57" s="823" t="str">
        <f>IFERROR(VLOOKUP(C57,'Калькулятор КНС'!D:K,8,),"")</f>
        <v/>
      </c>
      <c r="E57" s="824" t="str">
        <f>IFERROR(VLOOKUP(C57,'Калькулятор КНС'!D:K,7,),"")</f>
        <v/>
      </c>
      <c r="F57" s="825" t="str">
        <f>IFERROR(IF(VLOOKUP(C57,'Калькулятор КНС'!D:N,9,)="",VLOOKUP(C57,'Калькулятор КНС'!D:N,10,),VLOOKUP(C57,'Калькулятор КНС'!D:N,9,)),"")</f>
        <v/>
      </c>
      <c r="G57" s="825" t="str">
        <f>IFERROR(VLOOKUP(C57,'Калькулятор КНС'!D:N,11,),"")</f>
        <v/>
      </c>
    </row>
    <row r="58" spans="1:7" ht="29.25" customHeight="1">
      <c r="A58" s="820" t="str">
        <f t="shared" si="1"/>
        <v/>
      </c>
      <c r="B58" s="821" t="str">
        <f>IFERROR(INDEX('Калькулятор КНС'!C:D,MATCH(C58,'Калькулятор КНС'!D:D,),1),"")</f>
        <v/>
      </c>
      <c r="C58" s="822" t="str">
        <f t="array" ref="C58">IFERROR(INDEX(#REF!,SMALL(IF(#REF!&lt;&gt;"",ROW(#REF!)-1),ROW(#REF!))),"")</f>
        <v/>
      </c>
      <c r="D58" s="823" t="str">
        <f>IFERROR(VLOOKUP(C58,'Калькулятор КНС'!D:K,8,),"")</f>
        <v/>
      </c>
      <c r="E58" s="824" t="str">
        <f>IFERROR(VLOOKUP(C58,'Калькулятор КНС'!D:K,7,),"")</f>
        <v/>
      </c>
      <c r="F58" s="825" t="str">
        <f>IFERROR(IF(VLOOKUP(C58,'Калькулятор КНС'!D:N,9,)="",VLOOKUP(C58,'Калькулятор КНС'!D:N,10,),VLOOKUP(C58,'Калькулятор КНС'!D:N,9,)),"")</f>
        <v/>
      </c>
      <c r="G58" s="825" t="str">
        <f>IFERROR(VLOOKUP(C58,'Калькулятор КНС'!D:N,11,),"")</f>
        <v/>
      </c>
    </row>
    <row r="59" spans="1:7" ht="14.45" customHeight="1">
      <c r="A59" s="820" t="str">
        <f t="shared" si="1"/>
        <v/>
      </c>
      <c r="B59" s="821" t="str">
        <f>IFERROR(INDEX('Калькулятор КНС'!C:D,MATCH(C59,'Калькулятор КНС'!D:D,),1),"")</f>
        <v/>
      </c>
      <c r="C59" s="822" t="str">
        <f t="array" ref="C59">IFERROR(INDEX(#REF!,SMALL(IF(#REF!&lt;&gt;"",ROW(#REF!)-1),ROW(#REF!))),"")</f>
        <v/>
      </c>
      <c r="D59" s="823" t="str">
        <f>IFERROR(VLOOKUP(C59,'Калькулятор КНС'!D:K,8,),"")</f>
        <v/>
      </c>
      <c r="E59" s="824" t="str">
        <f>IFERROR(VLOOKUP(C59,'Калькулятор КНС'!D:K,7,),"")</f>
        <v/>
      </c>
      <c r="F59" s="825" t="str">
        <f>IFERROR(IF(VLOOKUP(C59,'Калькулятор КНС'!D:N,9,)="",VLOOKUP(C59,'Калькулятор КНС'!D:N,10,),VLOOKUP(C59,'Калькулятор КНС'!D:N,9,)),"")</f>
        <v/>
      </c>
      <c r="G59" s="825" t="str">
        <f>IFERROR(VLOOKUP(C59,'Калькулятор КНС'!D:N,11,),"")</f>
        <v/>
      </c>
    </row>
    <row r="60" spans="1:7" ht="14.45" customHeight="1">
      <c r="A60" s="820" t="str">
        <f t="shared" si="1"/>
        <v/>
      </c>
      <c r="B60" s="821" t="str">
        <f>IFERROR(INDEX('Калькулятор КНС'!C:D,MATCH(C60,'Калькулятор КНС'!D:D,),1),"")</f>
        <v/>
      </c>
      <c r="C60" s="822" t="str">
        <f t="array" ref="C60">IFERROR(INDEX(#REF!,SMALL(IF(#REF!&lt;&gt;"",ROW(#REF!)-1),ROW(#REF!))),"")</f>
        <v/>
      </c>
      <c r="D60" s="823" t="str">
        <f>IFERROR(VLOOKUP(C60,'Калькулятор КНС'!D:K,8,),"")</f>
        <v/>
      </c>
      <c r="E60" s="824" t="str">
        <f>IFERROR(VLOOKUP(C60,'Калькулятор КНС'!D:K,7,),"")</f>
        <v/>
      </c>
      <c r="F60" s="825" t="str">
        <f>IFERROR(IF(VLOOKUP(C60,'Калькулятор КНС'!D:N,9,)="",VLOOKUP(C60,'Калькулятор КНС'!D:N,10,),VLOOKUP(C60,'Калькулятор КНС'!D:N,9,)),"")</f>
        <v/>
      </c>
      <c r="G60" s="825" t="str">
        <f>IFERROR(VLOOKUP(C60,'Калькулятор КНС'!D:N,11,),"")</f>
        <v/>
      </c>
    </row>
    <row r="61" spans="1:7" ht="14.45" customHeight="1">
      <c r="A61" s="820" t="str">
        <f t="shared" si="1"/>
        <v/>
      </c>
      <c r="B61" s="821" t="str">
        <f>IFERROR(INDEX('Калькулятор КНС'!C:D,MATCH(C61,'Калькулятор КНС'!D:D,),1),"")</f>
        <v/>
      </c>
      <c r="C61" s="822" t="str">
        <f t="array" ref="C61">IFERROR(INDEX(#REF!,SMALL(IF(#REF!&lt;&gt;"",ROW(#REF!)-1),ROW(#REF!))),"")</f>
        <v/>
      </c>
      <c r="D61" s="823" t="str">
        <f>IFERROR(VLOOKUP(C61,'Калькулятор КНС'!D:K,8,),"")</f>
        <v/>
      </c>
      <c r="E61" s="824" t="str">
        <f>IFERROR(VLOOKUP(C61,'Калькулятор КНС'!D:K,7,),"")</f>
        <v/>
      </c>
      <c r="F61" s="825" t="str">
        <f>IFERROR(IF(VLOOKUP(C61,'Калькулятор КНС'!D:N,9,)="",VLOOKUP(C61,'Калькулятор КНС'!D:N,10,),VLOOKUP(C61,'Калькулятор КНС'!D:N,9,)),"")</f>
        <v/>
      </c>
      <c r="G61" s="825" t="str">
        <f>IFERROR(VLOOKUP(C61,'Калькулятор КНС'!D:N,11,),"")</f>
        <v/>
      </c>
    </row>
    <row r="62" spans="1:7" ht="14.45" customHeight="1">
      <c r="A62" s="820" t="str">
        <f t="shared" si="1"/>
        <v/>
      </c>
      <c r="B62" s="821" t="str">
        <f>IFERROR(INDEX('Калькулятор КНС'!C:D,MATCH(C62,'Калькулятор КНС'!D:D,),1),"")</f>
        <v/>
      </c>
      <c r="C62" s="822" t="str">
        <f t="array" ref="C62">IFERROR(INDEX(#REF!,SMALL(IF(#REF!&lt;&gt;"",ROW(#REF!)-1),ROW(#REF!))),"")</f>
        <v/>
      </c>
      <c r="D62" s="823" t="str">
        <f>IFERROR(VLOOKUP(C62,'Калькулятор КНС'!D:K,8,),"")</f>
        <v/>
      </c>
      <c r="E62" s="824" t="str">
        <f>IFERROR(VLOOKUP(C62,'Калькулятор КНС'!D:K,7,),"")</f>
        <v/>
      </c>
      <c r="F62" s="825" t="str">
        <f>IFERROR(IF(VLOOKUP(C62,'Калькулятор КНС'!D:N,9,)="",VLOOKUP(C62,'Калькулятор КНС'!D:N,10,),VLOOKUP(C62,'Калькулятор КНС'!D:N,9,)),"")</f>
        <v/>
      </c>
      <c r="G62" s="825" t="str">
        <f>IFERROR(VLOOKUP(C62,'Калькулятор КНС'!D:N,11,),"")</f>
        <v/>
      </c>
    </row>
    <row r="63" spans="1:7" ht="14.45" customHeight="1">
      <c r="A63" s="820" t="str">
        <f t="shared" si="1"/>
        <v/>
      </c>
      <c r="B63" s="821" t="str">
        <f>IFERROR(INDEX('Калькулятор КНС'!C:D,MATCH(C63,'Калькулятор КНС'!D:D,),1),"")</f>
        <v/>
      </c>
      <c r="C63" s="822" t="str">
        <f t="array" ref="C63">IFERROR(INDEX(#REF!,SMALL(IF(#REF!&lt;&gt;"",ROW(#REF!)-1),ROW(#REF!))),"")</f>
        <v/>
      </c>
      <c r="D63" s="823" t="str">
        <f>IFERROR(VLOOKUP(C63,'Калькулятор КНС'!D:K,8,),"")</f>
        <v/>
      </c>
      <c r="E63" s="824" t="str">
        <f>IFERROR(VLOOKUP(C63,'Калькулятор КНС'!D:K,7,),"")</f>
        <v/>
      </c>
      <c r="F63" s="825" t="str">
        <f>IFERROR(IF(VLOOKUP(C63,'Калькулятор КНС'!D:N,9,)="",VLOOKUP(C63,'Калькулятор КНС'!D:N,10,),VLOOKUP(C63,'Калькулятор КНС'!D:N,9,)),"")</f>
        <v/>
      </c>
      <c r="G63" s="825" t="str">
        <f>IFERROR(VLOOKUP(C63,'Калькулятор КНС'!D:N,11,),"")</f>
        <v/>
      </c>
    </row>
    <row r="64" spans="1:7" ht="15">
      <c r="A64" s="820" t="str">
        <f t="shared" si="1"/>
        <v/>
      </c>
      <c r="B64" s="821" t="str">
        <f>IFERROR(INDEX('Калькулятор КНС'!C:D,MATCH(C64,'Калькулятор КНС'!D:D,),1),"")</f>
        <v/>
      </c>
      <c r="C64" s="822" t="str">
        <f t="array" ref="C64">IFERROR(INDEX(#REF!,SMALL(IF(#REF!&lt;&gt;"",ROW(#REF!)-1),ROW(#REF!))),"")</f>
        <v/>
      </c>
      <c r="D64" s="823" t="str">
        <f>IFERROR(VLOOKUP(C64,'Калькулятор КНС'!D:K,8,),"")</f>
        <v/>
      </c>
      <c r="E64" s="824" t="str">
        <f>IFERROR(VLOOKUP(C64,'Калькулятор КНС'!D:K,7,),"")</f>
        <v/>
      </c>
      <c r="F64" s="825" t="str">
        <f>IFERROR(IF(VLOOKUP(C64,'Калькулятор КНС'!D:N,9,)="",VLOOKUP(C64,'Калькулятор КНС'!D:N,10,),VLOOKUP(C64,'Калькулятор КНС'!D:N,9,)),"")</f>
        <v/>
      </c>
      <c r="G64" s="825" t="str">
        <f>IFERROR(VLOOKUP(C64,'Калькулятор КНС'!D:N,11,),"")</f>
        <v/>
      </c>
    </row>
    <row r="65" spans="1:7" ht="15">
      <c r="A65" s="820" t="str">
        <f t="shared" si="1"/>
        <v/>
      </c>
      <c r="B65" s="821" t="str">
        <f>IFERROR(INDEX('Калькулятор КНС'!C:D,MATCH(C65,'Калькулятор КНС'!D:D,),1),"")</f>
        <v/>
      </c>
      <c r="C65" s="822" t="str">
        <f t="array" ref="C65">IFERROR(INDEX(#REF!,SMALL(IF(#REF!&lt;&gt;"",ROW(#REF!)-1),ROW(#REF!))),"")</f>
        <v/>
      </c>
      <c r="D65" s="823" t="str">
        <f>IFERROR(VLOOKUP(C65,'Калькулятор КНС'!D:K,8,),"")</f>
        <v/>
      </c>
      <c r="E65" s="824" t="str">
        <f>IFERROR(VLOOKUP(C65,'Калькулятор КНС'!D:K,7,),"")</f>
        <v/>
      </c>
      <c r="F65" s="825" t="str">
        <f>IFERROR(IF(VLOOKUP(C65,'Калькулятор КНС'!D:N,9,)="",VLOOKUP(C65,'Калькулятор КНС'!D:N,10,),VLOOKUP(C65,'Калькулятор КНС'!D:N,9,)),"")</f>
        <v/>
      </c>
      <c r="G65" s="825" t="str">
        <f>IFERROR(VLOOKUP(C65,'Калькулятор КНС'!D:N,11,),"")</f>
        <v/>
      </c>
    </row>
    <row r="66" spans="1:7" ht="14.45" customHeight="1">
      <c r="A66" s="820" t="str">
        <f t="shared" si="1"/>
        <v/>
      </c>
      <c r="B66" s="821" t="str">
        <f>IFERROR(INDEX('Калькулятор КНС'!C:D,MATCH(C66,'Калькулятор КНС'!D:D,),1),"")</f>
        <v/>
      </c>
      <c r="C66" s="822" t="str">
        <f t="array" ref="C66">IFERROR(INDEX(#REF!,SMALL(IF(#REF!&lt;&gt;"",ROW(#REF!)-1),ROW(#REF!))),"")</f>
        <v/>
      </c>
      <c r="D66" s="823" t="str">
        <f>IFERROR(VLOOKUP(C66,'Калькулятор КНС'!D:K,8,),"")</f>
        <v/>
      </c>
      <c r="E66" s="824" t="str">
        <f>IFERROR(VLOOKUP(C66,'Калькулятор КНС'!D:K,7,),"")</f>
        <v/>
      </c>
      <c r="F66" s="825" t="str">
        <f>IFERROR(IF(VLOOKUP(C66,'Калькулятор КНС'!D:N,9,)="",VLOOKUP(C66,'Калькулятор КНС'!D:N,10,),VLOOKUP(C66,'Калькулятор КНС'!D:N,9,)),"")</f>
        <v/>
      </c>
      <c r="G66" s="825" t="str">
        <f>IFERROR(VLOOKUP(C66,'Калькулятор КНС'!D:N,11,),"")</f>
        <v/>
      </c>
    </row>
    <row r="67" spans="1:7" ht="15">
      <c r="A67" s="820" t="str">
        <f t="shared" si="1"/>
        <v/>
      </c>
      <c r="B67" s="821" t="str">
        <f>IFERROR(INDEX('Калькулятор КНС'!C:D,MATCH(C67,'Калькулятор КНС'!D:D,),1),"")</f>
        <v/>
      </c>
      <c r="C67" s="822" t="str">
        <f t="array" ref="C67">IFERROR(INDEX(#REF!,SMALL(IF(#REF!&lt;&gt;"",ROW(#REF!)-1),ROW(#REF!))),"")</f>
        <v/>
      </c>
      <c r="D67" s="823" t="str">
        <f>IFERROR(VLOOKUP(C67,'Калькулятор КНС'!D:K,8,),"")</f>
        <v/>
      </c>
      <c r="E67" s="824" t="str">
        <f>IFERROR(VLOOKUP(C67,'Калькулятор КНС'!D:K,7,),"")</f>
        <v/>
      </c>
      <c r="F67" s="825" t="str">
        <f>IFERROR(IF(VLOOKUP(C67,'Калькулятор КНС'!D:N,9,)="",VLOOKUP(C67,'Калькулятор КНС'!D:N,10,),VLOOKUP(C67,'Калькулятор КНС'!D:N,9,)),"")</f>
        <v/>
      </c>
      <c r="G67" s="825" t="str">
        <f>IFERROR(VLOOKUP(C67,'Калькулятор КНС'!D:N,11,),"")</f>
        <v/>
      </c>
    </row>
    <row r="68" spans="1:7" ht="15">
      <c r="A68" s="820" t="str">
        <f t="shared" si="1"/>
        <v/>
      </c>
      <c r="B68" s="821" t="str">
        <f>IFERROR(INDEX('Калькулятор КНС'!C:D,MATCH(C68,'Калькулятор КНС'!D:D,),1),"")</f>
        <v/>
      </c>
      <c r="C68" s="822" t="str">
        <f t="array" ref="C68">IFERROR(INDEX(#REF!,SMALL(IF(#REF!&lt;&gt;"",ROW(#REF!)-1),ROW(#REF!))),"")</f>
        <v/>
      </c>
      <c r="D68" s="823" t="str">
        <f>IFERROR(VLOOKUP(C68,'Калькулятор КНС'!D:K,8,),"")</f>
        <v/>
      </c>
      <c r="E68" s="824" t="str">
        <f>IFERROR(VLOOKUP(C68,'Калькулятор КНС'!D:K,7,),"")</f>
        <v/>
      </c>
      <c r="F68" s="825" t="str">
        <f>IFERROR(IF(VLOOKUP(C68,'Калькулятор КНС'!D:N,9,)="",VLOOKUP(C68,'Калькулятор КНС'!D:N,10,),VLOOKUP(C68,'Калькулятор КНС'!D:N,9,)),"")</f>
        <v/>
      </c>
      <c r="G68" s="825" t="str">
        <f>IFERROR(VLOOKUP(C68,'Калькулятор КНС'!D:N,11,),"")</f>
        <v/>
      </c>
    </row>
    <row r="69" spans="1:7" ht="15">
      <c r="A69" s="820" t="str">
        <f t="shared" si="1"/>
        <v/>
      </c>
      <c r="B69" s="821" t="str">
        <f>IFERROR(INDEX('Калькулятор КНС'!C:D,MATCH(C69,'Калькулятор КНС'!D:D,),1),"")</f>
        <v/>
      </c>
      <c r="C69" s="822" t="str">
        <f t="array" ref="C69">IFERROR(INDEX(#REF!,SMALL(IF(#REF!&lt;&gt;"",ROW(#REF!)-1),ROW(#REF!))),"")</f>
        <v/>
      </c>
      <c r="D69" s="823" t="str">
        <f>IFERROR(VLOOKUP(C69,'Калькулятор КНС'!D:K,8,),"")</f>
        <v/>
      </c>
      <c r="E69" s="824" t="str">
        <f>IFERROR(VLOOKUP(C69,'Калькулятор КНС'!D:K,7,),"")</f>
        <v/>
      </c>
      <c r="F69" s="825" t="str">
        <f>IFERROR(IF(VLOOKUP(C69,'Калькулятор КНС'!D:N,9,)="",VLOOKUP(C69,'Калькулятор КНС'!D:N,10,),VLOOKUP(C69,'Калькулятор КНС'!D:N,9,)),"")</f>
        <v/>
      </c>
      <c r="G69" s="825" t="str">
        <f>IFERROR(VLOOKUP(C69,'Калькулятор КНС'!D:N,11,),"")</f>
        <v/>
      </c>
    </row>
    <row r="70" spans="1:7" ht="14.45" customHeight="1">
      <c r="A70" s="820" t="str">
        <f t="shared" si="1"/>
        <v/>
      </c>
      <c r="B70" s="821" t="str">
        <f>IFERROR(INDEX('Калькулятор КНС'!C:D,MATCH(C70,'Калькулятор КНС'!D:D,),1),"")</f>
        <v/>
      </c>
      <c r="C70" s="822" t="str">
        <f t="array" ref="C70">IFERROR(INDEX(#REF!,SMALL(IF(#REF!&lt;&gt;"",ROW(#REF!)-1),ROW(#REF!))),"")</f>
        <v/>
      </c>
      <c r="D70" s="823" t="str">
        <f>IFERROR(VLOOKUP(C70,'Калькулятор КНС'!D:K,8,),"")</f>
        <v/>
      </c>
      <c r="E70" s="824" t="str">
        <f>IFERROR(VLOOKUP(C70,'Калькулятор КНС'!D:K,7,),"")</f>
        <v/>
      </c>
      <c r="F70" s="825" t="str">
        <f>IFERROR(IF(VLOOKUP(C70,'Калькулятор КНС'!D:N,9,)="",VLOOKUP(C70,'Калькулятор КНС'!D:N,10,),VLOOKUP(C70,'Калькулятор КНС'!D:N,9,)),"")</f>
        <v/>
      </c>
      <c r="G70" s="825" t="str">
        <f>IFERROR(VLOOKUP(C70,'Калькулятор КНС'!D:N,11,),"")</f>
        <v/>
      </c>
    </row>
    <row r="71" spans="1:7" ht="14.45" customHeight="1">
      <c r="A71" s="820" t="str">
        <f t="shared" si="1"/>
        <v/>
      </c>
      <c r="B71" s="821" t="str">
        <f>IFERROR(INDEX('Калькулятор КНС'!C:D,MATCH(C71,'Калькулятор КНС'!D:D,),1),"")</f>
        <v/>
      </c>
      <c r="C71" s="822" t="str">
        <f t="array" ref="C71">IFERROR(INDEX(#REF!,SMALL(IF(#REF!&lt;&gt;"",ROW(#REF!)-1),ROW(#REF!))),"")</f>
        <v/>
      </c>
      <c r="D71" s="823" t="str">
        <f>IFERROR(VLOOKUP(C71,'Калькулятор КНС'!D:K,8,),"")</f>
        <v/>
      </c>
      <c r="E71" s="824" t="str">
        <f>IFERROR(VLOOKUP(C71,'Калькулятор КНС'!D:K,7,),"")</f>
        <v/>
      </c>
      <c r="F71" s="825" t="str">
        <f>IFERROR(IF(VLOOKUP(C71,'Калькулятор КНС'!D:N,9,)="",VLOOKUP(C71,'Калькулятор КНС'!D:N,10,),VLOOKUP(C71,'Калькулятор КНС'!D:N,9,)),"")</f>
        <v/>
      </c>
      <c r="G71" s="825" t="str">
        <f>IFERROR(VLOOKUP(C71,'Калькулятор КНС'!D:N,11,),"")</f>
        <v/>
      </c>
    </row>
    <row r="72" spans="1:7" ht="14.45" customHeight="1">
      <c r="A72" s="820" t="str">
        <f t="shared" si="1"/>
        <v/>
      </c>
      <c r="B72" s="821" t="str">
        <f>IFERROR(INDEX('Калькулятор КНС'!C:D,MATCH(C72,'Калькулятор КНС'!D:D,),1),"")</f>
        <v/>
      </c>
      <c r="C72" s="822" t="str">
        <f t="array" ref="C72">IFERROR(INDEX(#REF!,SMALL(IF(#REF!&lt;&gt;"",ROW(#REF!)-1),ROW(#REF!))),"")</f>
        <v/>
      </c>
      <c r="D72" s="823" t="str">
        <f>IFERROR(VLOOKUP(C72,'Калькулятор КНС'!D:K,8,),"")</f>
        <v/>
      </c>
      <c r="E72" s="824" t="str">
        <f>IFERROR(VLOOKUP(C72,'Калькулятор КНС'!D:K,7,),"")</f>
        <v/>
      </c>
      <c r="F72" s="825" t="str">
        <f>IFERROR(IF(VLOOKUP(C72,'Калькулятор КНС'!D:N,9,)="",VLOOKUP(C72,'Калькулятор КНС'!D:N,10,),VLOOKUP(C72,'Калькулятор КНС'!D:N,9,)),"")</f>
        <v/>
      </c>
      <c r="G72" s="825" t="str">
        <f>IFERROR(VLOOKUP(C72,'Калькулятор КНС'!D:N,11,),"")</f>
        <v/>
      </c>
    </row>
    <row r="73" spans="1:7" ht="14.45" customHeight="1">
      <c r="A73" s="820" t="str">
        <f t="shared" si="1"/>
        <v/>
      </c>
      <c r="B73" s="821" t="str">
        <f>IFERROR(INDEX('Калькулятор КНС'!C:D,MATCH(C73,'Калькулятор КНС'!D:D,),1),"")</f>
        <v/>
      </c>
      <c r="C73" s="822" t="str">
        <f t="array" ref="C73">IFERROR(INDEX(#REF!,SMALL(IF(#REF!&lt;&gt;"",ROW(#REF!)-1),ROW(#REF!))),"")</f>
        <v/>
      </c>
      <c r="D73" s="823" t="str">
        <f>IFERROR(VLOOKUP(C73,'Калькулятор КНС'!D:K,8,),"")</f>
        <v/>
      </c>
      <c r="E73" s="824" t="str">
        <f>IFERROR(VLOOKUP(C73,'Калькулятор КНС'!D:K,7,),"")</f>
        <v/>
      </c>
      <c r="F73" s="825" t="str">
        <f>IFERROR(IF(VLOOKUP(C73,'Калькулятор КНС'!D:N,9,)="",VLOOKUP(C73,'Калькулятор КНС'!D:N,10,),VLOOKUP(C73,'Калькулятор КНС'!D:N,9,)),"")</f>
        <v/>
      </c>
      <c r="G73" s="825" t="str">
        <f>IFERROR(VLOOKUP(C73,'Калькулятор КНС'!D:N,11,),"")</f>
        <v/>
      </c>
    </row>
    <row r="74" spans="1:7" ht="14.45" customHeight="1">
      <c r="A74" s="820" t="str">
        <f t="shared" si="1"/>
        <v/>
      </c>
      <c r="B74" s="821" t="str">
        <f>IFERROR(INDEX('Калькулятор КНС'!C:D,MATCH(C74,'Калькулятор КНС'!D:D,),1),"")</f>
        <v/>
      </c>
      <c r="C74" s="822" t="str">
        <f t="array" ref="C74">IFERROR(INDEX(#REF!,SMALL(IF(#REF!&lt;&gt;"",ROW(#REF!)-1),ROW(#REF!))),"")</f>
        <v/>
      </c>
      <c r="D74" s="823" t="str">
        <f>IFERROR(VLOOKUP(C74,'Калькулятор КНС'!D:K,8,),"")</f>
        <v/>
      </c>
      <c r="E74" s="824" t="str">
        <f>IFERROR(VLOOKUP(C74,'Калькулятор КНС'!D:K,7,),"")</f>
        <v/>
      </c>
      <c r="F74" s="825" t="str">
        <f>IFERROR(IF(VLOOKUP(C74,'Калькулятор КНС'!D:N,9,)="",VLOOKUP(C74,'Калькулятор КНС'!D:N,10,),VLOOKUP(C74,'Калькулятор КНС'!D:N,9,)),"")</f>
        <v/>
      </c>
      <c r="G74" s="825" t="str">
        <f>IFERROR(VLOOKUP(C74,'Калькулятор КНС'!D:N,11,),"")</f>
        <v/>
      </c>
    </row>
    <row r="75" spans="1:7" ht="15">
      <c r="A75" s="820" t="str">
        <f t="shared" si="1"/>
        <v/>
      </c>
      <c r="B75" s="821" t="str">
        <f>IFERROR(INDEX('Калькулятор КНС'!C:D,MATCH(C75,'Калькулятор КНС'!D:D,),1),"")</f>
        <v/>
      </c>
      <c r="C75" s="822" t="str">
        <f t="array" ref="C75">IFERROR(INDEX(#REF!,SMALL(IF(#REF!&lt;&gt;"",ROW(#REF!)-1),ROW(#REF!))),"")</f>
        <v/>
      </c>
      <c r="D75" s="823" t="str">
        <f>IFERROR(VLOOKUP(C75,'Калькулятор КНС'!D:K,8,),"")</f>
        <v/>
      </c>
      <c r="E75" s="824" t="str">
        <f>IFERROR(VLOOKUP(C75,'Калькулятор КНС'!D:K,7,),"")</f>
        <v/>
      </c>
      <c r="F75" s="825" t="str">
        <f>IFERROR(IF(VLOOKUP(C75,'Калькулятор КНС'!D:N,9,)="",VLOOKUP(C75,'Калькулятор КНС'!D:N,10,),VLOOKUP(C75,'Калькулятор КНС'!D:N,9,)),"")</f>
        <v/>
      </c>
      <c r="G75" s="825" t="str">
        <f>IFERROR(VLOOKUP(C75,'Калькулятор КНС'!D:N,11,),"")</f>
        <v/>
      </c>
    </row>
    <row r="76" spans="1:7" ht="14.45" customHeight="1">
      <c r="A76" s="820" t="str">
        <f t="shared" si="1"/>
        <v/>
      </c>
      <c r="B76" s="821" t="str">
        <f>IFERROR(INDEX('Калькулятор КНС'!C:D,MATCH(C76,'Калькулятор КНС'!D:D,),1),"")</f>
        <v/>
      </c>
      <c r="C76" s="822" t="str">
        <f t="array" ref="C76">IFERROR(INDEX(#REF!,SMALL(IF(#REF!&lt;&gt;"",ROW(#REF!)-1),ROW(#REF!))),"")</f>
        <v/>
      </c>
      <c r="D76" s="823" t="str">
        <f>IFERROR(VLOOKUP(C76,'Калькулятор КНС'!D:K,8,),"")</f>
        <v/>
      </c>
      <c r="E76" s="824" t="str">
        <f>IFERROR(VLOOKUP(C76,'Калькулятор КНС'!D:K,7,),"")</f>
        <v/>
      </c>
      <c r="F76" s="825" t="str">
        <f>IFERROR(IF(VLOOKUP(C76,'Калькулятор КНС'!D:N,9,)="",VLOOKUP(C76,'Калькулятор КНС'!D:N,10,),VLOOKUP(C76,'Калькулятор КНС'!D:N,9,)),"")</f>
        <v/>
      </c>
      <c r="G76" s="825" t="str">
        <f>IFERROR(VLOOKUP(C76,'Калькулятор КНС'!D:N,11,),"")</f>
        <v/>
      </c>
    </row>
    <row r="77" spans="1:7" ht="14.45" customHeight="1">
      <c r="A77" s="820" t="str">
        <f t="shared" si="1"/>
        <v/>
      </c>
      <c r="B77" s="821" t="str">
        <f>IFERROR(INDEX('Калькулятор КНС'!C:D,MATCH(C77,'Калькулятор КНС'!D:D,),1),"")</f>
        <v/>
      </c>
      <c r="C77" s="822" t="str">
        <f t="array" ref="C77">IFERROR(INDEX(#REF!,SMALL(IF(#REF!&lt;&gt;"",ROW(#REF!)-1),ROW(#REF!))),"")</f>
        <v/>
      </c>
      <c r="D77" s="823" t="str">
        <f>IFERROR(VLOOKUP(C77,'Калькулятор КНС'!D:K,8,),"")</f>
        <v/>
      </c>
      <c r="E77" s="824" t="str">
        <f>IFERROR(VLOOKUP(C77,'Калькулятор КНС'!D:K,7,),"")</f>
        <v/>
      </c>
      <c r="F77" s="825" t="str">
        <f>IFERROR(IF(VLOOKUP(C77,'Калькулятор КНС'!D:N,9,)="",VLOOKUP(C77,'Калькулятор КНС'!D:N,10,),VLOOKUP(C77,'Калькулятор КНС'!D:N,9,)),"")</f>
        <v/>
      </c>
      <c r="G77" s="825" t="str">
        <f>IFERROR(VLOOKUP(C77,'Калькулятор КНС'!D:N,11,),"")</f>
        <v/>
      </c>
    </row>
    <row r="78" spans="1:7" ht="14.45" customHeight="1">
      <c r="A78" s="820" t="str">
        <f t="shared" si="1"/>
        <v/>
      </c>
      <c r="B78" s="821" t="str">
        <f>IFERROR(INDEX('Калькулятор КНС'!C:D,MATCH(C78,'Калькулятор КНС'!D:D,),1),"")</f>
        <v/>
      </c>
      <c r="C78" s="822" t="str">
        <f t="array" ref="C78">IFERROR(INDEX(#REF!,SMALL(IF(#REF!&lt;&gt;"",ROW(#REF!)-1),ROW(#REF!))),"")</f>
        <v/>
      </c>
      <c r="D78" s="823" t="str">
        <f>IFERROR(VLOOKUP(C78,'Калькулятор КНС'!D:K,8,),"")</f>
        <v/>
      </c>
      <c r="E78" s="824" t="str">
        <f>IFERROR(VLOOKUP(C78,'Калькулятор КНС'!D:K,7,),"")</f>
        <v/>
      </c>
      <c r="F78" s="825" t="str">
        <f>IFERROR(IF(VLOOKUP(C78,'Калькулятор КНС'!D:N,9,)="",VLOOKUP(C78,'Калькулятор КНС'!D:N,10,),VLOOKUP(C78,'Калькулятор КНС'!D:N,9,)),"")</f>
        <v/>
      </c>
      <c r="G78" s="825" t="str">
        <f>IFERROR(VLOOKUP(C78,'Калькулятор КНС'!D:N,11,),"")</f>
        <v/>
      </c>
    </row>
    <row r="79" spans="1:7" ht="14.45" customHeight="1">
      <c r="A79" s="820" t="str">
        <f t="shared" si="1"/>
        <v/>
      </c>
      <c r="B79" s="821" t="str">
        <f>IFERROR(INDEX('Калькулятор КНС'!C:D,MATCH(C79,'Калькулятор КНС'!D:D,),1),"")</f>
        <v/>
      </c>
      <c r="C79" s="822" t="str">
        <f t="array" ref="C79">IFERROR(INDEX(#REF!,SMALL(IF(#REF!&lt;&gt;"",ROW(#REF!)-1),ROW(#REF!))),"")</f>
        <v/>
      </c>
      <c r="D79" s="823" t="str">
        <f>IFERROR(VLOOKUP(C79,'Калькулятор КНС'!D:K,8,),"")</f>
        <v/>
      </c>
      <c r="E79" s="824" t="str">
        <f>IFERROR(VLOOKUP(C79,'Калькулятор КНС'!D:K,7,),"")</f>
        <v/>
      </c>
      <c r="F79" s="825" t="str">
        <f>IFERROR(IF(VLOOKUP(C79,'Калькулятор КНС'!D:N,9,)="",VLOOKUP(C79,'Калькулятор КНС'!D:N,10,),VLOOKUP(C79,'Калькулятор КНС'!D:N,9,)),"")</f>
        <v/>
      </c>
      <c r="G79" s="825" t="str">
        <f>IFERROR(VLOOKUP(C79,'Калькулятор КНС'!D:N,11,),"")</f>
        <v/>
      </c>
    </row>
    <row r="80" spans="1:7" ht="14.45" customHeight="1">
      <c r="A80" s="820" t="str">
        <f t="shared" si="1"/>
        <v/>
      </c>
      <c r="B80" s="821" t="str">
        <f>IFERROR(INDEX('Калькулятор КНС'!C:D,MATCH(C80,'Калькулятор КНС'!D:D,),1),"")</f>
        <v/>
      </c>
      <c r="C80" s="822" t="str">
        <f t="array" ref="C80">IFERROR(INDEX(#REF!,SMALL(IF(#REF!&lt;&gt;"",ROW(#REF!)-1),ROW(#REF!))),"")</f>
        <v/>
      </c>
      <c r="D80" s="823" t="str">
        <f>IFERROR(VLOOKUP(C80,'Калькулятор КНС'!D:K,8,),"")</f>
        <v/>
      </c>
      <c r="E80" s="824" t="str">
        <f>IFERROR(VLOOKUP(C80,'Калькулятор КНС'!D:K,7,),"")</f>
        <v/>
      </c>
      <c r="F80" s="825" t="str">
        <f>IFERROR(IF(VLOOKUP(C80,'Калькулятор КНС'!D:N,9,)="",VLOOKUP(C80,'Калькулятор КНС'!D:N,10,),VLOOKUP(C80,'Калькулятор КНС'!D:N,9,)),"")</f>
        <v/>
      </c>
      <c r="G80" s="825" t="str">
        <f>IFERROR(VLOOKUP(C80,'Калькулятор КНС'!D:N,11,),"")</f>
        <v/>
      </c>
    </row>
    <row r="81" spans="1:7" ht="14.45" customHeight="1">
      <c r="A81" s="820" t="str">
        <f t="shared" si="1"/>
        <v/>
      </c>
      <c r="B81" s="821" t="str">
        <f>IFERROR(INDEX('Калькулятор КНС'!C:D,MATCH(C81,'Калькулятор КНС'!D:D,),1),"")</f>
        <v/>
      </c>
      <c r="C81" s="822" t="str">
        <f t="array" ref="C81">IFERROR(INDEX(#REF!,SMALL(IF(#REF!&lt;&gt;"",ROW(#REF!)-1),ROW(#REF!))),"")</f>
        <v/>
      </c>
      <c r="D81" s="823" t="str">
        <f>IFERROR(VLOOKUP(C81,'Калькулятор КНС'!D:K,8,),"")</f>
        <v/>
      </c>
      <c r="E81" s="824" t="str">
        <f>IFERROR(VLOOKUP(C81,'Калькулятор КНС'!D:K,7,),"")</f>
        <v/>
      </c>
      <c r="F81" s="825" t="str">
        <f>IFERROR(IF(VLOOKUP(C81,'Калькулятор КНС'!D:N,9,)="",VLOOKUP(C81,'Калькулятор КНС'!D:N,10,),VLOOKUP(C81,'Калькулятор КНС'!D:N,9,)),"")</f>
        <v/>
      </c>
      <c r="G81" s="825" t="str">
        <f>IFERROR(VLOOKUP(C81,'Калькулятор КНС'!D:N,11,),"")</f>
        <v/>
      </c>
    </row>
    <row r="82" spans="1:7" ht="14.45" customHeight="1">
      <c r="A82" s="820" t="str">
        <f t="shared" si="1"/>
        <v/>
      </c>
      <c r="B82" s="821" t="str">
        <f>IFERROR(INDEX('Калькулятор КНС'!C:D,MATCH(C82,'Калькулятор КНС'!D:D,),1),"")</f>
        <v/>
      </c>
      <c r="C82" s="822" t="str">
        <f t="array" ref="C82">IFERROR(INDEX(#REF!,SMALL(IF(#REF!&lt;&gt;"",ROW(#REF!)-1),ROW(#REF!))),"")</f>
        <v/>
      </c>
      <c r="D82" s="823" t="str">
        <f>IFERROR(VLOOKUP(C82,'Калькулятор КНС'!D:K,8,),"")</f>
        <v/>
      </c>
      <c r="E82" s="824" t="str">
        <f>IFERROR(VLOOKUP(C82,'Калькулятор КНС'!D:K,7,),"")</f>
        <v/>
      </c>
      <c r="F82" s="825" t="str">
        <f>IFERROR(IF(VLOOKUP(C82,'Калькулятор КНС'!D:N,9,)="",VLOOKUP(C82,'Калькулятор КНС'!D:N,10,),VLOOKUP(C82,'Калькулятор КНС'!D:N,9,)),"")</f>
        <v/>
      </c>
      <c r="G82" s="825" t="str">
        <f>IFERROR(VLOOKUP(C82,'Калькулятор КНС'!D:N,11,),"")</f>
        <v/>
      </c>
    </row>
    <row r="83" spans="1:7" ht="14.45" customHeight="1">
      <c r="A83" s="820" t="str">
        <f t="shared" si="1"/>
        <v/>
      </c>
      <c r="B83" s="821" t="str">
        <f>IFERROR(INDEX('Калькулятор КНС'!C:D,MATCH(C83,'Калькулятор КНС'!D:D,),1),"")</f>
        <v/>
      </c>
      <c r="C83" s="822" t="str">
        <f t="array" ref="C83">IFERROR(INDEX(#REF!,SMALL(IF(#REF!&lt;&gt;"",ROW(#REF!)-1),ROW(#REF!))),"")</f>
        <v/>
      </c>
      <c r="D83" s="823" t="str">
        <f>IFERROR(VLOOKUP(C83,'Калькулятор КНС'!D:K,8,),"")</f>
        <v/>
      </c>
      <c r="E83" s="824" t="str">
        <f>IFERROR(VLOOKUP(C83,'Калькулятор КНС'!D:K,7,),"")</f>
        <v/>
      </c>
      <c r="F83" s="825" t="str">
        <f>IFERROR(IF(VLOOKUP(C83,'Калькулятор КНС'!D:N,9,)="",VLOOKUP(C83,'Калькулятор КНС'!D:N,10,),VLOOKUP(C83,'Калькулятор КНС'!D:N,9,)),"")</f>
        <v/>
      </c>
      <c r="G83" s="825" t="str">
        <f>IFERROR(VLOOKUP(C83,'Калькулятор КНС'!D:N,11,),"")</f>
        <v/>
      </c>
    </row>
    <row r="84" spans="1:7" ht="14.45" customHeight="1">
      <c r="A84" s="820" t="str">
        <f t="shared" si="1"/>
        <v/>
      </c>
      <c r="B84" s="821" t="str">
        <f>IFERROR(INDEX('Калькулятор КНС'!C:D,MATCH(C84,'Калькулятор КНС'!D:D,),1),"")</f>
        <v/>
      </c>
      <c r="C84" s="822" t="str">
        <f t="array" ref="C84">IFERROR(INDEX(#REF!,SMALL(IF(#REF!&lt;&gt;"",ROW(#REF!)-1),ROW(#REF!))),"")</f>
        <v/>
      </c>
      <c r="D84" s="823" t="str">
        <f>IFERROR(VLOOKUP(C84,'Калькулятор КНС'!D:K,8,),"")</f>
        <v/>
      </c>
      <c r="E84" s="824" t="str">
        <f>IFERROR(VLOOKUP(C84,'Калькулятор КНС'!D:K,7,),"")</f>
        <v/>
      </c>
      <c r="F84" s="825" t="str">
        <f>IFERROR(IF(VLOOKUP(C84,'Калькулятор КНС'!D:N,9,)="",VLOOKUP(C84,'Калькулятор КНС'!D:N,10,),VLOOKUP(C84,'Калькулятор КНС'!D:N,9,)),"")</f>
        <v/>
      </c>
      <c r="G84" s="825" t="str">
        <f>IFERROR(VLOOKUP(C84,'Калькулятор КНС'!D:N,11,),"")</f>
        <v/>
      </c>
    </row>
    <row r="85" spans="1:7" ht="14.45" customHeight="1">
      <c r="A85" s="820" t="str">
        <f t="shared" si="1"/>
        <v/>
      </c>
      <c r="B85" s="821" t="str">
        <f>IFERROR(INDEX('Калькулятор КНС'!C:D,MATCH(C85,'Калькулятор КНС'!D:D,),1),"")</f>
        <v/>
      </c>
      <c r="C85" s="822" t="str">
        <f t="array" ref="C85">IFERROR(INDEX(#REF!,SMALL(IF(#REF!&lt;&gt;"",ROW(#REF!)-1),ROW(#REF!))),"")</f>
        <v/>
      </c>
      <c r="D85" s="823" t="str">
        <f>IFERROR(VLOOKUP(C85,'Калькулятор КНС'!D:K,8,),"")</f>
        <v/>
      </c>
      <c r="E85" s="824" t="str">
        <f>IFERROR(VLOOKUP(C85,'Калькулятор КНС'!D:K,7,),"")</f>
        <v/>
      </c>
      <c r="F85" s="825" t="str">
        <f>IFERROR(IF(VLOOKUP(C85,'Калькулятор КНС'!D:N,9,)="",VLOOKUP(C85,'Калькулятор КНС'!D:N,10,),VLOOKUP(C85,'Калькулятор КНС'!D:N,9,)),"")</f>
        <v/>
      </c>
      <c r="G85" s="825" t="str">
        <f>IFERROR(VLOOKUP(C85,'Калькулятор КНС'!D:N,11,),"")</f>
        <v/>
      </c>
    </row>
    <row r="86" spans="1:7" ht="14.45" customHeight="1">
      <c r="A86" s="820" t="str">
        <f t="shared" si="1"/>
        <v/>
      </c>
      <c r="B86" s="821" t="str">
        <f>IFERROR(INDEX('Калькулятор КНС'!C:D,MATCH(C86,'Калькулятор КНС'!D:D,),1),"")</f>
        <v/>
      </c>
      <c r="C86" s="822" t="str">
        <f t="array" ref="C86">IFERROR(INDEX(#REF!,SMALL(IF(#REF!&lt;&gt;"",ROW(#REF!)-1),ROW(#REF!))),"")</f>
        <v/>
      </c>
      <c r="D86" s="823" t="str">
        <f>IFERROR(VLOOKUP(C86,'Калькулятор КНС'!D:K,8,),"")</f>
        <v/>
      </c>
      <c r="E86" s="824" t="str">
        <f>IFERROR(VLOOKUP(C86,'Калькулятор КНС'!D:K,7,),"")</f>
        <v/>
      </c>
      <c r="F86" s="825" t="str">
        <f>IFERROR(IF(VLOOKUP(C86,'Калькулятор КНС'!D:N,9,)="",VLOOKUP(C86,'Калькулятор КНС'!D:N,10,),VLOOKUP(C86,'Калькулятор КНС'!D:N,9,)),"")</f>
        <v/>
      </c>
      <c r="G86" s="825" t="str">
        <f>IFERROR(VLOOKUP(C86,'Калькулятор КНС'!D:N,11,),"")</f>
        <v/>
      </c>
    </row>
    <row r="87" spans="1:7" ht="14.45" customHeight="1">
      <c r="A87" s="820" t="str">
        <f t="shared" si="1"/>
        <v/>
      </c>
      <c r="B87" s="821" t="str">
        <f>IFERROR(INDEX('Калькулятор КНС'!C:D,MATCH(C87,'Калькулятор КНС'!D:D,),1),"")</f>
        <v/>
      </c>
      <c r="C87" s="822" t="str">
        <f t="array" ref="C87">IFERROR(INDEX(#REF!,SMALL(IF(#REF!&lt;&gt;"",ROW(#REF!)-1),ROW(#REF!))),"")</f>
        <v/>
      </c>
      <c r="D87" s="823" t="str">
        <f>IFERROR(VLOOKUP(C87,'Калькулятор КНС'!D:K,8,),"")</f>
        <v/>
      </c>
      <c r="E87" s="824" t="str">
        <f>IFERROR(VLOOKUP(C87,'Калькулятор КНС'!D:K,7,),"")</f>
        <v/>
      </c>
      <c r="F87" s="825" t="str">
        <f>IFERROR(IF(VLOOKUP(C87,'Калькулятор КНС'!D:N,9,)="",VLOOKUP(C87,'Калькулятор КНС'!D:N,10,),VLOOKUP(C87,'Калькулятор КНС'!D:N,9,)),"")</f>
        <v/>
      </c>
      <c r="G87" s="825" t="str">
        <f>IFERROR(VLOOKUP(C87,'Калькулятор КНС'!D:N,11,),"")</f>
        <v/>
      </c>
    </row>
    <row r="88" spans="1:7" ht="14.45" customHeight="1">
      <c r="A88" s="820" t="str">
        <f t="shared" si="1"/>
        <v/>
      </c>
      <c r="B88" s="821" t="str">
        <f>IFERROR(INDEX('Калькулятор КНС'!C:D,MATCH(C88,'Калькулятор КНС'!D:D,),1),"")</f>
        <v/>
      </c>
      <c r="C88" s="822" t="str">
        <f t="array" ref="C88">IFERROR(INDEX(#REF!,SMALL(IF(#REF!&lt;&gt;"",ROW(#REF!)-1),ROW(#REF!))),"")</f>
        <v/>
      </c>
      <c r="D88" s="823" t="str">
        <f>IFERROR(VLOOKUP(C88,'Калькулятор КНС'!D:K,8,),"")</f>
        <v/>
      </c>
      <c r="E88" s="824" t="str">
        <f>IFERROR(VLOOKUP(C88,'Калькулятор КНС'!D:K,7,),"")</f>
        <v/>
      </c>
      <c r="F88" s="825" t="str">
        <f>IFERROR(IF(VLOOKUP(C88,'Калькулятор КНС'!D:N,9,)="",VLOOKUP(C88,'Калькулятор КНС'!D:N,10,),VLOOKUP(C88,'Калькулятор КНС'!D:N,9,)),"")</f>
        <v/>
      </c>
      <c r="G88" s="825" t="str">
        <f>IFERROR(VLOOKUP(C88,'Калькулятор КНС'!D:N,11,),"")</f>
        <v/>
      </c>
    </row>
    <row r="89" spans="1:7" ht="14.45" customHeight="1">
      <c r="A89" s="820" t="str">
        <f t="shared" si="1"/>
        <v/>
      </c>
      <c r="B89" s="821" t="str">
        <f>IFERROR(INDEX('Калькулятор КНС'!C:D,MATCH(C89,'Калькулятор КНС'!D:D,),1),"")</f>
        <v/>
      </c>
      <c r="C89" s="822" t="str">
        <f t="array" ref="C89">IFERROR(INDEX(#REF!,SMALL(IF(#REF!&lt;&gt;"",ROW(#REF!)-1),ROW(#REF!))),"")</f>
        <v/>
      </c>
      <c r="D89" s="823" t="str">
        <f>IFERROR(VLOOKUP(C89,'Калькулятор КНС'!D:K,8,),"")</f>
        <v/>
      </c>
      <c r="E89" s="824" t="str">
        <f>IFERROR(VLOOKUP(C89,'Калькулятор КНС'!D:K,7,),"")</f>
        <v/>
      </c>
      <c r="F89" s="825" t="str">
        <f>IFERROR(IF(VLOOKUP(C89,'Калькулятор КНС'!D:N,9,)="",VLOOKUP(C89,'Калькулятор КНС'!D:N,10,),VLOOKUP(C89,'Калькулятор КНС'!D:N,9,)),"")</f>
        <v/>
      </c>
      <c r="G89" s="825" t="str">
        <f>IFERROR(VLOOKUP(C89,'Калькулятор КНС'!D:N,11,),"")</f>
        <v/>
      </c>
    </row>
    <row r="90" spans="1:7" ht="14.45" customHeight="1">
      <c r="A90" s="820" t="str">
        <f t="shared" si="1"/>
        <v/>
      </c>
      <c r="B90" s="821" t="str">
        <f>IFERROR(INDEX('Калькулятор КНС'!C:D,MATCH(C90,'Калькулятор КНС'!D:D,),1),"")</f>
        <v/>
      </c>
      <c r="C90" s="822" t="str">
        <f t="array" ref="C90">IFERROR(INDEX(#REF!,SMALL(IF(#REF!&lt;&gt;"",ROW(#REF!)-1),ROW(#REF!))),"")</f>
        <v/>
      </c>
      <c r="D90" s="823" t="str">
        <f>IFERROR(VLOOKUP(C90,'Калькулятор КНС'!D:K,8,),"")</f>
        <v/>
      </c>
      <c r="E90" s="824" t="str">
        <f>IFERROR(VLOOKUP(C90,'Калькулятор КНС'!D:K,7,),"")</f>
        <v/>
      </c>
      <c r="F90" s="825" t="str">
        <f>IFERROR(IF(VLOOKUP(C90,'Калькулятор КНС'!D:N,9,)="",VLOOKUP(C90,'Калькулятор КНС'!D:N,10,),VLOOKUP(C90,'Калькулятор КНС'!D:N,9,)),"")</f>
        <v/>
      </c>
      <c r="G90" s="825" t="str">
        <f>IFERROR(VLOOKUP(C90,'Калькулятор КНС'!D:N,11,),"")</f>
        <v/>
      </c>
    </row>
    <row r="91" spans="1:7" ht="14.45" customHeight="1">
      <c r="A91" s="820" t="str">
        <f t="shared" si="1"/>
        <v/>
      </c>
      <c r="B91" s="821" t="str">
        <f>IFERROR(INDEX('Калькулятор КНС'!C:D,MATCH(C91,'Калькулятор КНС'!D:D,),1),"")</f>
        <v/>
      </c>
      <c r="C91" s="822" t="str">
        <f t="array" ref="C91">IFERROR(INDEX(#REF!,SMALL(IF(#REF!&lt;&gt;"",ROW(#REF!)-1),ROW(#REF!))),"")</f>
        <v/>
      </c>
      <c r="D91" s="823" t="str">
        <f>IFERROR(VLOOKUP(C91,'Калькулятор КНС'!D:K,8,),"")</f>
        <v/>
      </c>
      <c r="E91" s="824" t="str">
        <f>IFERROR(VLOOKUP(C91,'Калькулятор КНС'!D:K,7,),"")</f>
        <v/>
      </c>
      <c r="F91" s="825" t="str">
        <f>IFERROR(IF(VLOOKUP(C91,'Калькулятор КНС'!D:N,9,)="",VLOOKUP(C91,'Калькулятор КНС'!D:N,10,),VLOOKUP(C91,'Калькулятор КНС'!D:N,9,)),"")</f>
        <v/>
      </c>
      <c r="G91" s="825" t="str">
        <f>IFERROR(VLOOKUP(C91,'Калькулятор КНС'!D:N,11,),"")</f>
        <v/>
      </c>
    </row>
    <row r="92" spans="1:7" ht="14.45" customHeight="1">
      <c r="A92" s="820" t="str">
        <f t="shared" si="1"/>
        <v/>
      </c>
      <c r="B92" s="821" t="str">
        <f>IFERROR(INDEX('Калькулятор КНС'!C:D,MATCH(C92,'Калькулятор КНС'!D:D,),1),"")</f>
        <v/>
      </c>
      <c r="C92" s="822" t="str">
        <f t="array" ref="C92">IFERROR(INDEX(#REF!,SMALL(IF(#REF!&lt;&gt;"",ROW(#REF!)-1),ROW(#REF!))),"")</f>
        <v/>
      </c>
      <c r="D92" s="823" t="str">
        <f>IFERROR(VLOOKUP(C92,'Калькулятор КНС'!D:K,8,),"")</f>
        <v/>
      </c>
      <c r="E92" s="824" t="str">
        <f>IFERROR(VLOOKUP(C92,'Калькулятор КНС'!D:K,7,),"")</f>
        <v/>
      </c>
      <c r="F92" s="825" t="str">
        <f>IFERROR(IF(VLOOKUP(C92,'Калькулятор КНС'!D:N,9,)="",VLOOKUP(C92,'Калькулятор КНС'!D:N,10,),VLOOKUP(C92,'Калькулятор КНС'!D:N,9,)),"")</f>
        <v/>
      </c>
      <c r="G92" s="825" t="str">
        <f>IFERROR(VLOOKUP(C92,'Калькулятор КНС'!D:N,11,),"")</f>
        <v/>
      </c>
    </row>
    <row r="93" spans="1:7" ht="14.45" customHeight="1">
      <c r="A93" s="820" t="str">
        <f t="shared" si="1"/>
        <v/>
      </c>
      <c r="B93" s="821" t="str">
        <f>IFERROR(INDEX('Калькулятор КНС'!C:D,MATCH(C93,'Калькулятор КНС'!D:D,),1),"")</f>
        <v/>
      </c>
      <c r="C93" s="822" t="str">
        <f t="array" ref="C93">IFERROR(INDEX(#REF!,SMALL(IF(#REF!&lt;&gt;"",ROW(#REF!)-1),ROW(#REF!))),"")</f>
        <v/>
      </c>
      <c r="D93" s="823" t="str">
        <f>IFERROR(VLOOKUP(C93,'Калькулятор КНС'!D:K,8,),"")</f>
        <v/>
      </c>
      <c r="E93" s="824" t="str">
        <f>IFERROR(VLOOKUP(C93,'Калькулятор КНС'!D:K,7,),"")</f>
        <v/>
      </c>
      <c r="F93" s="825" t="str">
        <f>IFERROR(IF(VLOOKUP(C93,'Калькулятор КНС'!D:N,9,)="",VLOOKUP(C93,'Калькулятор КНС'!D:N,10,),VLOOKUP(C93,'Калькулятор КНС'!D:N,9,)),"")</f>
        <v/>
      </c>
      <c r="G93" s="825" t="str">
        <f>IFERROR(VLOOKUP(C93,'Калькулятор КНС'!D:N,11,),"")</f>
        <v/>
      </c>
    </row>
    <row r="94" spans="1:7" ht="14.45" customHeight="1">
      <c r="A94" s="820" t="str">
        <f t="shared" si="1"/>
        <v/>
      </c>
      <c r="B94" s="821" t="str">
        <f>IFERROR(INDEX('Калькулятор КНС'!C:D,MATCH(C94,'Калькулятор КНС'!D:D,),1),"")</f>
        <v/>
      </c>
      <c r="C94" s="822" t="str">
        <f t="array" ref="C94">IFERROR(INDEX(#REF!,SMALL(IF(#REF!&lt;&gt;"",ROW(#REF!)-1),ROW(#REF!))),"")</f>
        <v/>
      </c>
      <c r="D94" s="823" t="str">
        <f>IFERROR(VLOOKUP(C94,'Калькулятор КНС'!D:K,8,),"")</f>
        <v/>
      </c>
      <c r="E94" s="824" t="str">
        <f>IFERROR(VLOOKUP(C94,'Калькулятор КНС'!D:K,7,),"")</f>
        <v/>
      </c>
      <c r="F94" s="825" t="str">
        <f>IFERROR(IF(VLOOKUP(C94,'Калькулятор КНС'!D:N,9,)="",VLOOKUP(C94,'Калькулятор КНС'!D:N,10,),VLOOKUP(C94,'Калькулятор КНС'!D:N,9,)),"")</f>
        <v/>
      </c>
      <c r="G94" s="825" t="str">
        <f>IFERROR(VLOOKUP(C94,'Калькулятор КНС'!D:N,11,),"")</f>
        <v/>
      </c>
    </row>
    <row r="95" spans="1:7" ht="15">
      <c r="A95" s="820" t="str">
        <f t="shared" si="1"/>
        <v/>
      </c>
      <c r="B95" s="821" t="str">
        <f>IFERROR(INDEX('Калькулятор КНС'!C:D,MATCH(C95,'Калькулятор КНС'!D:D,),1),"")</f>
        <v/>
      </c>
      <c r="C95" s="822" t="str">
        <f t="array" ref="C95">IFERROR(INDEX(#REF!,SMALL(IF(#REF!&lt;&gt;"",ROW(#REF!)-1),ROW(#REF!))),"")</f>
        <v/>
      </c>
      <c r="D95" s="823" t="str">
        <f>IFERROR(VLOOKUP(C95,'Калькулятор КНС'!D:K,8,),"")</f>
        <v/>
      </c>
      <c r="E95" s="824" t="str">
        <f>IFERROR(VLOOKUP(C95,'Калькулятор КНС'!D:K,7,),"")</f>
        <v/>
      </c>
      <c r="F95" s="825" t="str">
        <f>IFERROR(IF(VLOOKUP(C95,'Калькулятор КНС'!D:N,9,)="",VLOOKUP(C95,'Калькулятор КНС'!D:N,10,),VLOOKUP(C95,'Калькулятор КНС'!D:N,9,)),"")</f>
        <v/>
      </c>
      <c r="G95" s="825" t="str">
        <f>IFERROR(VLOOKUP(C95,'Калькулятор КНС'!D:N,11,),"")</f>
        <v/>
      </c>
    </row>
    <row r="96" spans="1:7" ht="29.25" customHeight="1">
      <c r="A96" s="820" t="str">
        <f t="shared" si="1"/>
        <v/>
      </c>
      <c r="B96" s="821" t="str">
        <f>IFERROR(INDEX('Калькулятор КНС'!C:D,MATCH(C96,'Калькулятор КНС'!D:D,),1),"")</f>
        <v/>
      </c>
      <c r="C96" s="822" t="str">
        <f t="array" ref="C96">IFERROR(INDEX(#REF!,SMALL(IF(#REF!&lt;&gt;"",ROW(#REF!)-1),ROW(#REF!))),"")</f>
        <v/>
      </c>
      <c r="D96" s="823" t="str">
        <f>IFERROR(VLOOKUP(C96,'Калькулятор КНС'!D:K,8,),"")</f>
        <v/>
      </c>
      <c r="E96" s="824" t="str">
        <f>IFERROR(VLOOKUP(C96,'Калькулятор КНС'!D:K,7,),"")</f>
        <v/>
      </c>
      <c r="F96" s="825" t="str">
        <f>IFERROR(IF(VLOOKUP(C96,'Калькулятор КНС'!D:N,9,)="",VLOOKUP(C96,'Калькулятор КНС'!D:N,10,),VLOOKUP(C96,'Калькулятор КНС'!D:N,9,)),"")</f>
        <v/>
      </c>
      <c r="G96" s="825" t="str">
        <f>IFERROR(VLOOKUP(C96,'Калькулятор КНС'!D:N,11,),"")</f>
        <v/>
      </c>
    </row>
    <row r="97" spans="1:7" ht="29.25" customHeight="1">
      <c r="A97" s="820" t="str">
        <f t="shared" si="1"/>
        <v/>
      </c>
      <c r="B97" s="821" t="str">
        <f>IFERROR(INDEX('Калькулятор КНС'!C:D,MATCH(C97,'Калькулятор КНС'!D:D,),1),"")</f>
        <v/>
      </c>
      <c r="C97" s="822" t="str">
        <f t="array" ref="C97">IFERROR(INDEX(#REF!,SMALL(IF(#REF!&lt;&gt;"",ROW(#REF!)-1),ROW(#REF!))),"")</f>
        <v/>
      </c>
      <c r="D97" s="823" t="str">
        <f>IFERROR(VLOOKUP(C97,'Калькулятор КНС'!D:K,8,),"")</f>
        <v/>
      </c>
      <c r="E97" s="824" t="str">
        <f>IFERROR(VLOOKUP(C97,'Калькулятор КНС'!D:K,7,),"")</f>
        <v/>
      </c>
      <c r="F97" s="825" t="str">
        <f>IFERROR(IF(VLOOKUP(C97,'Калькулятор КНС'!D:N,9,)="",VLOOKUP(C97,'Калькулятор КНС'!D:N,10,),VLOOKUP(C97,'Калькулятор КНС'!D:N,9,)),"")</f>
        <v/>
      </c>
      <c r="G97" s="825" t="str">
        <f>IFERROR(VLOOKUP(C97,'Калькулятор КНС'!D:N,11,),"")</f>
        <v/>
      </c>
    </row>
    <row r="98" spans="1:7" ht="15">
      <c r="A98" s="820" t="str">
        <f t="shared" si="1"/>
        <v/>
      </c>
      <c r="B98" s="821" t="str">
        <f>IFERROR(INDEX('Калькулятор КНС'!C:D,MATCH(C98,'Калькулятор КНС'!D:D,),1),"")</f>
        <v/>
      </c>
      <c r="C98" s="822" t="str">
        <f t="array" ref="C98">IFERROR(INDEX(#REF!,SMALL(IF(#REF!&lt;&gt;"",ROW(#REF!)-1),ROW(#REF!))),"")</f>
        <v/>
      </c>
      <c r="D98" s="823" t="str">
        <f>IFERROR(VLOOKUP(C98,'Калькулятор КНС'!D:K,8,),"")</f>
        <v/>
      </c>
      <c r="E98" s="824" t="str">
        <f>IFERROR(VLOOKUP(C98,'Калькулятор КНС'!D:K,7,),"")</f>
        <v/>
      </c>
      <c r="F98" s="825" t="str">
        <f>IFERROR(IF(VLOOKUP(C98,'Калькулятор КНС'!D:N,9,)="",VLOOKUP(C98,'Калькулятор КНС'!D:N,10,),VLOOKUP(C98,'Калькулятор КНС'!D:N,9,)),"")</f>
        <v/>
      </c>
      <c r="G98" s="825" t="str">
        <f>IFERROR(VLOOKUP(C98,'Калькулятор КНС'!D:N,11,),"")</f>
        <v/>
      </c>
    </row>
    <row r="99" spans="1:7" ht="44.25" customHeight="1">
      <c r="A99" s="820" t="str">
        <f t="shared" si="1"/>
        <v/>
      </c>
      <c r="B99" s="821" t="str">
        <f>IFERROR(INDEX('Калькулятор КНС'!C:D,MATCH(C99,'Калькулятор КНС'!D:D,),1),"")</f>
        <v/>
      </c>
      <c r="C99" s="822" t="str">
        <f t="array" ref="C99">IFERROR(INDEX(#REF!,SMALL(IF(#REF!&lt;&gt;"",ROW(#REF!)-1),ROW(#REF!))),"")</f>
        <v/>
      </c>
      <c r="D99" s="823" t="str">
        <f>IFERROR(VLOOKUP(C99,'Калькулятор КНС'!D:K,8,),"")</f>
        <v/>
      </c>
      <c r="E99" s="824" t="str">
        <f>IFERROR(VLOOKUP(C99,'Калькулятор КНС'!D:K,7,),"")</f>
        <v/>
      </c>
      <c r="F99" s="825" t="str">
        <f>IFERROR(IF(VLOOKUP(C99,'Калькулятор КНС'!D:N,9,)="",VLOOKUP(C99,'Калькулятор КНС'!D:N,10,),VLOOKUP(C99,'Калькулятор КНС'!D:N,9,)),"")</f>
        <v/>
      </c>
      <c r="G99" s="825" t="str">
        <f>IFERROR(VLOOKUP(C99,'Калькулятор КНС'!D:N,11,),"")</f>
        <v/>
      </c>
    </row>
    <row r="100" spans="1:7" ht="29.1" customHeight="1">
      <c r="A100" s="820" t="str">
        <f t="shared" si="1"/>
        <v/>
      </c>
      <c r="B100" s="821" t="str">
        <f>IFERROR(INDEX('Калькулятор КНС'!C:D,MATCH(C100,'Калькулятор КНС'!D:D,),1),"")</f>
        <v/>
      </c>
      <c r="C100" s="822" t="str">
        <f t="array" ref="C100">IFERROR(INDEX(#REF!,SMALL(IF(#REF!&lt;&gt;"",ROW(#REF!)-1),ROW(#REF!))),"")</f>
        <v/>
      </c>
      <c r="D100" s="823" t="str">
        <f>IFERROR(VLOOKUP(C100,'Калькулятор КНС'!D:K,8,),"")</f>
        <v/>
      </c>
      <c r="E100" s="824" t="str">
        <f>IFERROR(VLOOKUP(C100,'Калькулятор КНС'!D:K,7,),"")</f>
        <v/>
      </c>
      <c r="F100" s="825" t="str">
        <f>IFERROR(IF(VLOOKUP(C100,'Калькулятор КНС'!D:N,9,)="",VLOOKUP(C100,'Калькулятор КНС'!D:N,10,),VLOOKUP(C100,'Калькулятор КНС'!D:N,9,)),"")</f>
        <v/>
      </c>
      <c r="G100" s="825" t="str">
        <f>IFERROR(VLOOKUP(C100,'Калькулятор КНС'!D:N,11,),"")</f>
        <v/>
      </c>
    </row>
    <row r="101" spans="1:7" ht="24" customHeight="1">
      <c r="A101" s="820" t="str">
        <f t="shared" si="1"/>
        <v/>
      </c>
      <c r="B101" s="821" t="str">
        <f>IFERROR(INDEX('Калькулятор КНС'!C:D,MATCH(C101,'Калькулятор КНС'!D:D,),1),"")</f>
        <v/>
      </c>
      <c r="C101" s="822" t="str">
        <f t="array" ref="C101">IFERROR(INDEX(#REF!,SMALL(IF(#REF!&lt;&gt;"",ROW(#REF!)-1),ROW(#REF!))),"")</f>
        <v/>
      </c>
      <c r="D101" s="823" t="str">
        <f>IFERROR(VLOOKUP(C101,'Калькулятор КНС'!D:K,8,),"")</f>
        <v/>
      </c>
      <c r="E101" s="824" t="str">
        <f>IFERROR(VLOOKUP(C101,'Калькулятор КНС'!D:K,7,),"")</f>
        <v/>
      </c>
      <c r="F101" s="825" t="str">
        <f>IFERROR(IF(VLOOKUP(C101,'Калькулятор КНС'!D:N,9,)="",VLOOKUP(C101,'Калькулятор КНС'!D:N,10,),VLOOKUP(C101,'Калькулятор КНС'!D:N,9,)),"")</f>
        <v/>
      </c>
      <c r="G101" s="825" t="str">
        <f>IFERROR(VLOOKUP(C101,'Калькулятор КНС'!D:N,11,),"")</f>
        <v/>
      </c>
    </row>
    <row r="102" spans="1:7" ht="22.5" customHeight="1">
      <c r="A102" s="820" t="str">
        <f t="shared" si="1"/>
        <v/>
      </c>
      <c r="B102" s="821" t="str">
        <f>IFERROR(INDEX('Калькулятор КНС'!C:D,MATCH(C102,'Калькулятор КНС'!D:D,),1),"")</f>
        <v/>
      </c>
      <c r="C102" s="822" t="str">
        <f t="array" ref="C102">IFERROR(INDEX(#REF!,SMALL(IF(#REF!&lt;&gt;"",ROW(#REF!)-1),ROW(#REF!))),"")</f>
        <v/>
      </c>
      <c r="D102" s="823" t="str">
        <f>IFERROR(VLOOKUP(C102,'Калькулятор КНС'!D:K,8,),"")</f>
        <v/>
      </c>
      <c r="E102" s="824" t="str">
        <f>IFERROR(VLOOKUP(C102,'Калькулятор КНС'!D:K,7,),"")</f>
        <v/>
      </c>
      <c r="F102" s="825" t="str">
        <f>IFERROR(IF(VLOOKUP(C102,'Калькулятор КНС'!D:N,9,)="",VLOOKUP(C102,'Калькулятор КНС'!D:N,10,),VLOOKUP(C102,'Калькулятор КНС'!D:N,9,)),"")</f>
        <v/>
      </c>
      <c r="G102" s="825" t="str">
        <f>IFERROR(VLOOKUP(C102,'Калькулятор КНС'!D:N,11,),"")</f>
        <v/>
      </c>
    </row>
    <row r="103" spans="1:7" ht="17.25" customHeight="1">
      <c r="A103" s="820" t="str">
        <f t="shared" si="1"/>
        <v/>
      </c>
      <c r="B103" s="821" t="str">
        <f>IFERROR(INDEX('Калькулятор КНС'!C:D,MATCH(C103,'Калькулятор КНС'!D:D,),1),"")</f>
        <v/>
      </c>
      <c r="C103" s="822" t="str">
        <f t="array" ref="C103">IFERROR(INDEX(#REF!,SMALL(IF(#REF!&lt;&gt;"",ROW(#REF!)-1),ROW(#REF!))),"")</f>
        <v/>
      </c>
      <c r="D103" s="823" t="str">
        <f>IFERROR(VLOOKUP(C103,'Калькулятор КНС'!D:K,8,),"")</f>
        <v/>
      </c>
      <c r="E103" s="824" t="str">
        <f>IFERROR(VLOOKUP(C103,'Калькулятор КНС'!D:K,7,),"")</f>
        <v/>
      </c>
      <c r="F103" s="825" t="str">
        <f>IFERROR(IF(VLOOKUP(C103,'Калькулятор КНС'!D:N,9,)="",VLOOKUP(C103,'Калькулятор КНС'!D:N,10,),VLOOKUP(C103,'Калькулятор КНС'!D:N,9,)),"")</f>
        <v/>
      </c>
      <c r="G103" s="825" t="str">
        <f>IFERROR(VLOOKUP(C103,'Калькулятор КНС'!D:N,11,),"")</f>
        <v/>
      </c>
    </row>
    <row r="104" spans="1:7" ht="14.45" customHeight="1">
      <c r="A104" s="820" t="str">
        <f t="shared" si="1"/>
        <v/>
      </c>
      <c r="B104" s="821" t="str">
        <f>IFERROR(INDEX('Калькулятор КНС'!C:D,MATCH(C104,'Калькулятор КНС'!D:D,),1),"")</f>
        <v/>
      </c>
      <c r="C104" s="822" t="str">
        <f t="array" ref="C104">IFERROR(INDEX(#REF!,SMALL(IF(#REF!&lt;&gt;"",ROW(#REF!)-1),ROW(#REF!))),"")</f>
        <v/>
      </c>
      <c r="D104" s="823" t="str">
        <f>IFERROR(VLOOKUP(C104,'Калькулятор КНС'!D:K,8,),"")</f>
        <v/>
      </c>
      <c r="E104" s="824" t="str">
        <f>IFERROR(VLOOKUP(C104,'Калькулятор КНС'!D:K,7,),"")</f>
        <v/>
      </c>
      <c r="F104" s="825" t="str">
        <f>IFERROR(IF(VLOOKUP(C104,'Калькулятор КНС'!D:N,9,)="",VLOOKUP(C104,'Калькулятор КНС'!D:N,10,),VLOOKUP(C104,'Калькулятор КНС'!D:N,9,)),"")</f>
        <v/>
      </c>
      <c r="G104" s="825" t="str">
        <f>IFERROR(VLOOKUP(C104,'Калькулятор КНС'!D:N,11,),"")</f>
        <v/>
      </c>
    </row>
    <row r="105" spans="1:7" ht="31.5" customHeight="1">
      <c r="A105" s="820" t="str">
        <f t="shared" ref="A105:A136" si="2">IF(C105="","",A104+1)</f>
        <v/>
      </c>
      <c r="B105" s="821" t="str">
        <f>IFERROR(INDEX('Калькулятор КНС'!C:D,MATCH(C105,'Калькулятор КНС'!D:D,),1),"")</f>
        <v/>
      </c>
      <c r="C105" s="822" t="str">
        <f t="array" ref="C105">IFERROR(INDEX(#REF!,SMALL(IF(#REF!&lt;&gt;"",ROW(#REF!)-1),ROW(#REF!))),"")</f>
        <v/>
      </c>
      <c r="D105" s="823" t="str">
        <f>IFERROR(VLOOKUP(C105,'Калькулятор КНС'!D:K,8,),"")</f>
        <v/>
      </c>
      <c r="E105" s="824" t="str">
        <f>IFERROR(VLOOKUP(C105,'Калькулятор КНС'!D:K,7,),"")</f>
        <v/>
      </c>
      <c r="F105" s="825" t="str">
        <f>IFERROR(IF(VLOOKUP(C105,'Калькулятор КНС'!D:N,9,)="",VLOOKUP(C105,'Калькулятор КНС'!D:N,10,),VLOOKUP(C105,'Калькулятор КНС'!D:N,9,)),"")</f>
        <v/>
      </c>
      <c r="G105" s="825" t="str">
        <f>IFERROR(VLOOKUP(C105,'Калькулятор КНС'!D:N,11,),"")</f>
        <v/>
      </c>
    </row>
    <row r="106" spans="1:7" ht="27" customHeight="1">
      <c r="A106" s="820" t="str">
        <f t="shared" si="2"/>
        <v/>
      </c>
      <c r="B106" s="821" t="str">
        <f>IFERROR(INDEX('Калькулятор КНС'!C:D,MATCH(C106,'Калькулятор КНС'!D:D,),1),"")</f>
        <v/>
      </c>
      <c r="C106" s="822" t="str">
        <f t="array" ref="C106">IFERROR(INDEX(#REF!,SMALL(IF(#REF!&lt;&gt;"",ROW(#REF!)-1),ROW(#REF!))),"")</f>
        <v/>
      </c>
      <c r="D106" s="823" t="str">
        <f>IFERROR(VLOOKUP(C106,'Калькулятор КНС'!D:K,8,),"")</f>
        <v/>
      </c>
      <c r="E106" s="824" t="str">
        <f>IFERROR(VLOOKUP(C106,'Калькулятор КНС'!D:K,7,),"")</f>
        <v/>
      </c>
      <c r="F106" s="825" t="str">
        <f>IFERROR(IF(VLOOKUP(C106,'Калькулятор КНС'!D:N,9,)="",VLOOKUP(C106,'Калькулятор КНС'!D:N,10,),VLOOKUP(C106,'Калькулятор КНС'!D:N,9,)),"")</f>
        <v/>
      </c>
      <c r="G106" s="825" t="str">
        <f>IFERROR(VLOOKUP(C106,'Калькулятор КНС'!D:N,11,),"")</f>
        <v/>
      </c>
    </row>
    <row r="107" spans="1:7" ht="44.25" customHeight="1">
      <c r="A107" s="820" t="str">
        <f t="shared" si="2"/>
        <v/>
      </c>
      <c r="B107" s="821" t="str">
        <f>IFERROR(INDEX('Калькулятор КНС'!C:D,MATCH(C107,'Калькулятор КНС'!D:D,),1),"")</f>
        <v/>
      </c>
      <c r="C107" s="822" t="str">
        <f t="array" ref="C107">IFERROR(INDEX(#REF!,SMALL(IF(#REF!&lt;&gt;"",ROW(#REF!)-1),ROW(#REF!))),"")</f>
        <v/>
      </c>
      <c r="D107" s="823" t="str">
        <f>IFERROR(VLOOKUP(C107,'Калькулятор КНС'!D:K,8,),"")</f>
        <v/>
      </c>
      <c r="E107" s="824" t="str">
        <f>IFERROR(VLOOKUP(C107,'Калькулятор КНС'!D:K,7,),"")</f>
        <v/>
      </c>
      <c r="F107" s="825" t="str">
        <f>IFERROR(IF(VLOOKUP(C107,'Калькулятор КНС'!D:N,9,)="",VLOOKUP(C107,'Калькулятор КНС'!D:N,10,),VLOOKUP(C107,'Калькулятор КНС'!D:N,9,)),"")</f>
        <v/>
      </c>
      <c r="G107" s="825" t="str">
        <f>IFERROR(VLOOKUP(C107,'Калькулятор КНС'!D:N,11,),"")</f>
        <v/>
      </c>
    </row>
    <row r="108" spans="1:7" ht="14.45" customHeight="1">
      <c r="A108" s="820" t="str">
        <f t="shared" si="2"/>
        <v/>
      </c>
      <c r="B108" s="821" t="str">
        <f>IFERROR(INDEX('Калькулятор КНС'!C:D,MATCH(C108,'Калькулятор КНС'!D:D,),1),"")</f>
        <v/>
      </c>
      <c r="C108" s="822" t="str">
        <f t="array" ref="C108">IFERROR(INDEX(#REF!,SMALL(IF(#REF!&lt;&gt;"",ROW(#REF!)-1),ROW(#REF!))),"")</f>
        <v/>
      </c>
      <c r="D108" s="823" t="str">
        <f>IFERROR(VLOOKUP(C108,'Калькулятор КНС'!D:K,8,),"")</f>
        <v/>
      </c>
      <c r="E108" s="824" t="str">
        <f>IFERROR(VLOOKUP(C108,'Калькулятор КНС'!D:K,7,),"")</f>
        <v/>
      </c>
      <c r="F108" s="825" t="str">
        <f>IFERROR(IF(VLOOKUP(C108,'Калькулятор КНС'!D:N,9,)="",VLOOKUP(C108,'Калькулятор КНС'!D:N,10,),VLOOKUP(C108,'Калькулятор КНС'!D:N,9,)),"")</f>
        <v/>
      </c>
      <c r="G108" s="825" t="str">
        <f>IFERROR(VLOOKUP(C108,'Калькулятор КНС'!D:N,11,),"")</f>
        <v/>
      </c>
    </row>
    <row r="109" spans="1:7" ht="27" customHeight="1">
      <c r="A109" s="820" t="str">
        <f t="shared" si="2"/>
        <v/>
      </c>
      <c r="B109" s="821" t="str">
        <f>IFERROR(INDEX('Калькулятор КНС'!C:D,MATCH(C109,'Калькулятор КНС'!D:D,),1),"")</f>
        <v/>
      </c>
      <c r="C109" s="822" t="str">
        <f t="array" ref="C109">IFERROR(INDEX(#REF!,SMALL(IF(#REF!&lt;&gt;"",ROW(#REF!)-1),ROW(#REF!))),"")</f>
        <v/>
      </c>
      <c r="D109" s="823" t="str">
        <f>IFERROR(VLOOKUP(C109,'Калькулятор КНС'!D:K,8,),"")</f>
        <v/>
      </c>
      <c r="E109" s="824" t="str">
        <f>IFERROR(VLOOKUP(C109,'Калькулятор КНС'!D:K,7,),"")</f>
        <v/>
      </c>
      <c r="F109" s="825" t="str">
        <f>IFERROR(IF(VLOOKUP(C109,'Калькулятор КНС'!D:N,9,)="",VLOOKUP(C109,'Калькулятор КНС'!D:N,10,),VLOOKUP(C109,'Калькулятор КНС'!D:N,9,)),"")</f>
        <v/>
      </c>
      <c r="G109" s="825" t="str">
        <f>IFERROR(VLOOKUP(C109,'Калькулятор КНС'!D:N,11,),"")</f>
        <v/>
      </c>
    </row>
    <row r="110" spans="1:7" ht="15">
      <c r="A110" s="820" t="str">
        <f t="shared" si="2"/>
        <v/>
      </c>
      <c r="B110" s="821" t="str">
        <f>IFERROR(INDEX('Калькулятор КНС'!C:D,MATCH(C110,'Калькулятор КНС'!D:D,),1),"")</f>
        <v/>
      </c>
      <c r="C110" s="822" t="str">
        <f t="array" ref="C110">IFERROR(INDEX(#REF!,SMALL(IF(#REF!&lt;&gt;"",ROW(#REF!)-1),ROW(#REF!))),"")</f>
        <v/>
      </c>
      <c r="D110" s="823" t="str">
        <f>IFERROR(VLOOKUP(C110,'Калькулятор КНС'!D:K,8,),"")</f>
        <v/>
      </c>
      <c r="E110" s="824" t="str">
        <f>IFERROR(VLOOKUP(C110,'Калькулятор КНС'!D:K,7,),"")</f>
        <v/>
      </c>
      <c r="F110" s="825" t="str">
        <f>IFERROR(IF(VLOOKUP(C110,'Калькулятор КНС'!D:N,9,)="",VLOOKUP(C110,'Калькулятор КНС'!D:N,10,),VLOOKUP(C110,'Калькулятор КНС'!D:N,9,)),"")</f>
        <v/>
      </c>
      <c r="G110" s="825" t="str">
        <f>IFERROR(VLOOKUP(C110,'Калькулятор КНС'!D:N,11,),"")</f>
        <v/>
      </c>
    </row>
    <row r="111" spans="1:7" ht="15">
      <c r="A111" s="820" t="str">
        <f t="shared" si="2"/>
        <v/>
      </c>
      <c r="B111" s="821" t="str">
        <f>IFERROR(INDEX('Калькулятор КНС'!C:D,MATCH(C111,'Калькулятор КНС'!D:D,),1),"")</f>
        <v/>
      </c>
      <c r="C111" s="822" t="str">
        <f t="array" ref="C111">IFERROR(INDEX(#REF!,SMALL(IF(#REF!&lt;&gt;"",ROW(#REF!)-1),ROW(#REF!))),"")</f>
        <v/>
      </c>
      <c r="D111" s="823" t="str">
        <f>IFERROR(VLOOKUP(C111,'Калькулятор КНС'!D:K,8,),"")</f>
        <v/>
      </c>
      <c r="E111" s="824" t="str">
        <f>IFERROR(VLOOKUP(C111,'Калькулятор КНС'!D:K,7,),"")</f>
        <v/>
      </c>
      <c r="F111" s="825" t="str">
        <f>IFERROR(IF(VLOOKUP(C111,'Калькулятор КНС'!D:N,9,)="",VLOOKUP(C111,'Калькулятор КНС'!D:N,10,),VLOOKUP(C111,'Калькулятор КНС'!D:N,9,)),"")</f>
        <v/>
      </c>
      <c r="G111" s="825" t="str">
        <f>IFERROR(VLOOKUP(C111,'Калькулятор КНС'!D:N,11,),"")</f>
        <v/>
      </c>
    </row>
    <row r="112" spans="1:7" ht="29.25" customHeight="1">
      <c r="A112" s="820" t="str">
        <f t="shared" si="2"/>
        <v/>
      </c>
      <c r="B112" s="821" t="str">
        <f>IFERROR(INDEX('Калькулятор КНС'!C:D,MATCH(C112,'Калькулятор КНС'!D:D,),1),"")</f>
        <v/>
      </c>
      <c r="C112" s="822" t="str">
        <f t="array" ref="C112">IFERROR(INDEX(#REF!,SMALL(IF(#REF!&lt;&gt;"",ROW(#REF!)-1),ROW(#REF!))),"")</f>
        <v/>
      </c>
      <c r="D112" s="823" t="str">
        <f>IFERROR(VLOOKUP(C112,'Калькулятор КНС'!D:K,8,),"")</f>
        <v/>
      </c>
      <c r="E112" s="824" t="str">
        <f>IFERROR(VLOOKUP(C112,'Калькулятор КНС'!D:K,7,),"")</f>
        <v/>
      </c>
      <c r="F112" s="825" t="str">
        <f>IFERROR(IF(VLOOKUP(C112,'Калькулятор КНС'!D:N,9,)="",VLOOKUP(C112,'Калькулятор КНС'!D:N,10,),VLOOKUP(C112,'Калькулятор КНС'!D:N,9,)),"")</f>
        <v/>
      </c>
      <c r="G112" s="825" t="str">
        <f>IFERROR(VLOOKUP(C112,'Калькулятор КНС'!D:N,11,),"")</f>
        <v/>
      </c>
    </row>
    <row r="113" spans="1:7" ht="14.25" customHeight="1">
      <c r="A113" s="820" t="str">
        <f t="shared" si="2"/>
        <v/>
      </c>
      <c r="B113" s="821" t="str">
        <f>IFERROR(INDEX('Калькулятор КНС'!C:D,MATCH(C113,'Калькулятор КНС'!D:D,),1),"")</f>
        <v/>
      </c>
      <c r="C113" s="822" t="str">
        <f t="array" ref="C113">IFERROR(INDEX(#REF!,SMALL(IF(#REF!&lt;&gt;"",ROW(#REF!)-1),ROW(#REF!))),"")</f>
        <v/>
      </c>
      <c r="D113" s="823" t="str">
        <f>IFERROR(VLOOKUP(C113,'Калькулятор КНС'!D:K,8,),"")</f>
        <v/>
      </c>
      <c r="E113" s="824" t="str">
        <f>IFERROR(VLOOKUP(C113,'Калькулятор КНС'!D:K,7,),"")</f>
        <v/>
      </c>
      <c r="F113" s="825" t="str">
        <f>IFERROR(IF(VLOOKUP(C113,'Калькулятор КНС'!D:N,9,)="",VLOOKUP(C113,'Калькулятор КНС'!D:N,10,),VLOOKUP(C113,'Калькулятор КНС'!D:N,9,)),"")</f>
        <v/>
      </c>
      <c r="G113" s="825" t="str">
        <f>IFERROR(VLOOKUP(C113,'Калькулятор КНС'!D:N,11,),"")</f>
        <v/>
      </c>
    </row>
    <row r="114" spans="1:7" ht="31.5" customHeight="1">
      <c r="A114" s="820" t="str">
        <f t="shared" si="2"/>
        <v/>
      </c>
      <c r="B114" s="821" t="str">
        <f>IFERROR(INDEX('Калькулятор КНС'!C:D,MATCH(C114,'Калькулятор КНС'!D:D,),1),"")</f>
        <v/>
      </c>
      <c r="C114" s="822" t="str">
        <f t="array" ref="C114">IFERROR(INDEX(#REF!,SMALL(IF(#REF!&lt;&gt;"",ROW(#REF!)-1),ROW(#REF!))),"")</f>
        <v/>
      </c>
      <c r="D114" s="823" t="str">
        <f>IFERROR(VLOOKUP(C114,'Калькулятор КНС'!D:K,8,),"")</f>
        <v/>
      </c>
      <c r="E114" s="824" t="str">
        <f>IFERROR(VLOOKUP(C114,'Калькулятор КНС'!D:K,7,),"")</f>
        <v/>
      </c>
      <c r="F114" s="825" t="str">
        <f>IFERROR(IF(VLOOKUP(C114,'Калькулятор КНС'!D:N,9,)="",VLOOKUP(C114,'Калькулятор КНС'!D:N,10,),VLOOKUP(C114,'Калькулятор КНС'!D:N,9,)),"")</f>
        <v/>
      </c>
      <c r="G114" s="825" t="str">
        <f>IFERROR(VLOOKUP(C114,'Калькулятор КНС'!D:N,11,),"")</f>
        <v/>
      </c>
    </row>
    <row r="115" spans="1:7" ht="14.25" customHeight="1">
      <c r="A115" s="820" t="str">
        <f t="shared" si="2"/>
        <v/>
      </c>
      <c r="B115" s="821" t="str">
        <f>IFERROR(INDEX('Калькулятор КНС'!C:D,MATCH(C115,'Калькулятор КНС'!D:D,),1),"")</f>
        <v/>
      </c>
      <c r="C115" s="822" t="str">
        <f t="array" ref="C115">IFERROR(INDEX(#REF!,SMALL(IF(#REF!&lt;&gt;"",ROW(#REF!)-1),ROW(#REF!))),"")</f>
        <v/>
      </c>
      <c r="D115" s="823" t="str">
        <f>IFERROR(VLOOKUP(C115,'Калькулятор КНС'!D:K,8,),"")</f>
        <v/>
      </c>
      <c r="E115" s="824" t="str">
        <f>IFERROR(VLOOKUP(C115,'Калькулятор КНС'!D:K,7,),"")</f>
        <v/>
      </c>
      <c r="F115" s="825" t="str">
        <f>IFERROR(IF(VLOOKUP(C115,'Калькулятор КНС'!D:N,9,)="",VLOOKUP(C115,'Калькулятор КНС'!D:N,10,),VLOOKUP(C115,'Калькулятор КНС'!D:N,9,)),"")</f>
        <v/>
      </c>
      <c r="G115" s="825" t="str">
        <f>IFERROR(VLOOKUP(C115,'Калькулятор КНС'!D:N,11,),"")</f>
        <v/>
      </c>
    </row>
    <row r="116" spans="1:7" ht="15">
      <c r="A116" s="820" t="str">
        <f t="shared" si="2"/>
        <v/>
      </c>
      <c r="B116" s="821" t="str">
        <f>IFERROR(INDEX('Калькулятор КНС'!C:D,MATCH(C116,'Калькулятор КНС'!D:D,),1),"")</f>
        <v/>
      </c>
      <c r="C116" s="822" t="str">
        <f t="array" ref="C116">IFERROR(INDEX(#REF!,SMALL(IF(#REF!&lt;&gt;"",ROW(#REF!)-1),ROW(#REF!))),"")</f>
        <v/>
      </c>
      <c r="D116" s="823" t="str">
        <f>IFERROR(VLOOKUP(C116,'Калькулятор КНС'!D:K,8,),"")</f>
        <v/>
      </c>
      <c r="E116" s="824" t="str">
        <f>IFERROR(VLOOKUP(C116,'Калькулятор КНС'!D:K,7,),"")</f>
        <v/>
      </c>
      <c r="F116" s="825" t="str">
        <f>IFERROR(IF(VLOOKUP(C116,'Калькулятор КНС'!D:N,9,)="",VLOOKUP(C116,'Калькулятор КНС'!D:N,10,),VLOOKUP(C116,'Калькулятор КНС'!D:N,9,)),"")</f>
        <v/>
      </c>
      <c r="G116" s="825" t="str">
        <f>IFERROR(VLOOKUP(C116,'Калькулятор КНС'!D:N,11,),"")</f>
        <v/>
      </c>
    </row>
    <row r="117" spans="1:7" ht="14.25" customHeight="1">
      <c r="A117" s="820" t="str">
        <f t="shared" si="2"/>
        <v/>
      </c>
      <c r="B117" s="821" t="str">
        <f>IFERROR(INDEX('Калькулятор КНС'!C:D,MATCH(C117,'Калькулятор КНС'!D:D,),1),"")</f>
        <v/>
      </c>
      <c r="C117" s="822" t="str">
        <f t="array" ref="C117">IFERROR(INDEX(#REF!,SMALL(IF(#REF!&lt;&gt;"",ROW(#REF!)-1),ROW(#REF!))),"")</f>
        <v/>
      </c>
      <c r="D117" s="823" t="str">
        <f>IFERROR(VLOOKUP(C117,'Калькулятор КНС'!D:K,8,),"")</f>
        <v/>
      </c>
      <c r="E117" s="824" t="str">
        <f>IFERROR(VLOOKUP(C117,'Калькулятор КНС'!D:K,7,),"")</f>
        <v/>
      </c>
      <c r="F117" s="825" t="str">
        <f>IFERROR(IF(VLOOKUP(C117,'Калькулятор КНС'!D:N,9,)="",VLOOKUP(C117,'Калькулятор КНС'!D:N,10,),VLOOKUP(C117,'Калькулятор КНС'!D:N,9,)),"")</f>
        <v/>
      </c>
      <c r="G117" s="825" t="str">
        <f>IFERROR(VLOOKUP(C117,'Калькулятор КНС'!D:N,11,),"")</f>
        <v/>
      </c>
    </row>
    <row r="118" spans="1:7" ht="14.45" customHeight="1">
      <c r="A118" s="820" t="str">
        <f t="shared" si="2"/>
        <v/>
      </c>
      <c r="B118" s="821" t="str">
        <f>IFERROR(INDEX('Калькулятор КНС'!C:D,MATCH(C118,'Калькулятор КНС'!D:D,),1),"")</f>
        <v/>
      </c>
      <c r="C118" s="822" t="str">
        <f t="array" ref="C118">IFERROR(INDEX(#REF!,SMALL(IF(#REF!&lt;&gt;"",ROW(#REF!)-1),ROW(#REF!))),"")</f>
        <v/>
      </c>
      <c r="D118" s="823" t="str">
        <f>IFERROR(VLOOKUP(C118,'Калькулятор КНС'!D:K,8,),"")</f>
        <v/>
      </c>
      <c r="E118" s="824" t="str">
        <f>IFERROR(VLOOKUP(C118,'Калькулятор КНС'!D:K,7,),"")</f>
        <v/>
      </c>
      <c r="F118" s="825" t="str">
        <f>IFERROR(IF(VLOOKUP(C118,'Калькулятор КНС'!D:N,9,)="",VLOOKUP(C118,'Калькулятор КНС'!D:N,10,),VLOOKUP(C118,'Калькулятор КНС'!D:N,9,)),"")</f>
        <v/>
      </c>
      <c r="G118" s="825" t="str">
        <f>IFERROR(VLOOKUP(C118,'Калькулятор КНС'!D:N,11,),"")</f>
        <v/>
      </c>
    </row>
    <row r="119" spans="1:7" ht="14.45" customHeight="1">
      <c r="A119" s="820" t="str">
        <f t="shared" si="2"/>
        <v/>
      </c>
      <c r="B119" s="821" t="str">
        <f>IFERROR(INDEX('Калькулятор КНС'!C:D,MATCH(C119,'Калькулятор КНС'!D:D,),1),"")</f>
        <v/>
      </c>
      <c r="C119" s="822" t="str">
        <f t="array" ref="C119">IFERROR(INDEX(#REF!,SMALL(IF(#REF!&lt;&gt;"",ROW(#REF!)-1),ROW(#REF!))),"")</f>
        <v/>
      </c>
      <c r="D119" s="823" t="str">
        <f>IFERROR(VLOOKUP(C119,'Калькулятор КНС'!D:K,8,),"")</f>
        <v/>
      </c>
      <c r="E119" s="824" t="str">
        <f>IFERROR(VLOOKUP(C119,'Калькулятор КНС'!D:K,7,),"")</f>
        <v/>
      </c>
      <c r="F119" s="825" t="str">
        <f>IFERROR(IF(VLOOKUP(C119,'Калькулятор КНС'!D:N,9,)="",VLOOKUP(C119,'Калькулятор КНС'!D:N,10,),VLOOKUP(C119,'Калькулятор КНС'!D:N,9,)),"")</f>
        <v/>
      </c>
      <c r="G119" s="825" t="str">
        <f>IFERROR(VLOOKUP(C119,'Калькулятор КНС'!D:N,11,),"")</f>
        <v/>
      </c>
    </row>
    <row r="120" spans="1:7" ht="14.45" customHeight="1">
      <c r="A120" s="820" t="str">
        <f t="shared" si="2"/>
        <v/>
      </c>
      <c r="B120" s="821" t="str">
        <f>IFERROR(INDEX('Калькулятор КНС'!C:D,MATCH(C120,'Калькулятор КНС'!D:D,),1),"")</f>
        <v/>
      </c>
      <c r="C120" s="822" t="str">
        <f t="array" ref="C120">IFERROR(INDEX(#REF!,SMALL(IF(#REF!&lt;&gt;"",ROW(#REF!)-1),ROW(#REF!))),"")</f>
        <v/>
      </c>
      <c r="D120" s="823" t="str">
        <f>IFERROR(VLOOKUP(C120,'Калькулятор КНС'!D:K,8,),"")</f>
        <v/>
      </c>
      <c r="E120" s="824" t="str">
        <f>IFERROR(VLOOKUP(C120,'Калькулятор КНС'!D:K,7,),"")</f>
        <v/>
      </c>
      <c r="F120" s="825" t="str">
        <f>IFERROR(IF(VLOOKUP(C120,'Калькулятор КНС'!D:N,9,)="",VLOOKUP(C120,'Калькулятор КНС'!D:N,10,),VLOOKUP(C120,'Калькулятор КНС'!D:N,9,)),"")</f>
        <v/>
      </c>
      <c r="G120" s="825" t="str">
        <f>IFERROR(VLOOKUP(C120,'Калькулятор КНС'!D:N,11,),"")</f>
        <v/>
      </c>
    </row>
    <row r="121" spans="1:7" ht="14.45" customHeight="1">
      <c r="A121" s="820" t="str">
        <f t="shared" si="2"/>
        <v/>
      </c>
      <c r="B121" s="821" t="str">
        <f>IFERROR(INDEX('Калькулятор КНС'!C:D,MATCH(C121,'Калькулятор КНС'!D:D,),1),"")</f>
        <v/>
      </c>
      <c r="C121" s="822" t="str">
        <f t="array" ref="C121">IFERROR(INDEX(#REF!,SMALL(IF(#REF!&lt;&gt;"",ROW(#REF!)-1),ROW(#REF!))),"")</f>
        <v/>
      </c>
      <c r="D121" s="823" t="str">
        <f>IFERROR(VLOOKUP(C121,'Калькулятор КНС'!D:K,8,),"")</f>
        <v/>
      </c>
      <c r="E121" s="824" t="str">
        <f>IFERROR(VLOOKUP(C121,'Калькулятор КНС'!D:K,7,),"")</f>
        <v/>
      </c>
      <c r="F121" s="825" t="str">
        <f>IFERROR(IF(VLOOKUP(C121,'Калькулятор КНС'!D:N,9,)="",VLOOKUP(C121,'Калькулятор КНС'!D:N,10,),VLOOKUP(C121,'Калькулятор КНС'!D:N,9,)),"")</f>
        <v/>
      </c>
      <c r="G121" s="825" t="str">
        <f>IFERROR(VLOOKUP(C121,'Калькулятор КНС'!D:N,11,),"")</f>
        <v/>
      </c>
    </row>
    <row r="122" spans="1:7" ht="29.1" customHeight="1">
      <c r="A122" s="820" t="str">
        <f t="shared" si="2"/>
        <v/>
      </c>
      <c r="B122" s="821" t="str">
        <f>IFERROR(INDEX('Калькулятор КНС'!C:D,MATCH(C122,'Калькулятор КНС'!D:D,),1),"")</f>
        <v/>
      </c>
      <c r="C122" s="822" t="str">
        <f t="array" ref="C122">IFERROR(INDEX(#REF!,SMALL(IF(#REF!&lt;&gt;"",ROW(#REF!)-1),ROW(#REF!))),"")</f>
        <v/>
      </c>
      <c r="D122" s="823" t="str">
        <f>IFERROR(VLOOKUP(C122,'Калькулятор КНС'!D:K,8,),"")</f>
        <v/>
      </c>
      <c r="E122" s="824" t="str">
        <f>IFERROR(VLOOKUP(C122,'Калькулятор КНС'!D:K,7,),"")</f>
        <v/>
      </c>
      <c r="F122" s="825" t="str">
        <f>IFERROR(IF(VLOOKUP(C122,'Калькулятор КНС'!D:N,9,)="",VLOOKUP(C122,'Калькулятор КНС'!D:N,10,),VLOOKUP(C122,'Калькулятор КНС'!D:N,9,)),"")</f>
        <v/>
      </c>
      <c r="G122" s="825" t="str">
        <f>IFERROR(VLOOKUP(C122,'Калькулятор КНС'!D:N,11,),"")</f>
        <v/>
      </c>
    </row>
    <row r="123" spans="1:7" ht="14.45" customHeight="1">
      <c r="A123" s="820" t="str">
        <f t="shared" si="2"/>
        <v/>
      </c>
      <c r="B123" s="821" t="str">
        <f>IFERROR(INDEX('Калькулятор КНС'!C:D,MATCH(C123,'Калькулятор КНС'!D:D,),1),"")</f>
        <v/>
      </c>
      <c r="C123" s="822" t="str">
        <f t="array" ref="C123">IFERROR(INDEX(#REF!,SMALL(IF(#REF!&lt;&gt;"",ROW(#REF!)-1),ROW(#REF!))),"")</f>
        <v/>
      </c>
      <c r="D123" s="823" t="str">
        <f>IFERROR(VLOOKUP(C123,'Калькулятор КНС'!D:K,8,),"")</f>
        <v/>
      </c>
      <c r="E123" s="824" t="str">
        <f>IFERROR(VLOOKUP(C123,'Калькулятор КНС'!D:K,7,),"")</f>
        <v/>
      </c>
      <c r="F123" s="825" t="str">
        <f>IFERROR(IF(VLOOKUP(C123,'Калькулятор КНС'!D:N,9,)="",VLOOKUP(C123,'Калькулятор КНС'!D:N,10,),VLOOKUP(C123,'Калькулятор КНС'!D:N,9,)),"")</f>
        <v/>
      </c>
      <c r="G123" s="825" t="str">
        <f>IFERROR(VLOOKUP(C123,'Калькулятор КНС'!D:N,11,),"")</f>
        <v/>
      </c>
    </row>
    <row r="124" spans="1:7" ht="15">
      <c r="A124" s="820" t="str">
        <f t="shared" si="2"/>
        <v/>
      </c>
      <c r="B124" s="821" t="str">
        <f>IFERROR(INDEX('Калькулятор КНС'!C:D,MATCH(C124,'Калькулятор КНС'!D:D,),1),"")</f>
        <v/>
      </c>
      <c r="C124" s="822" t="str">
        <f t="array" ref="C124">IFERROR(INDEX(#REF!,SMALL(IF(#REF!&lt;&gt;"",ROW(#REF!)-1),ROW(#REF!))),"")</f>
        <v/>
      </c>
      <c r="D124" s="823" t="str">
        <f>IFERROR(VLOOKUP(C124,'Калькулятор КНС'!D:K,8,),"")</f>
        <v/>
      </c>
      <c r="E124" s="824" t="str">
        <f>IFERROR(VLOOKUP(C124,'Калькулятор КНС'!D:K,7,),"")</f>
        <v/>
      </c>
      <c r="F124" s="825" t="str">
        <f>IFERROR(IF(VLOOKUP(C124,'Калькулятор КНС'!D:N,9,)="",VLOOKUP(C124,'Калькулятор КНС'!D:N,10,),VLOOKUP(C124,'Калькулятор КНС'!D:N,9,)),"")</f>
        <v/>
      </c>
      <c r="G124" s="825" t="str">
        <f>IFERROR(VLOOKUP(C124,'Калькулятор КНС'!D:N,11,),"")</f>
        <v/>
      </c>
    </row>
    <row r="125" spans="1:7" ht="14.45" customHeight="1">
      <c r="A125" s="820" t="str">
        <f t="shared" si="2"/>
        <v/>
      </c>
      <c r="B125" s="821" t="str">
        <f>IFERROR(INDEX('Калькулятор КНС'!C:D,MATCH(C125,'Калькулятор КНС'!D:D,),1),"")</f>
        <v/>
      </c>
      <c r="C125" s="822" t="str">
        <f t="array" ref="C125">IFERROR(INDEX(#REF!,SMALL(IF(#REF!&lt;&gt;"",ROW(#REF!)-1),ROW(#REF!))),"")</f>
        <v/>
      </c>
      <c r="D125" s="823" t="str">
        <f>IFERROR(VLOOKUP(C125,'Калькулятор КНС'!D:K,8,),"")</f>
        <v/>
      </c>
      <c r="E125" s="824" t="str">
        <f>IFERROR(VLOOKUP(C125,'Калькулятор КНС'!D:K,7,),"")</f>
        <v/>
      </c>
      <c r="F125" s="825" t="str">
        <f>IFERROR(IF(VLOOKUP(C125,'Калькулятор КНС'!D:N,9,)="",VLOOKUP(C125,'Калькулятор КНС'!D:N,10,),VLOOKUP(C125,'Калькулятор КНС'!D:N,9,)),"")</f>
        <v/>
      </c>
      <c r="G125" s="825" t="str">
        <f>IFERROR(VLOOKUP(C125,'Калькулятор КНС'!D:N,11,),"")</f>
        <v/>
      </c>
    </row>
    <row r="126" spans="1:7" ht="15">
      <c r="A126" s="820" t="str">
        <f t="shared" si="2"/>
        <v/>
      </c>
      <c r="B126" s="821" t="str">
        <f>IFERROR(INDEX('Калькулятор КНС'!C:D,MATCH(C126,'Калькулятор КНС'!D:D,),1),"")</f>
        <v/>
      </c>
      <c r="C126" s="822" t="str">
        <f t="array" ref="C126">IFERROR(INDEX(#REF!,SMALL(IF(#REF!&lt;&gt;"",ROW(#REF!)-1),ROW(#REF!))),"")</f>
        <v/>
      </c>
      <c r="D126" s="823" t="str">
        <f>IFERROR(VLOOKUP(C126,'Калькулятор КНС'!D:K,8,),"")</f>
        <v/>
      </c>
      <c r="E126" s="824" t="str">
        <f>IFERROR(VLOOKUP(C126,'Калькулятор КНС'!D:K,7,),"")</f>
        <v/>
      </c>
      <c r="F126" s="825" t="str">
        <f>IFERROR(IF(VLOOKUP(C126,'Калькулятор КНС'!D:N,9,)="",VLOOKUP(C126,'Калькулятор КНС'!D:N,10,),VLOOKUP(C126,'Калькулятор КНС'!D:N,9,)),"")</f>
        <v/>
      </c>
      <c r="G126" s="825" t="str">
        <f>IFERROR(VLOOKUP(C126,'Калькулятор КНС'!D:N,11,),"")</f>
        <v/>
      </c>
    </row>
    <row r="127" spans="1:7" ht="14.45" customHeight="1">
      <c r="A127" s="820" t="str">
        <f t="shared" si="2"/>
        <v/>
      </c>
      <c r="B127" s="821" t="str">
        <f>IFERROR(INDEX('Калькулятор КНС'!C:D,MATCH(C127,'Калькулятор КНС'!D:D,),1),"")</f>
        <v/>
      </c>
      <c r="C127" s="822" t="str">
        <f t="array" ref="C127">IFERROR(INDEX(#REF!,SMALL(IF(#REF!&lt;&gt;"",ROW(#REF!)-1),ROW(#REF!))),"")</f>
        <v/>
      </c>
      <c r="D127" s="823" t="str">
        <f>IFERROR(VLOOKUP(C127,'Калькулятор КНС'!D:K,8,),"")</f>
        <v/>
      </c>
      <c r="E127" s="824" t="str">
        <f>IFERROR(VLOOKUP(C127,'Калькулятор КНС'!D:K,7,),"")</f>
        <v/>
      </c>
      <c r="F127" s="825" t="str">
        <f>IFERROR(IF(VLOOKUP(C127,'Калькулятор КНС'!D:N,9,)="",VLOOKUP(C127,'Калькулятор КНС'!D:N,10,),VLOOKUP(C127,'Калькулятор КНС'!D:N,9,)),"")</f>
        <v/>
      </c>
      <c r="G127" s="825" t="str">
        <f>IFERROR(VLOOKUP(C127,'Калькулятор КНС'!D:N,11,),"")</f>
        <v/>
      </c>
    </row>
    <row r="128" spans="1:7" ht="14.45" customHeight="1">
      <c r="A128" s="820" t="str">
        <f t="shared" si="2"/>
        <v/>
      </c>
      <c r="B128" s="821" t="str">
        <f>IFERROR(INDEX('Калькулятор КНС'!C:D,MATCH(C128,'Калькулятор КНС'!D:D,),1),"")</f>
        <v/>
      </c>
      <c r="C128" s="822" t="str">
        <f t="array" ref="C128">IFERROR(INDEX(#REF!,SMALL(IF(#REF!&lt;&gt;"",ROW(#REF!)-1),ROW(#REF!))),"")</f>
        <v/>
      </c>
      <c r="D128" s="823" t="str">
        <f>IFERROR(VLOOKUP(C128,'Калькулятор КНС'!D:K,8,),"")</f>
        <v/>
      </c>
      <c r="E128" s="824" t="str">
        <f>IFERROR(VLOOKUP(C128,'Калькулятор КНС'!D:K,7,),"")</f>
        <v/>
      </c>
      <c r="F128" s="825" t="str">
        <f>IFERROR(IF(VLOOKUP(C128,'Калькулятор КНС'!D:N,9,)="",VLOOKUP(C128,'Калькулятор КНС'!D:N,10,),VLOOKUP(C128,'Калькулятор КНС'!D:N,9,)),"")</f>
        <v/>
      </c>
      <c r="G128" s="825" t="str">
        <f>IFERROR(VLOOKUP(C128,'Калькулятор КНС'!D:N,11,),"")</f>
        <v/>
      </c>
    </row>
    <row r="129" spans="1:9" ht="14.45" customHeight="1">
      <c r="A129" s="820" t="str">
        <f t="shared" si="2"/>
        <v/>
      </c>
      <c r="B129" s="821" t="str">
        <f>IFERROR(INDEX('Калькулятор КНС'!C:D,MATCH(C129,'Калькулятор КНС'!D:D,),1),"")</f>
        <v/>
      </c>
      <c r="C129" s="822" t="str">
        <f t="array" ref="C129">IFERROR(INDEX(#REF!,SMALL(IF(#REF!&lt;&gt;"",ROW(#REF!)-1),ROW(#REF!))),"")</f>
        <v/>
      </c>
      <c r="D129" s="823" t="str">
        <f>IFERROR(VLOOKUP(C129,'Калькулятор КНС'!D:K,8,),"")</f>
        <v/>
      </c>
      <c r="E129" s="824" t="str">
        <f>IFERROR(VLOOKUP(C129,'Калькулятор КНС'!D:K,7,),"")</f>
        <v/>
      </c>
      <c r="F129" s="825" t="str">
        <f>IFERROR(IF(VLOOKUP(C129,'Калькулятор КНС'!D:N,9,)="",VLOOKUP(C129,'Калькулятор КНС'!D:N,10,),VLOOKUP(C129,'Калькулятор КНС'!D:N,9,)),"")</f>
        <v/>
      </c>
      <c r="G129" s="825" t="str">
        <f>IFERROR(VLOOKUP(C129,'Калькулятор КНС'!D:N,11,),"")</f>
        <v/>
      </c>
      <c r="H129" s="826"/>
      <c r="I129" s="826"/>
    </row>
    <row r="130" spans="1:9" ht="14.45" customHeight="1">
      <c r="A130" s="820" t="str">
        <f t="shared" si="2"/>
        <v/>
      </c>
      <c r="B130" s="821" t="str">
        <f>IFERROR(INDEX('Калькулятор КНС'!C:D,MATCH(C130,'Калькулятор КНС'!D:D,),1),"")</f>
        <v/>
      </c>
      <c r="C130" s="822" t="str">
        <f t="array" ref="C130">IFERROR(INDEX(#REF!,SMALL(IF(#REF!&lt;&gt;"",ROW(#REF!)-1),ROW(#REF!))),"")</f>
        <v/>
      </c>
      <c r="D130" s="823" t="str">
        <f>IFERROR(VLOOKUP(C130,'Калькулятор КНС'!D:K,8,),"")</f>
        <v/>
      </c>
      <c r="E130" s="824" t="str">
        <f>IFERROR(VLOOKUP(C130,'Калькулятор КНС'!D:K,7,),"")</f>
        <v/>
      </c>
      <c r="F130" s="825" t="str">
        <f>IFERROR(IF(VLOOKUP(C130,'Калькулятор КНС'!D:N,9,)="",VLOOKUP(C130,'Калькулятор КНС'!D:N,10,),VLOOKUP(C130,'Калькулятор КНС'!D:N,9,)),"")</f>
        <v/>
      </c>
      <c r="G130" s="825" t="str">
        <f>IFERROR(VLOOKUP(C130,'Калькулятор КНС'!D:N,11,),"")</f>
        <v/>
      </c>
      <c r="H130" s="826"/>
      <c r="I130" s="826"/>
    </row>
    <row r="131" spans="1:9" ht="15">
      <c r="A131" s="820" t="str">
        <f t="shared" si="2"/>
        <v/>
      </c>
      <c r="B131" s="821" t="str">
        <f>IFERROR(INDEX('Калькулятор КНС'!C:D,MATCH(C131,'Калькулятор КНС'!D:D,),1),"")</f>
        <v/>
      </c>
      <c r="C131" s="822" t="str">
        <f t="array" ref="C131">IFERROR(INDEX(#REF!,SMALL(IF(#REF!&lt;&gt;"",ROW(#REF!)-1),ROW(#REF!))),"")</f>
        <v/>
      </c>
      <c r="D131" s="823" t="str">
        <f>IFERROR(VLOOKUP(C131,'Калькулятор КНС'!D:K,8,),"")</f>
        <v/>
      </c>
      <c r="E131" s="824" t="str">
        <f>IFERROR(VLOOKUP(C131,'Калькулятор КНС'!D:K,7,),"")</f>
        <v/>
      </c>
      <c r="F131" s="825" t="str">
        <f>IFERROR(IF(VLOOKUP(C131,'Калькулятор КНС'!D:N,9,)="",VLOOKUP(C131,'Калькулятор КНС'!D:N,10,),VLOOKUP(C131,'Калькулятор КНС'!D:N,9,)),"")</f>
        <v/>
      </c>
      <c r="G131" s="825" t="str">
        <f>IFERROR(VLOOKUP(C131,'Калькулятор КНС'!D:N,11,),"")</f>
        <v/>
      </c>
      <c r="H131" s="826"/>
      <c r="I131" s="826"/>
    </row>
    <row r="132" spans="1:9" ht="15">
      <c r="A132" s="820" t="str">
        <f t="shared" si="2"/>
        <v/>
      </c>
      <c r="B132" s="821" t="str">
        <f>IFERROR(INDEX('Калькулятор КНС'!C:D,MATCH(C132,'Калькулятор КНС'!D:D,),1),"")</f>
        <v/>
      </c>
      <c r="C132" s="822" t="str">
        <f t="array" ref="C132">IFERROR(INDEX(#REF!,SMALL(IF(#REF!&lt;&gt;"",ROW(#REF!)-1),ROW(#REF!))),"")</f>
        <v/>
      </c>
      <c r="D132" s="823" t="str">
        <f>IFERROR(VLOOKUP(C132,'Калькулятор КНС'!D:K,8,),"")</f>
        <v/>
      </c>
      <c r="E132" s="824" t="str">
        <f>IFERROR(VLOOKUP(C132,'Калькулятор КНС'!D:K,7,),"")</f>
        <v/>
      </c>
      <c r="F132" s="825" t="str">
        <f>IFERROR(IF(VLOOKUP(C132,'Калькулятор КНС'!D:N,9,)="",VLOOKUP(C132,'Калькулятор КНС'!D:N,10,),VLOOKUP(C132,'Калькулятор КНС'!D:N,9,)),"")</f>
        <v/>
      </c>
      <c r="G132" s="825" t="str">
        <f>IFERROR(VLOOKUP(C132,'Калькулятор КНС'!D:N,11,),"")</f>
        <v/>
      </c>
      <c r="H132" s="826"/>
      <c r="I132" s="826"/>
    </row>
    <row r="133" spans="1:9" ht="15">
      <c r="A133" s="820" t="str">
        <f t="shared" si="2"/>
        <v/>
      </c>
      <c r="B133" s="821" t="str">
        <f>IFERROR(INDEX('Калькулятор КНС'!C:D,MATCH(C133,'Калькулятор КНС'!D:D,),1),"")</f>
        <v/>
      </c>
      <c r="C133" s="822" t="str">
        <f t="array" ref="C133">IFERROR(INDEX(#REF!,SMALL(IF(#REF!&lt;&gt;"",ROW(#REF!)-1),ROW(#REF!))),"")</f>
        <v/>
      </c>
      <c r="D133" s="823" t="str">
        <f>IFERROR(VLOOKUP(C133,'Калькулятор КНС'!D:K,8,),"")</f>
        <v/>
      </c>
      <c r="E133" s="824" t="str">
        <f>IFERROR(VLOOKUP(C133,'Калькулятор КНС'!D:K,7,),"")</f>
        <v/>
      </c>
      <c r="F133" s="825" t="str">
        <f>IFERROR(IF(VLOOKUP(C133,'Калькулятор КНС'!D:N,9,)="",VLOOKUP(C133,'Калькулятор КНС'!D:N,10,),VLOOKUP(C133,'Калькулятор КНС'!D:N,9,)),"")</f>
        <v/>
      </c>
      <c r="G133" s="825" t="str">
        <f>IFERROR(VLOOKUP(C133,'Калькулятор КНС'!D:N,11,),"")</f>
        <v/>
      </c>
      <c r="H133" s="826"/>
      <c r="I133" s="826"/>
    </row>
    <row r="134" spans="1:9" ht="15">
      <c r="A134" s="820" t="str">
        <f t="shared" si="2"/>
        <v/>
      </c>
      <c r="B134" s="821" t="str">
        <f>IFERROR(INDEX('Калькулятор КНС'!C:D,MATCH(C134,'Калькулятор КНС'!D:D,),1),"")</f>
        <v/>
      </c>
      <c r="C134" s="822" t="str">
        <f t="array" ref="C134">IFERROR(INDEX(#REF!,SMALL(IF(#REF!&lt;&gt;"",ROW(#REF!)-1),ROW(#REF!))),"")</f>
        <v/>
      </c>
      <c r="D134" s="823" t="str">
        <f>IFERROR(VLOOKUP(C134,'Калькулятор КНС'!D:K,8,),"")</f>
        <v/>
      </c>
      <c r="E134" s="824" t="str">
        <f>IFERROR(VLOOKUP(C134,'Калькулятор КНС'!D:K,7,),"")</f>
        <v/>
      </c>
      <c r="F134" s="825" t="str">
        <f>IFERROR(IF(VLOOKUP(C134,'Калькулятор КНС'!D:N,9,)="",VLOOKUP(C134,'Калькулятор КНС'!D:N,10,),VLOOKUP(C134,'Калькулятор КНС'!D:N,9,)),"")</f>
        <v/>
      </c>
      <c r="G134" s="825" t="str">
        <f>IFERROR(VLOOKUP(C134,'Калькулятор КНС'!D:N,11,),"")</f>
        <v/>
      </c>
      <c r="H134" s="826"/>
      <c r="I134" s="826"/>
    </row>
    <row r="135" spans="1:9" ht="15">
      <c r="A135" s="820" t="str">
        <f t="shared" si="2"/>
        <v/>
      </c>
      <c r="B135" s="821" t="str">
        <f>IFERROR(INDEX('Калькулятор КНС'!C:D,MATCH(C135,'Калькулятор КНС'!D:D,),1),"")</f>
        <v/>
      </c>
      <c r="C135" s="822" t="str">
        <f t="array" ref="C135">IFERROR(INDEX(#REF!,SMALL(IF(#REF!&lt;&gt;"",ROW(#REF!)-1),ROW(#REF!))),"")</f>
        <v/>
      </c>
      <c r="D135" s="823" t="str">
        <f>IFERROR(VLOOKUP(C135,'Калькулятор КНС'!D:K,8,),"")</f>
        <v/>
      </c>
      <c r="E135" s="824" t="str">
        <f>IFERROR(VLOOKUP(C135,'Калькулятор КНС'!D:K,7,),"")</f>
        <v/>
      </c>
      <c r="F135" s="825" t="str">
        <f>IFERROR(IF(VLOOKUP(C135,'Калькулятор КНС'!D:N,9,)="",VLOOKUP(C135,'Калькулятор КНС'!D:N,10,),VLOOKUP(C135,'Калькулятор КНС'!D:N,9,)),"")</f>
        <v/>
      </c>
      <c r="G135" s="825" t="str">
        <f>IFERROR(VLOOKUP(C135,'Калькулятор КНС'!D:N,11,),"")</f>
        <v/>
      </c>
      <c r="H135" s="826"/>
      <c r="I135" s="826"/>
    </row>
    <row r="136" spans="1:9" ht="15">
      <c r="A136" s="820" t="str">
        <f t="shared" si="2"/>
        <v/>
      </c>
      <c r="B136" s="821" t="str">
        <f>IFERROR(INDEX('Калькулятор КНС'!C:D,MATCH(C136,'Калькулятор КНС'!D:D,),1),"")</f>
        <v/>
      </c>
      <c r="C136" s="822" t="str">
        <f t="array" ref="C136">IFERROR(INDEX(#REF!,SMALL(IF(#REF!&lt;&gt;"",ROW(#REF!)-1),ROW(#REF!))),"")</f>
        <v/>
      </c>
      <c r="D136" s="823" t="str">
        <f>IFERROR(VLOOKUP(C136,'Калькулятор КНС'!D:K,8,),"")</f>
        <v/>
      </c>
      <c r="E136" s="824" t="str">
        <f>IFERROR(VLOOKUP(C136,'Калькулятор КНС'!D:K,7,),"")</f>
        <v/>
      </c>
      <c r="F136" s="825" t="str">
        <f>IFERROR(IF(VLOOKUP(C136,'Калькулятор КНС'!D:N,9,)="",VLOOKUP(C136,'Калькулятор КНС'!D:N,10,),VLOOKUP(C136,'Калькулятор КНС'!D:N,9,)),"")</f>
        <v/>
      </c>
      <c r="G136" s="825" t="str">
        <f>IFERROR(VLOOKUP(C136,'Калькулятор КНС'!D:N,11,),"")</f>
        <v/>
      </c>
      <c r="H136" s="826"/>
      <c r="I136" s="826"/>
    </row>
    <row r="137" spans="1:9" ht="6.6" customHeight="1">
      <c r="B137" s="738"/>
      <c r="C137" s="731"/>
      <c r="D137" s="827"/>
      <c r="E137" s="828"/>
      <c r="F137" s="829"/>
      <c r="G137" s="829"/>
    </row>
    <row r="138" spans="1:9" ht="15">
      <c r="B138" s="738"/>
      <c r="C138" s="731" t="s">
        <v>769</v>
      </c>
      <c r="D138" s="827"/>
      <c r="E138" s="828"/>
      <c r="F138" s="830">
        <f>SUM(F9:F136)</f>
        <v>0</v>
      </c>
      <c r="G138" s="830">
        <f>SUM(G9:G136)</f>
        <v>0</v>
      </c>
    </row>
    <row r="139" spans="1:9" ht="15">
      <c r="E139" s="736"/>
      <c r="F139" s="736"/>
      <c r="G139" s="736"/>
    </row>
    <row r="140" spans="1:9" ht="30">
      <c r="C140" s="35" t="s">
        <v>770</v>
      </c>
      <c r="D140" s="812"/>
      <c r="E140" s="812"/>
      <c r="F140" s="812"/>
      <c r="G140" s="812"/>
      <c r="H140" s="812"/>
      <c r="I140" s="831" t="s">
        <v>771</v>
      </c>
    </row>
    <row r="141" spans="1:9" ht="8.4499999999999993" customHeight="1">
      <c r="C141" s="35"/>
      <c r="I141" s="831"/>
    </row>
    <row r="142" spans="1:9" ht="15">
      <c r="C142" s="35" t="s">
        <v>772</v>
      </c>
      <c r="D142" s="812"/>
      <c r="E142" s="812"/>
      <c r="F142" s="812"/>
      <c r="G142" s="812"/>
      <c r="H142" s="812"/>
      <c r="I142" s="831" t="s">
        <v>773</v>
      </c>
    </row>
    <row r="143" spans="1:9" ht="8.4499999999999993" customHeight="1">
      <c r="C143" s="35"/>
      <c r="I143" s="831"/>
    </row>
    <row r="144" spans="1:9" ht="15">
      <c r="C144" s="35" t="s">
        <v>774</v>
      </c>
      <c r="D144" s="812"/>
      <c r="E144" s="812"/>
      <c r="F144" s="812"/>
      <c r="G144" s="812"/>
      <c r="H144" s="812"/>
      <c r="I144" s="831" t="s">
        <v>775</v>
      </c>
    </row>
    <row r="146" spans="3:9" ht="15">
      <c r="C146" s="35" t="s">
        <v>776</v>
      </c>
      <c r="D146" s="812"/>
      <c r="E146" s="812"/>
      <c r="F146" s="812"/>
      <c r="G146" s="812"/>
      <c r="H146" s="812"/>
      <c r="I146" s="831" t="s">
        <v>777</v>
      </c>
    </row>
  </sheetData>
  <autoFilter ref="A8:J136" xr:uid="{00000000-0009-0000-0000-00000A000000}"/>
  <sortState xmlns:xlrd2="http://schemas.microsoft.com/office/spreadsheetml/2017/richdata2" ref="I8:I24">
    <sortCondition descending="1" ref="I24"/>
  </sortState>
  <mergeCells count="10">
    <mergeCell ref="A6:A7"/>
    <mergeCell ref="C6:C7"/>
    <mergeCell ref="D6:D7"/>
    <mergeCell ref="E6:E7"/>
    <mergeCell ref="B6:B7"/>
    <mergeCell ref="B1:I1"/>
    <mergeCell ref="H6:H7"/>
    <mergeCell ref="I6:J6"/>
    <mergeCell ref="F6:F7"/>
    <mergeCell ref="G6:G7"/>
  </mergeCells>
  <conditionalFormatting sqref="E9:E139">
    <cfRule type="expression" dxfId="2" priority="101">
      <formula>$D9="шт"</formula>
    </cfRule>
  </conditionalFormatting>
  <pageMargins left="0.25" right="0.25" top="0.75" bottom="0.75" header="0.3" footer="0.3"/>
  <pageSetup paperSize="9" scale="60" fitToHeight="0" orientation="portrait" horizontalDpi="300" verticalDpi="300" r:id="rId1"/>
  <drawing r:id="rId2"/>
  <extLst>
    <ext xmlns:x14="http://schemas.microsoft.com/office/spreadsheetml/2009/9/main" uri="{78C0D931-6437-407d-A8EE-F0AAD7539E65}">
      <x14:conditionalFormattings>
        <x14:conditionalFormatting xmlns:xm="http://schemas.microsoft.com/office/excel/2006/main">
          <x14:cfRule type="expression" priority="1" id="{003700F3-007E-4F81-957B-007A00550084}">
            <xm:f>'\Users\Кристина\Documents\Работа\НТТ\Новый калькулятор\от Инны\финальные варианты\[с новыми ОЛ Калькулятор емк оборуд от 09.08.21 (1).xlsx]Содержание'!#REF!='\Users\Кристина\Documents\Работа\НТТ\Новый калькулятор\от Инны\финальные варианты\[с новыми ОЛ Калькулятор емк оборуд от 09.08.21 (1).xlsx]Списки'!#REF!</xm:f>
            <x14:dxf>
              <font>
                <color theme="0" tint="-4.9989318521683403E-2"/>
              </font>
            </x14:dxf>
          </x14:cfRule>
          <xm:sqref>B1</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7"/>
  <dimension ref="A1:B22"/>
  <sheetViews>
    <sheetView showGridLines="0" workbookViewId="0">
      <selection activeCell="I23" sqref="I23"/>
    </sheetView>
  </sheetViews>
  <sheetFormatPr defaultColWidth="41" defaultRowHeight="11.25" zeroHeight="1"/>
  <cols>
    <col min="1" max="1" width="50.140625" style="832" bestFit="1" customWidth="1"/>
    <col min="2" max="2" width="9.7109375" style="832" bestFit="1" customWidth="1"/>
    <col min="3" max="3" width="4.140625" style="832" customWidth="1"/>
    <col min="4" max="4" width="19.85546875" style="832" customWidth="1"/>
    <col min="5" max="5" width="41" style="832"/>
    <col min="6" max="7" width="8.28515625" style="832" customWidth="1"/>
    <col min="8" max="8" width="4.140625" style="832" customWidth="1"/>
    <col min="9" max="9" width="19.85546875" style="832" customWidth="1"/>
    <col min="10" max="10" width="41" style="832"/>
    <col min="11" max="11" width="13.140625" style="832" customWidth="1"/>
    <col min="12" max="12" width="10.140625" style="832" customWidth="1"/>
    <col min="13" max="13" width="11.7109375" style="832" customWidth="1"/>
    <col min="14" max="14" width="41" style="832"/>
    <col min="15" max="15" width="8.28515625" style="832" customWidth="1"/>
    <col min="16" max="16" width="4.140625" style="832" customWidth="1"/>
    <col min="17" max="17" width="41" style="832"/>
    <col min="18" max="18" width="13.140625" style="832" customWidth="1"/>
    <col min="19" max="16384" width="41" style="832"/>
  </cols>
  <sheetData>
    <row r="1" spans="1:2">
      <c r="A1" s="833" t="s">
        <v>778</v>
      </c>
      <c r="B1" s="834" t="s">
        <v>779</v>
      </c>
    </row>
    <row r="2" spans="1:2">
      <c r="A2" s="836" t="s">
        <v>780</v>
      </c>
      <c r="B2" s="837">
        <f t="shared" ref="B2:B5" si="0">8/4</f>
        <v>2</v>
      </c>
    </row>
    <row r="3" spans="1:2">
      <c r="A3" s="840" t="s">
        <v>781</v>
      </c>
      <c r="B3" s="841">
        <f t="shared" si="0"/>
        <v>2</v>
      </c>
    </row>
    <row r="4" spans="1:2">
      <c r="A4" s="840" t="s">
        <v>782</v>
      </c>
      <c r="B4" s="841">
        <f t="shared" si="0"/>
        <v>2</v>
      </c>
    </row>
    <row r="5" spans="1:2">
      <c r="A5" s="840" t="s">
        <v>783</v>
      </c>
      <c r="B5" s="841">
        <f t="shared" si="0"/>
        <v>2</v>
      </c>
    </row>
    <row r="6" spans="1:2">
      <c r="A6" s="840" t="s">
        <v>694</v>
      </c>
      <c r="B6" s="841">
        <f>(2*2*0.03+0.2)/4</f>
        <v>0.08</v>
      </c>
    </row>
    <row r="7" spans="1:2">
      <c r="A7" s="840" t="s">
        <v>784</v>
      </c>
      <c r="B7" s="841">
        <f>(2*0.1)/4</f>
        <v>0.05</v>
      </c>
    </row>
    <row r="8" spans="1:2">
      <c r="A8" s="840" t="s">
        <v>696</v>
      </c>
      <c r="B8" s="841">
        <f>(2*1.8)/4</f>
        <v>0.9</v>
      </c>
    </row>
    <row r="9" spans="1:2">
      <c r="A9" s="840" t="s">
        <v>785</v>
      </c>
      <c r="B9" s="843">
        <v>0.6</v>
      </c>
    </row>
    <row r="10" spans="1:2">
      <c r="A10" s="840" t="s">
        <v>238</v>
      </c>
      <c r="B10" s="841"/>
    </row>
    <row r="11" spans="1:2">
      <c r="A11" s="840"/>
      <c r="B11" s="841"/>
    </row>
    <row r="12" spans="1:2" ht="11.45" customHeight="1">
      <c r="A12" s="839"/>
      <c r="B12" s="842"/>
    </row>
    <row r="13" spans="1:2" ht="11.45" customHeight="1">
      <c r="A13" s="833" t="s">
        <v>786</v>
      </c>
    </row>
    <row r="14" spans="1:2" ht="11.45" customHeight="1">
      <c r="A14" s="835" t="e">
        <v>#N/A</v>
      </c>
    </row>
    <row r="15" spans="1:2">
      <c r="A15" s="836" t="s">
        <v>787</v>
      </c>
      <c r="B15" s="837">
        <v>2</v>
      </c>
    </row>
    <row r="16" spans="1:2">
      <c r="A16" s="840" t="s">
        <v>788</v>
      </c>
      <c r="B16" s="841">
        <v>2</v>
      </c>
    </row>
    <row r="17" spans="1:2" ht="11.45" customHeight="1">
      <c r="A17" s="840" t="s">
        <v>789</v>
      </c>
      <c r="B17" s="841">
        <v>2</v>
      </c>
    </row>
    <row r="18" spans="1:2">
      <c r="A18" s="840" t="s">
        <v>790</v>
      </c>
      <c r="B18" s="841">
        <v>4.0000000000000001E-3</v>
      </c>
    </row>
    <row r="19" spans="1:2">
      <c r="A19" s="840" t="s">
        <v>694</v>
      </c>
      <c r="B19" s="841">
        <v>6.0000000000000001E-3</v>
      </c>
    </row>
    <row r="20" spans="1:2">
      <c r="A20" s="844" t="s">
        <v>791</v>
      </c>
      <c r="B20" s="841">
        <v>0.4</v>
      </c>
    </row>
    <row r="21" spans="1:2">
      <c r="A21" s="840" t="s">
        <v>785</v>
      </c>
      <c r="B21" s="843">
        <v>0.4</v>
      </c>
    </row>
    <row r="22" spans="1:2">
      <c r="A22" s="840" t="s">
        <v>238</v>
      </c>
      <c r="B22" s="841"/>
    </row>
  </sheetData>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4"/>
  <dimension ref="C2:C16"/>
  <sheetViews>
    <sheetView workbookViewId="0">
      <selection activeCell="J18" sqref="J18"/>
    </sheetView>
  </sheetViews>
  <sheetFormatPr defaultRowHeight="14.45" customHeight="1"/>
  <sheetData>
    <row r="2" spans="3:3" ht="14.45" customHeight="1">
      <c r="C2">
        <v>12</v>
      </c>
    </row>
    <row r="3" spans="3:3" ht="14.45" customHeight="1">
      <c r="C3">
        <v>119</v>
      </c>
    </row>
    <row r="4" spans="3:3" ht="14.45" customHeight="1">
      <c r="C4">
        <v>110</v>
      </c>
    </row>
    <row r="6" spans="3:3" ht="14.45" customHeight="1">
      <c r="C6">
        <v>89</v>
      </c>
    </row>
    <row r="7" spans="3:3" ht="14.45" customHeight="1">
      <c r="C7">
        <v>89</v>
      </c>
    </row>
    <row r="8" spans="3:3" ht="14.45" customHeight="1">
      <c r="C8">
        <v>89</v>
      </c>
    </row>
    <row r="10" spans="3:3" ht="14.45" customHeight="1">
      <c r="C10">
        <v>90</v>
      </c>
    </row>
    <row r="11" spans="3:3" ht="14.45" customHeight="1">
      <c r="C11">
        <v>68</v>
      </c>
    </row>
    <row r="12" spans="3:3" ht="14.45" customHeight="1">
      <c r="C12">
        <v>89</v>
      </c>
    </row>
    <row r="14" spans="3:3" ht="14.45" customHeight="1">
      <c r="C14">
        <v>244</v>
      </c>
    </row>
    <row r="15" spans="3:3" ht="14.45" customHeight="1">
      <c r="C15">
        <v>240</v>
      </c>
    </row>
    <row r="16" spans="3:3" ht="14.45" customHeight="1">
      <c r="C16">
        <v>235</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FB4F8-3B87-4E45-9FA6-775FEC70B31A}">
  <dimension ref="A1:O102"/>
  <sheetViews>
    <sheetView zoomScale="90" zoomScaleNormal="90" workbookViewId="0">
      <selection activeCell="E17" sqref="E17"/>
    </sheetView>
  </sheetViews>
  <sheetFormatPr defaultRowHeight="15"/>
  <cols>
    <col min="1" max="1" width="16.85546875" customWidth="1"/>
    <col min="2" max="2" width="13.42578125" customWidth="1"/>
    <col min="3" max="3" width="11.140625" customWidth="1"/>
    <col min="4" max="4" width="12.85546875" bestFit="1" customWidth="1"/>
    <col min="9" max="9" width="33.85546875" customWidth="1"/>
    <col min="12" max="12" width="18.140625" customWidth="1"/>
  </cols>
  <sheetData>
    <row r="1" spans="1:10" ht="18.75">
      <c r="A1" s="1132"/>
      <c r="B1" s="1132"/>
      <c r="C1" s="1132"/>
      <c r="D1" s="1133" t="s">
        <v>1959</v>
      </c>
      <c r="E1" s="1132"/>
      <c r="F1" s="1132"/>
      <c r="G1" s="1132"/>
      <c r="H1" s="1132"/>
      <c r="I1" s="1132"/>
    </row>
    <row r="2" spans="1:10" ht="15.75">
      <c r="A2" s="1134" t="s">
        <v>1960</v>
      </c>
      <c r="B2" s="1132"/>
      <c r="C2" s="1132"/>
      <c r="D2" s="1132"/>
      <c r="E2" s="1132"/>
      <c r="F2" s="1132"/>
      <c r="G2" s="1132"/>
      <c r="H2" s="1132"/>
      <c r="I2" s="1132"/>
    </row>
    <row r="3" spans="1:10" ht="15.75">
      <c r="A3" s="1132" t="s">
        <v>1961</v>
      </c>
      <c r="B3" s="1135"/>
      <c r="C3" s="1132" t="s">
        <v>1962</v>
      </c>
      <c r="D3" s="1132"/>
      <c r="E3" s="1132"/>
      <c r="F3" s="1132" t="s">
        <v>1963</v>
      </c>
      <c r="G3" s="1132"/>
      <c r="H3" s="1132"/>
      <c r="I3" s="1132"/>
      <c r="J3" s="1136"/>
    </row>
    <row r="4" spans="1:10" ht="15.75">
      <c r="A4" s="1132" t="s">
        <v>1961</v>
      </c>
      <c r="B4" s="1137">
        <f>D4/1000</f>
        <v>2.2359999999999998E-2</v>
      </c>
      <c r="C4" s="1132" t="s">
        <v>1964</v>
      </c>
      <c r="D4" s="1138">
        <f>ОЛ_НАСОСНАЯ_СТАНЦИЯ!E51/3.6</f>
        <v>22.36</v>
      </c>
      <c r="E4" s="1132" t="s">
        <v>130</v>
      </c>
      <c r="F4" s="1132"/>
      <c r="G4" s="1132"/>
      <c r="H4" s="1132"/>
      <c r="I4" s="1132"/>
      <c r="J4" s="1136"/>
    </row>
    <row r="5" spans="1:10" ht="15.75">
      <c r="A5" s="1139" t="s">
        <v>1965</v>
      </c>
      <c r="B5" s="1140">
        <v>162.1</v>
      </c>
      <c r="C5" s="1139" t="s">
        <v>163</v>
      </c>
      <c r="D5" s="1139"/>
      <c r="E5" s="1139"/>
      <c r="F5" s="1132" t="s">
        <v>1966</v>
      </c>
      <c r="G5" s="1139"/>
      <c r="H5" s="1139"/>
      <c r="I5" s="1139"/>
    </row>
    <row r="6" spans="1:10" ht="15.75">
      <c r="A6" s="1132" t="s">
        <v>1967</v>
      </c>
      <c r="B6" s="1140">
        <v>152.19</v>
      </c>
      <c r="C6" s="1132" t="s">
        <v>163</v>
      </c>
      <c r="D6" s="1132"/>
      <c r="E6" s="1132"/>
      <c r="F6" s="1132" t="s">
        <v>1968</v>
      </c>
      <c r="G6" s="1132"/>
      <c r="H6" s="1132"/>
      <c r="I6" s="1132"/>
      <c r="J6" s="736"/>
    </row>
    <row r="7" spans="1:10" ht="15.75">
      <c r="A7" s="1132" t="s">
        <v>1969</v>
      </c>
      <c r="B7" s="1132">
        <v>159.80000000000001</v>
      </c>
      <c r="C7" s="1132" t="s">
        <v>163</v>
      </c>
      <c r="D7" s="1132"/>
      <c r="E7" s="1132"/>
      <c r="F7" s="1132" t="s">
        <v>1970</v>
      </c>
      <c r="G7" s="1132"/>
      <c r="H7" s="1132"/>
      <c r="I7" s="1132"/>
      <c r="J7" s="736"/>
    </row>
    <row r="8" spans="1:10" ht="15.75">
      <c r="A8" s="1132" t="s">
        <v>2003</v>
      </c>
      <c r="B8" s="1274">
        <v>151.34</v>
      </c>
      <c r="C8" s="1132" t="s">
        <v>163</v>
      </c>
      <c r="D8" s="1135">
        <f>ОЛ_НАСОСНАЯ_СТАНЦИЯ!N48</f>
        <v>0.76</v>
      </c>
      <c r="E8" s="1132"/>
      <c r="F8" s="1132" t="s">
        <v>1971</v>
      </c>
      <c r="G8" s="1132"/>
      <c r="H8" s="1132"/>
      <c r="I8" s="1132"/>
    </row>
    <row r="9" spans="1:10" ht="15.75">
      <c r="A9" s="1139" t="s">
        <v>2004</v>
      </c>
      <c r="B9" s="1274">
        <v>159.84</v>
      </c>
      <c r="C9" s="1139" t="s">
        <v>163</v>
      </c>
      <c r="D9" s="1139"/>
      <c r="E9" s="1139"/>
      <c r="F9" s="1132" t="s">
        <v>2005</v>
      </c>
      <c r="G9" s="1139"/>
      <c r="H9" s="1132"/>
      <c r="I9" s="1132"/>
    </row>
    <row r="10" spans="1:10" ht="15.75">
      <c r="A10" s="1132" t="s">
        <v>1972</v>
      </c>
      <c r="B10" s="1275">
        <f>0.159-(2*0.0045)-0.001</f>
        <v>0.14899999999999999</v>
      </c>
      <c r="C10" s="1135" t="s">
        <v>163</v>
      </c>
      <c r="D10" s="1132"/>
      <c r="E10" s="1132"/>
      <c r="F10" s="1132" t="s">
        <v>2000</v>
      </c>
      <c r="G10" s="1132"/>
      <c r="H10" s="1132"/>
      <c r="I10" s="1132"/>
    </row>
    <row r="11" spans="1:10" ht="15.75">
      <c r="A11" s="1132" t="s">
        <v>1973</v>
      </c>
      <c r="B11" s="1275">
        <v>10</v>
      </c>
      <c r="C11" s="1132" t="s">
        <v>163</v>
      </c>
      <c r="D11" s="1132"/>
      <c r="E11" s="1132"/>
      <c r="F11" s="1132" t="s">
        <v>1974</v>
      </c>
      <c r="G11" s="1132"/>
      <c r="H11" s="1132"/>
      <c r="I11" s="1132"/>
    </row>
    <row r="12" spans="1:10" ht="15.75">
      <c r="A12" s="1132" t="s">
        <v>1975</v>
      </c>
      <c r="B12" s="1275">
        <f>0.16-(2*0.0095)</f>
        <v>0.14100000000000001</v>
      </c>
      <c r="C12" s="1132" t="s">
        <v>163</v>
      </c>
      <c r="D12" s="1132"/>
      <c r="E12" s="1132"/>
      <c r="F12" s="1132" t="s">
        <v>2001</v>
      </c>
      <c r="G12" s="1132"/>
      <c r="H12" s="1132"/>
      <c r="I12" s="1132"/>
    </row>
    <row r="13" spans="1:10" ht="18" customHeight="1">
      <c r="A13" s="1132" t="s">
        <v>1976</v>
      </c>
      <c r="B13" s="1275">
        <v>7.6</v>
      </c>
      <c r="C13" s="1132" t="s">
        <v>163</v>
      </c>
      <c r="D13" s="1132"/>
      <c r="E13" s="1132"/>
      <c r="F13" s="1132" t="s">
        <v>1977</v>
      </c>
      <c r="G13" s="1132"/>
      <c r="H13" s="1132"/>
      <c r="I13" s="1132"/>
    </row>
    <row r="14" spans="1:10" ht="18" customHeight="1">
      <c r="A14" s="1132"/>
      <c r="B14" s="1140"/>
      <c r="C14" s="1132"/>
      <c r="D14" s="1132"/>
      <c r="E14" s="1132"/>
      <c r="F14" s="1132"/>
      <c r="G14" s="1132"/>
      <c r="H14" s="1132"/>
      <c r="I14" s="1132"/>
    </row>
    <row r="15" spans="1:10" ht="18" customHeight="1" thickBot="1">
      <c r="A15" s="1134" t="s">
        <v>1985</v>
      </c>
      <c r="B15" s="1132"/>
      <c r="C15" s="1132"/>
      <c r="D15" s="1132"/>
      <c r="E15" s="1132"/>
      <c r="F15" s="1132"/>
      <c r="G15" s="1132"/>
      <c r="H15" s="1132"/>
      <c r="I15" s="1132"/>
    </row>
    <row r="16" spans="1:10" ht="18" customHeight="1" thickBot="1">
      <c r="A16" s="1448" t="s">
        <v>2002</v>
      </c>
      <c r="B16" s="1449"/>
      <c r="C16" s="1450"/>
      <c r="D16" s="1132"/>
      <c r="E16" s="1132"/>
      <c r="F16" s="1132"/>
      <c r="G16" s="1132"/>
      <c r="H16" s="1132"/>
      <c r="I16" s="1132"/>
    </row>
    <row r="17" spans="1:15" ht="15.75">
      <c r="A17" s="1134" t="s">
        <v>2007</v>
      </c>
      <c r="B17" s="1141"/>
      <c r="C17" s="1132"/>
      <c r="D17" s="1132"/>
      <c r="E17" s="1132"/>
      <c r="F17" s="1134" t="s">
        <v>1978</v>
      </c>
      <c r="G17" s="1141"/>
      <c r="H17" s="1132"/>
      <c r="I17" s="1132"/>
      <c r="J17" s="1132"/>
      <c r="K17" s="1132"/>
      <c r="L17" s="1132"/>
      <c r="M17" s="1132"/>
      <c r="N17" s="1132"/>
    </row>
    <row r="18" spans="1:15" ht="15.75">
      <c r="A18" s="1132" t="s">
        <v>2006</v>
      </c>
      <c r="B18" s="1148">
        <f>B9-B8</f>
        <v>8.5</v>
      </c>
      <c r="C18" s="1132" t="s">
        <v>163</v>
      </c>
      <c r="D18" s="1132"/>
      <c r="E18" s="1132"/>
      <c r="F18" s="1149" t="s">
        <v>1979</v>
      </c>
      <c r="G18" s="1161">
        <f>4*B4/(PI()*(B10^2))</f>
        <v>1.2823582820718995</v>
      </c>
      <c r="H18" s="1149" t="s">
        <v>1980</v>
      </c>
      <c r="I18" s="1132" t="s">
        <v>1981</v>
      </c>
      <c r="J18" s="1132"/>
      <c r="K18" s="1132"/>
      <c r="N18" s="1132"/>
    </row>
    <row r="19" spans="1:15" ht="15.75">
      <c r="A19" s="1134" t="s">
        <v>2008</v>
      </c>
      <c r="B19" s="1141"/>
      <c r="C19" s="1132"/>
      <c r="D19" s="1132"/>
      <c r="E19" s="1132"/>
      <c r="F19" s="1149" t="s">
        <v>1982</v>
      </c>
      <c r="G19" s="1161">
        <f>4*B4/(PI()*(B12^2))</f>
        <v>1.4320022242481882</v>
      </c>
      <c r="H19" s="1149" t="s">
        <v>1980</v>
      </c>
      <c r="I19" s="1132" t="s">
        <v>1983</v>
      </c>
      <c r="J19" s="1132"/>
      <c r="K19" s="1132"/>
      <c r="N19" s="1132"/>
    </row>
    <row r="20" spans="1:15" ht="15.75">
      <c r="A20" s="1132" t="s">
        <v>2009</v>
      </c>
      <c r="B20" s="1148">
        <v>1</v>
      </c>
      <c r="C20" s="1132" t="s">
        <v>163</v>
      </c>
      <c r="D20" s="1132"/>
      <c r="E20" s="1132"/>
      <c r="F20" s="1132"/>
      <c r="G20" s="1132"/>
      <c r="H20" s="1132"/>
      <c r="I20" s="1132"/>
      <c r="N20" s="1142"/>
    </row>
    <row r="21" spans="1:15" ht="15.75" thickBot="1"/>
    <row r="22" spans="1:15" ht="25.5" customHeight="1" thickBot="1">
      <c r="A22" s="1445" t="s">
        <v>2132</v>
      </c>
      <c r="B22" s="1446"/>
      <c r="C22" s="1446"/>
      <c r="D22" s="1446"/>
      <c r="E22" s="1446"/>
      <c r="F22" s="1446"/>
      <c r="G22" s="1446"/>
      <c r="H22" s="1446"/>
      <c r="I22" s="1446"/>
      <c r="J22" s="1446"/>
      <c r="K22" s="1446"/>
      <c r="L22" s="1446"/>
      <c r="M22" s="1446"/>
      <c r="N22" s="1446"/>
      <c r="O22" s="1447"/>
    </row>
    <row r="23" spans="1:15" ht="24.75" customHeight="1" thickBot="1">
      <c r="A23" s="1448" t="s">
        <v>2010</v>
      </c>
      <c r="B23" s="1450"/>
    </row>
    <row r="24" spans="1:15">
      <c r="A24" s="1131" t="s">
        <v>2014</v>
      </c>
    </row>
    <row r="25" spans="1:15" ht="24" customHeight="1">
      <c r="A25" s="1150" t="s">
        <v>2011</v>
      </c>
      <c r="B25" s="1151">
        <f>0.109</f>
        <v>0.109</v>
      </c>
      <c r="C25" s="1152" t="s">
        <v>163</v>
      </c>
    </row>
    <row r="26" spans="1:15" ht="15.75">
      <c r="A26" s="1132" t="s">
        <v>1984</v>
      </c>
      <c r="B26" s="1135"/>
      <c r="C26" s="1135"/>
      <c r="D26" s="1132"/>
      <c r="E26" s="1132"/>
      <c r="F26" s="1132"/>
      <c r="G26" s="1132"/>
      <c r="H26" s="1132"/>
      <c r="I26" s="1132"/>
    </row>
    <row r="27" spans="1:15" ht="19.5" customHeight="1">
      <c r="A27" s="1132" t="s">
        <v>2012</v>
      </c>
      <c r="B27" s="1151">
        <v>3</v>
      </c>
      <c r="C27" s="1152" t="s">
        <v>163</v>
      </c>
      <c r="D27" s="1132"/>
      <c r="E27" s="1132"/>
      <c r="F27" s="1132"/>
      <c r="G27" s="1132"/>
      <c r="H27" s="1132"/>
      <c r="I27" s="1132"/>
    </row>
    <row r="28" spans="1:15" ht="15.75">
      <c r="A28" s="1132" t="s">
        <v>2013</v>
      </c>
      <c r="B28" s="1151">
        <f>B25*0.15</f>
        <v>1.635E-2</v>
      </c>
      <c r="C28" s="1153" t="s">
        <v>163</v>
      </c>
      <c r="D28" s="1132"/>
      <c r="E28" s="1132"/>
      <c r="F28" s="1132"/>
      <c r="G28" s="1132"/>
      <c r="H28" s="1132"/>
      <c r="I28" s="1132"/>
    </row>
    <row r="29" spans="1:15" ht="26.25" customHeight="1">
      <c r="A29" s="1160" t="s">
        <v>2015</v>
      </c>
      <c r="B29" s="1154">
        <f>B25+B27+B28</f>
        <v>3.1253500000000001</v>
      </c>
      <c r="C29" s="1155" t="s">
        <v>163</v>
      </c>
      <c r="D29" s="1132"/>
      <c r="E29" s="1132"/>
      <c r="F29" s="1132"/>
      <c r="G29" s="1132"/>
      <c r="H29" s="1132"/>
      <c r="I29" s="1132"/>
    </row>
    <row r="30" spans="1:15" ht="18" customHeight="1">
      <c r="D30" s="1132"/>
      <c r="E30" s="1132"/>
      <c r="F30" s="1132"/>
      <c r="G30" s="1132"/>
      <c r="H30" s="1132"/>
      <c r="I30" s="1132"/>
    </row>
    <row r="31" spans="1:15" ht="24" customHeight="1" thickBot="1">
      <c r="A31" s="1134" t="s">
        <v>1985</v>
      </c>
      <c r="B31" s="1132"/>
      <c r="D31" s="1132"/>
      <c r="E31" s="1132"/>
      <c r="F31" s="1132"/>
      <c r="G31" s="1132"/>
      <c r="H31" s="1132"/>
      <c r="I31" s="1132"/>
    </row>
    <row r="32" spans="1:15" ht="22.5" customHeight="1" thickBot="1">
      <c r="A32" s="1156" t="s">
        <v>1986</v>
      </c>
      <c r="B32" s="1237">
        <f>B18+B29+B20</f>
        <v>12.625350000000001</v>
      </c>
      <c r="C32" s="1241" t="s">
        <v>163</v>
      </c>
      <c r="D32" s="1132"/>
      <c r="E32" s="1132"/>
      <c r="F32" s="1132"/>
      <c r="G32" s="1132"/>
      <c r="H32" s="1132"/>
      <c r="I32" s="1132"/>
    </row>
    <row r="33" spans="1:9" ht="15.75">
      <c r="A33" s="1132" t="s">
        <v>1987</v>
      </c>
      <c r="B33" s="1132"/>
      <c r="C33" s="1132"/>
      <c r="D33" s="1132"/>
      <c r="E33" s="1132"/>
      <c r="F33" s="1132"/>
      <c r="G33" s="1132"/>
      <c r="H33" s="1132"/>
      <c r="I33" s="1132"/>
    </row>
    <row r="34" spans="1:9" ht="15.75">
      <c r="A34" s="1132" t="s">
        <v>1988</v>
      </c>
      <c r="B34" s="1143">
        <f>(B32-B18)/(D4^2)</f>
        <v>8.2512016730617241E-3</v>
      </c>
      <c r="C34" s="1132" t="s">
        <v>1989</v>
      </c>
      <c r="D34" s="1132"/>
      <c r="E34" s="1132"/>
      <c r="F34" s="1132"/>
      <c r="G34" s="1132"/>
      <c r="H34" s="1132"/>
      <c r="I34" s="1132"/>
    </row>
    <row r="35" spans="1:9" ht="15.75">
      <c r="A35" s="1134" t="s">
        <v>1990</v>
      </c>
      <c r="B35" s="1132"/>
      <c r="C35" s="1132"/>
      <c r="D35" s="1132"/>
      <c r="E35" s="1132"/>
      <c r="F35" s="1132"/>
      <c r="G35" s="1132"/>
      <c r="H35" s="1132"/>
      <c r="I35" s="1132"/>
    </row>
    <row r="36" spans="1:9" ht="15.75">
      <c r="A36" s="1144" t="s">
        <v>1991</v>
      </c>
      <c r="B36" s="1144" t="s">
        <v>1992</v>
      </c>
      <c r="C36" s="1144" t="s">
        <v>1993</v>
      </c>
      <c r="D36" s="1144" t="s">
        <v>1994</v>
      </c>
      <c r="E36" s="1144" t="s">
        <v>1995</v>
      </c>
      <c r="F36" s="1144"/>
      <c r="G36" s="1144" t="s">
        <v>1996</v>
      </c>
      <c r="H36" s="1132"/>
      <c r="I36" s="1132"/>
    </row>
    <row r="37" spans="1:9" ht="15.75">
      <c r="A37" s="1132">
        <v>0</v>
      </c>
      <c r="B37" s="1135">
        <f t="shared" ref="B37:B46" si="0">$B$34*(A37^2)</f>
        <v>0</v>
      </c>
      <c r="C37" s="1135">
        <f>B37+$B$18</f>
        <v>8.5</v>
      </c>
      <c r="D37" s="1145">
        <f>A37</f>
        <v>0</v>
      </c>
      <c r="E37" s="1145">
        <f t="shared" ref="E37:E46" si="1">A37*2</f>
        <v>0</v>
      </c>
      <c r="F37" s="1145"/>
      <c r="G37" s="1140">
        <f>$B$18</f>
        <v>8.5</v>
      </c>
      <c r="H37" s="1132"/>
      <c r="I37" s="1132"/>
    </row>
    <row r="38" spans="1:9" ht="15.75">
      <c r="A38" s="1132">
        <f>ROUNDUP($A$46*0.3,)</f>
        <v>9</v>
      </c>
      <c r="B38" s="1135">
        <f t="shared" si="0"/>
        <v>0.66834733551799963</v>
      </c>
      <c r="C38" s="1135">
        <f>B38+$B$18</f>
        <v>9.1683473355179999</v>
      </c>
      <c r="D38" s="1146">
        <f>A38</f>
        <v>9</v>
      </c>
      <c r="E38" s="1146">
        <f t="shared" si="1"/>
        <v>18</v>
      </c>
      <c r="F38" s="1145"/>
      <c r="G38" s="1140">
        <f t="shared" ref="G38:G46" si="2">$B$18</f>
        <v>8.5</v>
      </c>
      <c r="H38" s="1132"/>
      <c r="I38" s="1132"/>
    </row>
    <row r="39" spans="1:9" ht="15.75">
      <c r="A39" s="1132">
        <f>ROUNDUP($A$46*0.4,)</f>
        <v>11</v>
      </c>
      <c r="B39" s="1135">
        <f t="shared" si="0"/>
        <v>0.99839540244046865</v>
      </c>
      <c r="C39" s="1135">
        <f t="shared" ref="C39:C46" si="3">B39+$B$18</f>
        <v>9.4983954024404689</v>
      </c>
      <c r="D39" s="1135">
        <f t="shared" ref="D39:D46" si="4">A39</f>
        <v>11</v>
      </c>
      <c r="E39" s="1135">
        <f t="shared" si="1"/>
        <v>22</v>
      </c>
      <c r="F39" s="1145"/>
      <c r="G39" s="1140">
        <f t="shared" si="2"/>
        <v>8.5</v>
      </c>
      <c r="H39" s="1132"/>
      <c r="I39" s="1132"/>
    </row>
    <row r="40" spans="1:9" ht="15.75">
      <c r="A40" s="1132">
        <f>ROUNDUP($A$46*0.5,)</f>
        <v>14</v>
      </c>
      <c r="B40" s="1135">
        <f t="shared" si="0"/>
        <v>1.6172355279200978</v>
      </c>
      <c r="C40" s="1135">
        <f t="shared" si="3"/>
        <v>10.117235527920098</v>
      </c>
      <c r="D40" s="1145">
        <f t="shared" si="4"/>
        <v>14</v>
      </c>
      <c r="E40" s="1145">
        <f t="shared" si="1"/>
        <v>28</v>
      </c>
      <c r="F40" s="1145"/>
      <c r="G40" s="1140">
        <f t="shared" si="2"/>
        <v>8.5</v>
      </c>
      <c r="H40" s="1132"/>
      <c r="I40" s="1132"/>
    </row>
    <row r="41" spans="1:9" ht="15.75">
      <c r="A41" s="1132">
        <f>ROUNDUP($A$46*0.6,)</f>
        <v>17</v>
      </c>
      <c r="B41" s="1135">
        <f t="shared" si="0"/>
        <v>2.3845972835148381</v>
      </c>
      <c r="C41" s="1135">
        <f t="shared" si="3"/>
        <v>10.884597283514838</v>
      </c>
      <c r="D41" s="1146">
        <f t="shared" si="4"/>
        <v>17</v>
      </c>
      <c r="E41" s="1146">
        <f t="shared" si="1"/>
        <v>34</v>
      </c>
      <c r="F41" s="1145"/>
      <c r="G41" s="1140">
        <f t="shared" si="2"/>
        <v>8.5</v>
      </c>
      <c r="H41" s="1132"/>
      <c r="I41" s="1132"/>
    </row>
    <row r="42" spans="1:9" ht="15.75">
      <c r="A42" s="1132">
        <f>ROUNDUP($A$46*0.7,)</f>
        <v>19</v>
      </c>
      <c r="B42" s="1135">
        <f t="shared" si="0"/>
        <v>2.9786838039752825</v>
      </c>
      <c r="C42" s="1135">
        <f t="shared" si="3"/>
        <v>11.478683803975283</v>
      </c>
      <c r="D42" s="1145">
        <f t="shared" si="4"/>
        <v>19</v>
      </c>
      <c r="E42" s="1145">
        <f t="shared" si="1"/>
        <v>38</v>
      </c>
      <c r="F42" s="1145"/>
      <c r="G42" s="1140">
        <f t="shared" si="2"/>
        <v>8.5</v>
      </c>
      <c r="H42" s="1132"/>
      <c r="I42" s="1132"/>
    </row>
    <row r="43" spans="1:9" ht="15.75">
      <c r="A43" s="1132">
        <f>ROUNDUP($A$46*0.8,)</f>
        <v>22</v>
      </c>
      <c r="B43" s="1135">
        <f t="shared" si="0"/>
        <v>3.9935816097618746</v>
      </c>
      <c r="C43" s="1135">
        <f t="shared" si="3"/>
        <v>12.493581609761875</v>
      </c>
      <c r="D43" s="1145">
        <f t="shared" si="4"/>
        <v>22</v>
      </c>
      <c r="E43" s="1145">
        <f t="shared" si="1"/>
        <v>44</v>
      </c>
      <c r="F43" s="1145"/>
      <c r="G43" s="1140">
        <f t="shared" si="2"/>
        <v>8.5</v>
      </c>
      <c r="H43" s="1132"/>
      <c r="I43" s="1132"/>
    </row>
    <row r="44" spans="1:9" ht="15.75">
      <c r="A44" s="1138">
        <f>D4</f>
        <v>22.36</v>
      </c>
      <c r="B44" s="1238">
        <f t="shared" ref="B44" si="5">$B$34*(A44^2)</f>
        <v>4.125350000000001</v>
      </c>
      <c r="C44" s="1238">
        <f t="shared" ref="C44" si="6">B44+$B$18</f>
        <v>12.625350000000001</v>
      </c>
      <c r="D44" s="1239">
        <f t="shared" ref="D44" si="7">A44</f>
        <v>22.36</v>
      </c>
      <c r="E44" s="1239">
        <f t="shared" ref="E44" si="8">A44*2</f>
        <v>44.72</v>
      </c>
      <c r="F44" s="1239"/>
      <c r="G44" s="1240">
        <f t="shared" si="2"/>
        <v>8.5</v>
      </c>
      <c r="H44" s="1132"/>
      <c r="I44" s="1132"/>
    </row>
    <row r="45" spans="1:9" ht="15.75">
      <c r="A45" s="1132">
        <f>ROUNDUP($A$46*(1-0.1),)</f>
        <v>25</v>
      </c>
      <c r="B45" s="1135">
        <f t="shared" si="0"/>
        <v>5.157001045663578</v>
      </c>
      <c r="C45" s="1135">
        <f t="shared" si="3"/>
        <v>13.657001045663577</v>
      </c>
      <c r="D45" s="1145">
        <f t="shared" si="4"/>
        <v>25</v>
      </c>
      <c r="E45" s="1145">
        <f t="shared" si="1"/>
        <v>50</v>
      </c>
      <c r="F45" s="1145"/>
      <c r="G45" s="1140">
        <f t="shared" si="2"/>
        <v>8.5</v>
      </c>
      <c r="H45" s="1132"/>
      <c r="I45" s="1132"/>
    </row>
    <row r="46" spans="1:9" ht="15.75">
      <c r="A46" s="1132">
        <f>ROUNDUP(D4*1.2,)</f>
        <v>27</v>
      </c>
      <c r="B46" s="1135">
        <f t="shared" si="0"/>
        <v>6.0151260196619969</v>
      </c>
      <c r="C46" s="1135">
        <f t="shared" si="3"/>
        <v>14.515126019661997</v>
      </c>
      <c r="D46" s="1145">
        <f t="shared" si="4"/>
        <v>27</v>
      </c>
      <c r="E46" s="1145">
        <f t="shared" si="1"/>
        <v>54</v>
      </c>
      <c r="F46" s="1145"/>
      <c r="G46" s="1140">
        <f t="shared" si="2"/>
        <v>8.5</v>
      </c>
      <c r="H46" s="1132"/>
      <c r="I46" s="1132"/>
    </row>
    <row r="47" spans="1:9" ht="15.75">
      <c r="A47" s="1132"/>
      <c r="B47" s="1135"/>
      <c r="C47" s="1135"/>
      <c r="D47" s="1145"/>
      <c r="E47" s="1145"/>
      <c r="F47" s="1145"/>
      <c r="G47" s="1139"/>
      <c r="H47" s="1132"/>
      <c r="I47" s="1132"/>
    </row>
    <row r="48" spans="1:9" ht="15.75">
      <c r="A48" s="1132"/>
      <c r="B48" s="1135"/>
      <c r="C48" s="1135"/>
      <c r="D48" s="1145"/>
      <c r="E48" s="1145"/>
      <c r="F48" s="1145"/>
      <c r="G48" s="1141"/>
      <c r="H48" s="1132"/>
      <c r="I48" s="1132"/>
    </row>
    <row r="49" spans="1:9" ht="15.75">
      <c r="A49" s="1134" t="s">
        <v>1997</v>
      </c>
      <c r="B49" s="1132"/>
      <c r="C49" s="1132"/>
      <c r="D49" s="1132"/>
      <c r="E49" s="1145"/>
      <c r="F49" s="1145"/>
      <c r="G49" s="1141"/>
      <c r="H49" s="1132"/>
      <c r="I49" s="1132"/>
    </row>
    <row r="50" spans="1:9" ht="15.75">
      <c r="A50" s="1132" t="s">
        <v>1991</v>
      </c>
      <c r="B50" s="1132" t="s">
        <v>1992</v>
      </c>
      <c r="C50" s="1132" t="s">
        <v>1998</v>
      </c>
      <c r="D50" s="1132" t="s">
        <v>1999</v>
      </c>
      <c r="E50" s="1145"/>
      <c r="F50" s="1145"/>
      <c r="G50" s="1141"/>
      <c r="H50" s="1132"/>
      <c r="I50" s="1132"/>
    </row>
    <row r="51" spans="1:9" ht="15.75">
      <c r="A51" s="1147">
        <f>0/3.6</f>
        <v>0</v>
      </c>
      <c r="B51" s="1140">
        <v>22.5</v>
      </c>
      <c r="C51" s="1146">
        <f>A51</f>
        <v>0</v>
      </c>
      <c r="D51" s="1146">
        <f>C51*2</f>
        <v>0</v>
      </c>
      <c r="E51" s="1145"/>
      <c r="F51" s="1145"/>
      <c r="G51" s="1141"/>
      <c r="H51" s="1132"/>
      <c r="I51" s="1132"/>
    </row>
    <row r="52" spans="1:9" ht="15.75">
      <c r="A52" s="1147">
        <f>A63/3.6</f>
        <v>2.7777777777777777</v>
      </c>
      <c r="B52" s="1135">
        <v>20.5</v>
      </c>
      <c r="C52" s="1146">
        <f t="shared" ref="C52:C58" si="9">A52</f>
        <v>2.7777777777777777</v>
      </c>
      <c r="D52" s="1146">
        <f t="shared" ref="D52:D58" si="10">C52*2</f>
        <v>5.5555555555555554</v>
      </c>
      <c r="E52" s="1145"/>
      <c r="F52" s="1145"/>
      <c r="G52" s="1141"/>
      <c r="H52" s="1132"/>
      <c r="I52" s="1132"/>
    </row>
    <row r="53" spans="1:9" ht="15.75">
      <c r="A53" s="1147">
        <f>A64/3.6</f>
        <v>5.5555555555555554</v>
      </c>
      <c r="B53" s="1135">
        <v>18.5</v>
      </c>
      <c r="C53" s="1146">
        <f t="shared" si="9"/>
        <v>5.5555555555555554</v>
      </c>
      <c r="D53" s="1146">
        <f t="shared" si="10"/>
        <v>11.111111111111111</v>
      </c>
      <c r="E53" s="1145"/>
      <c r="F53" s="1145"/>
      <c r="G53" s="1141"/>
      <c r="H53" s="1132"/>
      <c r="I53" s="1132"/>
    </row>
    <row r="54" spans="1:9" ht="15.75">
      <c r="A54" s="1147">
        <f t="shared" ref="A54:A55" si="11">A65/3.6</f>
        <v>8.3333333333333339</v>
      </c>
      <c r="B54" s="1135">
        <v>15.2</v>
      </c>
      <c r="C54" s="1146">
        <f t="shared" si="9"/>
        <v>8.3333333333333339</v>
      </c>
      <c r="D54" s="1146">
        <f t="shared" si="10"/>
        <v>16.666666666666668</v>
      </c>
      <c r="E54" s="1145"/>
      <c r="F54" s="1145"/>
      <c r="G54" s="1141"/>
      <c r="H54" s="1132"/>
      <c r="I54" s="1132"/>
    </row>
    <row r="55" spans="1:9" ht="15.75">
      <c r="A55" s="1147">
        <f t="shared" si="11"/>
        <v>8.5222222222222221</v>
      </c>
      <c r="B55" s="1135">
        <v>14.89</v>
      </c>
      <c r="C55" s="1146">
        <f t="shared" si="9"/>
        <v>8.5222222222222221</v>
      </c>
      <c r="D55" s="1146">
        <f t="shared" si="10"/>
        <v>17.044444444444444</v>
      </c>
      <c r="E55" s="1145"/>
      <c r="F55" s="1145"/>
      <c r="G55" s="1141"/>
      <c r="H55" s="1132"/>
      <c r="I55" s="1132"/>
    </row>
    <row r="56" spans="1:9" ht="15.75">
      <c r="A56" s="1147">
        <f>A67/3.6</f>
        <v>11.111111111111111</v>
      </c>
      <c r="B56" s="1135">
        <v>9</v>
      </c>
      <c r="C56" s="1146">
        <f t="shared" si="9"/>
        <v>11.111111111111111</v>
      </c>
      <c r="D56" s="1146">
        <f t="shared" si="10"/>
        <v>22.222222222222221</v>
      </c>
      <c r="E56" s="1145"/>
      <c r="F56" s="1145"/>
      <c r="G56" s="1141"/>
      <c r="H56" s="1132"/>
      <c r="I56" s="1132"/>
    </row>
    <row r="57" spans="1:9" ht="15.75">
      <c r="A57" s="1147">
        <f>A68/3.6</f>
        <v>13.888888888888889</v>
      </c>
      <c r="B57" s="1135">
        <v>8.5</v>
      </c>
      <c r="C57" s="1146">
        <f t="shared" si="9"/>
        <v>13.888888888888889</v>
      </c>
      <c r="D57" s="1146">
        <f t="shared" si="10"/>
        <v>27.777777777777779</v>
      </c>
      <c r="E57" s="1145"/>
      <c r="F57" s="1145"/>
      <c r="G57" s="1141"/>
      <c r="H57" s="1132"/>
      <c r="I57" s="1132"/>
    </row>
    <row r="58" spans="1:9" ht="15.75">
      <c r="A58" s="1147">
        <f>A69/3.6</f>
        <v>16.666666666666668</v>
      </c>
      <c r="B58" s="1135">
        <v>6</v>
      </c>
      <c r="C58" s="1146">
        <f t="shared" si="9"/>
        <v>16.666666666666668</v>
      </c>
      <c r="D58" s="1146">
        <f t="shared" si="10"/>
        <v>33.333333333333336</v>
      </c>
      <c r="E58" s="1145"/>
      <c r="F58" s="1145"/>
      <c r="G58" s="1141"/>
      <c r="H58" s="1132"/>
      <c r="I58" s="1132"/>
    </row>
    <row r="59" spans="1:9" ht="15.75">
      <c r="A59" s="1132"/>
      <c r="B59" s="1135"/>
      <c r="C59" s="1135"/>
      <c r="D59" s="1145"/>
      <c r="E59" s="1145"/>
      <c r="F59" s="1145"/>
      <c r="G59" s="1141"/>
      <c r="H59" s="1132"/>
      <c r="I59" s="1132"/>
    </row>
    <row r="60" spans="1:9" ht="15.75">
      <c r="A60" s="1132"/>
      <c r="B60" s="1135"/>
      <c r="C60" s="1135"/>
      <c r="D60" s="1145"/>
      <c r="E60" s="1145"/>
      <c r="F60" s="1145"/>
      <c r="G60" s="1141"/>
      <c r="H60" s="1132"/>
      <c r="I60" s="1132"/>
    </row>
    <row r="61" spans="1:9" ht="15.75">
      <c r="A61" s="1132"/>
      <c r="B61" s="1135"/>
      <c r="C61" s="1135"/>
      <c r="D61" s="1145"/>
      <c r="E61" s="1145"/>
      <c r="F61" s="1145"/>
      <c r="G61" s="1141"/>
      <c r="H61" s="1132"/>
      <c r="I61" s="1132"/>
    </row>
    <row r="62" spans="1:9" ht="15.75">
      <c r="A62" s="1141">
        <v>0</v>
      </c>
      <c r="B62" s="1135"/>
      <c r="C62" s="1135"/>
      <c r="D62" s="1145"/>
      <c r="E62" s="1145"/>
      <c r="F62" s="1145"/>
      <c r="G62" s="1141"/>
      <c r="H62" s="1132"/>
      <c r="I62" s="1132"/>
    </row>
    <row r="63" spans="1:9" ht="15.75">
      <c r="A63" s="1141">
        <v>10</v>
      </c>
      <c r="B63" s="1135"/>
      <c r="C63" s="1135"/>
      <c r="D63" s="1145"/>
      <c r="E63" s="1145"/>
      <c r="F63" s="1145"/>
      <c r="G63" s="1141"/>
      <c r="H63" s="1132"/>
      <c r="I63" s="1132"/>
    </row>
    <row r="64" spans="1:9" ht="15.75">
      <c r="A64" s="1141">
        <v>20</v>
      </c>
      <c r="B64" s="1135"/>
      <c r="C64" s="1135"/>
      <c r="D64" s="1145"/>
      <c r="E64" s="1145"/>
      <c r="F64" s="1145"/>
      <c r="G64" s="1141"/>
      <c r="H64" s="1132"/>
      <c r="I64" s="1132"/>
    </row>
    <row r="65" spans="1:9" ht="15.75">
      <c r="A65" s="1141">
        <v>30</v>
      </c>
      <c r="B65" s="1135"/>
      <c r="C65" s="1135"/>
      <c r="D65" s="1135"/>
      <c r="E65" s="1135"/>
      <c r="F65" s="1135"/>
      <c r="G65" s="1132"/>
      <c r="H65" s="1132"/>
      <c r="I65" s="1132"/>
    </row>
    <row r="66" spans="1:9" ht="15.75">
      <c r="A66" s="1141">
        <v>30.68</v>
      </c>
      <c r="B66" s="1135"/>
      <c r="C66" s="1135"/>
      <c r="D66" s="1135"/>
      <c r="E66" s="1135"/>
      <c r="F66" s="1135"/>
      <c r="G66" s="1132"/>
      <c r="H66" s="1132"/>
      <c r="I66" s="1132"/>
    </row>
    <row r="67" spans="1:9" ht="15.75">
      <c r="A67" s="1141">
        <v>40</v>
      </c>
      <c r="B67" s="1135"/>
      <c r="E67" s="1132"/>
      <c r="F67" s="1132"/>
      <c r="G67" s="1132"/>
      <c r="H67" s="1132"/>
      <c r="I67" s="1132"/>
    </row>
    <row r="68" spans="1:9" ht="15.75">
      <c r="A68" s="1141">
        <v>50</v>
      </c>
      <c r="B68" s="1135"/>
      <c r="E68" s="1132"/>
      <c r="F68" s="1132"/>
      <c r="G68" s="1132"/>
      <c r="H68" s="1132"/>
      <c r="I68" s="1132"/>
    </row>
    <row r="69" spans="1:9" ht="15.75">
      <c r="A69" s="1141">
        <v>60</v>
      </c>
      <c r="B69" s="1135"/>
      <c r="E69" s="1145"/>
      <c r="F69" s="1145"/>
      <c r="G69" s="1132"/>
      <c r="H69" s="1132"/>
      <c r="I69" s="1132"/>
    </row>
    <row r="70" spans="1:9" ht="15.75">
      <c r="E70" s="1145"/>
      <c r="F70" s="1145"/>
      <c r="G70" s="1132"/>
      <c r="H70" s="1132"/>
      <c r="I70" s="1132"/>
    </row>
    <row r="71" spans="1:9" ht="15.75">
      <c r="E71" s="1145"/>
      <c r="F71" s="1145"/>
      <c r="G71" s="1132"/>
      <c r="H71" s="1132"/>
      <c r="I71" s="1132"/>
    </row>
    <row r="72" spans="1:9" ht="15.75">
      <c r="E72" s="1145"/>
      <c r="F72" s="1145"/>
      <c r="G72" s="1132"/>
      <c r="H72" s="1132"/>
      <c r="I72" s="1132"/>
    </row>
    <row r="73" spans="1:9" ht="15.75">
      <c r="E73" s="1145"/>
      <c r="F73" s="1145"/>
      <c r="G73" s="1132"/>
      <c r="H73" s="1132"/>
      <c r="I73" s="1132"/>
    </row>
    <row r="74" spans="1:9" ht="15.75">
      <c r="E74" s="1145"/>
      <c r="F74" s="1145"/>
      <c r="G74" s="1132"/>
      <c r="H74" s="1132"/>
      <c r="I74" s="1132"/>
    </row>
    <row r="75" spans="1:9" ht="15.75">
      <c r="E75" s="1145"/>
      <c r="F75" s="1145"/>
      <c r="G75" s="1132"/>
      <c r="H75" s="1132"/>
      <c r="I75" s="1132"/>
    </row>
    <row r="76" spans="1:9" ht="15.75">
      <c r="A76" s="1132"/>
      <c r="B76" s="1147"/>
      <c r="C76" s="1145"/>
      <c r="D76" s="1145"/>
      <c r="E76" s="1145"/>
      <c r="F76" s="1145"/>
    </row>
    <row r="77" spans="1:9" ht="15.75">
      <c r="A77" s="1132"/>
      <c r="B77" s="1147"/>
      <c r="C77" s="1145"/>
      <c r="D77" s="1145"/>
      <c r="E77" s="1145"/>
      <c r="F77" s="1145"/>
    </row>
    <row r="78" spans="1:9" ht="15.75">
      <c r="A78" s="1132"/>
      <c r="B78" s="1147"/>
      <c r="C78" s="1145"/>
      <c r="D78" s="1145"/>
      <c r="E78" s="1145"/>
      <c r="F78" s="1145"/>
    </row>
    <row r="79" spans="1:9" ht="15.75">
      <c r="A79" s="1132"/>
      <c r="B79" s="1147"/>
      <c r="C79" s="1145"/>
      <c r="D79" s="1145"/>
      <c r="E79" s="1145"/>
      <c r="F79" s="1145"/>
    </row>
    <row r="80" spans="1:9" ht="15.75">
      <c r="A80" s="1132"/>
      <c r="B80" s="1147"/>
      <c r="C80" s="1145"/>
      <c r="D80" s="1145"/>
      <c r="E80" s="1145"/>
      <c r="F80" s="1145"/>
    </row>
    <row r="81" spans="1:6" ht="15.75">
      <c r="A81" s="1132"/>
      <c r="B81" s="1147"/>
      <c r="C81" s="1145"/>
      <c r="D81" s="1145"/>
      <c r="E81" s="1145"/>
      <c r="F81" s="1145"/>
    </row>
    <row r="82" spans="1:6" ht="15.75">
      <c r="A82" s="1132"/>
      <c r="B82" s="1140"/>
      <c r="C82" s="1135"/>
      <c r="D82" s="1135"/>
      <c r="E82" s="1135"/>
      <c r="F82" s="1145"/>
    </row>
    <row r="83" spans="1:6" ht="15.75">
      <c r="A83" s="1132"/>
      <c r="B83" s="1147"/>
      <c r="C83" s="1145"/>
      <c r="D83" s="1145"/>
      <c r="E83" s="1145"/>
      <c r="F83" s="1145"/>
    </row>
    <row r="84" spans="1:6" ht="15.75">
      <c r="A84" s="1132"/>
      <c r="B84" s="1147"/>
      <c r="C84" s="1145"/>
      <c r="D84" s="1145"/>
      <c r="E84" s="1145"/>
      <c r="F84" s="1145"/>
    </row>
    <row r="85" spans="1:6" ht="15.75">
      <c r="A85" s="1132"/>
      <c r="B85" s="1147"/>
      <c r="C85" s="1145"/>
      <c r="D85" s="1145"/>
      <c r="E85" s="1145"/>
      <c r="F85" s="1145"/>
    </row>
    <row r="86" spans="1:6" ht="15.75">
      <c r="A86" s="1132"/>
      <c r="B86" s="1147"/>
      <c r="C86" s="1145"/>
      <c r="D86" s="1145"/>
      <c r="E86" s="1145"/>
      <c r="F86" s="1145"/>
    </row>
    <row r="87" spans="1:6" ht="15.75">
      <c r="A87" s="1132"/>
      <c r="B87" s="1135"/>
      <c r="C87" s="1145"/>
      <c r="D87" s="1145"/>
      <c r="E87" s="1145"/>
      <c r="F87" s="1145"/>
    </row>
    <row r="88" spans="1:6" ht="15.75">
      <c r="A88" s="1132"/>
      <c r="B88" s="1135"/>
      <c r="C88" s="1145"/>
      <c r="D88" s="1145"/>
      <c r="E88" s="1145"/>
      <c r="F88" s="1145"/>
    </row>
    <row r="89" spans="1:6" ht="15.75">
      <c r="A89" s="1132"/>
      <c r="B89" s="1135"/>
      <c r="C89" s="1145"/>
      <c r="D89" s="1145"/>
      <c r="E89" s="1145"/>
      <c r="F89" s="1145"/>
    </row>
    <row r="90" spans="1:6" ht="15.75">
      <c r="A90" s="1132"/>
      <c r="B90" s="1135"/>
      <c r="C90" s="1145"/>
      <c r="D90" s="1145"/>
      <c r="E90" s="1145"/>
      <c r="F90" s="1145"/>
    </row>
    <row r="91" spans="1:6" ht="15.75">
      <c r="A91" s="1132"/>
      <c r="B91" s="1135"/>
      <c r="C91" s="1132"/>
      <c r="D91" s="1145"/>
      <c r="E91" s="1145"/>
      <c r="F91" s="1145"/>
    </row>
    <row r="92" spans="1:6" ht="15.75">
      <c r="A92" s="1132"/>
      <c r="B92" s="1135"/>
      <c r="C92" s="1132"/>
      <c r="D92" s="1145"/>
      <c r="E92" s="1145"/>
      <c r="F92" s="1145"/>
    </row>
    <row r="93" spans="1:6" ht="15.75">
      <c r="A93" s="1132"/>
      <c r="B93" s="1135"/>
      <c r="C93" s="1132"/>
      <c r="D93" s="1145"/>
      <c r="E93" s="1145"/>
      <c r="F93" s="1145"/>
    </row>
    <row r="94" spans="1:6" ht="15.75">
      <c r="A94" s="1132"/>
      <c r="B94" s="1135"/>
      <c r="C94" s="1132"/>
      <c r="D94" s="1145"/>
      <c r="E94" s="1145"/>
      <c r="F94" s="1145"/>
    </row>
    <row r="95" spans="1:6" ht="15.75">
      <c r="C95" s="1132"/>
      <c r="D95" s="1145"/>
      <c r="E95" s="1145"/>
      <c r="F95" s="1145"/>
    </row>
    <row r="96" spans="1:6" ht="15.75">
      <c r="C96" s="1132"/>
      <c r="D96" s="1145"/>
      <c r="E96" s="1145"/>
      <c r="F96" s="1145"/>
    </row>
    <row r="97" spans="3:5" ht="15.75">
      <c r="C97" s="1132"/>
      <c r="D97" s="1145"/>
      <c r="E97" s="1145"/>
    </row>
    <row r="98" spans="3:5" ht="15.75">
      <c r="C98" s="1132"/>
      <c r="D98" s="1145"/>
      <c r="E98" s="1145"/>
    </row>
    <row r="99" spans="3:5" ht="15.75">
      <c r="C99" s="1132"/>
      <c r="D99" s="1145"/>
      <c r="E99" s="1145"/>
    </row>
    <row r="100" spans="3:5" ht="15.75">
      <c r="C100" s="1132"/>
      <c r="D100" s="1145"/>
      <c r="E100" s="1145"/>
    </row>
    <row r="101" spans="3:5" ht="15.75">
      <c r="C101" s="1132"/>
      <c r="D101" s="1145"/>
      <c r="E101" s="1145"/>
    </row>
    <row r="102" spans="3:5" ht="15.75">
      <c r="C102" s="1132"/>
      <c r="D102" s="1145"/>
      <c r="E102" s="1145"/>
    </row>
  </sheetData>
  <mergeCells count="3">
    <mergeCell ref="A22:O22"/>
    <mergeCell ref="A16:C16"/>
    <mergeCell ref="A23:B2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5"/>
  <dimension ref="A1:AK143"/>
  <sheetViews>
    <sheetView workbookViewId="0">
      <pane xSplit="1" ySplit="3" topLeftCell="B23" activePane="bottomRight" state="frozen"/>
      <selection activeCell="C41" sqref="C41"/>
      <selection pane="topRight"/>
      <selection pane="bottomLeft"/>
      <selection pane="bottomRight" activeCell="H41" sqref="H41"/>
    </sheetView>
  </sheetViews>
  <sheetFormatPr defaultRowHeight="14.45" customHeight="1"/>
  <cols>
    <col min="8" max="8" width="11.5703125" customWidth="1"/>
    <col min="9" max="9" width="10.28515625" customWidth="1"/>
    <col min="19" max="19" width="10" customWidth="1"/>
  </cols>
  <sheetData>
    <row r="1" spans="1:30" ht="14.45" customHeight="1">
      <c r="A1" s="845" t="s">
        <v>1</v>
      </c>
    </row>
    <row r="2" spans="1:30" ht="14.45" customHeight="1">
      <c r="A2" s="1456" t="s">
        <v>792</v>
      </c>
      <c r="B2" s="846"/>
      <c r="C2" s="847">
        <v>1000</v>
      </c>
      <c r="D2" s="847" t="s">
        <v>793</v>
      </c>
      <c r="E2" s="847">
        <v>1200</v>
      </c>
      <c r="F2" s="847" t="s">
        <v>794</v>
      </c>
      <c r="G2" s="847">
        <v>1400</v>
      </c>
      <c r="H2" s="847" t="s">
        <v>795</v>
      </c>
      <c r="I2" s="847">
        <v>1500</v>
      </c>
      <c r="J2" s="847" t="s">
        <v>796</v>
      </c>
      <c r="K2" s="847">
        <v>1600</v>
      </c>
      <c r="L2" s="847" t="s">
        <v>797</v>
      </c>
      <c r="M2" s="847">
        <v>1800</v>
      </c>
      <c r="N2" s="847" t="s">
        <v>798</v>
      </c>
      <c r="O2" s="847">
        <v>1900</v>
      </c>
      <c r="P2" s="847" t="s">
        <v>799</v>
      </c>
      <c r="Q2" s="847">
        <v>2000</v>
      </c>
      <c r="R2" s="847" t="s">
        <v>800</v>
      </c>
      <c r="S2" s="847">
        <v>2200</v>
      </c>
      <c r="T2" s="847" t="s">
        <v>801</v>
      </c>
      <c r="U2" s="847">
        <v>2400</v>
      </c>
      <c r="V2" s="847" t="s">
        <v>802</v>
      </c>
      <c r="W2" s="847">
        <v>2500</v>
      </c>
      <c r="X2" s="847" t="s">
        <v>803</v>
      </c>
      <c r="Y2" s="847">
        <v>2600</v>
      </c>
      <c r="Z2" s="847" t="s">
        <v>804</v>
      </c>
      <c r="AA2" s="847">
        <v>2700</v>
      </c>
      <c r="AB2" s="847" t="s">
        <v>805</v>
      </c>
      <c r="AC2" s="847">
        <v>3000</v>
      </c>
      <c r="AD2" s="847" t="s">
        <v>806</v>
      </c>
    </row>
    <row r="3" spans="1:30" ht="14.45" customHeight="1">
      <c r="A3" s="1456"/>
      <c r="B3" s="846"/>
      <c r="C3" s="1456" t="s">
        <v>807</v>
      </c>
      <c r="D3" s="1456"/>
      <c r="E3" s="1456" t="s">
        <v>808</v>
      </c>
      <c r="F3" s="1456"/>
      <c r="G3" s="1456" t="s">
        <v>809</v>
      </c>
      <c r="H3" s="1456"/>
      <c r="I3" s="1456" t="s">
        <v>810</v>
      </c>
      <c r="J3" s="1456"/>
      <c r="K3" s="1456" t="s">
        <v>811</v>
      </c>
      <c r="L3" s="1456"/>
      <c r="M3" s="1456" t="s">
        <v>812</v>
      </c>
      <c r="N3" s="1456"/>
      <c r="O3" s="1456" t="s">
        <v>813</v>
      </c>
      <c r="P3" s="1456"/>
      <c r="Q3" s="1456" t="s">
        <v>814</v>
      </c>
      <c r="R3" s="1456"/>
      <c r="S3" s="1456" t="s">
        <v>815</v>
      </c>
      <c r="T3" s="1456"/>
      <c r="U3" s="1456" t="s">
        <v>816</v>
      </c>
      <c r="V3" s="1456"/>
      <c r="W3" s="1456" t="s">
        <v>816</v>
      </c>
      <c r="X3" s="1456"/>
      <c r="Y3" s="1456" t="s">
        <v>817</v>
      </c>
      <c r="Z3" s="1456"/>
      <c r="AA3" s="1456" t="s">
        <v>818</v>
      </c>
      <c r="AB3" s="1456"/>
      <c r="AC3" s="1456" t="s">
        <v>819</v>
      </c>
      <c r="AD3" s="1456"/>
    </row>
    <row r="4" spans="1:30" ht="14.45" customHeight="1">
      <c r="A4" s="846" t="s">
        <v>820</v>
      </c>
      <c r="B4" s="846"/>
      <c r="C4" s="846" t="s">
        <v>193</v>
      </c>
      <c r="D4" s="846" t="s">
        <v>663</v>
      </c>
      <c r="E4" s="848" t="s">
        <v>193</v>
      </c>
      <c r="F4" s="848" t="s">
        <v>663</v>
      </c>
      <c r="G4" s="848" t="s">
        <v>193</v>
      </c>
      <c r="H4" s="848" t="s">
        <v>663</v>
      </c>
      <c r="I4" s="848" t="s">
        <v>193</v>
      </c>
      <c r="J4" s="848" t="s">
        <v>663</v>
      </c>
      <c r="K4" s="848" t="s">
        <v>193</v>
      </c>
      <c r="L4" s="848" t="s">
        <v>663</v>
      </c>
      <c r="M4" s="848" t="s">
        <v>193</v>
      </c>
      <c r="N4" s="848" t="s">
        <v>663</v>
      </c>
      <c r="O4" s="848" t="s">
        <v>193</v>
      </c>
      <c r="P4" s="848" t="s">
        <v>663</v>
      </c>
      <c r="Q4" s="846" t="s">
        <v>193</v>
      </c>
      <c r="R4" s="846" t="s">
        <v>663</v>
      </c>
      <c r="S4" s="848" t="s">
        <v>193</v>
      </c>
      <c r="T4" s="848" t="s">
        <v>663</v>
      </c>
      <c r="U4" s="848" t="s">
        <v>193</v>
      </c>
      <c r="V4" s="848" t="s">
        <v>663</v>
      </c>
      <c r="W4" s="848" t="s">
        <v>193</v>
      </c>
      <c r="X4" s="848" t="s">
        <v>663</v>
      </c>
      <c r="Y4" s="848" t="s">
        <v>193</v>
      </c>
      <c r="Z4" s="848" t="s">
        <v>663</v>
      </c>
      <c r="AA4" s="848" t="s">
        <v>193</v>
      </c>
      <c r="AB4" s="848" t="s">
        <v>663</v>
      </c>
      <c r="AC4" s="848" t="s">
        <v>193</v>
      </c>
      <c r="AD4" s="848" t="s">
        <v>663</v>
      </c>
    </row>
    <row r="5" spans="1:30" ht="14.45" customHeight="1">
      <c r="A5" s="846" t="s">
        <v>821</v>
      </c>
      <c r="B5" s="846">
        <v>3000</v>
      </c>
      <c r="C5" s="849">
        <v>18</v>
      </c>
      <c r="D5" s="846">
        <v>9</v>
      </c>
      <c r="E5" s="849">
        <v>28</v>
      </c>
      <c r="F5" s="846">
        <v>10</v>
      </c>
      <c r="G5" s="849">
        <v>41</v>
      </c>
      <c r="H5" s="846">
        <v>11</v>
      </c>
      <c r="I5" s="849">
        <v>46</v>
      </c>
      <c r="J5" s="846">
        <v>12</v>
      </c>
      <c r="K5" s="849">
        <v>59</v>
      </c>
      <c r="L5" s="846">
        <v>13</v>
      </c>
      <c r="M5" s="849">
        <v>80</v>
      </c>
      <c r="N5" s="846">
        <v>14</v>
      </c>
      <c r="O5" s="849">
        <v>92</v>
      </c>
      <c r="P5" s="846">
        <v>15</v>
      </c>
      <c r="Q5" s="849">
        <v>106</v>
      </c>
      <c r="R5" s="846">
        <v>15</v>
      </c>
      <c r="S5" s="849">
        <v>138</v>
      </c>
      <c r="T5" s="846">
        <v>17</v>
      </c>
      <c r="U5" s="849">
        <v>174</v>
      </c>
      <c r="V5" s="846">
        <v>18</v>
      </c>
      <c r="W5" s="849">
        <v>180</v>
      </c>
      <c r="X5" s="846">
        <v>19</v>
      </c>
      <c r="Y5" s="849">
        <v>198</v>
      </c>
      <c r="Z5" s="846">
        <v>19</v>
      </c>
      <c r="AA5" s="849">
        <v>221</v>
      </c>
      <c r="AB5" s="846">
        <v>20</v>
      </c>
      <c r="AC5" s="849">
        <v>300</v>
      </c>
      <c r="AD5" s="846">
        <v>22</v>
      </c>
    </row>
    <row r="6" spans="1:30" ht="14.45" customHeight="1">
      <c r="A6" s="846" t="s">
        <v>822</v>
      </c>
      <c r="B6" s="846">
        <v>3500</v>
      </c>
      <c r="C6" s="849">
        <v>19</v>
      </c>
      <c r="D6" s="846">
        <v>9</v>
      </c>
      <c r="E6" s="849">
        <v>30</v>
      </c>
      <c r="F6" s="846">
        <v>11</v>
      </c>
      <c r="G6" s="849">
        <v>44</v>
      </c>
      <c r="H6" s="846">
        <v>12</v>
      </c>
      <c r="I6" s="849">
        <v>50</v>
      </c>
      <c r="J6" s="846">
        <v>13</v>
      </c>
      <c r="K6" s="849">
        <v>63</v>
      </c>
      <c r="L6" s="846">
        <v>14</v>
      </c>
      <c r="M6" s="849">
        <v>86</v>
      </c>
      <c r="N6" s="846">
        <v>15</v>
      </c>
      <c r="O6" s="849">
        <v>110</v>
      </c>
      <c r="P6" s="846">
        <v>16</v>
      </c>
      <c r="Q6" s="849">
        <v>113</v>
      </c>
      <c r="R6" s="846">
        <v>16</v>
      </c>
      <c r="S6" s="849">
        <v>147</v>
      </c>
      <c r="T6" s="846">
        <v>18</v>
      </c>
      <c r="U6" s="849">
        <v>186</v>
      </c>
      <c r="V6" s="846">
        <v>19</v>
      </c>
      <c r="W6" s="849">
        <v>193</v>
      </c>
      <c r="X6" s="846">
        <v>20</v>
      </c>
      <c r="Y6" s="849">
        <v>212</v>
      </c>
      <c r="Z6" s="846">
        <v>21</v>
      </c>
      <c r="AA6" s="849">
        <v>236</v>
      </c>
      <c r="AB6" s="846">
        <v>21</v>
      </c>
      <c r="AC6" s="849">
        <v>327</v>
      </c>
      <c r="AD6" s="846">
        <v>24</v>
      </c>
    </row>
    <row r="7" spans="1:30" ht="14.45" customHeight="1">
      <c r="A7" s="846" t="s">
        <v>823</v>
      </c>
      <c r="B7" s="846">
        <v>4000</v>
      </c>
      <c r="C7" s="849">
        <v>20</v>
      </c>
      <c r="D7" s="846">
        <v>10</v>
      </c>
      <c r="E7" s="849">
        <v>31</v>
      </c>
      <c r="F7" s="846">
        <v>11</v>
      </c>
      <c r="G7" s="849">
        <v>47</v>
      </c>
      <c r="H7" s="846">
        <v>13</v>
      </c>
      <c r="I7" s="849">
        <v>53</v>
      </c>
      <c r="J7" s="846">
        <v>14</v>
      </c>
      <c r="K7" s="849">
        <v>66</v>
      </c>
      <c r="L7" s="846">
        <v>14</v>
      </c>
      <c r="M7" s="849">
        <v>90</v>
      </c>
      <c r="N7" s="846">
        <v>16</v>
      </c>
      <c r="O7" s="849">
        <v>104</v>
      </c>
      <c r="P7" s="846">
        <v>17</v>
      </c>
      <c r="Q7" s="849">
        <v>120</v>
      </c>
      <c r="R7" s="846">
        <v>17</v>
      </c>
      <c r="S7" s="849">
        <v>156</v>
      </c>
      <c r="T7" s="846">
        <v>19</v>
      </c>
      <c r="U7" s="849">
        <v>197</v>
      </c>
      <c r="V7" s="846">
        <v>20</v>
      </c>
      <c r="W7" s="850">
        <v>205</v>
      </c>
      <c r="X7" s="846">
        <v>21</v>
      </c>
      <c r="Y7" s="849">
        <v>226</v>
      </c>
      <c r="Z7" s="846">
        <v>22</v>
      </c>
      <c r="AA7" s="849">
        <v>251</v>
      </c>
      <c r="AB7" s="846">
        <v>23</v>
      </c>
      <c r="AC7" s="849">
        <v>341</v>
      </c>
      <c r="AD7" s="846">
        <v>25</v>
      </c>
    </row>
    <row r="8" spans="1:30" ht="14.45" customHeight="1">
      <c r="A8" s="846" t="s">
        <v>824</v>
      </c>
      <c r="B8" s="846">
        <v>4500</v>
      </c>
      <c r="C8" s="849">
        <v>21</v>
      </c>
      <c r="D8" s="846">
        <v>10</v>
      </c>
      <c r="E8" s="849">
        <v>33</v>
      </c>
      <c r="F8" s="846">
        <v>12</v>
      </c>
      <c r="G8" s="849">
        <v>49</v>
      </c>
      <c r="H8" s="846">
        <v>13</v>
      </c>
      <c r="I8" s="849">
        <v>55</v>
      </c>
      <c r="J8" s="846">
        <v>14</v>
      </c>
      <c r="K8" s="849">
        <v>70</v>
      </c>
      <c r="L8" s="846">
        <v>15</v>
      </c>
      <c r="M8" s="849">
        <v>95</v>
      </c>
      <c r="N8" s="846">
        <v>17</v>
      </c>
      <c r="O8" s="849">
        <v>110</v>
      </c>
      <c r="P8" s="846">
        <v>18</v>
      </c>
      <c r="Q8" s="849">
        <v>127</v>
      </c>
      <c r="R8" s="846">
        <v>18</v>
      </c>
      <c r="S8" s="849">
        <v>164</v>
      </c>
      <c r="T8" s="846">
        <v>20</v>
      </c>
      <c r="U8" s="849">
        <v>209</v>
      </c>
      <c r="V8" s="846">
        <v>22</v>
      </c>
      <c r="W8" s="849">
        <v>216</v>
      </c>
      <c r="X8" s="846">
        <v>22</v>
      </c>
      <c r="Y8" s="849">
        <v>238</v>
      </c>
      <c r="Z8" s="846">
        <v>23</v>
      </c>
      <c r="AA8" s="849">
        <v>265</v>
      </c>
      <c r="AB8" s="846">
        <v>24</v>
      </c>
      <c r="AC8" s="849">
        <v>361</v>
      </c>
      <c r="AD8" s="846">
        <v>27</v>
      </c>
    </row>
    <row r="9" spans="1:30" ht="14.45" customHeight="1">
      <c r="A9" s="846" t="s">
        <v>825</v>
      </c>
      <c r="B9" s="846">
        <v>5000</v>
      </c>
      <c r="C9" s="849">
        <v>22</v>
      </c>
      <c r="D9" s="846">
        <v>11</v>
      </c>
      <c r="E9" s="849">
        <v>34</v>
      </c>
      <c r="F9" s="846">
        <v>12</v>
      </c>
      <c r="G9" s="849">
        <v>51</v>
      </c>
      <c r="H9" s="846">
        <v>14</v>
      </c>
      <c r="I9" s="849">
        <v>58</v>
      </c>
      <c r="J9" s="846">
        <v>15</v>
      </c>
      <c r="K9" s="849">
        <v>73</v>
      </c>
      <c r="L9" s="846">
        <v>16</v>
      </c>
      <c r="M9" s="849">
        <v>100</v>
      </c>
      <c r="N9" s="846">
        <v>18</v>
      </c>
      <c r="O9" s="849">
        <v>116</v>
      </c>
      <c r="P9" s="846">
        <v>19</v>
      </c>
      <c r="Q9" s="849">
        <v>133</v>
      </c>
      <c r="R9" s="846">
        <v>19</v>
      </c>
      <c r="S9" s="849">
        <v>172</v>
      </c>
      <c r="T9" s="846">
        <v>21</v>
      </c>
      <c r="U9" s="849">
        <v>218</v>
      </c>
      <c r="V9" s="846">
        <v>23</v>
      </c>
      <c r="W9" s="849">
        <v>227</v>
      </c>
      <c r="X9" s="846">
        <v>24</v>
      </c>
      <c r="Y9" s="849">
        <v>249</v>
      </c>
      <c r="Z9" s="846">
        <v>24</v>
      </c>
      <c r="AA9" s="849">
        <v>278</v>
      </c>
      <c r="AB9" s="846">
        <v>25</v>
      </c>
      <c r="AC9" s="849">
        <v>379</v>
      </c>
      <c r="AD9" s="846">
        <v>28</v>
      </c>
    </row>
    <row r="10" spans="1:30" ht="14.45" customHeight="1">
      <c r="A10" s="846" t="s">
        <v>826</v>
      </c>
      <c r="B10" s="846">
        <v>5500</v>
      </c>
      <c r="C10" s="849">
        <v>23</v>
      </c>
      <c r="D10" s="846">
        <v>11</v>
      </c>
      <c r="E10" s="849">
        <v>36</v>
      </c>
      <c r="F10" s="846">
        <v>13</v>
      </c>
      <c r="G10" s="849">
        <v>53</v>
      </c>
      <c r="H10" s="846">
        <v>15</v>
      </c>
      <c r="I10" s="849">
        <v>60</v>
      </c>
      <c r="J10" s="846">
        <v>16</v>
      </c>
      <c r="K10" s="849">
        <v>76</v>
      </c>
      <c r="L10" s="846">
        <v>16</v>
      </c>
      <c r="M10" s="849">
        <v>104</v>
      </c>
      <c r="N10" s="846">
        <v>18</v>
      </c>
      <c r="O10" s="849">
        <v>118</v>
      </c>
      <c r="P10" s="846">
        <v>19</v>
      </c>
      <c r="Q10" s="849">
        <v>138</v>
      </c>
      <c r="R10" s="846">
        <v>20</v>
      </c>
      <c r="S10" s="849">
        <v>180</v>
      </c>
      <c r="T10" s="846">
        <v>22</v>
      </c>
      <c r="U10" s="849">
        <v>228</v>
      </c>
      <c r="V10" s="846">
        <v>24</v>
      </c>
      <c r="W10" s="849">
        <v>237</v>
      </c>
      <c r="X10" s="846">
        <v>25</v>
      </c>
      <c r="Y10" s="849">
        <v>261</v>
      </c>
      <c r="Z10" s="846">
        <v>25</v>
      </c>
      <c r="AA10" s="849">
        <v>291</v>
      </c>
      <c r="AB10" s="846">
        <v>26</v>
      </c>
      <c r="AC10" s="849">
        <v>396</v>
      </c>
      <c r="AD10" s="846">
        <v>29</v>
      </c>
    </row>
    <row r="11" spans="1:30" ht="14.45" customHeight="1">
      <c r="A11" s="846" t="s">
        <v>827</v>
      </c>
      <c r="B11" s="846">
        <v>6000</v>
      </c>
      <c r="C11" s="849">
        <v>24</v>
      </c>
      <c r="D11" s="846">
        <v>11</v>
      </c>
      <c r="E11" s="849">
        <v>37</v>
      </c>
      <c r="F11" s="846">
        <v>13</v>
      </c>
      <c r="G11" s="849">
        <v>56</v>
      </c>
      <c r="H11" s="846">
        <v>15</v>
      </c>
      <c r="I11" s="849">
        <v>63</v>
      </c>
      <c r="J11" s="846">
        <v>16</v>
      </c>
      <c r="K11" s="849">
        <v>79</v>
      </c>
      <c r="L11" s="846">
        <v>17</v>
      </c>
      <c r="M11" s="849">
        <v>108</v>
      </c>
      <c r="N11" s="846">
        <v>19</v>
      </c>
      <c r="O11" s="849">
        <v>122</v>
      </c>
      <c r="P11" s="846">
        <v>20</v>
      </c>
      <c r="Q11" s="849">
        <v>144</v>
      </c>
      <c r="R11" s="846">
        <v>21</v>
      </c>
      <c r="S11" s="849">
        <v>187</v>
      </c>
      <c r="T11" s="846">
        <v>23</v>
      </c>
      <c r="U11" s="849">
        <v>238</v>
      </c>
      <c r="V11" s="846">
        <v>25</v>
      </c>
      <c r="W11" s="849">
        <v>246</v>
      </c>
      <c r="X11" s="846">
        <v>26</v>
      </c>
      <c r="Y11" s="849">
        <v>272</v>
      </c>
      <c r="Z11" s="846">
        <v>27</v>
      </c>
      <c r="AA11" s="849">
        <v>303</v>
      </c>
      <c r="AB11" s="846">
        <v>27</v>
      </c>
      <c r="AC11" s="849">
        <v>412</v>
      </c>
      <c r="AD11" s="846">
        <v>30</v>
      </c>
    </row>
    <row r="12" spans="1:30" ht="14.45" customHeight="1">
      <c r="A12" s="846" t="s">
        <v>828</v>
      </c>
      <c r="B12" s="846">
        <v>6500</v>
      </c>
      <c r="C12" s="849">
        <v>25</v>
      </c>
      <c r="D12" s="846">
        <v>12</v>
      </c>
      <c r="E12" s="849">
        <v>39</v>
      </c>
      <c r="F12" s="846">
        <v>14</v>
      </c>
      <c r="G12" s="849">
        <v>57</v>
      </c>
      <c r="H12" s="846">
        <v>16</v>
      </c>
      <c r="I12" s="849">
        <v>65</v>
      </c>
      <c r="J12" s="846">
        <v>17</v>
      </c>
      <c r="K12" s="849">
        <v>82</v>
      </c>
      <c r="L12" s="846">
        <v>18</v>
      </c>
      <c r="M12" s="849">
        <v>112</v>
      </c>
      <c r="N12" s="846">
        <v>20</v>
      </c>
      <c r="O12" s="849">
        <v>128</v>
      </c>
      <c r="P12" s="846">
        <v>21</v>
      </c>
      <c r="Q12" s="849">
        <v>149</v>
      </c>
      <c r="R12" s="846">
        <v>22</v>
      </c>
      <c r="S12" s="849">
        <v>194</v>
      </c>
      <c r="T12" s="846">
        <v>24</v>
      </c>
      <c r="U12" s="849">
        <v>246</v>
      </c>
      <c r="V12" s="846">
        <v>26</v>
      </c>
      <c r="W12" s="849">
        <v>256</v>
      </c>
      <c r="X12" s="846">
        <v>27</v>
      </c>
      <c r="Y12" s="849">
        <v>282</v>
      </c>
      <c r="Z12" s="846">
        <v>28</v>
      </c>
      <c r="AA12" s="849">
        <v>315</v>
      </c>
      <c r="AB12" s="846">
        <v>29</v>
      </c>
      <c r="AC12" s="849">
        <v>428</v>
      </c>
      <c r="AD12" s="846">
        <v>31</v>
      </c>
    </row>
    <row r="13" spans="1:30" ht="14.45" customHeight="1">
      <c r="A13" s="846" t="s">
        <v>829</v>
      </c>
      <c r="B13" s="846">
        <v>7000</v>
      </c>
      <c r="C13" s="849">
        <v>26</v>
      </c>
      <c r="D13" s="846">
        <v>12</v>
      </c>
      <c r="E13" s="849">
        <v>40</v>
      </c>
      <c r="F13" s="846">
        <v>14</v>
      </c>
      <c r="G13" s="849">
        <v>60</v>
      </c>
      <c r="H13" s="846">
        <v>16</v>
      </c>
      <c r="I13" s="849">
        <v>68</v>
      </c>
      <c r="J13" s="846">
        <v>17</v>
      </c>
      <c r="K13" s="849">
        <v>85</v>
      </c>
      <c r="L13" s="846">
        <v>18</v>
      </c>
      <c r="M13" s="849">
        <v>117</v>
      </c>
      <c r="N13" s="846">
        <v>21</v>
      </c>
      <c r="O13" s="849">
        <v>134</v>
      </c>
      <c r="P13" s="846">
        <v>22</v>
      </c>
      <c r="Q13" s="849">
        <v>155</v>
      </c>
      <c r="R13" s="846">
        <v>22</v>
      </c>
      <c r="S13" s="849">
        <v>201</v>
      </c>
      <c r="T13" s="846">
        <v>24</v>
      </c>
      <c r="U13" s="849">
        <v>255</v>
      </c>
      <c r="V13" s="846">
        <v>26</v>
      </c>
      <c r="W13" s="849">
        <v>266</v>
      </c>
      <c r="X13" s="846">
        <v>28</v>
      </c>
      <c r="Y13" s="849">
        <v>291</v>
      </c>
      <c r="Z13" s="846">
        <v>28</v>
      </c>
      <c r="AA13" s="849">
        <v>337</v>
      </c>
      <c r="AB13" s="846">
        <v>31</v>
      </c>
      <c r="AC13" s="849">
        <v>447</v>
      </c>
      <c r="AD13" s="846">
        <v>33</v>
      </c>
    </row>
    <row r="14" spans="1:30" ht="14.45" customHeight="1">
      <c r="A14" s="846" t="s">
        <v>830</v>
      </c>
      <c r="B14" s="846">
        <v>12000</v>
      </c>
      <c r="C14" s="849">
        <v>28</v>
      </c>
      <c r="D14" s="846">
        <v>13</v>
      </c>
      <c r="E14" s="849">
        <v>45</v>
      </c>
      <c r="F14" s="846">
        <v>16</v>
      </c>
      <c r="G14" s="849">
        <v>68</v>
      </c>
      <c r="H14" s="846">
        <v>19</v>
      </c>
      <c r="I14" s="849">
        <v>78</v>
      </c>
      <c r="J14" s="846">
        <v>20</v>
      </c>
      <c r="K14" s="849">
        <v>99</v>
      </c>
      <c r="L14" s="846">
        <v>21</v>
      </c>
      <c r="M14" s="849">
        <v>136</v>
      </c>
      <c r="N14" s="846">
        <v>24</v>
      </c>
      <c r="O14" s="849">
        <v>159</v>
      </c>
      <c r="P14" s="846">
        <v>26</v>
      </c>
      <c r="Q14" s="849">
        <v>184</v>
      </c>
      <c r="R14" s="846">
        <v>27</v>
      </c>
      <c r="S14" s="849">
        <v>241</v>
      </c>
      <c r="T14" s="846">
        <v>29</v>
      </c>
      <c r="U14" s="849">
        <v>307</v>
      </c>
      <c r="V14" s="846">
        <v>32</v>
      </c>
      <c r="W14" s="849">
        <v>321</v>
      </c>
      <c r="X14" s="846">
        <v>33</v>
      </c>
      <c r="Y14" s="849">
        <v>355</v>
      </c>
      <c r="Z14" s="846">
        <v>35</v>
      </c>
      <c r="AA14" s="849">
        <v>398</v>
      </c>
      <c r="AB14" s="846">
        <v>36</v>
      </c>
      <c r="AC14" s="849">
        <v>546</v>
      </c>
      <c r="AD14" s="846">
        <v>40</v>
      </c>
    </row>
    <row r="18" spans="1:30" ht="14.45" customHeight="1">
      <c r="A18" s="1457" t="s">
        <v>831</v>
      </c>
      <c r="B18" s="1457"/>
      <c r="C18" s="1457"/>
      <c r="D18" s="1457"/>
      <c r="E18" s="1457"/>
    </row>
    <row r="20" spans="1:30" ht="15" customHeight="1">
      <c r="A20" s="1456" t="s">
        <v>832</v>
      </c>
      <c r="B20" s="846"/>
      <c r="C20" s="847">
        <v>1000</v>
      </c>
      <c r="D20" s="847" t="s">
        <v>793</v>
      </c>
      <c r="E20" s="847">
        <v>1200</v>
      </c>
      <c r="F20" s="847" t="s">
        <v>794</v>
      </c>
      <c r="G20" s="847">
        <v>1400</v>
      </c>
      <c r="H20" s="847" t="s">
        <v>795</v>
      </c>
      <c r="I20" s="847">
        <v>1500</v>
      </c>
      <c r="J20" s="847" t="s">
        <v>796</v>
      </c>
      <c r="K20" s="847">
        <v>1600</v>
      </c>
      <c r="L20" s="847" t="s">
        <v>797</v>
      </c>
      <c r="M20" s="847">
        <v>1800</v>
      </c>
      <c r="N20" s="847" t="s">
        <v>798</v>
      </c>
      <c r="O20" s="847">
        <v>1900</v>
      </c>
      <c r="P20" s="847" t="s">
        <v>799</v>
      </c>
      <c r="Q20" s="847">
        <v>2000</v>
      </c>
      <c r="R20" s="847" t="s">
        <v>800</v>
      </c>
      <c r="S20" s="847">
        <v>2200</v>
      </c>
      <c r="T20" s="847" t="s">
        <v>801</v>
      </c>
      <c r="U20" s="847">
        <v>2400</v>
      </c>
      <c r="V20" s="847" t="s">
        <v>802</v>
      </c>
      <c r="W20" s="847">
        <v>2500</v>
      </c>
      <c r="X20" s="847" t="s">
        <v>803</v>
      </c>
      <c r="Y20" s="847">
        <v>2600</v>
      </c>
      <c r="Z20" s="847" t="s">
        <v>804</v>
      </c>
      <c r="AA20" s="847">
        <v>2700</v>
      </c>
      <c r="AB20" s="847" t="s">
        <v>805</v>
      </c>
      <c r="AC20" s="847">
        <v>3000</v>
      </c>
      <c r="AD20" s="847" t="s">
        <v>806</v>
      </c>
    </row>
    <row r="21" spans="1:30" ht="14.45" customHeight="1">
      <c r="A21" s="1456" t="s">
        <v>820</v>
      </c>
      <c r="B21" s="846"/>
      <c r="C21" s="1456" t="s">
        <v>807</v>
      </c>
      <c r="D21" s="1456"/>
      <c r="E21" s="1456" t="s">
        <v>808</v>
      </c>
      <c r="F21" s="1456"/>
      <c r="G21" s="1456" t="s">
        <v>809</v>
      </c>
      <c r="H21" s="1456"/>
      <c r="I21" s="1456" t="s">
        <v>810</v>
      </c>
      <c r="J21" s="1456"/>
      <c r="K21" s="1456" t="s">
        <v>811</v>
      </c>
      <c r="L21" s="1456"/>
      <c r="M21" s="1456" t="s">
        <v>812</v>
      </c>
      <c r="N21" s="1456"/>
      <c r="O21" s="1456" t="s">
        <v>813</v>
      </c>
      <c r="P21" s="1456"/>
      <c r="Q21" s="1456" t="s">
        <v>814</v>
      </c>
      <c r="R21" s="1456"/>
      <c r="S21" s="1456" t="s">
        <v>815</v>
      </c>
      <c r="T21" s="1456"/>
      <c r="U21" s="1456" t="s">
        <v>816</v>
      </c>
      <c r="V21" s="1456"/>
      <c r="W21" s="1456" t="s">
        <v>816</v>
      </c>
      <c r="X21" s="1456"/>
      <c r="Y21" s="1456" t="s">
        <v>817</v>
      </c>
      <c r="Z21" s="1456"/>
      <c r="AA21" s="1456" t="s">
        <v>818</v>
      </c>
      <c r="AB21" s="1456"/>
      <c r="AC21" s="1456" t="s">
        <v>819</v>
      </c>
      <c r="AD21" s="1456"/>
    </row>
    <row r="22" spans="1:30" ht="14.45" customHeight="1">
      <c r="A22" s="846" t="s">
        <v>821</v>
      </c>
      <c r="B22" s="846">
        <v>3000</v>
      </c>
      <c r="C22" s="846">
        <v>20</v>
      </c>
      <c r="D22" s="846">
        <v>7</v>
      </c>
      <c r="E22" s="848">
        <v>25</v>
      </c>
      <c r="F22" s="848">
        <v>8</v>
      </c>
      <c r="G22" s="848">
        <v>32</v>
      </c>
      <c r="H22" s="848">
        <v>9</v>
      </c>
      <c r="I22" s="848">
        <v>46</v>
      </c>
      <c r="J22" s="848">
        <v>10</v>
      </c>
      <c r="K22" s="848">
        <v>54</v>
      </c>
      <c r="L22" s="848">
        <v>10</v>
      </c>
      <c r="M22" s="848">
        <v>80</v>
      </c>
      <c r="N22" s="848">
        <v>11</v>
      </c>
      <c r="O22" s="848">
        <v>94</v>
      </c>
      <c r="P22" s="848">
        <v>12</v>
      </c>
      <c r="Q22" s="846">
        <v>107</v>
      </c>
      <c r="R22" s="846">
        <v>13</v>
      </c>
      <c r="S22" s="848">
        <v>140</v>
      </c>
      <c r="T22" s="848">
        <v>14</v>
      </c>
      <c r="U22" s="848">
        <v>175</v>
      </c>
      <c r="V22" s="848">
        <v>15</v>
      </c>
      <c r="W22" s="848">
        <v>197</v>
      </c>
      <c r="X22" s="848">
        <v>15</v>
      </c>
      <c r="Y22" s="848">
        <v>227</v>
      </c>
      <c r="Z22" s="848">
        <v>16</v>
      </c>
      <c r="AA22" s="848">
        <v>243</v>
      </c>
      <c r="AB22" s="848">
        <v>16</v>
      </c>
      <c r="AC22" s="848">
        <v>311</v>
      </c>
      <c r="AD22" s="848">
        <v>18</v>
      </c>
    </row>
    <row r="23" spans="1:30" ht="14.45" customHeight="1">
      <c r="A23" s="846" t="s">
        <v>833</v>
      </c>
      <c r="B23" s="846">
        <v>3500</v>
      </c>
      <c r="C23" s="849">
        <v>22</v>
      </c>
      <c r="D23" s="846">
        <v>8</v>
      </c>
      <c r="E23" s="849">
        <v>26</v>
      </c>
      <c r="F23" s="846">
        <v>9</v>
      </c>
      <c r="G23" s="849">
        <v>34</v>
      </c>
      <c r="H23" s="846">
        <v>10</v>
      </c>
      <c r="I23" s="849">
        <v>49</v>
      </c>
      <c r="J23" s="846">
        <v>11</v>
      </c>
      <c r="K23" s="849">
        <v>58</v>
      </c>
      <c r="L23" s="846">
        <v>11</v>
      </c>
      <c r="M23" s="849">
        <v>86</v>
      </c>
      <c r="N23" s="846">
        <v>12</v>
      </c>
      <c r="O23" s="849">
        <v>102</v>
      </c>
      <c r="P23" s="846">
        <v>13</v>
      </c>
      <c r="Q23" s="849">
        <v>114</v>
      </c>
      <c r="R23" s="846">
        <v>13</v>
      </c>
      <c r="S23" s="849">
        <v>149</v>
      </c>
      <c r="T23" s="846">
        <v>14</v>
      </c>
      <c r="U23" s="849">
        <v>187</v>
      </c>
      <c r="V23" s="846">
        <v>16</v>
      </c>
      <c r="W23" s="849">
        <v>210</v>
      </c>
      <c r="X23" s="846">
        <v>16</v>
      </c>
      <c r="Y23" s="849">
        <v>243</v>
      </c>
      <c r="Z23" s="846">
        <v>17</v>
      </c>
      <c r="AA23" s="849">
        <v>260</v>
      </c>
      <c r="AB23" s="846">
        <v>17</v>
      </c>
      <c r="AC23" s="849">
        <v>333</v>
      </c>
      <c r="AD23" s="846">
        <v>19</v>
      </c>
    </row>
    <row r="24" spans="1:30" ht="14.45" customHeight="1">
      <c r="A24" s="846" t="s">
        <v>823</v>
      </c>
      <c r="B24" s="846">
        <v>4000</v>
      </c>
      <c r="C24" s="849">
        <v>23</v>
      </c>
      <c r="D24" s="846">
        <v>8</v>
      </c>
      <c r="E24" s="849">
        <v>28</v>
      </c>
      <c r="F24" s="846">
        <v>9</v>
      </c>
      <c r="G24" s="849">
        <v>36</v>
      </c>
      <c r="H24" s="846">
        <v>11</v>
      </c>
      <c r="I24" s="849">
        <v>52</v>
      </c>
      <c r="J24" s="846">
        <v>11</v>
      </c>
      <c r="K24" s="849">
        <v>61</v>
      </c>
      <c r="L24" s="846">
        <v>12</v>
      </c>
      <c r="M24" s="849">
        <v>91</v>
      </c>
      <c r="N24" s="846">
        <v>13</v>
      </c>
      <c r="O24" s="849">
        <v>105</v>
      </c>
      <c r="P24" s="846">
        <v>13</v>
      </c>
      <c r="Q24" s="849">
        <v>121</v>
      </c>
      <c r="R24" s="846">
        <v>14</v>
      </c>
      <c r="S24" s="849">
        <v>158</v>
      </c>
      <c r="T24" s="846">
        <v>15</v>
      </c>
      <c r="U24" s="849">
        <v>199</v>
      </c>
      <c r="V24" s="846">
        <v>17</v>
      </c>
      <c r="W24" s="849">
        <v>223</v>
      </c>
      <c r="X24" s="846">
        <v>17</v>
      </c>
      <c r="Y24" s="849">
        <v>258</v>
      </c>
      <c r="Z24" s="846">
        <v>18</v>
      </c>
      <c r="AA24" s="849">
        <v>276</v>
      </c>
      <c r="AB24" s="846">
        <v>18</v>
      </c>
      <c r="AC24" s="849">
        <v>353</v>
      </c>
      <c r="AD24" s="846">
        <v>20</v>
      </c>
    </row>
    <row r="25" spans="1:30" ht="14.45" customHeight="1">
      <c r="A25" s="846" t="s">
        <v>834</v>
      </c>
      <c r="B25" s="846">
        <v>4500</v>
      </c>
      <c r="C25" s="849">
        <v>24</v>
      </c>
      <c r="D25" s="846">
        <v>8</v>
      </c>
      <c r="E25" s="849">
        <v>29</v>
      </c>
      <c r="F25" s="846">
        <v>10</v>
      </c>
      <c r="G25" s="849">
        <v>37</v>
      </c>
      <c r="H25" s="846">
        <v>11</v>
      </c>
      <c r="I25" s="849">
        <v>55</v>
      </c>
      <c r="J25" s="846">
        <v>12</v>
      </c>
      <c r="K25" s="849">
        <v>64</v>
      </c>
      <c r="L25" s="846">
        <v>12</v>
      </c>
      <c r="M25" s="849">
        <v>95</v>
      </c>
      <c r="N25" s="846">
        <v>14</v>
      </c>
      <c r="O25" s="849">
        <v>110</v>
      </c>
      <c r="P25" s="846">
        <v>14</v>
      </c>
      <c r="Q25" s="849">
        <v>127</v>
      </c>
      <c r="R25" s="846">
        <v>15</v>
      </c>
      <c r="S25" s="849">
        <v>166</v>
      </c>
      <c r="T25" s="846">
        <v>16</v>
      </c>
      <c r="U25" s="849">
        <v>209</v>
      </c>
      <c r="V25" s="846">
        <v>17</v>
      </c>
      <c r="W25" s="850">
        <v>235</v>
      </c>
      <c r="X25" s="846">
        <v>18</v>
      </c>
      <c r="Y25" s="849">
        <v>272</v>
      </c>
      <c r="Z25" s="846">
        <v>19</v>
      </c>
      <c r="AA25" s="849">
        <v>291</v>
      </c>
      <c r="AB25" s="846">
        <v>19</v>
      </c>
      <c r="AC25" s="849">
        <v>373</v>
      </c>
      <c r="AD25" s="846">
        <v>21</v>
      </c>
    </row>
    <row r="26" spans="1:30" ht="14.45" customHeight="1">
      <c r="A26" s="846" t="s">
        <v>825</v>
      </c>
      <c r="B26" s="846">
        <v>5000</v>
      </c>
      <c r="C26" s="849">
        <v>25</v>
      </c>
      <c r="D26" s="846">
        <v>9</v>
      </c>
      <c r="E26" s="849">
        <v>30</v>
      </c>
      <c r="F26" s="846">
        <v>10</v>
      </c>
      <c r="G26" s="849">
        <v>39</v>
      </c>
      <c r="H26" s="846">
        <v>12</v>
      </c>
      <c r="I26" s="849">
        <v>57</v>
      </c>
      <c r="J26" s="846">
        <v>12</v>
      </c>
      <c r="K26" s="849">
        <v>67</v>
      </c>
      <c r="L26" s="846">
        <v>13</v>
      </c>
      <c r="M26" s="849">
        <v>100</v>
      </c>
      <c r="N26" s="846">
        <v>14</v>
      </c>
      <c r="O26" s="849">
        <v>118</v>
      </c>
      <c r="P26" s="846">
        <v>15</v>
      </c>
      <c r="Q26" s="849">
        <v>133</v>
      </c>
      <c r="R26" s="846">
        <v>16</v>
      </c>
      <c r="S26" s="849">
        <v>174</v>
      </c>
      <c r="T26" s="846">
        <v>17</v>
      </c>
      <c r="U26" s="849">
        <v>219</v>
      </c>
      <c r="V26" s="846">
        <v>18</v>
      </c>
      <c r="W26" s="849">
        <v>246</v>
      </c>
      <c r="X26" s="846">
        <v>19</v>
      </c>
      <c r="Y26" s="849">
        <v>285</v>
      </c>
      <c r="Z26" s="846">
        <v>20</v>
      </c>
      <c r="AA26" s="849">
        <v>305</v>
      </c>
      <c r="AB26" s="846">
        <v>20</v>
      </c>
      <c r="AC26" s="849">
        <v>391</v>
      </c>
      <c r="AD26" s="846">
        <v>22</v>
      </c>
    </row>
    <row r="27" spans="1:30" ht="14.45" customHeight="1">
      <c r="A27" s="846" t="s">
        <v>835</v>
      </c>
      <c r="B27" s="846">
        <v>5500</v>
      </c>
      <c r="C27" s="849">
        <v>26</v>
      </c>
      <c r="D27" s="846">
        <v>9</v>
      </c>
      <c r="E27" s="849">
        <v>32</v>
      </c>
      <c r="F27" s="846">
        <v>11</v>
      </c>
      <c r="G27" s="849">
        <v>41</v>
      </c>
      <c r="H27" s="846">
        <v>12</v>
      </c>
      <c r="I27" s="849">
        <v>60</v>
      </c>
      <c r="J27" s="846">
        <v>13</v>
      </c>
      <c r="K27" s="849">
        <v>70</v>
      </c>
      <c r="L27" s="846">
        <v>13</v>
      </c>
      <c r="M27" s="849">
        <v>104</v>
      </c>
      <c r="N27" s="846">
        <v>15</v>
      </c>
      <c r="O27" s="849">
        <v>126</v>
      </c>
      <c r="P27" s="846">
        <v>16</v>
      </c>
      <c r="Q27" s="849">
        <v>139</v>
      </c>
      <c r="R27" s="846">
        <v>16</v>
      </c>
      <c r="S27" s="849">
        <v>182</v>
      </c>
      <c r="T27" s="846">
        <v>18</v>
      </c>
      <c r="U27" s="849">
        <v>229</v>
      </c>
      <c r="V27" s="846">
        <v>19</v>
      </c>
      <c r="W27" s="849">
        <v>257</v>
      </c>
      <c r="X27" s="846">
        <v>20</v>
      </c>
      <c r="Y27" s="849">
        <v>297</v>
      </c>
      <c r="Z27" s="846">
        <v>21</v>
      </c>
      <c r="AA27" s="849">
        <v>318</v>
      </c>
      <c r="AB27" s="846">
        <v>21</v>
      </c>
      <c r="AC27" s="849">
        <v>408</v>
      </c>
      <c r="AD27" s="846">
        <v>23</v>
      </c>
    </row>
    <row r="28" spans="1:30" ht="14.45" customHeight="1">
      <c r="A28" s="846" t="s">
        <v>836</v>
      </c>
      <c r="B28" s="846">
        <v>6000</v>
      </c>
      <c r="C28" s="849">
        <v>26</v>
      </c>
      <c r="D28" s="846">
        <v>9</v>
      </c>
      <c r="E28" s="849">
        <v>33</v>
      </c>
      <c r="F28" s="846">
        <v>11</v>
      </c>
      <c r="G28" s="849">
        <v>42</v>
      </c>
      <c r="H28" s="846">
        <v>12</v>
      </c>
      <c r="I28" s="849">
        <v>62</v>
      </c>
      <c r="J28" s="846">
        <v>13</v>
      </c>
      <c r="K28" s="849">
        <v>72</v>
      </c>
      <c r="L28" s="846">
        <v>14</v>
      </c>
      <c r="M28" s="849">
        <v>108</v>
      </c>
      <c r="N28" s="846">
        <v>15</v>
      </c>
      <c r="O28" s="849">
        <v>130</v>
      </c>
      <c r="P28" s="846">
        <v>16</v>
      </c>
      <c r="Q28" s="849">
        <v>144</v>
      </c>
      <c r="R28" s="846">
        <v>17</v>
      </c>
      <c r="S28" s="849">
        <v>189</v>
      </c>
      <c r="T28" s="846">
        <v>18</v>
      </c>
      <c r="U28" s="849">
        <v>238</v>
      </c>
      <c r="V28" s="846">
        <v>20</v>
      </c>
      <c r="W28" s="849">
        <v>267</v>
      </c>
      <c r="X28" s="846">
        <v>21</v>
      </c>
      <c r="Y28" s="849">
        <v>309</v>
      </c>
      <c r="Z28" s="846">
        <v>21</v>
      </c>
      <c r="AA28" s="849">
        <v>331</v>
      </c>
      <c r="AB28" s="846">
        <v>22</v>
      </c>
      <c r="AC28" s="849">
        <v>425</v>
      </c>
      <c r="AD28" s="846">
        <v>24</v>
      </c>
    </row>
    <row r="29" spans="1:30" ht="14.45" customHeight="1">
      <c r="A29" s="846" t="s">
        <v>828</v>
      </c>
      <c r="B29" s="846">
        <v>6500</v>
      </c>
      <c r="C29" s="849">
        <v>27</v>
      </c>
      <c r="D29" s="846">
        <v>10</v>
      </c>
      <c r="E29" s="849">
        <v>34</v>
      </c>
      <c r="F29" s="846">
        <v>11</v>
      </c>
      <c r="G29" s="849">
        <v>44</v>
      </c>
      <c r="H29" s="846">
        <v>13</v>
      </c>
      <c r="I29" s="849">
        <v>64</v>
      </c>
      <c r="J29" s="846">
        <v>14</v>
      </c>
      <c r="K29" s="849">
        <v>75</v>
      </c>
      <c r="L29" s="846">
        <v>14</v>
      </c>
      <c r="M29" s="849">
        <v>112</v>
      </c>
      <c r="N29" s="846">
        <v>16</v>
      </c>
      <c r="O29" s="849">
        <v>134</v>
      </c>
      <c r="P29" s="846">
        <v>17</v>
      </c>
      <c r="Q29" s="849">
        <v>149</v>
      </c>
      <c r="R29" s="846">
        <v>17</v>
      </c>
      <c r="S29" s="849">
        <v>196</v>
      </c>
      <c r="T29" s="846">
        <v>19</v>
      </c>
      <c r="U29" s="849">
        <v>247</v>
      </c>
      <c r="V29" s="846">
        <v>21</v>
      </c>
      <c r="W29" s="849">
        <v>277</v>
      </c>
      <c r="X29" s="846">
        <v>21</v>
      </c>
      <c r="Y29" s="849">
        <v>321</v>
      </c>
      <c r="Z29" s="846">
        <v>22</v>
      </c>
      <c r="AA29" s="849">
        <v>343</v>
      </c>
      <c r="AB29" s="846">
        <v>23</v>
      </c>
      <c r="AC29" s="849">
        <v>441</v>
      </c>
      <c r="AD29" s="846">
        <v>25</v>
      </c>
    </row>
    <row r="30" spans="1:30" ht="14.45" customHeight="1">
      <c r="A30" s="846" t="s">
        <v>829</v>
      </c>
      <c r="B30" s="846">
        <v>7000</v>
      </c>
      <c r="C30" s="849">
        <v>28</v>
      </c>
      <c r="D30" s="846">
        <v>10</v>
      </c>
      <c r="E30" s="849">
        <v>35</v>
      </c>
      <c r="F30" s="846">
        <v>12</v>
      </c>
      <c r="G30" s="849">
        <v>45</v>
      </c>
      <c r="H30" s="846">
        <v>13</v>
      </c>
      <c r="I30" s="849">
        <v>66</v>
      </c>
      <c r="J30" s="846">
        <v>14</v>
      </c>
      <c r="K30" s="849">
        <v>77</v>
      </c>
      <c r="L30" s="846">
        <v>15</v>
      </c>
      <c r="M30" s="849">
        <v>115</v>
      </c>
      <c r="N30" s="846">
        <v>16</v>
      </c>
      <c r="O30" s="849">
        <v>140</v>
      </c>
      <c r="P30" s="846">
        <v>17</v>
      </c>
      <c r="Q30" s="849">
        <v>154</v>
      </c>
      <c r="R30" s="846">
        <v>18</v>
      </c>
      <c r="S30" s="849">
        <v>202</v>
      </c>
      <c r="T30" s="846">
        <v>20</v>
      </c>
      <c r="U30" s="849">
        <v>255</v>
      </c>
      <c r="V30" s="846">
        <v>21</v>
      </c>
      <c r="W30" s="849">
        <v>287</v>
      </c>
      <c r="X30" s="846">
        <v>22</v>
      </c>
      <c r="Y30" s="849">
        <v>332</v>
      </c>
      <c r="Z30" s="846">
        <v>23</v>
      </c>
      <c r="AA30" s="849">
        <v>355</v>
      </c>
      <c r="AB30" s="846">
        <v>24</v>
      </c>
      <c r="AC30" s="849">
        <v>456</v>
      </c>
      <c r="AD30" s="846">
        <v>26</v>
      </c>
    </row>
    <row r="31" spans="1:30" ht="14.45" customHeight="1">
      <c r="A31" s="846" t="s">
        <v>830</v>
      </c>
      <c r="B31" s="846">
        <v>12000</v>
      </c>
      <c r="C31" s="849">
        <v>35</v>
      </c>
      <c r="D31" s="846">
        <v>13</v>
      </c>
      <c r="E31" s="849">
        <v>44</v>
      </c>
      <c r="F31" s="846">
        <v>15</v>
      </c>
      <c r="G31" s="849">
        <v>57</v>
      </c>
      <c r="H31" s="846">
        <v>17</v>
      </c>
      <c r="I31" s="849">
        <v>84</v>
      </c>
      <c r="J31" s="846">
        <v>18</v>
      </c>
      <c r="K31" s="849">
        <v>98</v>
      </c>
      <c r="L31" s="846">
        <v>19</v>
      </c>
      <c r="M31" s="849">
        <v>147</v>
      </c>
      <c r="N31" s="846">
        <v>21</v>
      </c>
      <c r="O31" s="849">
        <v>173</v>
      </c>
      <c r="P31" s="846">
        <v>22</v>
      </c>
      <c r="Q31" s="849">
        <v>196</v>
      </c>
      <c r="R31" s="846">
        <v>23</v>
      </c>
      <c r="S31" s="849">
        <v>259</v>
      </c>
      <c r="T31" s="846">
        <v>25</v>
      </c>
      <c r="U31" s="849">
        <v>327</v>
      </c>
      <c r="V31" s="846">
        <v>27</v>
      </c>
      <c r="W31" s="849">
        <v>368</v>
      </c>
      <c r="X31" s="846">
        <v>28</v>
      </c>
      <c r="Y31" s="849">
        <v>425</v>
      </c>
      <c r="Z31" s="846">
        <v>29</v>
      </c>
      <c r="AA31" s="849">
        <v>455</v>
      </c>
      <c r="AB31" s="846">
        <v>30</v>
      </c>
      <c r="AC31" s="849">
        <v>586</v>
      </c>
      <c r="AD31" s="846">
        <v>34</v>
      </c>
    </row>
    <row r="34" spans="1:37" ht="14.45" customHeight="1">
      <c r="A34" s="1457" t="s">
        <v>837</v>
      </c>
      <c r="B34" s="1457"/>
      <c r="C34" s="1457"/>
      <c r="D34" s="1457"/>
      <c r="E34" s="1457"/>
    </row>
    <row r="35" spans="1:37" ht="14.45" customHeight="1">
      <c r="A35" s="851"/>
    </row>
    <row r="36" spans="1:37" ht="48.75" customHeight="1">
      <c r="A36" s="852" t="s">
        <v>838</v>
      </c>
      <c r="B36" s="852" t="s">
        <v>839</v>
      </c>
      <c r="C36" s="852" t="s">
        <v>840</v>
      </c>
      <c r="D36" s="852" t="s">
        <v>841</v>
      </c>
      <c r="E36" s="852" t="s">
        <v>842</v>
      </c>
      <c r="F36" s="852" t="s">
        <v>843</v>
      </c>
      <c r="G36" s="1127" t="s">
        <v>1957</v>
      </c>
      <c r="H36" s="1127" t="s">
        <v>2036</v>
      </c>
      <c r="I36" s="1127" t="s">
        <v>2037</v>
      </c>
      <c r="J36" s="852" t="s">
        <v>792</v>
      </c>
      <c r="K36" s="852" t="s">
        <v>844</v>
      </c>
      <c r="L36" s="853" t="s">
        <v>845</v>
      </c>
      <c r="M36" s="852" t="s">
        <v>846</v>
      </c>
      <c r="N36" s="852" t="s">
        <v>847</v>
      </c>
      <c r="O36" s="852" t="s">
        <v>848</v>
      </c>
      <c r="P36" s="852" t="s">
        <v>849</v>
      </c>
      <c r="Q36" s="852" t="s">
        <v>850</v>
      </c>
      <c r="R36" s="853" t="s">
        <v>851</v>
      </c>
      <c r="S36" s="853" t="s">
        <v>851</v>
      </c>
      <c r="V36" s="1451" t="s">
        <v>2019</v>
      </c>
      <c r="W36" s="1451"/>
      <c r="X36" s="1451"/>
      <c r="Y36" s="1451"/>
      <c r="Z36" s="1451"/>
      <c r="AA36" s="1451"/>
      <c r="AB36" s="1451"/>
      <c r="AC36" s="1451"/>
    </row>
    <row r="37" spans="1:37" ht="15">
      <c r="A37" s="846">
        <v>50</v>
      </c>
      <c r="B37" s="852"/>
      <c r="C37" s="852"/>
      <c r="D37" s="1121">
        <v>0.5</v>
      </c>
      <c r="E37" s="852"/>
      <c r="F37" s="852"/>
      <c r="G37" s="1128">
        <v>0.4</v>
      </c>
      <c r="H37" s="846" t="s">
        <v>2038</v>
      </c>
      <c r="I37" s="846">
        <v>4</v>
      </c>
      <c r="J37" s="846">
        <v>1000</v>
      </c>
      <c r="K37" s="852">
        <v>1025.0999999999999</v>
      </c>
      <c r="L37" s="852">
        <v>4</v>
      </c>
      <c r="M37" s="854" t="str">
        <f t="shared" ref="M37:M102" si="0">J37&amp;L37/10</f>
        <v>10000,4</v>
      </c>
      <c r="N37" s="846">
        <v>103</v>
      </c>
      <c r="O37" s="852">
        <v>4.5</v>
      </c>
      <c r="P37" s="852">
        <v>52</v>
      </c>
      <c r="Q37" s="846">
        <v>2</v>
      </c>
      <c r="R37" s="852">
        <v>6.4</v>
      </c>
      <c r="S37" s="846">
        <f>R37</f>
        <v>6.4</v>
      </c>
      <c r="V37" s="1196"/>
      <c r="W37" s="1453" t="s">
        <v>2016</v>
      </c>
      <c r="X37" s="1454"/>
      <c r="Y37" s="1454"/>
      <c r="Z37" s="1454"/>
      <c r="AA37" s="1454"/>
      <c r="AB37" s="1454"/>
      <c r="AC37" s="1454"/>
      <c r="AD37" s="1454"/>
      <c r="AE37" s="1454"/>
      <c r="AF37" s="1454"/>
      <c r="AG37" s="1454"/>
      <c r="AH37" s="1454"/>
      <c r="AI37" s="1454"/>
      <c r="AJ37" s="1454"/>
      <c r="AK37" s="1455"/>
    </row>
    <row r="38" spans="1:37" ht="15">
      <c r="A38" s="1123">
        <v>65</v>
      </c>
      <c r="B38" s="1126"/>
      <c r="C38" s="1126"/>
      <c r="D38" s="1121">
        <v>0.5</v>
      </c>
      <c r="E38" s="1126"/>
      <c r="F38" s="1126"/>
      <c r="G38" s="1128">
        <v>0.5</v>
      </c>
      <c r="H38" s="1123" t="s">
        <v>2038</v>
      </c>
      <c r="I38" s="1123">
        <v>4</v>
      </c>
      <c r="J38" s="1123"/>
      <c r="K38" s="1126"/>
      <c r="L38" s="1126"/>
      <c r="M38" s="1125"/>
      <c r="N38" s="1123"/>
      <c r="O38" s="1126"/>
      <c r="P38" s="1126"/>
      <c r="Q38" s="1123"/>
      <c r="R38" s="1126"/>
      <c r="S38" s="846"/>
      <c r="V38" s="1196" t="s">
        <v>2017</v>
      </c>
      <c r="W38" s="1196">
        <v>3</v>
      </c>
      <c r="X38" s="1196">
        <v>4</v>
      </c>
      <c r="Y38" s="1196">
        <v>5</v>
      </c>
      <c r="Z38" s="1196">
        <v>6</v>
      </c>
      <c r="AA38" s="1196">
        <v>7</v>
      </c>
      <c r="AB38" s="1196">
        <v>8</v>
      </c>
      <c r="AC38" s="1196">
        <v>9</v>
      </c>
      <c r="AD38" s="1196">
        <v>10</v>
      </c>
      <c r="AE38" s="1196">
        <v>11</v>
      </c>
      <c r="AF38" s="1196">
        <v>12</v>
      </c>
      <c r="AG38" s="1196">
        <v>13</v>
      </c>
      <c r="AH38" s="1196">
        <v>14</v>
      </c>
      <c r="AI38" s="1196">
        <v>15</v>
      </c>
      <c r="AJ38" s="1196">
        <v>16</v>
      </c>
      <c r="AK38" s="1196">
        <v>17</v>
      </c>
    </row>
    <row r="39" spans="1:37" ht="15">
      <c r="A39" s="1123">
        <v>80</v>
      </c>
      <c r="B39" s="1126"/>
      <c r="C39" s="1126"/>
      <c r="D39" s="1121">
        <v>0.55000000000000004</v>
      </c>
      <c r="E39" s="1126"/>
      <c r="F39" s="1126"/>
      <c r="G39" s="1128">
        <v>0.6</v>
      </c>
      <c r="H39" s="1123" t="s">
        <v>2038</v>
      </c>
      <c r="I39" s="1123">
        <v>4</v>
      </c>
      <c r="J39" s="1123"/>
      <c r="K39" s="1126"/>
      <c r="L39" s="1126"/>
      <c r="M39" s="1125"/>
      <c r="N39" s="1123"/>
      <c r="O39" s="1126"/>
      <c r="P39" s="1126"/>
      <c r="Q39" s="1123"/>
      <c r="R39" s="1126"/>
      <c r="S39" s="846"/>
      <c r="V39" s="1197">
        <v>1.2</v>
      </c>
      <c r="W39" s="1198">
        <v>3</v>
      </c>
      <c r="X39" s="1198">
        <v>3</v>
      </c>
      <c r="Y39" s="1198">
        <v>3</v>
      </c>
      <c r="Z39" s="1198">
        <v>3</v>
      </c>
      <c r="AA39" s="1198">
        <f>(AA38*1000*9.8*(3.14*V39^2)/4)/27500</f>
        <v>2.819834181818182</v>
      </c>
      <c r="AB39" s="1198">
        <f>(AB38*1000*9.8*(3.14*V39^2)/4)/27500</f>
        <v>3.2226676363636364</v>
      </c>
      <c r="AC39" s="1198">
        <f>(AC38*1000*9.8*(3.14*V39^2)/4)/27500</f>
        <v>3.6255010909090912</v>
      </c>
      <c r="AD39" s="1198">
        <f>(AD38*1000*9.8*(3.14*V39^2)/4)/27500</f>
        <v>4.0283345454545456</v>
      </c>
      <c r="AE39" s="1198">
        <f>(AE38*1000*9.8*(3.14*V39^2)/4)/27500</f>
        <v>4.4311680000000013</v>
      </c>
      <c r="AF39" s="1198">
        <f>(AF38*1000*9.8*(3.14*V39^2)/4)/27500</f>
        <v>4.8340014545454562</v>
      </c>
      <c r="AG39" s="1198">
        <f>(AG38*1000*9.8*(3.14*V39^2)/4)/27500</f>
        <v>5.2368349090909101</v>
      </c>
      <c r="AH39" s="1198">
        <f>(AH38*1000*9.8*(3.14*V39^2)/4)/27500</f>
        <v>5.639668363636364</v>
      </c>
      <c r="AI39" s="1198">
        <f>(AI38*1000*9.8*(3.14*V39^2)/4)/27500</f>
        <v>6.0425018181818189</v>
      </c>
      <c r="AJ39" s="1198">
        <f>(AJ38*1000*9.8*(3.14*V39^2)/4)/27500</f>
        <v>6.4453352727272728</v>
      </c>
      <c r="AK39" s="1198">
        <f>(AK38*1000*9.8*(3.14*V39^2)/4)/27500</f>
        <v>6.8481687272727276</v>
      </c>
    </row>
    <row r="40" spans="1:37" ht="14.45" customHeight="1">
      <c r="A40" s="846">
        <v>100</v>
      </c>
      <c r="B40" s="846"/>
      <c r="C40" s="846"/>
      <c r="D40" s="1121">
        <v>0.6</v>
      </c>
      <c r="E40" s="846"/>
      <c r="F40" s="846"/>
      <c r="G40" s="1128">
        <v>0.9</v>
      </c>
      <c r="H40" s="1123" t="s">
        <v>2038</v>
      </c>
      <c r="I40" s="1123">
        <v>8</v>
      </c>
      <c r="J40" s="846">
        <v>1000</v>
      </c>
      <c r="K40" s="846"/>
      <c r="L40" s="846">
        <v>6</v>
      </c>
      <c r="M40" s="854" t="str">
        <f t="shared" si="0"/>
        <v>10000,6</v>
      </c>
      <c r="N40" s="846">
        <v>154</v>
      </c>
      <c r="O40" s="846">
        <v>6.5</v>
      </c>
      <c r="P40" s="846">
        <v>77</v>
      </c>
      <c r="Q40" s="846"/>
      <c r="R40" s="846">
        <v>12</v>
      </c>
      <c r="S40" s="846"/>
      <c r="V40" s="1197">
        <v>1.3</v>
      </c>
      <c r="W40" s="1198">
        <v>3</v>
      </c>
      <c r="X40" s="1198">
        <v>3</v>
      </c>
      <c r="Y40" s="1198">
        <v>3</v>
      </c>
      <c r="Z40" s="1198">
        <f>(Z38*1000*9.8*(3.14*V40^2)/4)/27500</f>
        <v>2.8366189090909097</v>
      </c>
      <c r="AA40" s="1198">
        <f>(AA38*1000*9.8*(3.14*V40^2)/4)/27500</f>
        <v>3.3093887272727271</v>
      </c>
      <c r="AB40" s="1198">
        <f>(AB38*1000*9.8*(3.14*V40^2)/4)/27500</f>
        <v>3.7821585454545459</v>
      </c>
      <c r="AC40" s="1198">
        <f>(AC38*1000*9.8*(3.14*V40^2)/4)/27500</f>
        <v>4.2549283636363642</v>
      </c>
      <c r="AD40" s="1198">
        <f>(AD38*1000*9.8*(3.14*V40^2)/4)/27500</f>
        <v>4.727698181818182</v>
      </c>
      <c r="AE40" s="1198">
        <f>(AE38*1000*9.8*(3.14*V40^2)/4)/27500</f>
        <v>5.2004680000000008</v>
      </c>
      <c r="AF40" s="1198">
        <f>(AF38*1000*9.8*(3.14*V40^2)/4)/27500</f>
        <v>5.6732378181818195</v>
      </c>
      <c r="AG40" s="1198">
        <f>(AG38*1000*9.8*(3.14*V40^2)/4)/27500</f>
        <v>6.1460076363636373</v>
      </c>
      <c r="AH40" s="1198">
        <f>(AH38*1000*9.8*(3.14*V40^2)/4)/27500</f>
        <v>6.6187774545454543</v>
      </c>
      <c r="AI40" s="1198">
        <f>(AI38*1000*9.8*(3.14*V40^2)/4)/27500</f>
        <v>7.091547272727273</v>
      </c>
      <c r="AJ40" s="1198">
        <f>(AJ38*1000*9.8*(3.14*V40^2)/4)/27500</f>
        <v>7.5643170909090918</v>
      </c>
      <c r="AK40" s="1198">
        <f>(AK38*1000*9.8*(3.14*V40^2)/4)/27500</f>
        <v>8.0370869090909096</v>
      </c>
    </row>
    <row r="41" spans="1:37" ht="14.45" customHeight="1">
      <c r="A41" s="846">
        <v>150</v>
      </c>
      <c r="B41" s="846"/>
      <c r="C41" s="846"/>
      <c r="D41" s="1121">
        <v>0.6</v>
      </c>
      <c r="E41" s="846"/>
      <c r="F41" s="846"/>
      <c r="G41" s="1128">
        <v>1.4</v>
      </c>
      <c r="H41" s="1123" t="s">
        <v>2039</v>
      </c>
      <c r="I41" s="1123">
        <v>8</v>
      </c>
      <c r="J41" s="846">
        <v>1000</v>
      </c>
      <c r="K41" s="846"/>
      <c r="L41" s="846">
        <v>10</v>
      </c>
      <c r="M41" s="854" t="str">
        <f t="shared" si="0"/>
        <v>10001</v>
      </c>
      <c r="N41" s="846">
        <v>257</v>
      </c>
      <c r="O41" s="846">
        <v>10.5</v>
      </c>
      <c r="P41" s="846">
        <v>129</v>
      </c>
      <c r="Q41" s="846"/>
      <c r="R41" s="846">
        <v>28.5</v>
      </c>
      <c r="S41" s="846"/>
      <c r="V41" s="1197">
        <v>1.4</v>
      </c>
      <c r="W41" s="1198">
        <v>3</v>
      </c>
      <c r="X41" s="1198">
        <v>3</v>
      </c>
      <c r="Y41" s="1198">
        <f>(Y38*1000*9.8*(3.14*V41^2)/4)/27500</f>
        <v>2.7415054545454542</v>
      </c>
      <c r="Z41" s="1198">
        <f>(Z38*1000*9.8*(3.14*V41^2)/4)/27500</f>
        <v>3.2898065454545455</v>
      </c>
      <c r="AA41" s="1198">
        <f>(AA38*1000*9.8*(3.14*V41^2)/4)/27500</f>
        <v>3.8381076363636359</v>
      </c>
      <c r="AB41" s="1198">
        <f>(AB38*1000*9.8*(3.14*V41^2)/4)/27500</f>
        <v>4.3864087272727268</v>
      </c>
      <c r="AC41" s="1198">
        <f>(AC38*1000*9.8*(3.14*$V41^2)/4)/27500</f>
        <v>4.9347098181818181</v>
      </c>
      <c r="AD41" s="1198">
        <f t="shared" ref="AD41:AK41" si="1">(AD38*1000*9.8*(3.14*$V41^2)/4)/27500</f>
        <v>5.4830109090909085</v>
      </c>
      <c r="AE41" s="1198">
        <f t="shared" si="1"/>
        <v>6.0313120000000007</v>
      </c>
      <c r="AF41" s="1198">
        <f t="shared" si="1"/>
        <v>6.5796130909090911</v>
      </c>
      <c r="AG41" s="1198">
        <f t="shared" si="1"/>
        <v>7.1279141818181824</v>
      </c>
      <c r="AH41" s="1198">
        <f t="shared" si="1"/>
        <v>7.6762152727272719</v>
      </c>
      <c r="AI41" s="1198">
        <f t="shared" si="1"/>
        <v>8.2245163636363632</v>
      </c>
      <c r="AJ41" s="1198">
        <f t="shared" si="1"/>
        <v>8.7728174545454536</v>
      </c>
      <c r="AK41" s="1198">
        <f t="shared" si="1"/>
        <v>9.321118545454544</v>
      </c>
    </row>
    <row r="42" spans="1:37" ht="14.45" customHeight="1">
      <c r="A42" s="846">
        <v>200</v>
      </c>
      <c r="B42" s="846"/>
      <c r="C42" s="846"/>
      <c r="D42" s="1121">
        <v>0.6</v>
      </c>
      <c r="E42" s="846"/>
      <c r="F42" s="846"/>
      <c r="G42" s="1128">
        <v>1.8</v>
      </c>
      <c r="H42" s="1123" t="s">
        <v>2039</v>
      </c>
      <c r="I42" s="1123">
        <v>12</v>
      </c>
      <c r="J42" s="846">
        <v>1000</v>
      </c>
      <c r="K42" s="846"/>
      <c r="L42" s="846">
        <v>16</v>
      </c>
      <c r="M42" s="854" t="str">
        <f t="shared" si="0"/>
        <v>10001,6</v>
      </c>
      <c r="N42" s="846">
        <v>411</v>
      </c>
      <c r="O42" s="846">
        <v>16.5</v>
      </c>
      <c r="P42" s="846">
        <v>206</v>
      </c>
      <c r="Q42" s="846"/>
      <c r="R42" s="846">
        <v>71.3</v>
      </c>
      <c r="S42" s="846"/>
      <c r="V42" s="1197">
        <v>1.5</v>
      </c>
      <c r="W42" s="1198">
        <v>3</v>
      </c>
      <c r="X42" s="1198">
        <f>(X38*1000*9.8*(3.14*V42^2)/4)/27500</f>
        <v>2.5177090909090909</v>
      </c>
      <c r="Y42" s="1198">
        <f>(Y38*1000*9.8*(3.14*V42^2)/4)/27500</f>
        <v>3.1471363636363638</v>
      </c>
      <c r="Z42" s="1198">
        <f>(Z38*1000*9.8*(3.14*V42^2)/4)/27500</f>
        <v>3.7765636363636368</v>
      </c>
      <c r="AA42" s="1198">
        <f>(AA38*1000*9.8*(3.14*V42^2)/4)/27500</f>
        <v>4.4059909090909093</v>
      </c>
      <c r="AB42" s="1198">
        <f>(AB38*1000*9.8*(3.14*V42^2)/4)/27500</f>
        <v>5.0354181818181818</v>
      </c>
      <c r="AC42" s="1198">
        <f>(AC38*1000*9.8*(3.14*$V42^2)/4)/27500</f>
        <v>5.6648454545454543</v>
      </c>
      <c r="AD42" s="1198">
        <f t="shared" ref="AD42:AK42" si="2">(AD38*1000*9.8*(3.14*$V42^2)/4)/27500</f>
        <v>6.2942727272727277</v>
      </c>
      <c r="AE42" s="1198">
        <f t="shared" si="2"/>
        <v>6.9237000000000011</v>
      </c>
      <c r="AF42" s="1198">
        <f t="shared" si="2"/>
        <v>7.5531272727272736</v>
      </c>
      <c r="AG42" s="1198">
        <f t="shared" si="2"/>
        <v>8.182554545454547</v>
      </c>
      <c r="AH42" s="1198">
        <f t="shared" si="2"/>
        <v>8.8119818181818186</v>
      </c>
      <c r="AI42" s="1198">
        <f t="shared" si="2"/>
        <v>9.4414090909090902</v>
      </c>
      <c r="AJ42" s="1198">
        <f t="shared" si="2"/>
        <v>10.070836363636364</v>
      </c>
      <c r="AK42" s="1198">
        <f t="shared" si="2"/>
        <v>10.700263636363637</v>
      </c>
    </row>
    <row r="43" spans="1:37" ht="14.45" customHeight="1">
      <c r="A43" s="846">
        <v>250</v>
      </c>
      <c r="B43" s="846"/>
      <c r="C43" s="846"/>
      <c r="D43" s="1121">
        <v>0.6</v>
      </c>
      <c r="E43" s="846"/>
      <c r="F43" s="846"/>
      <c r="G43" s="1128">
        <v>2.2999999999999998</v>
      </c>
      <c r="H43" s="1123" t="s">
        <v>2040</v>
      </c>
      <c r="I43" s="1123">
        <v>12</v>
      </c>
      <c r="J43" s="846">
        <v>1000</v>
      </c>
      <c r="K43" s="846"/>
      <c r="L43" s="846">
        <v>20</v>
      </c>
      <c r="M43" s="854" t="str">
        <f t="shared" si="0"/>
        <v>10002</v>
      </c>
      <c r="N43" s="846">
        <v>513</v>
      </c>
      <c r="O43" s="846">
        <v>20.5</v>
      </c>
      <c r="P43" s="846">
        <v>257</v>
      </c>
      <c r="Q43" s="846"/>
      <c r="R43" s="846">
        <v>103.5</v>
      </c>
      <c r="S43" s="846"/>
      <c r="V43" s="1197">
        <v>1.6</v>
      </c>
      <c r="W43" s="1198">
        <v>3</v>
      </c>
      <c r="X43" s="1198">
        <f>(X38*1000*9.8*(3.14*V43^2)/4)/27500</f>
        <v>2.8645934545454548</v>
      </c>
      <c r="Y43" s="1198">
        <f>(Y38*1000*9.8*(3.14*V43^2)/4)/27500</f>
        <v>3.5807418181818185</v>
      </c>
      <c r="Z43" s="1198">
        <f>(Z38*1000*9.8*(3.14*V43^2)/4)/27500</f>
        <v>4.2968901818181831</v>
      </c>
      <c r="AA43" s="1198">
        <f>(AA38*1000*9.8*(3.14*V43^2)/4)/27500</f>
        <v>5.0130385454545463</v>
      </c>
      <c r="AB43" s="1198">
        <f>(AB38*1000*9.8*(3.14*V43^2)/4)/27500</f>
        <v>5.7291869090909096</v>
      </c>
      <c r="AC43" s="1198">
        <f>(AC38*1000*9.8*(3.14*$V43^2)/4)/27500</f>
        <v>6.4453352727272737</v>
      </c>
      <c r="AD43" s="1198">
        <f t="shared" ref="AD43:AK43" si="3">(AD38*1000*9.8*(3.14*$V43^2)/4)/27500</f>
        <v>7.1614836363636369</v>
      </c>
      <c r="AE43" s="1198">
        <f t="shared" si="3"/>
        <v>7.877632000000002</v>
      </c>
      <c r="AF43" s="1198">
        <f t="shared" si="3"/>
        <v>8.5937803636363661</v>
      </c>
      <c r="AG43" s="1198">
        <f t="shared" si="3"/>
        <v>9.3099287272727302</v>
      </c>
      <c r="AH43" s="1198">
        <f t="shared" si="3"/>
        <v>10.026077090909093</v>
      </c>
      <c r="AI43" s="1198">
        <f t="shared" si="3"/>
        <v>10.742225454545455</v>
      </c>
      <c r="AJ43" s="1198">
        <f t="shared" si="3"/>
        <v>11.458373818181819</v>
      </c>
      <c r="AK43" s="1198">
        <f t="shared" si="3"/>
        <v>12.174522181818183</v>
      </c>
    </row>
    <row r="44" spans="1:37" ht="14.45" customHeight="1">
      <c r="A44" s="846">
        <v>300</v>
      </c>
      <c r="B44" s="846">
        <v>314.60000000000002</v>
      </c>
      <c r="C44" s="846">
        <v>375</v>
      </c>
      <c r="D44" s="1121">
        <v>0.6</v>
      </c>
      <c r="E44" s="846">
        <v>78</v>
      </c>
      <c r="F44" s="846">
        <v>5.7</v>
      </c>
      <c r="G44" s="1128">
        <v>3.1</v>
      </c>
      <c r="H44" s="1123" t="s">
        <v>2040</v>
      </c>
      <c r="I44" s="1123">
        <v>12</v>
      </c>
      <c r="J44" s="846">
        <v>1100</v>
      </c>
      <c r="K44" s="846">
        <v>1126.5</v>
      </c>
      <c r="L44" s="846">
        <v>4</v>
      </c>
      <c r="M44" s="854" t="str">
        <f t="shared" si="0"/>
        <v>11000,4</v>
      </c>
      <c r="N44" s="846">
        <v>113</v>
      </c>
      <c r="O44" s="846">
        <v>4.5</v>
      </c>
      <c r="P44" s="846">
        <v>57</v>
      </c>
      <c r="Q44" s="846"/>
      <c r="R44" s="846">
        <v>7</v>
      </c>
      <c r="S44" s="846">
        <f>R44</f>
        <v>7</v>
      </c>
      <c r="V44" s="1197">
        <v>1.7</v>
      </c>
      <c r="W44" s="1198">
        <v>3</v>
      </c>
      <c r="X44" s="1198">
        <f>(X38*1000*9.8*(3.14*V44^2)/4)/27500</f>
        <v>3.2338574545454546</v>
      </c>
      <c r="Y44" s="1198">
        <f>(Y38*1000*9.8*(3.14*V44^2)/4)/27500</f>
        <v>4.0423218181818186</v>
      </c>
      <c r="Z44" s="1198">
        <f>(Z38*1000*9.8*(3.14*V44^2)/4)/27500</f>
        <v>4.850786181818183</v>
      </c>
      <c r="AA44" s="1198">
        <f>(AA38*1000*9.8*(3.14*V44^2)/4)/27500</f>
        <v>5.6592505454545456</v>
      </c>
      <c r="AB44" s="1198">
        <f>(AB38*1000*9.8*(3.14*V44^2)/4)/27500</f>
        <v>6.4677149090909092</v>
      </c>
      <c r="AC44" s="1198">
        <f>(AC38*1000*9.8*(3.14*$V44^2)/4)/27500</f>
        <v>7.2761792727272727</v>
      </c>
      <c r="AD44" s="1198">
        <f t="shared" ref="AD44:AK44" si="4">(AD38*1000*9.8*(3.14*$V44^2)/4)/27500</f>
        <v>8.0846436363636371</v>
      </c>
      <c r="AE44" s="1198">
        <f t="shared" si="4"/>
        <v>8.8931080000000016</v>
      </c>
      <c r="AF44" s="1198">
        <f t="shared" si="4"/>
        <v>9.701572363636366</v>
      </c>
      <c r="AG44" s="1198">
        <f t="shared" si="4"/>
        <v>10.51003672727273</v>
      </c>
      <c r="AH44" s="1198">
        <f t="shared" si="4"/>
        <v>11.318501090909091</v>
      </c>
      <c r="AI44" s="1198">
        <f t="shared" si="4"/>
        <v>12.126965454545454</v>
      </c>
      <c r="AJ44" s="1198">
        <f t="shared" si="4"/>
        <v>12.935429818181818</v>
      </c>
      <c r="AK44" s="1198">
        <f t="shared" si="4"/>
        <v>13.743894181818183</v>
      </c>
    </row>
    <row r="45" spans="1:37" ht="14.45" customHeight="1">
      <c r="A45" s="846">
        <v>350</v>
      </c>
      <c r="B45" s="846">
        <v>366.6</v>
      </c>
      <c r="C45" s="846">
        <v>390</v>
      </c>
      <c r="D45" s="1121">
        <v>0.9</v>
      </c>
      <c r="E45" s="846">
        <v>90</v>
      </c>
      <c r="F45" s="846">
        <v>5.7</v>
      </c>
      <c r="G45" s="1128">
        <v>3.6</v>
      </c>
      <c r="H45" s="1123" t="s">
        <v>2040</v>
      </c>
      <c r="I45" s="1123">
        <v>16</v>
      </c>
      <c r="J45" s="846">
        <v>1100</v>
      </c>
      <c r="K45" s="846"/>
      <c r="L45" s="846">
        <v>6</v>
      </c>
      <c r="M45" s="854" t="str">
        <f t="shared" si="0"/>
        <v>11000,6</v>
      </c>
      <c r="N45" s="846">
        <v>170</v>
      </c>
      <c r="O45" s="846">
        <v>7</v>
      </c>
      <c r="P45" s="846">
        <v>85</v>
      </c>
      <c r="Q45" s="846"/>
      <c r="R45" s="846">
        <v>14.8</v>
      </c>
      <c r="S45" s="846"/>
      <c r="V45" s="1197">
        <v>1.8</v>
      </c>
      <c r="W45" s="1198">
        <f>(W38*1000*9.8*(3.14*V45^2)/4)/27500</f>
        <v>2.7191258181818183</v>
      </c>
      <c r="X45" s="1198">
        <f>(X38*1000*9.8*(3.14*V45^2)/4)/27500</f>
        <v>3.6255010909090908</v>
      </c>
      <c r="Y45" s="1198">
        <f>(Y38*1000*9.8*(3.14*V45^2)/4)/27500</f>
        <v>4.5318763636363641</v>
      </c>
      <c r="Z45" s="1198">
        <f>(Z38*1000*9.8*(3.14*V45^2)/4)/27500</f>
        <v>5.4382516363636366</v>
      </c>
      <c r="AA45" s="1198">
        <f>(AA38*1000*9.8*(3.14*V45^2)/4)/27500</f>
        <v>6.34462690909091</v>
      </c>
      <c r="AB45" s="1198">
        <f>(AB38*1000*9.8*(3.14*V45^2)/4)/27500</f>
        <v>7.2510021818181816</v>
      </c>
      <c r="AC45" s="1198">
        <f>(AC38*1000*9.8*(3.14*$V45^2)/4)/27500</f>
        <v>8.157377454545454</v>
      </c>
      <c r="AD45" s="1198">
        <f t="shared" ref="AD45:AK45" si="5">(AD38*1000*9.8*(3.14*$V45^2)/4)/27500</f>
        <v>9.0637527272727283</v>
      </c>
      <c r="AE45" s="1198">
        <f t="shared" si="5"/>
        <v>9.9701280000000025</v>
      </c>
      <c r="AF45" s="1198">
        <f t="shared" si="5"/>
        <v>10.876503272727273</v>
      </c>
      <c r="AG45" s="1198">
        <f t="shared" si="5"/>
        <v>11.782878545454547</v>
      </c>
      <c r="AH45" s="1198">
        <f t="shared" si="5"/>
        <v>12.68925381818182</v>
      </c>
      <c r="AI45" s="1198">
        <f t="shared" si="5"/>
        <v>13.595629090909091</v>
      </c>
      <c r="AJ45" s="1198">
        <f t="shared" si="5"/>
        <v>14.502004363636363</v>
      </c>
      <c r="AK45" s="1198">
        <f t="shared" si="5"/>
        <v>15.408379636363636</v>
      </c>
    </row>
    <row r="46" spans="1:37" ht="14.45" customHeight="1">
      <c r="A46" s="846">
        <v>400</v>
      </c>
      <c r="B46" s="846">
        <v>413.1</v>
      </c>
      <c r="C46" s="846">
        <v>406</v>
      </c>
      <c r="D46" s="1121">
        <v>1.1000000000000001</v>
      </c>
      <c r="E46" s="846">
        <v>101</v>
      </c>
      <c r="F46" s="846">
        <v>6.8</v>
      </c>
      <c r="G46" s="1128">
        <v>4.5999999999999996</v>
      </c>
      <c r="H46" s="1123" t="s">
        <v>2040</v>
      </c>
      <c r="I46" s="1123">
        <v>16</v>
      </c>
      <c r="J46" s="846">
        <v>1100</v>
      </c>
      <c r="K46" s="846"/>
      <c r="L46" s="846">
        <v>10</v>
      </c>
      <c r="M46" s="854" t="str">
        <f t="shared" si="0"/>
        <v>11001</v>
      </c>
      <c r="N46" s="846">
        <v>282</v>
      </c>
      <c r="O46" s="846">
        <v>11.5</v>
      </c>
      <c r="P46" s="846">
        <v>141</v>
      </c>
      <c r="Q46" s="846"/>
      <c r="R46" s="846">
        <v>37.6</v>
      </c>
      <c r="S46" s="846"/>
      <c r="V46" s="1197">
        <v>1.9</v>
      </c>
      <c r="W46" s="1198">
        <f>(W38*1000*9.8*(3.14*V46^2)/4)/27500</f>
        <v>3.0296432727272733</v>
      </c>
      <c r="X46" s="1198">
        <f>(X38*1000*9.8*(3.14*V46^2)/4)/27500</f>
        <v>4.0395243636363638</v>
      </c>
      <c r="Y46" s="1198">
        <f>(Y38*1000*9.8*(3.14*V46^2)/4)/27500</f>
        <v>5.0494054545454548</v>
      </c>
      <c r="Z46" s="1198">
        <f>(Z38*1000*9.8*(3.14*V46^2)/4)/27500</f>
        <v>6.0592865454545466</v>
      </c>
      <c r="AA46" s="1198">
        <f>(AA38*1000*9.8*(3.14*V46^2)/4)/27500</f>
        <v>7.0691676363636358</v>
      </c>
      <c r="AB46" s="1198">
        <f>(AB38*1000*9.8*(3.14*V46^2)/4)/27500</f>
        <v>8.0790487272727276</v>
      </c>
      <c r="AC46" s="1198">
        <f>(AC38*1000*9.8*(3.14*$V46^2)/4)/27500</f>
        <v>9.0889298181818177</v>
      </c>
      <c r="AD46" s="1198">
        <f t="shared" ref="AD46:AK46" si="6">(AD38*1000*9.8*(3.14*$V46^2)/4)/27500</f>
        <v>10.09881090909091</v>
      </c>
      <c r="AE46" s="1198">
        <f t="shared" si="6"/>
        <v>11.108692000000001</v>
      </c>
      <c r="AF46" s="1198">
        <f t="shared" si="6"/>
        <v>12.118573090909093</v>
      </c>
      <c r="AG46" s="1198">
        <f t="shared" si="6"/>
        <v>13.128454181818183</v>
      </c>
      <c r="AH46" s="1198">
        <f t="shared" si="6"/>
        <v>14.138335272727272</v>
      </c>
      <c r="AI46" s="1198">
        <f t="shared" si="6"/>
        <v>15.148216363636363</v>
      </c>
      <c r="AJ46" s="1198">
        <f t="shared" si="6"/>
        <v>16.158097454545455</v>
      </c>
      <c r="AK46" s="1198">
        <f t="shared" si="6"/>
        <v>17.167978545454545</v>
      </c>
    </row>
    <row r="47" spans="1:37" ht="14.45" customHeight="1">
      <c r="A47" s="846">
        <v>450</v>
      </c>
      <c r="B47" s="846">
        <v>464.1</v>
      </c>
      <c r="C47" s="846">
        <v>433</v>
      </c>
      <c r="D47" s="1121">
        <v>1.3</v>
      </c>
      <c r="E47" s="846">
        <v>113</v>
      </c>
      <c r="F47" s="846">
        <v>6.8</v>
      </c>
      <c r="G47" s="1128">
        <v>5.3</v>
      </c>
      <c r="H47" s="1123" t="s">
        <v>2040</v>
      </c>
      <c r="I47" s="1123">
        <v>20</v>
      </c>
      <c r="J47" s="846">
        <v>1100</v>
      </c>
      <c r="K47" s="846"/>
      <c r="L47" s="846">
        <v>16</v>
      </c>
      <c r="M47" s="854" t="str">
        <f t="shared" si="0"/>
        <v>11001,6</v>
      </c>
      <c r="N47" s="846">
        <v>450</v>
      </c>
      <c r="O47" s="846">
        <v>18</v>
      </c>
      <c r="P47" s="846">
        <v>225</v>
      </c>
      <c r="Q47" s="846"/>
      <c r="R47" s="846">
        <v>87.3</v>
      </c>
      <c r="S47" s="846"/>
      <c r="V47" s="1197">
        <v>2</v>
      </c>
      <c r="W47" s="1198">
        <f>(W38*1000*9.8*(3.14*V47^2)/4)/27500</f>
        <v>3.3569454545454551</v>
      </c>
      <c r="X47" s="1198">
        <f>(X38*1000*9.8*(3.14*V47^2)/4)/27500</f>
        <v>4.4759272727272723</v>
      </c>
      <c r="Y47" s="1198">
        <f>(Y38*1000*9.8*(3.14*V47^2)/4)/27500</f>
        <v>5.5949090909090913</v>
      </c>
      <c r="Z47" s="1198">
        <f>(Z38*1000*9.8*(3.14*V47^2)/4)/27500</f>
        <v>6.7138909090909102</v>
      </c>
      <c r="AA47" s="1198">
        <f>(AA38*1000*9.8*(3.14*V47^2)/4)/27500</f>
        <v>7.8328727272727274</v>
      </c>
      <c r="AB47" s="1198">
        <f>(AB38*1000*9.8*(3.14*V47^2)/4)/27500</f>
        <v>8.9518545454545446</v>
      </c>
      <c r="AC47" s="1198">
        <f>(AC38*1000*9.8*(3.14*$V47^2)/4)/27500</f>
        <v>10.070836363636364</v>
      </c>
      <c r="AD47" s="1198">
        <f>(AD38*1000*9.8*(3.14*V47^2)/4)/27500</f>
        <v>11.189818181818183</v>
      </c>
      <c r="AE47" s="1198">
        <f>(AE38*1000*9.8*(3.14*V47^2)/4)/27500</f>
        <v>12.308800000000002</v>
      </c>
      <c r="AF47" s="1198">
        <f>(AF38*1000*9.8*(3.14*V47^2)/4)/27500</f>
        <v>13.42778181818182</v>
      </c>
      <c r="AG47" s="1198">
        <f>(AG38*1000*9.8*(3.14*V47^2)/4)/27500</f>
        <v>14.546763636363638</v>
      </c>
      <c r="AH47" s="1198">
        <f>(AH38*1000*9.8*(3.14*V47^2)/4)/27500</f>
        <v>15.665745454545455</v>
      </c>
      <c r="AI47" s="1198">
        <f>(AI38*1000*9.8*(3.14*V47^2)/4)/27500</f>
        <v>16.784727272727274</v>
      </c>
      <c r="AJ47" s="1198">
        <f>(AJ38*1000*9.8*(3.14*V47^2)/4)/27500</f>
        <v>17.903709090909089</v>
      </c>
      <c r="AK47" s="1198">
        <f>(AK38*1000*9.8*(3.14*V47^2)/4)/27500</f>
        <v>19.022690909090908</v>
      </c>
    </row>
    <row r="48" spans="1:37" ht="14.45" customHeight="1">
      <c r="A48" s="846">
        <v>500</v>
      </c>
      <c r="B48" s="846">
        <v>515</v>
      </c>
      <c r="C48" s="846">
        <v>458</v>
      </c>
      <c r="D48" s="1121">
        <v>1.9</v>
      </c>
      <c r="E48" s="846">
        <v>123</v>
      </c>
      <c r="F48" s="846">
        <v>7.8</v>
      </c>
      <c r="G48" s="1128">
        <v>6.4</v>
      </c>
      <c r="H48" s="1123" t="s">
        <v>2041</v>
      </c>
      <c r="I48" s="1123">
        <v>20</v>
      </c>
      <c r="J48" s="846">
        <v>1100</v>
      </c>
      <c r="K48" s="846"/>
      <c r="L48" s="846">
        <v>20</v>
      </c>
      <c r="M48" s="854" t="str">
        <f t="shared" si="0"/>
        <v>11002</v>
      </c>
      <c r="N48" s="846">
        <v>563</v>
      </c>
      <c r="O48" s="846">
        <v>22.5</v>
      </c>
      <c r="P48" s="846">
        <v>282</v>
      </c>
      <c r="Q48" s="846"/>
      <c r="R48" s="846">
        <v>136</v>
      </c>
      <c r="S48" s="846"/>
      <c r="V48" s="1197">
        <v>2.1</v>
      </c>
      <c r="W48" s="1198">
        <f>(W38*1000*9.8*(3.14*V48^2)/4)/27500</f>
        <v>3.7010323636363642</v>
      </c>
      <c r="X48" s="1198">
        <f>(X38*1000*9.8*(3.14*V48^2)/4)/27500</f>
        <v>4.9347098181818181</v>
      </c>
      <c r="Y48" s="1198">
        <f>(Y38*1000*9.8*(3.14*V48^2)/4)/27500</f>
        <v>6.1683872727272728</v>
      </c>
      <c r="Z48" s="1198">
        <f>(Z38*1000*9.8*(3.14*V48^2)/4)/27500</f>
        <v>7.4020647272727285</v>
      </c>
      <c r="AA48" s="1198">
        <f>(AA38*1000*9.8*(3.14*V48^2)/4)/27500</f>
        <v>8.6357421818181823</v>
      </c>
      <c r="AB48" s="1198">
        <f>(AB38*1000*9.8*(3.14*V48^2)/4)/27500</f>
        <v>9.8694196363636362</v>
      </c>
      <c r="AC48" s="1198">
        <f>(AC38*1000*9.8*(3.14*$V48^2)/4)/27500</f>
        <v>11.10309709090909</v>
      </c>
      <c r="AD48" s="1198">
        <f t="shared" ref="AD48:AK48" si="7">(AD38*1000*9.8*(3.14*$V48^2)/4)/27500</f>
        <v>12.336774545454546</v>
      </c>
      <c r="AE48" s="1198">
        <f t="shared" si="7"/>
        <v>13.570452000000001</v>
      </c>
      <c r="AF48" s="1198">
        <f t="shared" si="7"/>
        <v>14.804129454545457</v>
      </c>
      <c r="AG48" s="1198">
        <f t="shared" si="7"/>
        <v>16.037806909090911</v>
      </c>
      <c r="AH48" s="1198">
        <f t="shared" si="7"/>
        <v>17.271484363636365</v>
      </c>
      <c r="AI48" s="1198">
        <f t="shared" si="7"/>
        <v>18.505161818181818</v>
      </c>
      <c r="AJ48" s="1198">
        <f t="shared" si="7"/>
        <v>19.738839272727272</v>
      </c>
      <c r="AK48" s="1198">
        <f t="shared" si="7"/>
        <v>20.972516727272726</v>
      </c>
    </row>
    <row r="49" spans="1:37" ht="14.45" customHeight="1">
      <c r="A49" s="846">
        <v>600</v>
      </c>
      <c r="B49" s="846">
        <v>617.1</v>
      </c>
      <c r="C49" s="846">
        <v>551</v>
      </c>
      <c r="D49" s="1121">
        <v>2.6</v>
      </c>
      <c r="E49" s="846">
        <v>146</v>
      </c>
      <c r="F49" s="846">
        <v>7.8</v>
      </c>
      <c r="G49" s="1128">
        <v>8.5</v>
      </c>
      <c r="H49" s="1123" t="s">
        <v>2041</v>
      </c>
      <c r="I49" s="1123">
        <v>20</v>
      </c>
      <c r="J49" s="846">
        <v>1200</v>
      </c>
      <c r="K49" s="846">
        <v>1229.0999999999999</v>
      </c>
      <c r="L49" s="846">
        <v>4</v>
      </c>
      <c r="M49" s="854" t="str">
        <f t="shared" si="0"/>
        <v>12000,4</v>
      </c>
      <c r="N49" s="846">
        <v>123</v>
      </c>
      <c r="O49" s="846">
        <v>5</v>
      </c>
      <c r="P49" s="846">
        <v>62</v>
      </c>
      <c r="Q49" s="846"/>
      <c r="R49" s="846">
        <v>9</v>
      </c>
      <c r="S49" s="846">
        <f>R49</f>
        <v>9</v>
      </c>
      <c r="V49" s="1197">
        <v>2.2000000000000002</v>
      </c>
      <c r="W49" s="1198">
        <f>(W38*1000*9.8*(3.14*V49^2)/4)/27500</f>
        <v>4.0619040000000011</v>
      </c>
      <c r="X49" s="1198">
        <f>(X38*1000*9.8*(3.14*V49^2)/4)/27500</f>
        <v>5.4158720000000011</v>
      </c>
      <c r="Y49" s="1198">
        <f>(Y38*1000*9.8*(3.14*V49^2)/4)/27500</f>
        <v>6.7698400000000012</v>
      </c>
      <c r="Z49" s="1198">
        <f>(Z38*1000*9.8*(3.14*V49^2)/4)/27500</f>
        <v>8.1238080000000021</v>
      </c>
      <c r="AA49" s="1198">
        <f>(AA38*1000*9.8*(3.14*V49^2)/4)/27500</f>
        <v>9.4777760000000022</v>
      </c>
      <c r="AB49" s="1198">
        <f>(AB38*1000*9.8*(3.14*V49^2)/4)/27500</f>
        <v>10.831744000000002</v>
      </c>
      <c r="AC49" s="1198">
        <f>(AC38*1000*9.8*(3.14*$V49^2)/4)/27500</f>
        <v>12.185712000000002</v>
      </c>
      <c r="AD49" s="1198">
        <f t="shared" ref="AD49:AK49" si="8">(AD38*1000*9.8*(3.14*$V49^2)/4)/27500</f>
        <v>13.539680000000002</v>
      </c>
      <c r="AE49" s="1198">
        <f t="shared" si="8"/>
        <v>14.893648000000004</v>
      </c>
      <c r="AF49" s="1198">
        <f t="shared" si="8"/>
        <v>16.247616000000004</v>
      </c>
      <c r="AG49" s="1198">
        <f t="shared" si="8"/>
        <v>17.601584000000006</v>
      </c>
      <c r="AH49" s="1198">
        <f t="shared" si="8"/>
        <v>18.955552000000004</v>
      </c>
      <c r="AI49" s="1198">
        <f t="shared" si="8"/>
        <v>20.309520000000006</v>
      </c>
      <c r="AJ49" s="1198">
        <f t="shared" si="8"/>
        <v>21.663488000000005</v>
      </c>
      <c r="AK49" s="1198">
        <f t="shared" si="8"/>
        <v>23.017456000000006</v>
      </c>
    </row>
    <row r="50" spans="1:37" ht="14.45" customHeight="1">
      <c r="A50" s="846">
        <v>700</v>
      </c>
      <c r="B50" s="846">
        <v>719.1</v>
      </c>
      <c r="C50" s="846">
        <v>623</v>
      </c>
      <c r="D50" s="1121">
        <v>3.5</v>
      </c>
      <c r="E50" s="846">
        <v>168</v>
      </c>
      <c r="F50" s="846">
        <v>9</v>
      </c>
      <c r="G50" s="1128">
        <v>10.8</v>
      </c>
      <c r="H50" s="1123" t="s">
        <v>2041</v>
      </c>
      <c r="I50" s="1123">
        <v>24</v>
      </c>
      <c r="J50" s="846">
        <v>1200</v>
      </c>
      <c r="K50" s="846"/>
      <c r="L50" s="846">
        <v>6</v>
      </c>
      <c r="M50" s="854" t="str">
        <f t="shared" si="0"/>
        <v>12000,6</v>
      </c>
      <c r="N50" s="846">
        <v>185</v>
      </c>
      <c r="O50" s="846">
        <v>7.5</v>
      </c>
      <c r="P50" s="846">
        <v>93</v>
      </c>
      <c r="Q50" s="846"/>
      <c r="R50" s="846">
        <v>19</v>
      </c>
      <c r="S50" s="846"/>
      <c r="V50" s="1197">
        <v>2.2999999999999998</v>
      </c>
      <c r="W50" s="1198">
        <f>(W38*1000*9.8*(3.14*V50^2)/4)/27500</f>
        <v>4.4395603636363639</v>
      </c>
      <c r="X50" s="1198">
        <f>(X38*1000*9.8*(3.14*V50^2)/4)/27500</f>
        <v>5.919413818181817</v>
      </c>
      <c r="Y50" s="1198">
        <f>(Y38*1000*9.8*(3.14*V50^2)/4)/27500</f>
        <v>7.3992672727272719</v>
      </c>
      <c r="Z50" s="1198">
        <f>(Z38*1000*9.8*(3.14*V50^2)/4)/27500</f>
        <v>8.8791207272727277</v>
      </c>
      <c r="AA50" s="1198">
        <f>(AA38*1000*9.8*(3.14*V50^2)/4)/27500</f>
        <v>10.358974181818182</v>
      </c>
      <c r="AB50" s="1198">
        <f>(AB38*1000*9.8*(3.14*V50^2)/4)/27500</f>
        <v>11.838827636363634</v>
      </c>
      <c r="AC50" s="1198">
        <f>(AC38*1000*9.8*(3.14*$V50^2)/4)/27500</f>
        <v>13.31868109090909</v>
      </c>
      <c r="AD50" s="1198">
        <f t="shared" ref="AD50:AK50" si="9">(AD38*1000*9.8*(3.14*$V50^2)/4)/27500</f>
        <v>14.798534545454544</v>
      </c>
      <c r="AE50" s="1198">
        <f t="shared" si="9"/>
        <v>16.278388</v>
      </c>
      <c r="AF50" s="1198">
        <f t="shared" si="9"/>
        <v>17.758241454545455</v>
      </c>
      <c r="AG50" s="1198">
        <f t="shared" si="9"/>
        <v>19.238094909090908</v>
      </c>
      <c r="AH50" s="1198">
        <f t="shared" si="9"/>
        <v>20.717948363636363</v>
      </c>
      <c r="AI50" s="1198">
        <f t="shared" si="9"/>
        <v>22.197801818181816</v>
      </c>
      <c r="AJ50" s="1198">
        <f t="shared" si="9"/>
        <v>23.677655272727268</v>
      </c>
      <c r="AK50" s="1198">
        <f t="shared" si="9"/>
        <v>25.157508727272724</v>
      </c>
    </row>
    <row r="51" spans="1:37" ht="14.45" customHeight="1">
      <c r="A51" s="846">
        <v>800</v>
      </c>
      <c r="B51" s="846">
        <v>821.1</v>
      </c>
      <c r="C51" s="846">
        <v>646</v>
      </c>
      <c r="D51" s="1121">
        <v>4.5999999999999996</v>
      </c>
      <c r="E51" s="846">
        <v>191</v>
      </c>
      <c r="F51" s="846">
        <v>9</v>
      </c>
      <c r="G51" s="1128">
        <v>14.8</v>
      </c>
      <c r="H51" s="1126"/>
      <c r="I51" s="1126"/>
      <c r="J51" s="846">
        <v>1200</v>
      </c>
      <c r="K51" s="852"/>
      <c r="L51" s="852">
        <v>10</v>
      </c>
      <c r="M51" s="854" t="str">
        <f t="shared" si="0"/>
        <v>12001</v>
      </c>
      <c r="N51" s="852">
        <v>308</v>
      </c>
      <c r="O51" s="852">
        <v>12.5</v>
      </c>
      <c r="P51" s="852">
        <v>154</v>
      </c>
      <c r="Q51" s="852"/>
      <c r="R51" s="852">
        <v>47.4</v>
      </c>
      <c r="V51" s="1197">
        <v>2.4</v>
      </c>
      <c r="W51" s="1198">
        <f>(W38*1000*9.8*(3.14*V51^2)/4)/27500</f>
        <v>4.8340014545454562</v>
      </c>
      <c r="X51" s="1198">
        <f>(X38*1000*9.8*(3.14*V51^2)/4)/27500</f>
        <v>6.4453352727272728</v>
      </c>
      <c r="Y51" s="1198">
        <f>(Y38*1000*9.8*(3.14*V51^2)/4)/27500</f>
        <v>8.0566690909090912</v>
      </c>
      <c r="Z51" s="1198">
        <f>(Z38*1000*9.8*(3.14*V51^2)/4)/27500</f>
        <v>9.6680029090909123</v>
      </c>
      <c r="AA51" s="1198">
        <f>(AA38*1000*9.8*(3.14*V51^2)/4)/27500</f>
        <v>11.279336727272728</v>
      </c>
      <c r="AB51" s="1198">
        <f>(AB38*1000*9.8*(3.14*V51^2)/4)/27500</f>
        <v>12.890670545454546</v>
      </c>
      <c r="AC51" s="1198">
        <f>(AC38*1000*9.8*(3.14*$V51^2)/4)/27500</f>
        <v>14.502004363636365</v>
      </c>
      <c r="AD51" s="1198">
        <f t="shared" ref="AD51:AK51" si="10">(AD38*1000*9.8*(3.14*$V51^2)/4)/27500</f>
        <v>16.113338181818182</v>
      </c>
      <c r="AE51" s="1198">
        <f t="shared" si="10"/>
        <v>17.724672000000005</v>
      </c>
      <c r="AF51" s="1198">
        <f t="shared" si="10"/>
        <v>19.336005818181825</v>
      </c>
      <c r="AG51" s="1198">
        <f t="shared" si="10"/>
        <v>20.94733963636364</v>
      </c>
      <c r="AH51" s="1198">
        <f t="shared" si="10"/>
        <v>22.558673454545456</v>
      </c>
      <c r="AI51" s="1198">
        <f t="shared" si="10"/>
        <v>24.170007272727275</v>
      </c>
      <c r="AJ51" s="1198">
        <f t="shared" si="10"/>
        <v>25.781341090909091</v>
      </c>
      <c r="AK51" s="1198">
        <f t="shared" si="10"/>
        <v>27.392674909090911</v>
      </c>
    </row>
    <row r="52" spans="1:37" ht="14.45" customHeight="1">
      <c r="A52" s="846">
        <v>900</v>
      </c>
      <c r="B52" s="846">
        <v>923.1</v>
      </c>
      <c r="C52" s="846">
        <v>748</v>
      </c>
      <c r="D52" s="1121">
        <v>5.8</v>
      </c>
      <c r="E52" s="846">
        <v>213</v>
      </c>
      <c r="F52" s="846">
        <v>10</v>
      </c>
      <c r="G52" s="1128">
        <v>19</v>
      </c>
      <c r="H52" s="1126"/>
      <c r="I52" s="1126"/>
      <c r="J52" s="846">
        <v>1200</v>
      </c>
      <c r="K52" s="852"/>
      <c r="L52" s="852">
        <v>16</v>
      </c>
      <c r="M52" s="854" t="str">
        <f t="shared" si="0"/>
        <v>12001,6</v>
      </c>
      <c r="N52" s="846">
        <v>492</v>
      </c>
      <c r="O52" s="852">
        <v>20</v>
      </c>
      <c r="P52" s="852">
        <v>246</v>
      </c>
      <c r="Q52" s="846"/>
      <c r="R52" s="852">
        <v>118</v>
      </c>
      <c r="V52" s="1197">
        <v>2.5</v>
      </c>
      <c r="W52" s="1198">
        <f>(W38*1000*9.8*(3.14*V52^2)/4)/27500</f>
        <v>5.2452272727272735</v>
      </c>
      <c r="X52" s="1198">
        <f>(X38*1000*9.8*(3.14*V52^2)/4)/27500</f>
        <v>6.9936363636363632</v>
      </c>
      <c r="Y52" s="1198">
        <f>(Y38*1000*9.8*(3.14*V52^2)/4)/27500</f>
        <v>8.7420454545454547</v>
      </c>
      <c r="Z52" s="1198">
        <f>(Z38*1000*9.8*(3.14*V52^2)/4)/27500</f>
        <v>10.490454545454547</v>
      </c>
      <c r="AA52" s="1198">
        <f>(AA38*1000*9.8*(3.14*V52^2)/4)/27500</f>
        <v>12.238863636363636</v>
      </c>
      <c r="AB52" s="1198">
        <f>(AB38*1000*9.8*(3.14*V52^2)/4)/27500</f>
        <v>13.987272727272726</v>
      </c>
      <c r="AC52" s="1198">
        <f>(AC38*1000*9.8*(3.14*$V52^2)/4)/27500</f>
        <v>15.735681818181819</v>
      </c>
      <c r="AD52" s="1198">
        <f>(AD38*1000*9.8*(3.14*V52^2)/4)/27500</f>
        <v>17.484090909090909</v>
      </c>
      <c r="AE52" s="1198">
        <f>(AE38*1000*9.8*(3.14*V52^2)/4)/27500</f>
        <v>19.232500000000005</v>
      </c>
      <c r="AF52" s="1198">
        <f>(AF38*1000*9.8*(3.14*V52^2)/4)/27500</f>
        <v>20.980909090909094</v>
      </c>
      <c r="AG52" s="1198">
        <f>(AG38*1000*9.8*(3.14*V52^2)/4)/27500</f>
        <v>22.729318181818186</v>
      </c>
      <c r="AH52" s="1198">
        <f>(AH38*1000*9.8*(3.14*$V52^2)/4)/27500</f>
        <v>24.477727272727272</v>
      </c>
      <c r="AI52" s="1198">
        <f t="shared" ref="AI52:AK52" si="11">(AI38*1000*9.8*(3.14*$V52^2)/4)/27500</f>
        <v>26.226136363636364</v>
      </c>
      <c r="AJ52" s="1198">
        <f t="shared" si="11"/>
        <v>27.974545454545453</v>
      </c>
      <c r="AK52" s="1198">
        <f t="shared" si="11"/>
        <v>29.722954545454545</v>
      </c>
    </row>
    <row r="53" spans="1:37" ht="14.45" customHeight="1">
      <c r="A53" s="846">
        <v>1000</v>
      </c>
      <c r="B53" s="846">
        <v>1025.0999999999999</v>
      </c>
      <c r="C53" s="846">
        <v>771</v>
      </c>
      <c r="D53" s="1121">
        <v>7.2</v>
      </c>
      <c r="E53" s="846">
        <v>236</v>
      </c>
      <c r="F53" s="846">
        <v>11.3</v>
      </c>
      <c r="G53" s="1128">
        <v>23</v>
      </c>
      <c r="H53" s="1126"/>
      <c r="I53" s="1126"/>
      <c r="J53" s="846">
        <v>1200</v>
      </c>
      <c r="K53" s="846"/>
      <c r="L53" s="846">
        <v>20</v>
      </c>
      <c r="M53" s="854" t="str">
        <f t="shared" si="0"/>
        <v>12002</v>
      </c>
      <c r="N53" s="846">
        <v>615</v>
      </c>
      <c r="O53" s="846">
        <v>25</v>
      </c>
      <c r="P53" s="846">
        <v>308</v>
      </c>
      <c r="Q53" s="846"/>
      <c r="R53" s="846">
        <v>183</v>
      </c>
      <c r="V53" s="1197">
        <v>2.6</v>
      </c>
      <c r="W53" s="1198">
        <f>(W38*1000*9.8*(3.14*V53^2)/4)/27500</f>
        <v>5.6732378181818195</v>
      </c>
      <c r="X53" s="1198">
        <f>(X38*1000*9.8*(3.14*V53^2)/4)/27500</f>
        <v>7.5643170909090918</v>
      </c>
      <c r="Y53" s="1198">
        <f>(Y38*1000*9.8*(3.14*V53^2)/4)/27500</f>
        <v>9.455396363636364</v>
      </c>
      <c r="Z53" s="1198">
        <f>(Z38*1000*9.8*(3.14*V53^2)/4)/27500</f>
        <v>11.346475636363639</v>
      </c>
      <c r="AA53" s="1198">
        <f>(AA38*1000*9.8*(3.14*V53^2)/4)/27500</f>
        <v>13.237554909090909</v>
      </c>
      <c r="AB53" s="1198">
        <f>(AB38*1000*9.8*(3.14*V53^2)/4)/27500</f>
        <v>15.128634181818184</v>
      </c>
      <c r="AC53" s="1198">
        <f>(AC38*1000*9.8*(3.14*$V53^2)/4)/27500</f>
        <v>17.019713454545457</v>
      </c>
      <c r="AD53" s="1198">
        <f t="shared" ref="AD53:AK53" si="12">(AD38*1000*9.8*(3.14*$V53^2)/4)/27500</f>
        <v>18.910792727272728</v>
      </c>
      <c r="AE53" s="1198">
        <f t="shared" si="12"/>
        <v>20.801872000000003</v>
      </c>
      <c r="AF53" s="1198">
        <f t="shared" si="12"/>
        <v>22.692951272727278</v>
      </c>
      <c r="AG53" s="1198">
        <f t="shared" si="12"/>
        <v>24.584030545454549</v>
      </c>
      <c r="AH53" s="1198">
        <f t="shared" si="12"/>
        <v>26.475109818181817</v>
      </c>
      <c r="AI53" s="1198">
        <f t="shared" si="12"/>
        <v>28.366189090909092</v>
      </c>
      <c r="AJ53" s="1198">
        <f t="shared" si="12"/>
        <v>30.257268363636367</v>
      </c>
      <c r="AK53" s="1198">
        <f t="shared" si="12"/>
        <v>32.148347636363638</v>
      </c>
    </row>
    <row r="54" spans="1:37" ht="14.45" customHeight="1">
      <c r="A54" s="846">
        <v>1200</v>
      </c>
      <c r="B54" s="846">
        <v>1229.0999999999999</v>
      </c>
      <c r="C54" s="846">
        <v>876</v>
      </c>
      <c r="D54" s="1121">
        <v>10.3</v>
      </c>
      <c r="E54" s="846">
        <v>281</v>
      </c>
      <c r="F54" s="846">
        <v>11.3</v>
      </c>
      <c r="G54" s="1128">
        <v>36</v>
      </c>
      <c r="H54" s="1126"/>
      <c r="I54" s="1126"/>
      <c r="J54" s="846">
        <v>1300</v>
      </c>
      <c r="K54" s="846">
        <v>1330.5</v>
      </c>
      <c r="L54" s="846">
        <v>4</v>
      </c>
      <c r="M54" s="854" t="str">
        <f t="shared" si="0"/>
        <v>13000,4</v>
      </c>
      <c r="N54" s="846">
        <v>133</v>
      </c>
      <c r="O54" s="846">
        <v>5.5</v>
      </c>
      <c r="P54" s="846">
        <v>67</v>
      </c>
      <c r="Q54" s="846"/>
      <c r="R54" s="846">
        <v>11.7</v>
      </c>
      <c r="S54" s="846">
        <f>R54</f>
        <v>11.7</v>
      </c>
      <c r="V54" s="1197">
        <v>2.7</v>
      </c>
      <c r="W54" s="1198">
        <f>(W38*1000*9.8*(3.14*V54^2)/4)/27500</f>
        <v>6.1180330909090923</v>
      </c>
      <c r="X54" s="1198">
        <f>(X38*1000*9.8*(3.14*V54^2)/4)/27500</f>
        <v>8.1573774545454558</v>
      </c>
      <c r="Y54" s="1198">
        <f>(Y38*1000*9.8*(3.14*V54^2)/4)/27500</f>
        <v>10.196721818181819</v>
      </c>
      <c r="Z54" s="1198">
        <f>(Z38*1000*9.8*(3.14*V54^2)/4)/27500</f>
        <v>12.236066181818185</v>
      </c>
      <c r="AA54" s="1198">
        <f>(AA38*1000*9.8*(3.14*V54^2)/4)/27500</f>
        <v>14.275410545454546</v>
      </c>
      <c r="AB54" s="1198">
        <f>(AB38*1000*9.8*(3.14*V54^2)/4)/27500</f>
        <v>16.314754909090912</v>
      </c>
      <c r="AC54" s="1198">
        <f>(AC38*1000*9.8*(3.14*$V54^2)/4)/27500</f>
        <v>18.354099272727275</v>
      </c>
      <c r="AD54" s="1198">
        <f t="shared" ref="AD54:AK54" si="13">(AD38*1000*9.8*(3.14*$V54^2)/4)/27500</f>
        <v>20.393443636363639</v>
      </c>
      <c r="AE54" s="1198">
        <f t="shared" si="13"/>
        <v>22.432788000000006</v>
      </c>
      <c r="AF54" s="1198">
        <f t="shared" si="13"/>
        <v>24.472132363636369</v>
      </c>
      <c r="AG54" s="1198">
        <f t="shared" si="13"/>
        <v>26.511476727272736</v>
      </c>
      <c r="AH54" s="1198">
        <f t="shared" si="13"/>
        <v>28.550821090909093</v>
      </c>
      <c r="AI54" s="1198">
        <f t="shared" si="13"/>
        <v>30.590165454545456</v>
      </c>
      <c r="AJ54" s="1198">
        <f t="shared" si="13"/>
        <v>32.629509818181823</v>
      </c>
      <c r="AK54" s="1198">
        <f t="shared" si="13"/>
        <v>34.668854181818183</v>
      </c>
    </row>
    <row r="55" spans="1:37" ht="14.45" customHeight="1">
      <c r="A55" s="846">
        <v>1300</v>
      </c>
      <c r="B55" s="846">
        <v>1331</v>
      </c>
      <c r="C55" s="846">
        <v>890</v>
      </c>
      <c r="D55" s="1122">
        <f>_xlfn.CEILING.MATH(11.7*1.2,0.1)</f>
        <v>14.100000000000001</v>
      </c>
      <c r="E55" s="846">
        <v>333</v>
      </c>
      <c r="F55" s="846">
        <v>13</v>
      </c>
      <c r="G55" s="1129"/>
      <c r="H55" s="1126"/>
      <c r="I55" s="1126"/>
      <c r="J55" s="846">
        <v>1300</v>
      </c>
      <c r="K55" s="846"/>
      <c r="L55" s="846">
        <v>6</v>
      </c>
      <c r="M55" s="854" t="str">
        <f t="shared" si="0"/>
        <v>13000,6</v>
      </c>
      <c r="N55" s="846">
        <v>200</v>
      </c>
      <c r="O55" s="846">
        <v>8</v>
      </c>
      <c r="P55" s="846">
        <v>100</v>
      </c>
      <c r="Q55" s="846"/>
      <c r="R55" s="846">
        <v>23</v>
      </c>
      <c r="V55" s="1197">
        <v>2.8</v>
      </c>
      <c r="W55" s="1198">
        <f>(W38*1000*9.8*(3.14*V55^2)/4)/27500</f>
        <v>6.5796130909090911</v>
      </c>
      <c r="X55" s="1198">
        <f>(X38*1000*9.8*(3.14*V55^2)/4)/27500</f>
        <v>8.7728174545454536</v>
      </c>
      <c r="Y55" s="1198">
        <f>(Y38*1000*9.8*(3.14*V55^2)/4)/27500</f>
        <v>10.966021818181817</v>
      </c>
      <c r="Z55" s="1198">
        <f>(Z38*1000*9.8*(3.14*V55^2)/4)/27500</f>
        <v>13.159226181818182</v>
      </c>
      <c r="AA55" s="1198">
        <f>(AA38*1000*9.8*(3.14*V55^2)/4)/27500</f>
        <v>15.352430545454544</v>
      </c>
      <c r="AB55" s="1198">
        <f>(AB38*1000*9.8*(3.14*V55^2)/4)/27500</f>
        <v>17.545634909090907</v>
      </c>
      <c r="AC55" s="1198">
        <f>(AC38*1000*9.8*(3.14*$V55^2)/4)/27500</f>
        <v>19.738839272727272</v>
      </c>
      <c r="AD55" s="1198">
        <f t="shared" ref="AD55:AK55" si="14">(AD38*1000*9.8*(3.14*$V55^2)/4)/27500</f>
        <v>21.932043636363634</v>
      </c>
      <c r="AE55" s="1198">
        <f t="shared" si="14"/>
        <v>24.125248000000003</v>
      </c>
      <c r="AF55" s="1198">
        <f t="shared" si="14"/>
        <v>26.318452363636364</v>
      </c>
      <c r="AG55" s="1198">
        <f t="shared" si="14"/>
        <v>28.511656727272729</v>
      </c>
      <c r="AH55" s="1198">
        <f t="shared" si="14"/>
        <v>30.704861090909088</v>
      </c>
      <c r="AI55" s="1198">
        <f t="shared" si="14"/>
        <v>32.898065454545453</v>
      </c>
      <c r="AJ55" s="1198">
        <f t="shared" si="14"/>
        <v>35.091269818181814</v>
      </c>
      <c r="AK55" s="1198">
        <f t="shared" si="14"/>
        <v>37.284474181818176</v>
      </c>
    </row>
    <row r="56" spans="1:37" ht="14.45" customHeight="1">
      <c r="A56" s="846">
        <v>1400</v>
      </c>
      <c r="B56" s="846">
        <v>1433.1</v>
      </c>
      <c r="C56" s="846">
        <v>1008</v>
      </c>
      <c r="D56" s="1121">
        <v>16.399999999999999</v>
      </c>
      <c r="E56" s="846">
        <v>338</v>
      </c>
      <c r="F56" s="846">
        <v>14.6</v>
      </c>
      <c r="G56" s="1128">
        <v>55.2</v>
      </c>
      <c r="H56" s="1126"/>
      <c r="I56" s="1126"/>
      <c r="J56" s="846">
        <v>1300</v>
      </c>
      <c r="K56" s="846"/>
      <c r="L56" s="846">
        <v>10</v>
      </c>
      <c r="M56" s="854" t="str">
        <f t="shared" si="0"/>
        <v>13001</v>
      </c>
      <c r="N56" s="846">
        <v>333</v>
      </c>
      <c r="O56" s="846">
        <v>13</v>
      </c>
      <c r="P56" s="846">
        <v>167</v>
      </c>
      <c r="Q56" s="846"/>
      <c r="R56" s="846">
        <v>58</v>
      </c>
      <c r="V56" s="1197">
        <v>2.9</v>
      </c>
      <c r="W56" s="1198">
        <f>(W38*1000*9.8*(3.14*V56^2)/4)/27500</f>
        <v>7.0579778181818194</v>
      </c>
      <c r="X56" s="1198">
        <f>(X38*1000*9.8*(3.14*V56^2)/4)/27500</f>
        <v>9.4106370909090913</v>
      </c>
      <c r="Y56" s="1198">
        <f>(Y38*1000*9.8*(3.14*V56^2)/4)/27500</f>
        <v>11.763296363636364</v>
      </c>
      <c r="Z56" s="1198">
        <f>(Z38*1000*9.8*(3.14*V56^2)/4)/27500</f>
        <v>14.115955636363639</v>
      </c>
      <c r="AA56" s="1198">
        <f>(AA38*1000*9.8*(3.14*V56^2)/4)/27500</f>
        <v>16.46861490909091</v>
      </c>
      <c r="AB56" s="1198">
        <f>(AB38*1000*9.8*(3.14*V56^2)/4)/27500</f>
        <v>18.821274181818183</v>
      </c>
      <c r="AC56" s="1198">
        <f>(AC38*1000*9.8*(3.14*$V56^2)/4)/27500</f>
        <v>21.173933454545455</v>
      </c>
      <c r="AD56" s="1198">
        <f t="shared" ref="AD56:AK56" si="15">(AD38*1000*9.8*(3.14*$V56^2)/4)/27500</f>
        <v>23.526592727272728</v>
      </c>
      <c r="AE56" s="1198">
        <f t="shared" si="15"/>
        <v>25.879252000000005</v>
      </c>
      <c r="AF56" s="1198">
        <f t="shared" si="15"/>
        <v>28.231911272727277</v>
      </c>
      <c r="AG56" s="1198">
        <f t="shared" si="15"/>
        <v>30.58457054545455</v>
      </c>
      <c r="AH56" s="1198">
        <f t="shared" si="15"/>
        <v>32.937229818181819</v>
      </c>
      <c r="AI56" s="1198">
        <f t="shared" si="15"/>
        <v>35.289889090909092</v>
      </c>
      <c r="AJ56" s="1198">
        <f t="shared" si="15"/>
        <v>37.642548363636365</v>
      </c>
      <c r="AK56" s="1198">
        <f t="shared" si="15"/>
        <v>39.995207636363645</v>
      </c>
    </row>
    <row r="57" spans="1:37" ht="14.45" customHeight="1">
      <c r="A57" s="846">
        <v>1600</v>
      </c>
      <c r="B57" s="846">
        <v>1637.1</v>
      </c>
      <c r="C57" s="846">
        <v>1043</v>
      </c>
      <c r="D57" s="1121">
        <v>24.4</v>
      </c>
      <c r="E57" s="846">
        <v>383</v>
      </c>
      <c r="F57" s="846">
        <v>15.8</v>
      </c>
      <c r="G57" s="1128">
        <v>71.400000000000006</v>
      </c>
      <c r="H57" s="1126"/>
      <c r="I57" s="1126"/>
      <c r="J57" s="846">
        <v>1300</v>
      </c>
      <c r="K57" s="846"/>
      <c r="L57" s="846">
        <v>16</v>
      </c>
      <c r="M57" s="854" t="str">
        <f t="shared" si="0"/>
        <v>13001,6</v>
      </c>
      <c r="N57" s="846">
        <v>532</v>
      </c>
      <c r="O57" s="846">
        <v>21.5</v>
      </c>
      <c r="P57" s="846">
        <v>266</v>
      </c>
      <c r="Q57" s="846"/>
      <c r="R57" s="846">
        <v>147</v>
      </c>
      <c r="V57" s="1197">
        <v>3</v>
      </c>
      <c r="W57" s="1198">
        <f>(W38*1000*9.8*(3.14*V57^2)/4)/27500</f>
        <v>7.5531272727272736</v>
      </c>
      <c r="X57" s="1198">
        <f>(X38*1000*9.8*(3.14*V57^2)/4)/27500</f>
        <v>10.070836363636364</v>
      </c>
      <c r="Y57" s="1198">
        <f>(Y38*1000*9.8*(3.14*V57^2)/4)/27500</f>
        <v>12.588545454545455</v>
      </c>
      <c r="Z57" s="1198">
        <f>(Z38*1000*9.8*(3.14*V57^2)/4)/27500</f>
        <v>15.106254545454547</v>
      </c>
      <c r="AA57" s="1198">
        <f>(AA38*1000*9.8*(3.14*V57^2)/4)/27500</f>
        <v>17.623963636363637</v>
      </c>
      <c r="AB57" s="1198">
        <f>(AB38*1000*9.8*(3.14*V57^2)/4)/27500</f>
        <v>20.141672727272727</v>
      </c>
      <c r="AC57" s="1198">
        <f>(AC38*1000*9.8*(3.14*V57^2)/4)/27500</f>
        <v>22.659381818181817</v>
      </c>
      <c r="AD57" s="1198">
        <f>(AD38*1000*9.8*(3.14*V57^2)/4)/27500</f>
        <v>25.177090909090911</v>
      </c>
      <c r="AE57" s="1198">
        <f>(AE38*1000*9.8*(3.14*V57^2)/4)/27500</f>
        <v>27.694800000000004</v>
      </c>
      <c r="AF57" s="1198">
        <f>(AF38*1000*9.8*(3.14*V57^2)/4)/27500</f>
        <v>30.212509090909094</v>
      </c>
      <c r="AG57" s="1198">
        <f>(AG38*1000*9.8*(3.14*V57^2)/4)/27500</f>
        <v>32.730218181818188</v>
      </c>
      <c r="AH57" s="1198">
        <f>(AH38*1000*9.8*(3.14*$V57^2)/4)/27500</f>
        <v>35.247927272727274</v>
      </c>
      <c r="AI57" s="1198">
        <f t="shared" ref="AI57:AK57" si="16">(AI38*1000*9.8*(3.14*$V57^2)/4)/27500</f>
        <v>37.765636363636361</v>
      </c>
      <c r="AJ57" s="1198">
        <f t="shared" si="16"/>
        <v>40.283345454545454</v>
      </c>
      <c r="AK57" s="1198">
        <f t="shared" si="16"/>
        <v>42.801054545454548</v>
      </c>
    </row>
    <row r="58" spans="1:37" ht="14.45" customHeight="1">
      <c r="A58" s="846">
        <v>1800</v>
      </c>
      <c r="B58" s="846">
        <v>1841.1</v>
      </c>
      <c r="C58" s="846">
        <v>1238</v>
      </c>
      <c r="D58" s="1121">
        <v>33</v>
      </c>
      <c r="E58" s="846">
        <v>428</v>
      </c>
      <c r="F58" s="846">
        <v>18</v>
      </c>
      <c r="G58" s="1128">
        <v>99</v>
      </c>
      <c r="H58" s="1126"/>
      <c r="I58" s="1126"/>
      <c r="J58" s="846">
        <v>1300</v>
      </c>
      <c r="K58" s="846"/>
      <c r="L58" s="846">
        <v>20</v>
      </c>
      <c r="M58" s="854" t="str">
        <f t="shared" si="0"/>
        <v>13002</v>
      </c>
      <c r="N58" s="846">
        <v>665</v>
      </c>
      <c r="O58" s="846">
        <v>26.5</v>
      </c>
      <c r="P58" s="846">
        <v>333</v>
      </c>
      <c r="Q58" s="846"/>
      <c r="R58" s="846">
        <v>217</v>
      </c>
    </row>
    <row r="59" spans="1:37" ht="14.45" customHeight="1">
      <c r="A59" s="846">
        <v>2000</v>
      </c>
      <c r="B59" s="846">
        <v>2045.1</v>
      </c>
      <c r="C59" s="846">
        <v>1273</v>
      </c>
      <c r="D59" s="1121">
        <v>45.4</v>
      </c>
      <c r="E59" s="846">
        <v>473</v>
      </c>
      <c r="F59" s="846">
        <v>20.3</v>
      </c>
      <c r="G59" s="1128">
        <v>129.1</v>
      </c>
      <c r="H59" s="1126"/>
      <c r="I59" s="1126"/>
      <c r="J59" s="846">
        <v>1400</v>
      </c>
      <c r="K59" s="846">
        <v>1433.1</v>
      </c>
      <c r="L59" s="846">
        <v>4</v>
      </c>
      <c r="M59" s="854" t="str">
        <f t="shared" si="0"/>
        <v>14000,4</v>
      </c>
      <c r="N59" s="846">
        <v>144</v>
      </c>
      <c r="O59" s="846">
        <v>6</v>
      </c>
      <c r="P59" s="846">
        <v>72</v>
      </c>
      <c r="Q59" s="846"/>
      <c r="R59" s="846">
        <v>16</v>
      </c>
      <c r="S59" s="846">
        <f>R59</f>
        <v>16</v>
      </c>
      <c r="V59" s="1452" t="s">
        <v>2018</v>
      </c>
      <c r="W59" s="1452"/>
      <c r="X59" s="1452"/>
      <c r="Y59" s="1452"/>
      <c r="Z59" s="1452"/>
      <c r="AA59" s="1452"/>
      <c r="AB59" s="1452"/>
      <c r="AC59" s="1452"/>
      <c r="AD59" s="1452"/>
      <c r="AE59" s="1452"/>
    </row>
    <row r="60" spans="1:37" ht="14.45" customHeight="1">
      <c r="A60" s="846">
        <v>2200</v>
      </c>
      <c r="B60" s="846">
        <v>2249</v>
      </c>
      <c r="C60" s="846">
        <v>1378</v>
      </c>
      <c r="D60" s="1121">
        <v>57.6</v>
      </c>
      <c r="E60" s="846">
        <v>518</v>
      </c>
      <c r="F60" s="846">
        <v>21.5</v>
      </c>
      <c r="G60" s="1128">
        <v>163</v>
      </c>
      <c r="H60" s="1126"/>
      <c r="I60" s="1126"/>
      <c r="J60" s="846">
        <v>1400</v>
      </c>
      <c r="K60" s="846"/>
      <c r="L60" s="846">
        <v>6</v>
      </c>
      <c r="M60" s="854" t="str">
        <f t="shared" si="0"/>
        <v>14000,6</v>
      </c>
      <c r="N60" s="846">
        <v>215</v>
      </c>
      <c r="O60" s="846">
        <v>9</v>
      </c>
      <c r="P60" s="846">
        <v>108</v>
      </c>
      <c r="Q60" s="846"/>
      <c r="R60" s="846">
        <v>30</v>
      </c>
      <c r="V60" s="1452"/>
      <c r="W60" s="1452"/>
      <c r="X60" s="1452"/>
      <c r="Y60" s="1452"/>
      <c r="Z60" s="1452"/>
      <c r="AA60" s="1452"/>
      <c r="AB60" s="1452"/>
      <c r="AC60" s="1452"/>
      <c r="AD60" s="1452"/>
      <c r="AE60" s="1452"/>
    </row>
    <row r="61" spans="1:37" ht="14.45" customHeight="1">
      <c r="A61" s="846">
        <v>2400</v>
      </c>
      <c r="B61" s="846">
        <v>2453.1</v>
      </c>
      <c r="C61" s="846">
        <v>1613</v>
      </c>
      <c r="D61" s="1121">
        <v>75.7</v>
      </c>
      <c r="E61" s="846">
        <v>563</v>
      </c>
      <c r="F61" s="846">
        <v>22.5</v>
      </c>
      <c r="G61" s="1128">
        <v>199.9</v>
      </c>
      <c r="H61" s="1126"/>
      <c r="I61" s="1126"/>
      <c r="J61" s="846">
        <v>1400</v>
      </c>
      <c r="K61" s="846"/>
      <c r="L61" s="846">
        <v>10</v>
      </c>
      <c r="M61" s="854" t="str">
        <f t="shared" si="0"/>
        <v>14001</v>
      </c>
      <c r="N61" s="846">
        <v>360</v>
      </c>
      <c r="O61" s="846">
        <v>14.5</v>
      </c>
      <c r="P61" s="846">
        <v>180</v>
      </c>
      <c r="Q61" s="846"/>
      <c r="R61" s="846">
        <v>73</v>
      </c>
      <c r="V61" s="1452"/>
      <c r="W61" s="1452"/>
      <c r="X61" s="1452"/>
      <c r="Y61" s="1452"/>
      <c r="Z61" s="1452"/>
      <c r="AA61" s="1452"/>
      <c r="AB61" s="1452"/>
      <c r="AC61" s="1452"/>
      <c r="AD61" s="1452"/>
      <c r="AE61" s="1452"/>
    </row>
    <row r="62" spans="1:37" ht="14.45" customHeight="1">
      <c r="A62" s="846">
        <v>3000</v>
      </c>
      <c r="B62" s="846">
        <v>3066</v>
      </c>
      <c r="C62" s="846"/>
      <c r="D62" s="1123">
        <v>300</v>
      </c>
      <c r="E62" s="846"/>
      <c r="F62" s="846"/>
      <c r="G62" s="1123"/>
      <c r="H62" s="1126"/>
      <c r="I62" s="1126"/>
      <c r="J62" s="846">
        <v>1400</v>
      </c>
      <c r="K62" s="846"/>
      <c r="L62" s="846">
        <v>16</v>
      </c>
      <c r="M62" s="854" t="str">
        <f t="shared" si="0"/>
        <v>14001,6</v>
      </c>
      <c r="N62" s="846">
        <v>574</v>
      </c>
      <c r="O62" s="846">
        <v>23</v>
      </c>
      <c r="P62" s="846">
        <v>287</v>
      </c>
      <c r="Q62" s="846"/>
      <c r="R62" s="846">
        <v>181</v>
      </c>
      <c r="V62" s="1452"/>
      <c r="W62" s="1452"/>
      <c r="X62" s="1452"/>
      <c r="Y62" s="1452"/>
      <c r="Z62" s="1452"/>
      <c r="AA62" s="1452"/>
      <c r="AB62" s="1452"/>
      <c r="AC62" s="1452"/>
      <c r="AD62" s="1452"/>
      <c r="AE62" s="1452"/>
    </row>
    <row r="63" spans="1:37" ht="23.25" customHeight="1">
      <c r="J63" s="846">
        <v>1400</v>
      </c>
      <c r="K63" s="846"/>
      <c r="L63" s="846">
        <v>20</v>
      </c>
      <c r="M63" s="854" t="str">
        <f t="shared" si="0"/>
        <v>14002</v>
      </c>
      <c r="N63" s="846">
        <v>717</v>
      </c>
      <c r="O63" s="846">
        <v>29</v>
      </c>
      <c r="P63" s="846">
        <v>359</v>
      </c>
      <c r="Q63" s="846"/>
      <c r="R63" s="846">
        <v>281</v>
      </c>
      <c r="V63" s="1452"/>
      <c r="W63" s="1452"/>
      <c r="X63" s="1452"/>
      <c r="Y63" s="1452"/>
      <c r="Z63" s="1452"/>
      <c r="AA63" s="1452"/>
      <c r="AB63" s="1452"/>
      <c r="AC63" s="1452"/>
      <c r="AD63" s="1452"/>
      <c r="AE63" s="1452"/>
    </row>
    <row r="64" spans="1:37" ht="14.45" customHeight="1">
      <c r="J64" s="852">
        <v>1500</v>
      </c>
      <c r="K64" s="852">
        <v>1535.1</v>
      </c>
      <c r="L64" s="852">
        <v>4</v>
      </c>
      <c r="M64" s="854" t="str">
        <f t="shared" si="0"/>
        <v>15000,4</v>
      </c>
      <c r="N64" s="852">
        <v>154</v>
      </c>
      <c r="O64" s="852">
        <v>6</v>
      </c>
      <c r="P64" s="852">
        <v>77</v>
      </c>
      <c r="Q64" s="852"/>
      <c r="R64" s="852">
        <v>16.5</v>
      </c>
      <c r="S64" s="846">
        <f>R64</f>
        <v>16.5</v>
      </c>
    </row>
    <row r="65" spans="10:26" ht="14.45" customHeight="1">
      <c r="J65" s="852">
        <v>1500</v>
      </c>
      <c r="K65" s="852"/>
      <c r="L65" s="852">
        <v>6</v>
      </c>
      <c r="M65" s="854" t="str">
        <f t="shared" si="0"/>
        <v>15000,6</v>
      </c>
      <c r="N65" s="846">
        <v>230</v>
      </c>
      <c r="O65" s="852">
        <v>9</v>
      </c>
      <c r="P65" s="852">
        <v>115</v>
      </c>
      <c r="Q65" s="846"/>
      <c r="R65" s="852">
        <v>33.299999999999997</v>
      </c>
      <c r="V65" s="1199" t="s">
        <v>2021</v>
      </c>
      <c r="X65" s="1199" t="s">
        <v>2022</v>
      </c>
      <c r="Z65" s="734">
        <f>ROUND('[7]Калькулятор КНС'!I5,-3)/1000</f>
        <v>6</v>
      </c>
    </row>
    <row r="66" spans="10:26" ht="14.45" customHeight="1">
      <c r="J66" s="852">
        <v>1500</v>
      </c>
      <c r="K66" s="846"/>
      <c r="L66" s="846">
        <v>10</v>
      </c>
      <c r="M66" s="854" t="str">
        <f t="shared" si="0"/>
        <v>15001</v>
      </c>
      <c r="N66" s="846">
        <v>384</v>
      </c>
      <c r="O66" s="846">
        <v>15</v>
      </c>
      <c r="P66" s="846">
        <v>192</v>
      </c>
      <c r="Q66" s="846"/>
      <c r="R66" s="846">
        <v>87</v>
      </c>
      <c r="Z66">
        <f>MATCH(Z65,W38:AK38)</f>
        <v>4</v>
      </c>
    </row>
    <row r="67" spans="10:26" ht="14.45" customHeight="1">
      <c r="J67" s="852">
        <v>1500</v>
      </c>
      <c r="K67" s="846"/>
      <c r="L67" s="846">
        <v>16</v>
      </c>
      <c r="M67" s="854" t="str">
        <f t="shared" si="0"/>
        <v>15001,6</v>
      </c>
      <c r="N67" s="846">
        <v>614</v>
      </c>
      <c r="O67" s="846">
        <v>24</v>
      </c>
      <c r="P67" s="846">
        <v>307</v>
      </c>
      <c r="Q67" s="846"/>
      <c r="R67" s="846">
        <v>215</v>
      </c>
      <c r="Z67">
        <f>ROUND(VLOOKUP('[7]Калькулятор КНС'!G5/1000,'[7]Для расчетов'!V39:AK58,'[7]Для расчетов'!Z66,FALSE),)</f>
        <v>13</v>
      </c>
    </row>
    <row r="68" spans="10:26" ht="14.45" customHeight="1">
      <c r="J68" s="852">
        <v>1500</v>
      </c>
      <c r="K68" s="846"/>
      <c r="L68" s="846">
        <v>20</v>
      </c>
      <c r="M68" s="854" t="str">
        <f t="shared" si="0"/>
        <v>15002</v>
      </c>
      <c r="N68" s="846">
        <v>768</v>
      </c>
      <c r="O68" s="846">
        <v>31</v>
      </c>
      <c r="P68" s="846">
        <v>384</v>
      </c>
      <c r="Q68" s="846"/>
      <c r="R68" s="846">
        <v>347</v>
      </c>
    </row>
    <row r="69" spans="10:26" ht="14.45" customHeight="1">
      <c r="J69" s="846">
        <v>1600</v>
      </c>
      <c r="K69" s="846">
        <v>1637.1</v>
      </c>
      <c r="L69" s="846">
        <v>4</v>
      </c>
      <c r="M69" s="854" t="str">
        <f t="shared" si="0"/>
        <v>16000,4</v>
      </c>
      <c r="N69" s="846">
        <v>164</v>
      </c>
      <c r="O69" s="846">
        <v>7</v>
      </c>
      <c r="P69" s="846">
        <v>82</v>
      </c>
      <c r="Q69" s="846"/>
      <c r="R69" s="846">
        <v>21</v>
      </c>
      <c r="S69" s="846">
        <f>R69</f>
        <v>21</v>
      </c>
    </row>
    <row r="70" spans="10:26" ht="14.45" customHeight="1">
      <c r="J70" s="846">
        <v>1600</v>
      </c>
      <c r="K70" s="846"/>
      <c r="L70" s="846">
        <v>6</v>
      </c>
      <c r="M70" s="854" t="str">
        <f t="shared" si="0"/>
        <v>16000,6</v>
      </c>
      <c r="N70" s="846">
        <v>246</v>
      </c>
      <c r="O70" s="846">
        <v>10</v>
      </c>
      <c r="P70" s="846">
        <v>123</v>
      </c>
      <c r="Q70" s="846"/>
      <c r="R70" s="846">
        <v>42</v>
      </c>
    </row>
    <row r="71" spans="10:26" ht="14.45" customHeight="1">
      <c r="J71" s="846">
        <v>1600</v>
      </c>
      <c r="K71" s="846"/>
      <c r="L71" s="846">
        <v>10</v>
      </c>
      <c r="M71" s="854" t="str">
        <f t="shared" si="0"/>
        <v>16001</v>
      </c>
      <c r="N71" s="846">
        <v>410</v>
      </c>
      <c r="O71" s="846">
        <v>16.5</v>
      </c>
      <c r="P71" s="846">
        <v>205</v>
      </c>
      <c r="Q71" s="846"/>
      <c r="R71" s="846">
        <v>107</v>
      </c>
    </row>
    <row r="72" spans="10:26" ht="14.45" customHeight="1">
      <c r="J72" s="846">
        <v>1600</v>
      </c>
      <c r="K72" s="846"/>
      <c r="L72" s="846">
        <v>16</v>
      </c>
      <c r="M72" s="854" t="str">
        <f t="shared" si="0"/>
        <v>16001,6</v>
      </c>
      <c r="N72" s="846">
        <v>655</v>
      </c>
      <c r="O72" s="846">
        <v>26.5</v>
      </c>
      <c r="P72" s="846">
        <v>328</v>
      </c>
      <c r="Q72" s="846"/>
      <c r="R72" s="846">
        <v>267</v>
      </c>
    </row>
    <row r="73" spans="10:26" ht="14.45" customHeight="1">
      <c r="J73" s="846">
        <v>1600</v>
      </c>
      <c r="K73" s="846"/>
      <c r="L73" s="846">
        <v>20</v>
      </c>
      <c r="M73" s="854" t="str">
        <f t="shared" si="0"/>
        <v>16002</v>
      </c>
      <c r="N73" s="846">
        <v>820</v>
      </c>
      <c r="O73" s="846">
        <v>33</v>
      </c>
      <c r="P73" s="846">
        <v>410</v>
      </c>
      <c r="Q73" s="846"/>
      <c r="R73" s="846">
        <v>415</v>
      </c>
    </row>
    <row r="74" spans="10:26" ht="14.45" customHeight="1">
      <c r="J74" s="846">
        <v>1700</v>
      </c>
      <c r="K74" s="846">
        <v>1738.5</v>
      </c>
      <c r="L74" s="846">
        <v>4</v>
      </c>
      <c r="M74" s="854" t="str">
        <f t="shared" si="0"/>
        <v>17000,4</v>
      </c>
      <c r="N74" s="846">
        <v>174</v>
      </c>
      <c r="O74" s="846">
        <v>7</v>
      </c>
      <c r="P74" s="846">
        <v>87</v>
      </c>
      <c r="Q74" s="846"/>
      <c r="R74" s="846">
        <v>24</v>
      </c>
      <c r="S74" s="846">
        <f>R74</f>
        <v>24</v>
      </c>
    </row>
    <row r="75" spans="10:26" ht="14.45" customHeight="1">
      <c r="J75" s="846">
        <v>1700</v>
      </c>
      <c r="K75" s="846"/>
      <c r="L75" s="846">
        <v>6</v>
      </c>
      <c r="M75" s="854" t="str">
        <f t="shared" si="0"/>
        <v>17000,6</v>
      </c>
      <c r="N75" s="846">
        <v>261</v>
      </c>
      <c r="O75" s="846">
        <v>11</v>
      </c>
      <c r="P75" s="846">
        <v>130</v>
      </c>
      <c r="Q75" s="846"/>
      <c r="R75" s="846">
        <v>45</v>
      </c>
    </row>
    <row r="76" spans="10:26" ht="14.45" customHeight="1">
      <c r="J76" s="846">
        <v>1700</v>
      </c>
      <c r="K76" s="846"/>
      <c r="L76" s="846">
        <v>10</v>
      </c>
      <c r="M76" s="854" t="str">
        <f t="shared" si="0"/>
        <v>17001</v>
      </c>
      <c r="N76" s="846">
        <v>435</v>
      </c>
      <c r="O76" s="846">
        <v>18</v>
      </c>
      <c r="P76" s="846">
        <v>218</v>
      </c>
      <c r="Q76" s="846"/>
      <c r="R76" s="846">
        <v>131</v>
      </c>
    </row>
    <row r="77" spans="10:26" ht="14.45" customHeight="1">
      <c r="J77" s="846">
        <v>1700</v>
      </c>
      <c r="K77" s="852"/>
      <c r="L77" s="852">
        <v>16</v>
      </c>
      <c r="M77" s="854" t="str">
        <f t="shared" si="0"/>
        <v>17001,6</v>
      </c>
      <c r="N77" s="852">
        <v>696</v>
      </c>
      <c r="O77" s="852">
        <v>28</v>
      </c>
      <c r="P77" s="852">
        <v>348</v>
      </c>
      <c r="Q77" s="852"/>
      <c r="R77" s="852">
        <v>319</v>
      </c>
    </row>
    <row r="78" spans="10:26" ht="14.45" customHeight="1">
      <c r="J78" s="846">
        <v>1700</v>
      </c>
      <c r="K78" s="852"/>
      <c r="L78" s="852">
        <v>20</v>
      </c>
      <c r="M78" s="854" t="str">
        <f t="shared" si="0"/>
        <v>17002</v>
      </c>
      <c r="N78" s="846">
        <v>870</v>
      </c>
      <c r="O78" s="852">
        <v>35</v>
      </c>
      <c r="P78" s="852">
        <v>435</v>
      </c>
      <c r="Q78" s="846"/>
      <c r="R78" s="852">
        <v>498</v>
      </c>
    </row>
    <row r="79" spans="10:26" ht="14.45" customHeight="1">
      <c r="J79" s="846">
        <v>1800</v>
      </c>
      <c r="K79" s="846">
        <v>1841.1</v>
      </c>
      <c r="L79" s="846">
        <v>4</v>
      </c>
      <c r="M79" s="854" t="str">
        <f t="shared" si="0"/>
        <v>18000,4</v>
      </c>
      <c r="N79" s="846">
        <v>185</v>
      </c>
      <c r="O79" s="846">
        <v>7.5</v>
      </c>
      <c r="P79" s="846">
        <v>93</v>
      </c>
      <c r="Q79" s="846"/>
      <c r="R79" s="846">
        <v>28.6</v>
      </c>
      <c r="S79" s="846">
        <f>R79</f>
        <v>28.6</v>
      </c>
    </row>
    <row r="80" spans="10:26" ht="14.45" customHeight="1">
      <c r="J80" s="846">
        <v>1800</v>
      </c>
      <c r="K80" s="846"/>
      <c r="L80" s="846">
        <v>6</v>
      </c>
      <c r="M80" s="854" t="str">
        <f t="shared" si="0"/>
        <v>18000,6</v>
      </c>
      <c r="N80" s="846">
        <v>277</v>
      </c>
      <c r="O80" s="846">
        <v>11.5</v>
      </c>
      <c r="P80" s="846">
        <v>139</v>
      </c>
      <c r="Q80" s="846"/>
      <c r="R80" s="846">
        <v>61</v>
      </c>
    </row>
    <row r="81" spans="10:19" ht="14.45" customHeight="1">
      <c r="J81" s="846">
        <v>1800</v>
      </c>
      <c r="K81" s="846"/>
      <c r="L81" s="846">
        <v>10</v>
      </c>
      <c r="M81" s="854" t="str">
        <f t="shared" si="0"/>
        <v>18001</v>
      </c>
      <c r="N81" s="846">
        <v>461</v>
      </c>
      <c r="O81" s="846">
        <v>18.5</v>
      </c>
      <c r="P81" s="846">
        <v>231</v>
      </c>
      <c r="Q81" s="846"/>
      <c r="R81" s="846">
        <v>150</v>
      </c>
    </row>
    <row r="82" spans="10:19" ht="14.45" customHeight="1">
      <c r="J82" s="846">
        <v>1800</v>
      </c>
      <c r="K82" s="846"/>
      <c r="L82" s="846">
        <v>16</v>
      </c>
      <c r="M82" s="854" t="str">
        <f t="shared" si="0"/>
        <v>18001,6</v>
      </c>
      <c r="N82" s="846">
        <v>737</v>
      </c>
      <c r="O82" s="846">
        <v>29.5</v>
      </c>
      <c r="P82" s="846">
        <v>369</v>
      </c>
      <c r="Q82" s="846"/>
      <c r="R82" s="846">
        <v>378</v>
      </c>
    </row>
    <row r="83" spans="10:19" ht="14.45" customHeight="1">
      <c r="J83" s="846">
        <v>1800</v>
      </c>
      <c r="K83" s="846"/>
      <c r="L83" s="846">
        <v>20</v>
      </c>
      <c r="M83" s="854" t="str">
        <f t="shared" si="0"/>
        <v>18002</v>
      </c>
      <c r="N83" s="846">
        <v>921</v>
      </c>
      <c r="O83" s="846">
        <v>37</v>
      </c>
      <c r="P83" s="846">
        <v>461</v>
      </c>
      <c r="Q83" s="846"/>
      <c r="R83" s="846">
        <v>595</v>
      </c>
    </row>
    <row r="84" spans="10:19" ht="14.45" customHeight="1">
      <c r="J84" s="846">
        <v>1900</v>
      </c>
      <c r="K84" s="846">
        <v>1942.5</v>
      </c>
      <c r="L84" s="846">
        <v>4</v>
      </c>
      <c r="M84" s="854" t="str">
        <f t="shared" si="0"/>
        <v>19000,4</v>
      </c>
      <c r="N84" s="846">
        <v>194</v>
      </c>
      <c r="O84" s="846">
        <v>8</v>
      </c>
      <c r="P84" s="846">
        <v>97</v>
      </c>
      <c r="Q84" s="846"/>
      <c r="R84" s="846">
        <v>32</v>
      </c>
      <c r="S84" s="846">
        <f>R84</f>
        <v>32</v>
      </c>
    </row>
    <row r="85" spans="10:19" ht="14.45" customHeight="1">
      <c r="J85" s="846">
        <v>1900</v>
      </c>
      <c r="K85" s="846"/>
      <c r="L85" s="846">
        <v>6</v>
      </c>
      <c r="M85" s="854" t="str">
        <f t="shared" si="0"/>
        <v>19000,6</v>
      </c>
      <c r="N85" s="846">
        <v>292</v>
      </c>
      <c r="O85" s="846">
        <v>12</v>
      </c>
      <c r="P85" s="846">
        <v>146</v>
      </c>
      <c r="Q85" s="846"/>
      <c r="R85" s="846">
        <v>62</v>
      </c>
    </row>
    <row r="86" spans="10:19" ht="14.45" customHeight="1">
      <c r="J86" s="846">
        <v>1900</v>
      </c>
      <c r="K86" s="846"/>
      <c r="L86" s="846">
        <v>10</v>
      </c>
      <c r="M86" s="854" t="str">
        <f t="shared" si="0"/>
        <v>19001</v>
      </c>
      <c r="N86" s="846">
        <v>486</v>
      </c>
      <c r="O86" s="846">
        <v>19</v>
      </c>
      <c r="P86" s="846">
        <v>243</v>
      </c>
      <c r="Q86" s="846"/>
      <c r="R86" s="846">
        <v>166</v>
      </c>
    </row>
    <row r="87" spans="10:19" ht="14.45" customHeight="1">
      <c r="J87" s="846">
        <v>1900</v>
      </c>
      <c r="K87" s="846"/>
      <c r="L87" s="846">
        <v>16</v>
      </c>
      <c r="M87" s="854" t="str">
        <f t="shared" si="0"/>
        <v>19001,6</v>
      </c>
      <c r="N87" s="846">
        <v>777</v>
      </c>
      <c r="O87" s="846">
        <v>31</v>
      </c>
      <c r="P87" s="846">
        <v>389</v>
      </c>
      <c r="Q87" s="846"/>
      <c r="R87" s="846">
        <v>428</v>
      </c>
    </row>
    <row r="88" spans="10:19" ht="14.45" customHeight="1">
      <c r="J88" s="846">
        <v>1900</v>
      </c>
      <c r="K88" s="846"/>
      <c r="L88" s="846">
        <v>20</v>
      </c>
      <c r="M88" s="854" t="str">
        <f t="shared" si="0"/>
        <v>19002</v>
      </c>
      <c r="N88" s="846">
        <v>970</v>
      </c>
      <c r="O88" s="846">
        <v>39</v>
      </c>
      <c r="P88" s="846">
        <v>485</v>
      </c>
      <c r="Q88" s="846"/>
      <c r="R88" s="846">
        <v>662</v>
      </c>
    </row>
    <row r="89" spans="10:19" ht="14.45" customHeight="1">
      <c r="J89" s="846">
        <v>2000</v>
      </c>
      <c r="K89" s="846">
        <v>2045.1</v>
      </c>
      <c r="L89" s="846">
        <v>4</v>
      </c>
      <c r="M89" s="854" t="str">
        <f t="shared" si="0"/>
        <v>20000,4</v>
      </c>
      <c r="N89" s="846">
        <v>205</v>
      </c>
      <c r="O89" s="846">
        <v>8.5</v>
      </c>
      <c r="P89" s="846">
        <v>103</v>
      </c>
      <c r="Q89" s="846"/>
      <c r="R89" s="846">
        <v>35</v>
      </c>
      <c r="S89" s="846">
        <f>R89</f>
        <v>35</v>
      </c>
    </row>
    <row r="90" spans="10:19" ht="14.45" customHeight="1">
      <c r="J90" s="846">
        <v>2000</v>
      </c>
      <c r="K90" s="852"/>
      <c r="L90" s="852">
        <v>6</v>
      </c>
      <c r="M90" s="854" t="str">
        <f t="shared" si="0"/>
        <v>20000,6</v>
      </c>
      <c r="N90" s="852">
        <v>307</v>
      </c>
      <c r="O90" s="852">
        <v>12.5</v>
      </c>
      <c r="P90" s="852">
        <v>154</v>
      </c>
      <c r="Q90" s="852"/>
      <c r="R90" s="852">
        <v>75</v>
      </c>
    </row>
    <row r="91" spans="10:19" ht="14.45" customHeight="1">
      <c r="J91" s="846">
        <v>2000</v>
      </c>
      <c r="K91" s="852"/>
      <c r="L91" s="852">
        <v>10</v>
      </c>
      <c r="M91" s="854" t="str">
        <f t="shared" si="0"/>
        <v>20001</v>
      </c>
      <c r="N91" s="846">
        <v>512</v>
      </c>
      <c r="O91" s="852">
        <v>20.5</v>
      </c>
      <c r="P91" s="852">
        <v>256</v>
      </c>
      <c r="Q91" s="846"/>
      <c r="R91" s="852">
        <v>200</v>
      </c>
    </row>
    <row r="92" spans="10:19" ht="14.45" customHeight="1">
      <c r="J92" s="846">
        <v>2000</v>
      </c>
      <c r="K92" s="846"/>
      <c r="L92" s="846">
        <v>16</v>
      </c>
      <c r="M92" s="854" t="str">
        <f t="shared" si="0"/>
        <v>20001,6</v>
      </c>
      <c r="N92" s="846">
        <v>818</v>
      </c>
      <c r="O92" s="846">
        <v>33</v>
      </c>
      <c r="P92" s="846">
        <v>409</v>
      </c>
      <c r="Q92" s="846"/>
      <c r="R92" s="846">
        <v>502</v>
      </c>
    </row>
    <row r="93" spans="10:19" ht="14.45" customHeight="1">
      <c r="J93" s="846">
        <v>2000</v>
      </c>
      <c r="K93" s="846"/>
      <c r="L93" s="846">
        <v>20</v>
      </c>
      <c r="M93" s="854" t="str">
        <f t="shared" si="0"/>
        <v>20002</v>
      </c>
      <c r="N93" s="846">
        <v>1023</v>
      </c>
      <c r="O93" s="846">
        <v>41</v>
      </c>
      <c r="P93" s="846">
        <v>512</v>
      </c>
      <c r="Q93" s="846"/>
      <c r="R93" s="846">
        <v>779</v>
      </c>
    </row>
    <row r="94" spans="10:19" ht="14.45" customHeight="1">
      <c r="J94" s="846">
        <v>2100</v>
      </c>
      <c r="K94" s="846">
        <v>2110.3000000000002</v>
      </c>
      <c r="L94" s="846">
        <v>4</v>
      </c>
      <c r="M94" s="854" t="str">
        <f t="shared" si="0"/>
        <v>21000,4</v>
      </c>
      <c r="N94" s="846">
        <v>211</v>
      </c>
      <c r="O94" s="846">
        <v>8.5</v>
      </c>
      <c r="P94" s="846">
        <v>106</v>
      </c>
      <c r="Q94" s="846"/>
      <c r="R94" s="846">
        <v>37</v>
      </c>
      <c r="S94" s="846">
        <f>R94</f>
        <v>37</v>
      </c>
    </row>
    <row r="95" spans="10:19" ht="14.45" customHeight="1">
      <c r="J95" s="846">
        <v>2100</v>
      </c>
      <c r="K95" s="846"/>
      <c r="L95" s="846">
        <v>6</v>
      </c>
      <c r="M95" s="854" t="str">
        <f t="shared" si="0"/>
        <v>21000,6</v>
      </c>
      <c r="N95" s="846">
        <v>317</v>
      </c>
      <c r="O95" s="846">
        <v>13</v>
      </c>
      <c r="P95" s="846">
        <v>159</v>
      </c>
      <c r="Q95" s="846"/>
      <c r="R95" s="846">
        <v>82</v>
      </c>
    </row>
    <row r="96" spans="10:19" ht="14.45" customHeight="1">
      <c r="J96" s="846">
        <v>2100</v>
      </c>
      <c r="K96" s="846"/>
      <c r="L96" s="846">
        <v>10</v>
      </c>
      <c r="M96" s="854" t="str">
        <f t="shared" si="0"/>
        <v>21001</v>
      </c>
      <c r="N96" s="846">
        <v>528</v>
      </c>
      <c r="O96" s="846">
        <v>21</v>
      </c>
      <c r="P96" s="846">
        <v>264</v>
      </c>
      <c r="Q96" s="846"/>
      <c r="R96" s="846">
        <v>215</v>
      </c>
    </row>
    <row r="97" spans="10:19" ht="14.45" customHeight="1">
      <c r="J97" s="846">
        <v>2100</v>
      </c>
      <c r="K97" s="846"/>
      <c r="L97" s="846">
        <v>16</v>
      </c>
      <c r="M97" s="854" t="str">
        <f t="shared" si="0"/>
        <v>21001,6</v>
      </c>
      <c r="N97" s="846">
        <v>845</v>
      </c>
      <c r="O97" s="846">
        <v>34</v>
      </c>
      <c r="P97" s="846">
        <v>423</v>
      </c>
      <c r="Q97" s="846"/>
      <c r="R97" s="846">
        <v>557</v>
      </c>
    </row>
    <row r="98" spans="10:19" ht="14.45" customHeight="1">
      <c r="J98" s="846">
        <v>2100</v>
      </c>
      <c r="K98" s="846"/>
      <c r="L98" s="846">
        <v>20</v>
      </c>
      <c r="M98" s="854" t="str">
        <f t="shared" si="0"/>
        <v>21002</v>
      </c>
      <c r="N98" s="846">
        <v>1055</v>
      </c>
      <c r="O98" s="846">
        <v>43</v>
      </c>
      <c r="P98" s="846">
        <v>528</v>
      </c>
      <c r="Q98" s="846"/>
      <c r="R98" s="846">
        <v>868</v>
      </c>
    </row>
    <row r="99" spans="10:19" ht="14.45" customHeight="1">
      <c r="J99" s="846">
        <v>2200</v>
      </c>
      <c r="K99" s="846">
        <v>2249</v>
      </c>
      <c r="L99" s="846">
        <v>4</v>
      </c>
      <c r="M99" s="854" t="str">
        <f t="shared" si="0"/>
        <v>22000,4</v>
      </c>
      <c r="N99" s="846">
        <v>225</v>
      </c>
      <c r="O99" s="846">
        <v>9</v>
      </c>
      <c r="P99" s="846">
        <v>113</v>
      </c>
      <c r="Q99" s="846"/>
      <c r="R99" s="846">
        <v>44</v>
      </c>
      <c r="S99" s="846">
        <f>R99</f>
        <v>44</v>
      </c>
    </row>
    <row r="100" spans="10:19" ht="14.45" customHeight="1">
      <c r="J100" s="846">
        <v>2200</v>
      </c>
      <c r="K100" s="846"/>
      <c r="L100" s="846">
        <v>6</v>
      </c>
      <c r="M100" s="854" t="str">
        <f t="shared" si="0"/>
        <v>22000,6</v>
      </c>
      <c r="N100" s="846">
        <v>338</v>
      </c>
      <c r="O100" s="846">
        <v>13.5</v>
      </c>
      <c r="P100" s="846">
        <v>169</v>
      </c>
      <c r="Q100" s="846"/>
      <c r="R100" s="846">
        <v>96</v>
      </c>
    </row>
    <row r="101" spans="10:19" ht="14.45" customHeight="1">
      <c r="J101" s="846">
        <v>2200</v>
      </c>
      <c r="K101" s="846"/>
      <c r="L101" s="846">
        <v>10</v>
      </c>
      <c r="M101" s="854" t="str">
        <f t="shared" si="0"/>
        <v>22001</v>
      </c>
      <c r="N101" s="846">
        <v>563</v>
      </c>
      <c r="O101" s="846">
        <v>22.5</v>
      </c>
      <c r="P101" s="846">
        <v>282</v>
      </c>
      <c r="Q101" s="846"/>
      <c r="R101" s="846">
        <v>263</v>
      </c>
    </row>
    <row r="102" spans="10:19" ht="14.45" customHeight="1">
      <c r="J102" s="846">
        <v>2200</v>
      </c>
      <c r="K102" s="846"/>
      <c r="L102" s="846">
        <v>16</v>
      </c>
      <c r="M102" s="854" t="str">
        <f t="shared" si="0"/>
        <v>22001,6</v>
      </c>
      <c r="N102" s="846">
        <v>900</v>
      </c>
      <c r="O102" s="846">
        <v>36</v>
      </c>
      <c r="P102" s="846">
        <v>450</v>
      </c>
      <c r="Q102" s="846"/>
      <c r="R102" s="846">
        <v>667</v>
      </c>
    </row>
    <row r="103" spans="10:19" ht="14.45" customHeight="1">
      <c r="J103" s="846">
        <v>2200</v>
      </c>
      <c r="K103" s="852"/>
      <c r="L103" s="852">
        <v>20</v>
      </c>
      <c r="M103" s="854" t="str">
        <f t="shared" ref="M103" si="17">J103&amp;L103/10</f>
        <v>22002</v>
      </c>
      <c r="N103" s="852">
        <v>1125</v>
      </c>
      <c r="O103" s="852">
        <v>45</v>
      </c>
      <c r="P103" s="852">
        <v>563</v>
      </c>
      <c r="Q103" s="852"/>
      <c r="R103" s="852">
        <v>1047</v>
      </c>
    </row>
    <row r="104" spans="10:19" ht="14.45" customHeight="1">
      <c r="J104" s="846">
        <v>2300</v>
      </c>
      <c r="K104" s="852">
        <v>2350.5</v>
      </c>
      <c r="L104" s="852">
        <v>4</v>
      </c>
      <c r="M104" s="854" t="str">
        <f t="shared" ref="M104:M143" si="18">J104&amp;L104/10</f>
        <v>23000,4</v>
      </c>
      <c r="N104" s="846">
        <v>235</v>
      </c>
      <c r="O104" s="852">
        <v>9.5</v>
      </c>
      <c r="P104" s="852">
        <v>118</v>
      </c>
      <c r="Q104" s="846"/>
      <c r="R104" s="852">
        <v>51</v>
      </c>
      <c r="S104" s="846">
        <f>R104</f>
        <v>51</v>
      </c>
    </row>
    <row r="105" spans="10:19" ht="14.45" customHeight="1">
      <c r="J105" s="846">
        <v>2300</v>
      </c>
      <c r="K105" s="846"/>
      <c r="L105" s="846">
        <v>6</v>
      </c>
      <c r="M105" s="854" t="str">
        <f t="shared" si="18"/>
        <v>23000,6</v>
      </c>
      <c r="N105" s="846">
        <v>353</v>
      </c>
      <c r="O105" s="846">
        <v>14</v>
      </c>
      <c r="P105" s="846">
        <v>177</v>
      </c>
      <c r="Q105" s="846"/>
      <c r="R105" s="846">
        <v>112</v>
      </c>
    </row>
    <row r="106" spans="10:19" ht="14.45" customHeight="1">
      <c r="J106" s="846">
        <v>2300</v>
      </c>
      <c r="K106" s="846"/>
      <c r="L106" s="846">
        <v>10</v>
      </c>
      <c r="M106" s="854" t="str">
        <f t="shared" si="18"/>
        <v>23001</v>
      </c>
      <c r="N106" s="846">
        <v>588</v>
      </c>
      <c r="O106" s="846">
        <v>23.5</v>
      </c>
      <c r="P106" s="846">
        <v>294</v>
      </c>
      <c r="Q106" s="846"/>
      <c r="R106" s="846">
        <v>300</v>
      </c>
    </row>
    <row r="107" spans="10:19" ht="14.45" customHeight="1">
      <c r="J107" s="846">
        <v>2300</v>
      </c>
      <c r="K107" s="846"/>
      <c r="L107" s="846">
        <v>16</v>
      </c>
      <c r="M107" s="854" t="str">
        <f t="shared" si="18"/>
        <v>23001,6</v>
      </c>
      <c r="N107" s="846">
        <v>940</v>
      </c>
      <c r="O107" s="846">
        <v>37.5</v>
      </c>
      <c r="P107" s="846">
        <v>470</v>
      </c>
      <c r="Q107" s="846"/>
      <c r="R107" s="846">
        <v>754</v>
      </c>
    </row>
    <row r="108" spans="10:19" ht="14.45" customHeight="1">
      <c r="J108" s="846">
        <v>2300</v>
      </c>
      <c r="K108" s="846"/>
      <c r="L108" s="846">
        <v>20</v>
      </c>
      <c r="M108" s="854" t="str">
        <f t="shared" si="18"/>
        <v>23002</v>
      </c>
      <c r="N108" s="846">
        <v>1175</v>
      </c>
      <c r="O108" s="846">
        <v>47</v>
      </c>
      <c r="P108" s="846">
        <v>588</v>
      </c>
      <c r="Q108" s="846"/>
      <c r="R108" s="846">
        <v>1175</v>
      </c>
    </row>
    <row r="109" spans="10:19" ht="14.45" customHeight="1">
      <c r="J109" s="846">
        <v>2400</v>
      </c>
      <c r="K109" s="846">
        <v>2453.1</v>
      </c>
      <c r="L109" s="846">
        <v>4</v>
      </c>
      <c r="M109" s="854" t="str">
        <f t="shared" si="18"/>
        <v>24000,4</v>
      </c>
      <c r="N109" s="846">
        <v>246</v>
      </c>
      <c r="O109" s="846">
        <v>10</v>
      </c>
      <c r="P109" s="846">
        <v>123</v>
      </c>
      <c r="Q109" s="846"/>
      <c r="R109" s="846">
        <v>60</v>
      </c>
      <c r="S109" s="846">
        <f>R109</f>
        <v>60</v>
      </c>
    </row>
    <row r="110" spans="10:19" ht="14.45" customHeight="1">
      <c r="J110" s="846">
        <v>2400</v>
      </c>
      <c r="K110" s="846"/>
      <c r="L110" s="846">
        <v>6</v>
      </c>
      <c r="M110" s="854" t="str">
        <f t="shared" si="18"/>
        <v>24000,6</v>
      </c>
      <c r="N110" s="846">
        <v>368</v>
      </c>
      <c r="O110" s="846">
        <v>15</v>
      </c>
      <c r="P110" s="846">
        <v>184</v>
      </c>
      <c r="Q110" s="846"/>
      <c r="R110" s="846">
        <v>126</v>
      </c>
    </row>
    <row r="111" spans="10:19" ht="14.45" customHeight="1">
      <c r="J111" s="846">
        <v>2400</v>
      </c>
      <c r="K111" s="846"/>
      <c r="L111" s="846">
        <v>10</v>
      </c>
      <c r="M111" s="854" t="str">
        <f t="shared" si="18"/>
        <v>24001</v>
      </c>
      <c r="N111" s="846">
        <v>614</v>
      </c>
      <c r="O111" s="846">
        <v>25</v>
      </c>
      <c r="P111" s="846">
        <v>307</v>
      </c>
      <c r="Q111" s="846"/>
      <c r="R111" s="846">
        <v>342</v>
      </c>
    </row>
    <row r="112" spans="10:19" ht="14.45" customHeight="1">
      <c r="J112" s="846">
        <v>2400</v>
      </c>
      <c r="K112" s="846"/>
      <c r="L112" s="846">
        <v>16</v>
      </c>
      <c r="M112" s="854" t="str">
        <f t="shared" si="18"/>
        <v>24001,6</v>
      </c>
      <c r="N112" s="846">
        <v>982</v>
      </c>
      <c r="O112" s="846">
        <v>39.5</v>
      </c>
      <c r="P112" s="846">
        <v>491</v>
      </c>
      <c r="Q112" s="846"/>
      <c r="R112" s="846">
        <v>862</v>
      </c>
    </row>
    <row r="113" spans="10:19" ht="14.45" customHeight="1">
      <c r="J113" s="846">
        <v>2400</v>
      </c>
      <c r="K113" s="846"/>
      <c r="L113" s="846">
        <v>20</v>
      </c>
      <c r="M113" s="854" t="str">
        <f t="shared" si="18"/>
        <v>24002</v>
      </c>
      <c r="N113" s="846">
        <v>1227</v>
      </c>
      <c r="O113" s="846">
        <v>49.5</v>
      </c>
      <c r="P113" s="846">
        <v>614</v>
      </c>
      <c r="Q113" s="846"/>
      <c r="R113" s="846">
        <v>1352</v>
      </c>
    </row>
    <row r="114" spans="10:19" ht="14.45" customHeight="1">
      <c r="J114" s="846">
        <v>2500</v>
      </c>
      <c r="K114" s="846">
        <v>2554.5</v>
      </c>
      <c r="L114" s="846">
        <v>4</v>
      </c>
      <c r="M114" s="854" t="str">
        <f t="shared" si="18"/>
        <v>25000,4</v>
      </c>
      <c r="N114" s="846">
        <v>256</v>
      </c>
      <c r="O114" s="846">
        <v>10.5</v>
      </c>
      <c r="P114" s="846">
        <v>228</v>
      </c>
      <c r="Q114" s="846"/>
      <c r="R114" s="846">
        <v>67</v>
      </c>
      <c r="S114" s="846">
        <f>R114</f>
        <v>67</v>
      </c>
    </row>
    <row r="115" spans="10:19" ht="14.45" customHeight="1">
      <c r="J115" s="846">
        <v>2500</v>
      </c>
      <c r="K115" s="846"/>
      <c r="L115" s="846">
        <v>6</v>
      </c>
      <c r="M115" s="854" t="str">
        <f t="shared" si="18"/>
        <v>25000,6</v>
      </c>
      <c r="N115" s="846">
        <v>384</v>
      </c>
      <c r="O115" s="846">
        <v>15.5</v>
      </c>
      <c r="P115" s="846">
        <v>192</v>
      </c>
      <c r="Q115" s="846"/>
      <c r="R115" s="846">
        <v>143</v>
      </c>
    </row>
    <row r="116" spans="10:19" ht="14.45" customHeight="1">
      <c r="J116" s="846">
        <v>2500</v>
      </c>
      <c r="K116" s="852"/>
      <c r="L116" s="852">
        <v>10</v>
      </c>
      <c r="M116" s="854" t="str">
        <f t="shared" si="18"/>
        <v>25001</v>
      </c>
      <c r="N116" s="852">
        <v>639</v>
      </c>
      <c r="O116" s="852">
        <v>25.5</v>
      </c>
      <c r="P116" s="852">
        <v>320</v>
      </c>
      <c r="Q116" s="852"/>
      <c r="R116" s="852">
        <v>383</v>
      </c>
    </row>
    <row r="117" spans="10:19" ht="14.45" customHeight="1">
      <c r="J117" s="846">
        <v>2500</v>
      </c>
      <c r="K117" s="852"/>
      <c r="L117" s="852">
        <v>16</v>
      </c>
      <c r="M117" s="854" t="str">
        <f t="shared" si="18"/>
        <v>25001,6</v>
      </c>
      <c r="N117" s="846">
        <v>1022</v>
      </c>
      <c r="O117" s="852">
        <v>41</v>
      </c>
      <c r="P117" s="852">
        <v>511</v>
      </c>
      <c r="Q117" s="846"/>
      <c r="R117" s="852">
        <v>968</v>
      </c>
    </row>
    <row r="118" spans="10:19" ht="14.45" customHeight="1">
      <c r="J118" s="846">
        <v>2500</v>
      </c>
      <c r="K118" s="846"/>
      <c r="L118" s="846">
        <v>20</v>
      </c>
      <c r="M118" s="854" t="str">
        <f t="shared" si="18"/>
        <v>25002</v>
      </c>
      <c r="N118" s="846">
        <v>1277</v>
      </c>
      <c r="O118" s="846">
        <v>51</v>
      </c>
      <c r="P118" s="846">
        <v>639</v>
      </c>
      <c r="Q118" s="846"/>
      <c r="R118" s="846">
        <v>1524</v>
      </c>
    </row>
    <row r="119" spans="10:19" ht="14.45" customHeight="1">
      <c r="J119" s="846">
        <v>2600</v>
      </c>
      <c r="K119" s="846">
        <v>2657.1</v>
      </c>
      <c r="L119" s="846">
        <v>4</v>
      </c>
      <c r="M119" s="854" t="str">
        <f t="shared" si="18"/>
        <v>26000,4</v>
      </c>
      <c r="N119" s="846">
        <v>266</v>
      </c>
      <c r="O119" s="846">
        <v>11</v>
      </c>
      <c r="P119" s="846">
        <v>133</v>
      </c>
      <c r="Q119" s="846"/>
      <c r="R119" s="846">
        <v>74</v>
      </c>
      <c r="S119" s="846">
        <f>R119</f>
        <v>74</v>
      </c>
    </row>
    <row r="120" spans="10:19" ht="14.45" customHeight="1">
      <c r="J120" s="846">
        <v>2600</v>
      </c>
      <c r="K120" s="846"/>
      <c r="L120" s="846">
        <v>6</v>
      </c>
      <c r="M120" s="854" t="str">
        <f t="shared" si="18"/>
        <v>26000,6</v>
      </c>
      <c r="N120" s="846">
        <v>400</v>
      </c>
      <c r="O120" s="846">
        <v>16</v>
      </c>
      <c r="P120" s="846">
        <v>200</v>
      </c>
      <c r="Q120" s="846"/>
      <c r="R120" s="846">
        <v>161</v>
      </c>
    </row>
    <row r="121" spans="10:19" ht="14.45" customHeight="1">
      <c r="J121" s="846">
        <v>2600</v>
      </c>
      <c r="K121" s="846"/>
      <c r="L121" s="846">
        <v>10</v>
      </c>
      <c r="M121" s="854" t="str">
        <f t="shared" si="18"/>
        <v>26001</v>
      </c>
      <c r="N121" s="846">
        <v>665</v>
      </c>
      <c r="O121" s="846">
        <v>27</v>
      </c>
      <c r="P121" s="846">
        <v>333</v>
      </c>
      <c r="Q121" s="846"/>
      <c r="R121" s="846">
        <v>456</v>
      </c>
    </row>
    <row r="122" spans="10:19" ht="14.45" customHeight="1">
      <c r="J122" s="846">
        <v>2600</v>
      </c>
      <c r="K122" s="846"/>
      <c r="L122" s="846">
        <v>16</v>
      </c>
      <c r="M122" s="854" t="str">
        <f t="shared" si="18"/>
        <v>26001,6</v>
      </c>
      <c r="N122" s="846">
        <v>1063</v>
      </c>
      <c r="O122" s="846">
        <v>43</v>
      </c>
      <c r="P122" s="846">
        <v>532</v>
      </c>
      <c r="Q122" s="846"/>
      <c r="R122" s="846">
        <v>1093</v>
      </c>
    </row>
    <row r="123" spans="10:19" ht="14.45" customHeight="1">
      <c r="J123" s="846">
        <v>2600</v>
      </c>
      <c r="K123" s="846"/>
      <c r="L123" s="846">
        <v>20</v>
      </c>
      <c r="M123" s="854" t="str">
        <f t="shared" si="18"/>
        <v>26002</v>
      </c>
      <c r="N123" s="846">
        <v>1330</v>
      </c>
      <c r="O123" s="846">
        <v>53.5</v>
      </c>
      <c r="P123" s="846">
        <v>665</v>
      </c>
      <c r="Q123" s="846"/>
      <c r="R123" s="846">
        <v>1688</v>
      </c>
    </row>
    <row r="124" spans="10:19" ht="14.45" customHeight="1">
      <c r="J124" s="846">
        <v>2700</v>
      </c>
      <c r="K124" s="846">
        <v>2758</v>
      </c>
      <c r="L124" s="846">
        <v>4</v>
      </c>
      <c r="M124" s="854" t="str">
        <f t="shared" si="18"/>
        <v>27000,4</v>
      </c>
      <c r="N124" s="846">
        <v>276</v>
      </c>
      <c r="O124" s="846">
        <v>11</v>
      </c>
      <c r="P124" s="846">
        <v>168</v>
      </c>
      <c r="Q124" s="846">
        <v>2</v>
      </c>
      <c r="R124" s="846">
        <v>84</v>
      </c>
      <c r="S124" s="846">
        <f>R124</f>
        <v>84</v>
      </c>
    </row>
    <row r="125" spans="10:19" ht="14.45" customHeight="1">
      <c r="J125" s="846">
        <v>2700</v>
      </c>
      <c r="K125" s="846"/>
      <c r="L125" s="846">
        <v>6</v>
      </c>
      <c r="M125" s="854" t="str">
        <f t="shared" si="18"/>
        <v>27000,6</v>
      </c>
      <c r="N125" s="846">
        <v>414</v>
      </c>
      <c r="O125" s="846">
        <v>16.5</v>
      </c>
      <c r="P125" s="846">
        <v>207</v>
      </c>
      <c r="Q125" s="846"/>
      <c r="R125" s="846">
        <v>177</v>
      </c>
    </row>
    <row r="126" spans="10:19" ht="14.45" customHeight="1">
      <c r="J126" s="846">
        <v>2700</v>
      </c>
      <c r="K126" s="846"/>
      <c r="L126" s="846">
        <v>10</v>
      </c>
      <c r="M126" s="854" t="str">
        <f t="shared" si="18"/>
        <v>27001</v>
      </c>
      <c r="N126" s="846">
        <v>690</v>
      </c>
      <c r="O126" s="846">
        <v>27.5</v>
      </c>
      <c r="P126" s="846">
        <v>345</v>
      </c>
      <c r="Q126" s="846"/>
      <c r="R126" s="846">
        <v>479</v>
      </c>
    </row>
    <row r="127" spans="10:19" ht="14.45" customHeight="1">
      <c r="J127" s="846">
        <v>2700</v>
      </c>
      <c r="K127" s="846"/>
      <c r="L127" s="846">
        <v>16</v>
      </c>
      <c r="M127" s="854" t="str">
        <f t="shared" si="18"/>
        <v>27001,6</v>
      </c>
      <c r="N127" s="846">
        <v>1103</v>
      </c>
      <c r="O127" s="846">
        <v>44</v>
      </c>
      <c r="P127" s="846">
        <v>552</v>
      </c>
      <c r="Q127" s="846"/>
      <c r="R127" s="846">
        <v>1218</v>
      </c>
    </row>
    <row r="128" spans="10:19" ht="14.45" customHeight="1">
      <c r="J128" s="846">
        <v>2700</v>
      </c>
      <c r="K128" s="846"/>
      <c r="L128" s="846">
        <v>20</v>
      </c>
      <c r="M128" s="854" t="str">
        <f t="shared" si="18"/>
        <v>27002</v>
      </c>
      <c r="N128" s="846">
        <v>1379</v>
      </c>
      <c r="O128" s="846">
        <v>55</v>
      </c>
      <c r="P128" s="846">
        <v>689</v>
      </c>
      <c r="Q128" s="846"/>
      <c r="R128" s="846">
        <v>1884</v>
      </c>
    </row>
    <row r="129" spans="10:19" ht="14.45" customHeight="1">
      <c r="J129" s="852">
        <v>2800</v>
      </c>
      <c r="K129" s="852">
        <v>2860</v>
      </c>
      <c r="L129" s="852">
        <v>4</v>
      </c>
      <c r="M129" s="854" t="str">
        <f t="shared" si="18"/>
        <v>28000,4</v>
      </c>
      <c r="N129" s="852">
        <v>286</v>
      </c>
      <c r="O129" s="852">
        <v>11.5</v>
      </c>
      <c r="P129" s="852">
        <v>143</v>
      </c>
      <c r="Q129" s="852"/>
      <c r="R129" s="852">
        <v>89</v>
      </c>
      <c r="S129" s="846">
        <f>R129</f>
        <v>89</v>
      </c>
    </row>
    <row r="130" spans="10:19" ht="14.45" customHeight="1">
      <c r="J130" s="852">
        <v>2800</v>
      </c>
      <c r="K130" s="852"/>
      <c r="L130" s="852">
        <v>6</v>
      </c>
      <c r="M130" s="854" t="str">
        <f t="shared" si="18"/>
        <v>28000,6</v>
      </c>
      <c r="N130" s="846">
        <v>429</v>
      </c>
      <c r="O130" s="852">
        <v>17</v>
      </c>
      <c r="P130" s="852">
        <v>215</v>
      </c>
      <c r="Q130" s="846"/>
      <c r="R130" s="852">
        <v>193</v>
      </c>
    </row>
    <row r="131" spans="10:19" ht="14.45" customHeight="1">
      <c r="J131" s="852">
        <v>2800</v>
      </c>
      <c r="K131" s="846"/>
      <c r="L131" s="846">
        <v>10</v>
      </c>
      <c r="M131" s="854" t="str">
        <f t="shared" si="18"/>
        <v>28001</v>
      </c>
      <c r="N131" s="846">
        <v>715</v>
      </c>
      <c r="O131" s="846">
        <v>28.5</v>
      </c>
      <c r="P131" s="846">
        <v>358</v>
      </c>
      <c r="Q131" s="846"/>
      <c r="R131" s="846">
        <v>533</v>
      </c>
    </row>
    <row r="132" spans="10:19" ht="14.45" customHeight="1">
      <c r="J132" s="852">
        <v>2800</v>
      </c>
      <c r="K132" s="846"/>
      <c r="L132" s="846">
        <v>16</v>
      </c>
      <c r="M132" s="854" t="str">
        <f t="shared" si="18"/>
        <v>28001,6</v>
      </c>
      <c r="N132" s="846">
        <v>1144</v>
      </c>
      <c r="O132" s="846">
        <v>46</v>
      </c>
      <c r="P132" s="846">
        <v>572</v>
      </c>
      <c r="Q132" s="846"/>
      <c r="R132" s="846">
        <v>1394</v>
      </c>
    </row>
    <row r="133" spans="10:19" ht="14.45" customHeight="1">
      <c r="J133" s="852">
        <v>2800</v>
      </c>
      <c r="K133" s="846"/>
      <c r="L133" s="846">
        <v>20</v>
      </c>
      <c r="M133" s="854" t="str">
        <f t="shared" si="18"/>
        <v>28002</v>
      </c>
      <c r="N133" s="846">
        <v>1430</v>
      </c>
      <c r="O133" s="846">
        <v>57</v>
      </c>
      <c r="P133" s="846">
        <v>715</v>
      </c>
      <c r="Q133" s="846"/>
      <c r="R133" s="846">
        <v>2101</v>
      </c>
    </row>
    <row r="134" spans="10:19" ht="14.45" customHeight="1">
      <c r="J134" s="846">
        <v>2900</v>
      </c>
      <c r="K134" s="846">
        <v>2962</v>
      </c>
      <c r="L134" s="846">
        <v>4</v>
      </c>
      <c r="M134" s="854" t="str">
        <f t="shared" si="18"/>
        <v>29000,4</v>
      </c>
      <c r="N134" s="846">
        <v>296</v>
      </c>
      <c r="O134" s="846">
        <v>12</v>
      </c>
      <c r="P134" s="846">
        <v>148</v>
      </c>
      <c r="Q134" s="846"/>
      <c r="R134" s="846">
        <v>102</v>
      </c>
      <c r="S134" s="846">
        <f>R134</f>
        <v>102</v>
      </c>
    </row>
    <row r="135" spans="10:19" ht="14.45" customHeight="1">
      <c r="J135" s="846">
        <v>2900</v>
      </c>
      <c r="K135" s="846"/>
      <c r="L135" s="846">
        <v>6</v>
      </c>
      <c r="M135" s="854" t="str">
        <f t="shared" si="18"/>
        <v>29000,6</v>
      </c>
      <c r="N135" s="846">
        <v>444</v>
      </c>
      <c r="O135" s="846">
        <v>18</v>
      </c>
      <c r="P135" s="846">
        <v>222</v>
      </c>
      <c r="Q135" s="846"/>
      <c r="R135" s="846">
        <v>223</v>
      </c>
    </row>
    <row r="136" spans="10:19" ht="14.45" customHeight="1">
      <c r="J136" s="846">
        <v>2900</v>
      </c>
      <c r="K136" s="846"/>
      <c r="L136" s="846">
        <v>10</v>
      </c>
      <c r="M136" s="854" t="str">
        <f t="shared" si="18"/>
        <v>29001</v>
      </c>
      <c r="N136" s="846">
        <v>740</v>
      </c>
      <c r="O136" s="846">
        <v>30</v>
      </c>
      <c r="P136" s="846">
        <v>370</v>
      </c>
      <c r="Q136" s="846"/>
      <c r="R136" s="846">
        <v>604</v>
      </c>
    </row>
    <row r="137" spans="10:19" ht="14.45" customHeight="1">
      <c r="J137" s="846">
        <v>2900</v>
      </c>
      <c r="K137" s="846"/>
      <c r="L137" s="846">
        <v>16</v>
      </c>
      <c r="M137" s="854" t="str">
        <f t="shared" si="18"/>
        <v>29001,6</v>
      </c>
      <c r="N137" s="846">
        <v>1184</v>
      </c>
      <c r="O137" s="846">
        <v>47</v>
      </c>
      <c r="P137" s="846">
        <v>592</v>
      </c>
      <c r="Q137" s="846"/>
      <c r="R137" s="846">
        <v>1486</v>
      </c>
    </row>
    <row r="138" spans="10:19" ht="14.45" customHeight="1">
      <c r="J138" s="846">
        <v>2900</v>
      </c>
      <c r="K138" s="846"/>
      <c r="L138" s="846">
        <v>20</v>
      </c>
      <c r="M138" s="854" t="str">
        <f t="shared" si="18"/>
        <v>29002</v>
      </c>
      <c r="N138" s="846">
        <v>1481</v>
      </c>
      <c r="O138" s="846">
        <v>59.5</v>
      </c>
      <c r="P138" s="846">
        <v>741</v>
      </c>
      <c r="Q138" s="846"/>
      <c r="R138" s="846">
        <v>2359</v>
      </c>
    </row>
    <row r="139" spans="10:19" ht="14.45" customHeight="1">
      <c r="J139" s="846">
        <v>3000</v>
      </c>
      <c r="K139" s="846">
        <v>3064</v>
      </c>
      <c r="L139" s="846">
        <v>4</v>
      </c>
      <c r="M139" s="854" t="str">
        <f t="shared" si="18"/>
        <v>30000,4</v>
      </c>
      <c r="N139" s="846">
        <v>307</v>
      </c>
      <c r="O139" s="846">
        <v>12.5</v>
      </c>
      <c r="P139" s="846">
        <v>154</v>
      </c>
      <c r="Q139" s="846"/>
      <c r="R139" s="846">
        <v>112</v>
      </c>
      <c r="S139" s="846">
        <f>R139</f>
        <v>112</v>
      </c>
    </row>
    <row r="140" spans="10:19" ht="14.45" customHeight="1">
      <c r="J140" s="846">
        <v>3000</v>
      </c>
      <c r="K140" s="846"/>
      <c r="L140" s="846">
        <v>6</v>
      </c>
      <c r="M140" s="854" t="str">
        <f t="shared" si="18"/>
        <v>30000,6</v>
      </c>
      <c r="N140" s="846">
        <v>460</v>
      </c>
      <c r="O140" s="846">
        <v>18.5</v>
      </c>
      <c r="P140" s="846">
        <v>230</v>
      </c>
      <c r="Q140" s="846"/>
      <c r="R140" s="846">
        <v>243</v>
      </c>
    </row>
    <row r="141" spans="10:19" ht="14.45" customHeight="1">
      <c r="J141" s="846">
        <v>3000</v>
      </c>
      <c r="K141" s="846"/>
      <c r="L141" s="846">
        <v>10</v>
      </c>
      <c r="M141" s="854" t="str">
        <f t="shared" si="18"/>
        <v>30001</v>
      </c>
      <c r="N141" s="846">
        <v>766</v>
      </c>
      <c r="O141" s="846">
        <v>31</v>
      </c>
      <c r="P141" s="846">
        <v>383</v>
      </c>
      <c r="Q141" s="846"/>
      <c r="R141" s="846">
        <v>660</v>
      </c>
    </row>
    <row r="142" spans="10:19" ht="14.45" customHeight="1">
      <c r="J142" s="846">
        <v>3000</v>
      </c>
      <c r="K142" s="852"/>
      <c r="L142" s="852">
        <v>16</v>
      </c>
      <c r="M142" s="854" t="str">
        <f t="shared" si="18"/>
        <v>30001,6</v>
      </c>
      <c r="N142" s="852">
        <v>1226</v>
      </c>
      <c r="O142" s="852">
        <v>49</v>
      </c>
      <c r="P142" s="852">
        <v>613</v>
      </c>
      <c r="Q142" s="852"/>
      <c r="R142" s="852">
        <v>1661</v>
      </c>
    </row>
    <row r="143" spans="10:19" ht="14.45" customHeight="1">
      <c r="J143" s="846">
        <v>3000</v>
      </c>
      <c r="K143" s="852"/>
      <c r="L143" s="852">
        <v>20</v>
      </c>
      <c r="M143" s="854" t="str">
        <f t="shared" si="18"/>
        <v>30002</v>
      </c>
      <c r="N143" s="846">
        <v>1532</v>
      </c>
      <c r="O143" s="852">
        <v>61.5</v>
      </c>
      <c r="P143" s="852">
        <v>766</v>
      </c>
      <c r="Q143" s="846"/>
      <c r="R143" s="852">
        <v>2764</v>
      </c>
    </row>
  </sheetData>
  <mergeCells count="35">
    <mergeCell ref="A34:E34"/>
    <mergeCell ref="S21:T21"/>
    <mergeCell ref="U21:V21"/>
    <mergeCell ref="W21:X21"/>
    <mergeCell ref="Y21:Z21"/>
    <mergeCell ref="I21:J21"/>
    <mergeCell ref="K21:L21"/>
    <mergeCell ref="M21:N21"/>
    <mergeCell ref="O21:P21"/>
    <mergeCell ref="Q21:R21"/>
    <mergeCell ref="A18:E18"/>
    <mergeCell ref="A20:A21"/>
    <mergeCell ref="C21:D21"/>
    <mergeCell ref="E21:F21"/>
    <mergeCell ref="G21:H21"/>
    <mergeCell ref="A2:A3"/>
    <mergeCell ref="C3:D3"/>
    <mergeCell ref="E3:F3"/>
    <mergeCell ref="G3:H3"/>
    <mergeCell ref="W3:X3"/>
    <mergeCell ref="O3:P3"/>
    <mergeCell ref="Q3:R3"/>
    <mergeCell ref="S3:T3"/>
    <mergeCell ref="U3:V3"/>
    <mergeCell ref="V36:AC36"/>
    <mergeCell ref="V59:AE63"/>
    <mergeCell ref="W37:AK37"/>
    <mergeCell ref="I3:J3"/>
    <mergeCell ref="K3:L3"/>
    <mergeCell ref="M3:N3"/>
    <mergeCell ref="Y3:Z3"/>
    <mergeCell ref="AA3:AB3"/>
    <mergeCell ref="AC3:AD3"/>
    <mergeCell ref="AC21:AD21"/>
    <mergeCell ref="AA21:AB21"/>
  </mergeCells>
  <phoneticPr fontId="169" type="noConversion"/>
  <hyperlinks>
    <hyperlink ref="A1" location="'Содержание'!A1" display="к содержанию" xr:uid="{00000000-0004-0000-0D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8"/>
  <dimension ref="A1:Y163"/>
  <sheetViews>
    <sheetView zoomScale="75" workbookViewId="0">
      <pane ySplit="1" topLeftCell="A2" activePane="bottomLeft" state="frozen"/>
      <selection activeCell="AA12" sqref="AA12"/>
      <selection pane="bottomLeft"/>
    </sheetView>
  </sheetViews>
  <sheetFormatPr defaultRowHeight="14.45" customHeight="1"/>
  <cols>
    <col min="1" max="1" width="14.5703125" customWidth="1"/>
    <col min="2" max="2" width="15.42578125" customWidth="1"/>
    <col min="3" max="3" width="15" customWidth="1"/>
    <col min="4" max="5" width="15.5703125" customWidth="1"/>
    <col min="6" max="6" width="12.28515625" customWidth="1"/>
    <col min="7" max="7" width="15.42578125" customWidth="1"/>
    <col min="12" max="12" width="8.85546875" customWidth="1"/>
    <col min="15" max="15" width="10.28515625" bestFit="1" customWidth="1"/>
    <col min="16" max="16" width="13.28515625" bestFit="1" customWidth="1"/>
    <col min="17" max="17" width="11.42578125" bestFit="1" customWidth="1"/>
    <col min="20" max="20" width="20.42578125" customWidth="1"/>
    <col min="25" max="25" width="7.42578125" customWidth="1"/>
    <col min="26" max="26" width="13.140625" bestFit="1" customWidth="1"/>
    <col min="27" max="27" width="57.5703125" bestFit="1" customWidth="1"/>
    <col min="28" max="28" width="9.5703125" bestFit="1" customWidth="1"/>
    <col min="29" max="29" width="9.5703125" customWidth="1"/>
    <col min="30" max="30" width="8.85546875" bestFit="1" customWidth="1"/>
    <col min="31" max="31" width="11.5703125" bestFit="1" customWidth="1"/>
    <col min="32" max="32" width="7" bestFit="1" customWidth="1"/>
    <col min="33" max="33" width="10.42578125" bestFit="1" customWidth="1"/>
    <col min="34" max="34" width="11.7109375" customWidth="1"/>
    <col min="35" max="35" width="10" bestFit="1" customWidth="1"/>
    <col min="36" max="36" width="11.42578125" bestFit="1" customWidth="1"/>
    <col min="37" max="37" width="11" bestFit="1" customWidth="1"/>
    <col min="38" max="38" width="12" bestFit="1" customWidth="1"/>
    <col min="39" max="39" width="11.42578125" bestFit="1" customWidth="1"/>
    <col min="40" max="40" width="15" bestFit="1" customWidth="1"/>
  </cols>
  <sheetData>
    <row r="1" spans="1:25" ht="60">
      <c r="A1" s="855" t="s">
        <v>1</v>
      </c>
      <c r="B1" s="856" t="s">
        <v>852</v>
      </c>
      <c r="C1" s="856" t="s">
        <v>853</v>
      </c>
      <c r="D1" s="857" t="s">
        <v>854</v>
      </c>
      <c r="E1" s="858"/>
      <c r="F1" s="859" t="s">
        <v>855</v>
      </c>
      <c r="G1" s="859" t="s">
        <v>856</v>
      </c>
      <c r="H1" s="856" t="s">
        <v>857</v>
      </c>
      <c r="I1" s="856" t="s">
        <v>858</v>
      </c>
      <c r="J1" s="856" t="s">
        <v>859</v>
      </c>
      <c r="K1" s="856" t="s">
        <v>860</v>
      </c>
      <c r="L1" s="856" t="s">
        <v>861</v>
      </c>
      <c r="M1" s="856" t="s">
        <v>862</v>
      </c>
      <c r="N1" s="856" t="s">
        <v>863</v>
      </c>
      <c r="O1" s="856" t="s">
        <v>864</v>
      </c>
      <c r="P1" s="856" t="s">
        <v>865</v>
      </c>
      <c r="Q1" s="856" t="s">
        <v>866</v>
      </c>
      <c r="S1" s="860" t="s">
        <v>563</v>
      </c>
      <c r="T1" s="860" t="s">
        <v>762</v>
      </c>
      <c r="U1" s="860" t="s">
        <v>867</v>
      </c>
      <c r="V1" s="860" t="s">
        <v>868</v>
      </c>
      <c r="W1" s="860" t="s">
        <v>869</v>
      </c>
    </row>
    <row r="2" spans="1:25" ht="15">
      <c r="A2" s="861">
        <v>314.60000000000002</v>
      </c>
      <c r="B2" s="862">
        <v>300</v>
      </c>
      <c r="C2" s="862">
        <v>2500</v>
      </c>
      <c r="D2" s="863">
        <v>0.6</v>
      </c>
      <c r="E2" s="864" t="str">
        <f t="shared" ref="E2:E37" si="0">B2&amp;";"&amp;D2&amp;";"&amp;C2</f>
        <v>300;0,6;2500</v>
      </c>
      <c r="F2" s="863">
        <v>4.5</v>
      </c>
      <c r="G2" s="863">
        <v>8.1</v>
      </c>
      <c r="H2" s="864">
        <v>50</v>
      </c>
      <c r="I2" s="863">
        <v>2</v>
      </c>
      <c r="J2" s="864">
        <v>0</v>
      </c>
      <c r="K2" s="864">
        <v>0</v>
      </c>
      <c r="L2" s="863">
        <f t="shared" ref="L2:L37" si="1">2*0.00000185*J2*3.14*K2*(A2-(2*F2)-K2)</f>
        <v>0</v>
      </c>
      <c r="M2" s="865">
        <f t="shared" ref="M2:M37" si="2">2*0.00000185*H2*3.14*I2*(A2+I2)</f>
        <v>0.36782587999999999</v>
      </c>
      <c r="N2" s="865">
        <f t="shared" ref="N2:N37" si="3">L2+M2</f>
        <v>0.36782587999999999</v>
      </c>
      <c r="O2" s="865">
        <v>8</v>
      </c>
      <c r="P2" s="863">
        <f t="shared" ref="P2:P37" si="4">(3.14*(A2^2)*O2*0.00000185)/4</f>
        <v>1.1498701728800003</v>
      </c>
      <c r="Q2" s="866">
        <f t="shared" ref="Q2:Q37" si="5">P2+N2</f>
        <v>1.5176960528800003</v>
      </c>
      <c r="S2" s="749">
        <v>25</v>
      </c>
      <c r="T2" s="749" t="s">
        <v>870</v>
      </c>
      <c r="U2" s="749">
        <v>32</v>
      </c>
      <c r="V2" s="749" t="s">
        <v>871</v>
      </c>
      <c r="W2" s="749" t="s">
        <v>872</v>
      </c>
      <c r="Y2" s="867" t="str">
        <f>IF(Z2=Таблица47[[#Headers],[Фланец]],Таблица43[[#Headers],[Давление_для_фланцев]],Таблица44[[#Headers],[Давление_для_проч_эл]])</f>
        <v>Давление_для_проч_эл</v>
      </c>
    </row>
    <row r="3" spans="1:25" ht="15">
      <c r="A3" s="868">
        <v>314.60000000000002</v>
      </c>
      <c r="B3" s="869">
        <v>300</v>
      </c>
      <c r="C3" s="869">
        <v>2500</v>
      </c>
      <c r="D3" s="870">
        <v>1</v>
      </c>
      <c r="E3" s="732" t="str">
        <f t="shared" si="0"/>
        <v>300;1;2500</v>
      </c>
      <c r="F3" s="870">
        <v>4.2</v>
      </c>
      <c r="G3" s="870">
        <v>7</v>
      </c>
      <c r="H3" s="732">
        <v>80</v>
      </c>
      <c r="I3" s="870">
        <v>3.5</v>
      </c>
      <c r="J3" s="732">
        <v>0</v>
      </c>
      <c r="K3" s="732">
        <v>0</v>
      </c>
      <c r="L3" s="870">
        <f t="shared" si="1"/>
        <v>0</v>
      </c>
      <c r="M3" s="871">
        <f t="shared" si="2"/>
        <v>1.0347920240000001</v>
      </c>
      <c r="N3" s="871">
        <f t="shared" si="3"/>
        <v>1.0347920240000001</v>
      </c>
      <c r="O3" s="871">
        <v>8</v>
      </c>
      <c r="P3" s="870">
        <f t="shared" si="4"/>
        <v>1.1498701728800003</v>
      </c>
      <c r="Q3" s="872">
        <f t="shared" si="5"/>
        <v>2.1846621968800006</v>
      </c>
      <c r="S3" s="749">
        <v>40</v>
      </c>
      <c r="T3" s="749" t="s">
        <v>873</v>
      </c>
      <c r="U3" s="749">
        <v>40</v>
      </c>
      <c r="V3" s="749" t="s">
        <v>874</v>
      </c>
      <c r="W3" s="749">
        <v>0.29199999999999998</v>
      </c>
      <c r="Y3" s="867" t="str">
        <f>IF(Z3=Таблица47[[#Headers],[Фланец]],Таблица43[[#Headers],[Давление_для_фланцев]],Таблица44[[#Headers],[Давление_для_проч_эл]])</f>
        <v>Давление_для_проч_эл</v>
      </c>
    </row>
    <row r="4" spans="1:25" ht="15">
      <c r="A4" s="868">
        <v>314.60000000000002</v>
      </c>
      <c r="B4" s="869">
        <v>300</v>
      </c>
      <c r="C4" s="869">
        <v>5000</v>
      </c>
      <c r="D4" s="870">
        <v>0.6</v>
      </c>
      <c r="E4" s="732" t="str">
        <f t="shared" si="0"/>
        <v>300;0,6;5000</v>
      </c>
      <c r="F4" s="870">
        <v>5.3</v>
      </c>
      <c r="G4" s="870">
        <v>8.9</v>
      </c>
      <c r="H4" s="732">
        <v>50</v>
      </c>
      <c r="I4" s="870">
        <v>2</v>
      </c>
      <c r="J4" s="732">
        <v>0</v>
      </c>
      <c r="K4" s="732">
        <v>0</v>
      </c>
      <c r="L4" s="870">
        <f t="shared" si="1"/>
        <v>0</v>
      </c>
      <c r="M4" s="871">
        <f t="shared" si="2"/>
        <v>0.36782587999999999</v>
      </c>
      <c r="N4" s="871">
        <f t="shared" si="3"/>
        <v>0.36782587999999999</v>
      </c>
      <c r="O4" s="871">
        <v>8</v>
      </c>
      <c r="P4" s="870">
        <f t="shared" si="4"/>
        <v>1.1498701728800003</v>
      </c>
      <c r="Q4" s="872">
        <f t="shared" si="5"/>
        <v>1.5176960528800003</v>
      </c>
      <c r="S4" s="749">
        <v>45</v>
      </c>
      <c r="T4" s="749" t="s">
        <v>875</v>
      </c>
      <c r="U4" s="749">
        <v>50</v>
      </c>
      <c r="V4" s="749" t="s">
        <v>876</v>
      </c>
      <c r="W4" s="749" t="s">
        <v>877</v>
      </c>
      <c r="Y4" s="867" t="str">
        <f>IF(Z4=Таблица47[[#Headers],[Фланец]],Таблица43[[#Headers],[Давление_для_фланцев]],Таблица44[[#Headers],[Давление_для_проч_эл]])</f>
        <v>Давление_для_проч_эл</v>
      </c>
    </row>
    <row r="5" spans="1:25" ht="15">
      <c r="A5" s="873">
        <v>314.60000000000002</v>
      </c>
      <c r="B5" s="874">
        <v>300</v>
      </c>
      <c r="C5" s="874">
        <v>5000</v>
      </c>
      <c r="D5" s="875">
        <v>1</v>
      </c>
      <c r="E5" s="876" t="str">
        <f t="shared" si="0"/>
        <v>300;1;5000</v>
      </c>
      <c r="F5" s="875">
        <v>5</v>
      </c>
      <c r="G5" s="875">
        <v>8.9</v>
      </c>
      <c r="H5" s="876">
        <v>80</v>
      </c>
      <c r="I5" s="875">
        <v>3.5</v>
      </c>
      <c r="J5" s="876">
        <v>0</v>
      </c>
      <c r="K5" s="876">
        <v>0</v>
      </c>
      <c r="L5" s="875">
        <f t="shared" si="1"/>
        <v>0</v>
      </c>
      <c r="M5" s="877">
        <f t="shared" si="2"/>
        <v>1.0347920240000001</v>
      </c>
      <c r="N5" s="877">
        <f t="shared" si="3"/>
        <v>1.0347920240000001</v>
      </c>
      <c r="O5" s="877">
        <v>8</v>
      </c>
      <c r="P5" s="875">
        <f t="shared" si="4"/>
        <v>1.1498701728800003</v>
      </c>
      <c r="Q5" s="878">
        <f t="shared" si="5"/>
        <v>2.1846621968800006</v>
      </c>
      <c r="S5" s="749">
        <v>50</v>
      </c>
      <c r="T5" s="749" t="s">
        <v>878</v>
      </c>
      <c r="U5" s="749">
        <v>63</v>
      </c>
      <c r="V5" s="749" t="s">
        <v>879</v>
      </c>
      <c r="W5" s="749">
        <v>0.71499999999999997</v>
      </c>
    </row>
    <row r="6" spans="1:25" ht="15">
      <c r="A6" s="861">
        <v>366.6</v>
      </c>
      <c r="B6" s="862">
        <v>350</v>
      </c>
      <c r="C6" s="862">
        <v>2500</v>
      </c>
      <c r="D6" s="863">
        <v>0.6</v>
      </c>
      <c r="E6" s="864" t="str">
        <f t="shared" si="0"/>
        <v>350;0,6;2500</v>
      </c>
      <c r="F6" s="863">
        <v>4.9000000000000004</v>
      </c>
      <c r="G6" s="863">
        <v>10.4</v>
      </c>
      <c r="H6" s="864">
        <v>55</v>
      </c>
      <c r="I6" s="863">
        <v>2.5</v>
      </c>
      <c r="J6" s="864">
        <v>0</v>
      </c>
      <c r="K6" s="864">
        <v>0</v>
      </c>
      <c r="L6" s="863">
        <f t="shared" si="1"/>
        <v>0</v>
      </c>
      <c r="M6" s="865">
        <f t="shared" si="2"/>
        <v>0.58962802250000013</v>
      </c>
      <c r="N6" s="865">
        <f t="shared" si="3"/>
        <v>0.58962802250000013</v>
      </c>
      <c r="O6" s="865">
        <v>8</v>
      </c>
      <c r="P6" s="863">
        <f t="shared" si="4"/>
        <v>1.5614076160800003</v>
      </c>
      <c r="Q6" s="866">
        <f t="shared" si="5"/>
        <v>2.1510356385800007</v>
      </c>
      <c r="S6" s="749">
        <v>65</v>
      </c>
      <c r="T6" s="749" t="s">
        <v>880</v>
      </c>
      <c r="U6" s="749">
        <v>75</v>
      </c>
      <c r="V6" s="749" t="s">
        <v>881</v>
      </c>
      <c r="W6" s="749">
        <v>1.01</v>
      </c>
    </row>
    <row r="7" spans="1:25" ht="15">
      <c r="A7" s="868">
        <v>366.6</v>
      </c>
      <c r="B7" s="869">
        <v>350</v>
      </c>
      <c r="C7" s="869">
        <v>2500</v>
      </c>
      <c r="D7" s="870">
        <v>1</v>
      </c>
      <c r="E7" s="732" t="str">
        <f t="shared" si="0"/>
        <v>350;1;2500</v>
      </c>
      <c r="F7" s="870">
        <v>4.7</v>
      </c>
      <c r="G7" s="870">
        <v>9.4</v>
      </c>
      <c r="H7" s="732">
        <v>92</v>
      </c>
      <c r="I7" s="870">
        <v>4</v>
      </c>
      <c r="J7" s="732">
        <v>0</v>
      </c>
      <c r="K7" s="732">
        <v>0</v>
      </c>
      <c r="L7" s="870">
        <f t="shared" si="1"/>
        <v>0</v>
      </c>
      <c r="M7" s="871">
        <f t="shared" si="2"/>
        <v>1.5844721344000003</v>
      </c>
      <c r="N7" s="871">
        <f t="shared" si="3"/>
        <v>1.5844721344000003</v>
      </c>
      <c r="O7" s="871">
        <v>8</v>
      </c>
      <c r="P7" s="870">
        <f t="shared" si="4"/>
        <v>1.5614076160800003</v>
      </c>
      <c r="Q7" s="872">
        <f t="shared" si="5"/>
        <v>3.1458797504800007</v>
      </c>
      <c r="S7" s="749">
        <v>80</v>
      </c>
      <c r="T7" s="749" t="s">
        <v>882</v>
      </c>
      <c r="U7" s="749">
        <v>90</v>
      </c>
      <c r="V7" s="749" t="s">
        <v>883</v>
      </c>
      <c r="W7" s="749">
        <v>1.45</v>
      </c>
    </row>
    <row r="8" spans="1:25" ht="15">
      <c r="A8" s="868">
        <v>366.6</v>
      </c>
      <c r="B8" s="869">
        <v>350</v>
      </c>
      <c r="C8" s="869">
        <v>5000</v>
      </c>
      <c r="D8" s="870">
        <v>0.6</v>
      </c>
      <c r="E8" s="732" t="str">
        <f t="shared" si="0"/>
        <v>350;0,6;5000</v>
      </c>
      <c r="F8" s="870">
        <v>6</v>
      </c>
      <c r="G8" s="870">
        <v>13.1</v>
      </c>
      <c r="H8" s="732">
        <v>55</v>
      </c>
      <c r="I8" s="870">
        <v>2.5</v>
      </c>
      <c r="J8" s="732">
        <v>0</v>
      </c>
      <c r="K8" s="732">
        <v>0</v>
      </c>
      <c r="L8" s="870">
        <f t="shared" si="1"/>
        <v>0</v>
      </c>
      <c r="M8" s="871">
        <f t="shared" si="2"/>
        <v>0.58962802250000013</v>
      </c>
      <c r="N8" s="871">
        <f t="shared" si="3"/>
        <v>0.58962802250000013</v>
      </c>
      <c r="O8" s="871">
        <v>8</v>
      </c>
      <c r="P8" s="870">
        <f t="shared" si="4"/>
        <v>1.5614076160800003</v>
      </c>
      <c r="Q8" s="872">
        <f t="shared" si="5"/>
        <v>2.1510356385800007</v>
      </c>
      <c r="S8" s="749">
        <v>100</v>
      </c>
      <c r="T8" s="749" t="s">
        <v>884</v>
      </c>
      <c r="U8" s="749">
        <v>110</v>
      </c>
      <c r="V8" s="749" t="s">
        <v>885</v>
      </c>
      <c r="W8" s="749">
        <v>2.16</v>
      </c>
    </row>
    <row r="9" spans="1:25" ht="15">
      <c r="A9" s="873">
        <v>366.6</v>
      </c>
      <c r="B9" s="874">
        <v>350</v>
      </c>
      <c r="C9" s="874">
        <v>5000</v>
      </c>
      <c r="D9" s="875">
        <v>1</v>
      </c>
      <c r="E9" s="876" t="str">
        <f t="shared" si="0"/>
        <v>350;1;5000</v>
      </c>
      <c r="F9" s="875">
        <v>5.7</v>
      </c>
      <c r="G9" s="875">
        <v>11.9</v>
      </c>
      <c r="H9" s="876">
        <v>92</v>
      </c>
      <c r="I9" s="875">
        <v>4</v>
      </c>
      <c r="J9" s="876">
        <v>0</v>
      </c>
      <c r="K9" s="876">
        <v>0</v>
      </c>
      <c r="L9" s="875">
        <f t="shared" si="1"/>
        <v>0</v>
      </c>
      <c r="M9" s="877">
        <f t="shared" si="2"/>
        <v>1.5844721344000003</v>
      </c>
      <c r="N9" s="877">
        <f t="shared" si="3"/>
        <v>1.5844721344000003</v>
      </c>
      <c r="O9" s="877">
        <v>8</v>
      </c>
      <c r="P9" s="875">
        <f t="shared" si="4"/>
        <v>1.5614076160800003</v>
      </c>
      <c r="Q9" s="878">
        <f t="shared" si="5"/>
        <v>3.1458797504800007</v>
      </c>
      <c r="S9" s="749">
        <v>125</v>
      </c>
      <c r="T9" s="749" t="s">
        <v>886</v>
      </c>
      <c r="U9" s="749">
        <v>125</v>
      </c>
      <c r="V9" s="749" t="s">
        <v>887</v>
      </c>
      <c r="W9" s="749" t="s">
        <v>888</v>
      </c>
    </row>
    <row r="10" spans="1:25" ht="15">
      <c r="A10" s="861">
        <v>413.1</v>
      </c>
      <c r="B10" s="862">
        <v>400</v>
      </c>
      <c r="C10" s="862">
        <v>2500</v>
      </c>
      <c r="D10" s="863">
        <v>0.6</v>
      </c>
      <c r="E10" s="864" t="str">
        <f t="shared" si="0"/>
        <v>400;0,6;2500</v>
      </c>
      <c r="F10" s="863">
        <v>5.4</v>
      </c>
      <c r="G10" s="863">
        <v>13.1</v>
      </c>
      <c r="H10" s="864">
        <v>65</v>
      </c>
      <c r="I10" s="863">
        <v>2.5</v>
      </c>
      <c r="J10" s="864">
        <v>0</v>
      </c>
      <c r="K10" s="864">
        <v>0</v>
      </c>
      <c r="L10" s="863">
        <f t="shared" si="1"/>
        <v>0</v>
      </c>
      <c r="M10" s="865">
        <f t="shared" si="2"/>
        <v>0.78462163000000018</v>
      </c>
      <c r="N10" s="865">
        <f t="shared" si="3"/>
        <v>0.78462163000000018</v>
      </c>
      <c r="O10" s="865">
        <v>8</v>
      </c>
      <c r="P10" s="863">
        <f t="shared" si="4"/>
        <v>1.9826304049800003</v>
      </c>
      <c r="Q10" s="866">
        <f t="shared" si="5"/>
        <v>2.7672520349800003</v>
      </c>
      <c r="S10" s="749">
        <v>125</v>
      </c>
      <c r="T10" s="749" t="s">
        <v>889</v>
      </c>
      <c r="U10" s="749">
        <v>140</v>
      </c>
      <c r="V10" s="749" t="s">
        <v>890</v>
      </c>
      <c r="W10" s="749" t="s">
        <v>891</v>
      </c>
    </row>
    <row r="11" spans="1:25" ht="15">
      <c r="A11" s="868">
        <v>413.1</v>
      </c>
      <c r="B11" s="869">
        <v>400</v>
      </c>
      <c r="C11" s="869">
        <v>2500</v>
      </c>
      <c r="D11" s="870">
        <v>1</v>
      </c>
      <c r="E11" s="732" t="str">
        <f t="shared" si="0"/>
        <v>400;1;2500</v>
      </c>
      <c r="F11" s="870">
        <v>5.0999999999999996</v>
      </c>
      <c r="G11" s="870">
        <v>11.7</v>
      </c>
      <c r="H11" s="732">
        <v>110</v>
      </c>
      <c r="I11" s="870">
        <v>4.5</v>
      </c>
      <c r="J11" s="732">
        <v>0</v>
      </c>
      <c r="K11" s="732">
        <v>0</v>
      </c>
      <c r="L11" s="870">
        <f t="shared" si="1"/>
        <v>0</v>
      </c>
      <c r="M11" s="871">
        <f t="shared" si="2"/>
        <v>2.4015800160000005</v>
      </c>
      <c r="N11" s="871">
        <f t="shared" si="3"/>
        <v>2.4015800160000005</v>
      </c>
      <c r="O11" s="871">
        <v>8</v>
      </c>
      <c r="P11" s="870">
        <f t="shared" si="4"/>
        <v>1.9826304049800003</v>
      </c>
      <c r="Q11" s="872">
        <f t="shared" si="5"/>
        <v>4.3842104209800006</v>
      </c>
      <c r="S11" s="749">
        <v>150</v>
      </c>
      <c r="T11" s="749" t="s">
        <v>892</v>
      </c>
      <c r="U11" s="749">
        <v>160</v>
      </c>
      <c r="V11" s="749" t="s">
        <v>893</v>
      </c>
      <c r="W11" s="749">
        <v>4.51</v>
      </c>
    </row>
    <row r="12" spans="1:25" ht="15">
      <c r="A12" s="868">
        <v>413.1</v>
      </c>
      <c r="B12" s="869">
        <v>400</v>
      </c>
      <c r="C12" s="869">
        <v>5000</v>
      </c>
      <c r="D12" s="870">
        <v>0.6</v>
      </c>
      <c r="E12" s="732" t="str">
        <f t="shared" si="0"/>
        <v>400;0,6;5000</v>
      </c>
      <c r="F12" s="870">
        <v>6.9</v>
      </c>
      <c r="G12" s="870">
        <v>17.2</v>
      </c>
      <c r="H12" s="732">
        <v>65</v>
      </c>
      <c r="I12" s="870">
        <v>2.5</v>
      </c>
      <c r="J12" s="732">
        <v>0</v>
      </c>
      <c r="K12" s="732">
        <v>0</v>
      </c>
      <c r="L12" s="870">
        <f t="shared" si="1"/>
        <v>0</v>
      </c>
      <c r="M12" s="871">
        <f t="shared" si="2"/>
        <v>0.78462163000000018</v>
      </c>
      <c r="N12" s="871">
        <f t="shared" si="3"/>
        <v>0.78462163000000018</v>
      </c>
      <c r="O12" s="871">
        <v>8</v>
      </c>
      <c r="P12" s="870">
        <f t="shared" si="4"/>
        <v>1.9826304049800003</v>
      </c>
      <c r="Q12" s="872">
        <f t="shared" si="5"/>
        <v>2.7672520349800003</v>
      </c>
      <c r="S12" s="749">
        <v>180</v>
      </c>
      <c r="T12" s="749" t="s">
        <v>894</v>
      </c>
      <c r="U12" s="749">
        <v>180</v>
      </c>
      <c r="V12" s="749" t="s">
        <v>895</v>
      </c>
      <c r="W12" s="749">
        <v>5.71</v>
      </c>
    </row>
    <row r="13" spans="1:25" ht="15">
      <c r="A13" s="873">
        <v>413.1</v>
      </c>
      <c r="B13" s="874">
        <v>400</v>
      </c>
      <c r="C13" s="874">
        <v>5000</v>
      </c>
      <c r="D13" s="875">
        <v>1</v>
      </c>
      <c r="E13" s="876" t="str">
        <f t="shared" si="0"/>
        <v>400;1;5000</v>
      </c>
      <c r="F13" s="875">
        <v>6.4</v>
      </c>
      <c r="G13" s="875">
        <v>15.3</v>
      </c>
      <c r="H13" s="876">
        <v>110</v>
      </c>
      <c r="I13" s="875">
        <v>4.5</v>
      </c>
      <c r="J13" s="876">
        <v>0</v>
      </c>
      <c r="K13" s="876">
        <v>0</v>
      </c>
      <c r="L13" s="875">
        <f t="shared" si="1"/>
        <v>0</v>
      </c>
      <c r="M13" s="877">
        <f t="shared" si="2"/>
        <v>2.4015800160000005</v>
      </c>
      <c r="N13" s="877">
        <f t="shared" si="3"/>
        <v>2.4015800160000005</v>
      </c>
      <c r="O13" s="877">
        <v>8</v>
      </c>
      <c r="P13" s="875">
        <f t="shared" si="4"/>
        <v>1.9826304049800003</v>
      </c>
      <c r="Q13" s="878">
        <f t="shared" si="5"/>
        <v>4.3842104209800006</v>
      </c>
      <c r="S13" s="749">
        <v>200</v>
      </c>
      <c r="T13" s="749" t="s">
        <v>896</v>
      </c>
      <c r="U13" s="749">
        <v>200</v>
      </c>
      <c r="V13" s="749" t="s">
        <v>897</v>
      </c>
      <c r="W13" s="749">
        <v>7.04</v>
      </c>
    </row>
    <row r="14" spans="1:25" ht="15">
      <c r="A14" s="861">
        <v>464.1</v>
      </c>
      <c r="B14" s="862">
        <v>450</v>
      </c>
      <c r="C14" s="862">
        <v>2500</v>
      </c>
      <c r="D14" s="863">
        <v>0.6</v>
      </c>
      <c r="E14" s="864" t="str">
        <f t="shared" si="0"/>
        <v>450;0,6;2500</v>
      </c>
      <c r="F14" s="863">
        <v>6</v>
      </c>
      <c r="G14" s="863">
        <v>16.399999999999999</v>
      </c>
      <c r="H14" s="864">
        <v>70</v>
      </c>
      <c r="I14" s="863">
        <v>3</v>
      </c>
      <c r="J14" s="864">
        <v>0</v>
      </c>
      <c r="K14" s="864">
        <v>0</v>
      </c>
      <c r="L14" s="863">
        <f t="shared" si="1"/>
        <v>0</v>
      </c>
      <c r="M14" s="865">
        <f t="shared" si="2"/>
        <v>1.1396212379999999</v>
      </c>
      <c r="N14" s="865">
        <f t="shared" si="3"/>
        <v>1.1396212379999999</v>
      </c>
      <c r="O14" s="865">
        <v>8</v>
      </c>
      <c r="P14" s="863">
        <f t="shared" si="4"/>
        <v>2.5023871945800007</v>
      </c>
      <c r="Q14" s="866">
        <f t="shared" si="5"/>
        <v>3.6420084325800008</v>
      </c>
      <c r="S14" s="749">
        <v>225</v>
      </c>
      <c r="T14" s="749" t="s">
        <v>898</v>
      </c>
      <c r="U14" s="749">
        <v>225</v>
      </c>
      <c r="V14" s="749" t="s">
        <v>899</v>
      </c>
      <c r="W14" s="749" t="s">
        <v>900</v>
      </c>
    </row>
    <row r="15" spans="1:25" ht="15">
      <c r="A15" s="868">
        <v>464.1</v>
      </c>
      <c r="B15" s="869">
        <v>450</v>
      </c>
      <c r="C15" s="869">
        <v>2500</v>
      </c>
      <c r="D15" s="870">
        <v>1</v>
      </c>
      <c r="E15" s="732" t="str">
        <f t="shared" si="0"/>
        <v>450;1;2500</v>
      </c>
      <c r="F15" s="870">
        <v>5.7</v>
      </c>
      <c r="G15" s="870">
        <v>14.7</v>
      </c>
      <c r="H15" s="732">
        <v>120</v>
      </c>
      <c r="I15" s="870">
        <v>5</v>
      </c>
      <c r="J15" s="732">
        <v>0</v>
      </c>
      <c r="K15" s="732">
        <v>0</v>
      </c>
      <c r="L15" s="870">
        <f t="shared" si="1"/>
        <v>0</v>
      </c>
      <c r="M15" s="871">
        <f t="shared" si="2"/>
        <v>3.2700022800000004</v>
      </c>
      <c r="N15" s="871">
        <f t="shared" si="3"/>
        <v>3.2700022800000004</v>
      </c>
      <c r="O15" s="871">
        <v>8</v>
      </c>
      <c r="P15" s="870">
        <f t="shared" si="4"/>
        <v>2.5023871945800007</v>
      </c>
      <c r="Q15" s="872">
        <f t="shared" si="5"/>
        <v>5.7723894745800006</v>
      </c>
      <c r="S15" s="749">
        <v>250</v>
      </c>
      <c r="T15" s="749" t="s">
        <v>901</v>
      </c>
      <c r="U15" s="749">
        <v>250</v>
      </c>
      <c r="V15" s="749" t="s">
        <v>902</v>
      </c>
      <c r="W15" s="749">
        <v>11</v>
      </c>
    </row>
    <row r="16" spans="1:25" ht="15">
      <c r="A16" s="868">
        <v>464.1</v>
      </c>
      <c r="B16" s="869">
        <v>450</v>
      </c>
      <c r="C16" s="869">
        <v>5000</v>
      </c>
      <c r="D16" s="870">
        <v>0.6</v>
      </c>
      <c r="E16" s="732" t="str">
        <f t="shared" si="0"/>
        <v>450;0,6;5000</v>
      </c>
      <c r="F16" s="870">
        <v>7.5</v>
      </c>
      <c r="G16" s="870">
        <v>21.4</v>
      </c>
      <c r="H16" s="732">
        <v>70</v>
      </c>
      <c r="I16" s="870">
        <v>3</v>
      </c>
      <c r="J16" s="732">
        <v>0</v>
      </c>
      <c r="K16" s="732">
        <v>0</v>
      </c>
      <c r="L16" s="870">
        <f t="shared" si="1"/>
        <v>0</v>
      </c>
      <c r="M16" s="871">
        <f t="shared" si="2"/>
        <v>1.1396212379999999</v>
      </c>
      <c r="N16" s="871">
        <f t="shared" si="3"/>
        <v>1.1396212379999999</v>
      </c>
      <c r="O16" s="871">
        <v>8</v>
      </c>
      <c r="P16" s="870">
        <f t="shared" si="4"/>
        <v>2.5023871945800007</v>
      </c>
      <c r="Q16" s="872">
        <f t="shared" si="5"/>
        <v>3.6420084325800008</v>
      </c>
      <c r="S16" s="749">
        <v>280</v>
      </c>
      <c r="T16" s="749" t="s">
        <v>903</v>
      </c>
      <c r="U16" s="749">
        <v>280</v>
      </c>
      <c r="V16" s="749" t="s">
        <v>904</v>
      </c>
      <c r="W16" s="749">
        <v>13.8</v>
      </c>
    </row>
    <row r="17" spans="1:23" ht="15">
      <c r="A17" s="873">
        <v>464.1</v>
      </c>
      <c r="B17" s="874">
        <v>450</v>
      </c>
      <c r="C17" s="874">
        <v>5000</v>
      </c>
      <c r="D17" s="875">
        <v>1</v>
      </c>
      <c r="E17" s="876" t="str">
        <f t="shared" si="0"/>
        <v>450;1;5000</v>
      </c>
      <c r="F17" s="875">
        <v>7</v>
      </c>
      <c r="G17" s="875">
        <v>19.2</v>
      </c>
      <c r="H17" s="876">
        <v>120</v>
      </c>
      <c r="I17" s="875">
        <v>5</v>
      </c>
      <c r="J17" s="876">
        <v>0</v>
      </c>
      <c r="K17" s="876">
        <v>0</v>
      </c>
      <c r="L17" s="875">
        <f t="shared" si="1"/>
        <v>0</v>
      </c>
      <c r="M17" s="877">
        <f t="shared" si="2"/>
        <v>3.2700022800000004</v>
      </c>
      <c r="N17" s="877">
        <f t="shared" si="3"/>
        <v>3.2700022800000004</v>
      </c>
      <c r="O17" s="877">
        <v>8</v>
      </c>
      <c r="P17" s="875">
        <f t="shared" si="4"/>
        <v>2.5023871945800007</v>
      </c>
      <c r="Q17" s="878">
        <f t="shared" si="5"/>
        <v>5.7723894745800006</v>
      </c>
      <c r="S17" s="749">
        <v>300</v>
      </c>
      <c r="T17" s="749" t="s">
        <v>905</v>
      </c>
      <c r="U17" s="749">
        <v>315</v>
      </c>
      <c r="V17" s="749" t="s">
        <v>906</v>
      </c>
      <c r="W17" s="749">
        <v>17.399999999999999</v>
      </c>
    </row>
    <row r="18" spans="1:23" ht="15">
      <c r="A18" s="861">
        <v>515</v>
      </c>
      <c r="B18" s="862">
        <v>500</v>
      </c>
      <c r="C18" s="862">
        <v>2500</v>
      </c>
      <c r="D18" s="863">
        <v>0.6</v>
      </c>
      <c r="E18" s="864" t="str">
        <f t="shared" si="0"/>
        <v>500;0,6;2500</v>
      </c>
      <c r="F18" s="863">
        <v>6.8</v>
      </c>
      <c r="G18" s="863">
        <v>21</v>
      </c>
      <c r="H18" s="864">
        <v>80</v>
      </c>
      <c r="I18" s="863">
        <v>3.5</v>
      </c>
      <c r="J18" s="864">
        <v>0</v>
      </c>
      <c r="K18" s="864">
        <v>0</v>
      </c>
      <c r="L18" s="863">
        <f t="shared" si="1"/>
        <v>0</v>
      </c>
      <c r="M18" s="865">
        <f t="shared" si="2"/>
        <v>1.6867012400000003</v>
      </c>
      <c r="N18" s="865">
        <f t="shared" si="3"/>
        <v>1.6867012400000003</v>
      </c>
      <c r="O18" s="865">
        <v>8</v>
      </c>
      <c r="P18" s="863">
        <f t="shared" si="4"/>
        <v>3.08138405</v>
      </c>
      <c r="Q18" s="866">
        <f t="shared" si="5"/>
        <v>4.7680852900000001</v>
      </c>
      <c r="S18" s="749">
        <v>350</v>
      </c>
      <c r="T18" s="749" t="s">
        <v>907</v>
      </c>
      <c r="U18" s="749">
        <v>355</v>
      </c>
      <c r="V18" s="749" t="s">
        <v>908</v>
      </c>
      <c r="W18" s="749">
        <v>22.2</v>
      </c>
    </row>
    <row r="19" spans="1:23" ht="15">
      <c r="A19" s="868">
        <v>515</v>
      </c>
      <c r="B19" s="869">
        <v>500</v>
      </c>
      <c r="C19" s="869">
        <v>2500</v>
      </c>
      <c r="D19" s="870">
        <v>1</v>
      </c>
      <c r="E19" s="732" t="str">
        <f t="shared" si="0"/>
        <v>500;1;2500</v>
      </c>
      <c r="F19" s="870">
        <v>6.2</v>
      </c>
      <c r="G19" s="870">
        <v>18.100000000000001</v>
      </c>
      <c r="H19" s="732">
        <v>130</v>
      </c>
      <c r="I19" s="870">
        <v>5.5</v>
      </c>
      <c r="J19" s="732">
        <v>0</v>
      </c>
      <c r="K19" s="732">
        <v>0</v>
      </c>
      <c r="L19" s="870">
        <f t="shared" si="1"/>
        <v>0</v>
      </c>
      <c r="M19" s="871">
        <f t="shared" si="2"/>
        <v>4.3237258350000003</v>
      </c>
      <c r="N19" s="871">
        <f t="shared" si="3"/>
        <v>4.3237258350000003</v>
      </c>
      <c r="O19" s="871">
        <v>8</v>
      </c>
      <c r="P19" s="870">
        <f t="shared" si="4"/>
        <v>3.08138405</v>
      </c>
      <c r="Q19" s="872">
        <f t="shared" si="5"/>
        <v>7.4051098849999999</v>
      </c>
      <c r="S19" s="749">
        <v>400</v>
      </c>
      <c r="T19" s="749" t="s">
        <v>909</v>
      </c>
      <c r="U19" s="749">
        <v>400</v>
      </c>
      <c r="V19" s="749" t="s">
        <v>910</v>
      </c>
      <c r="W19" s="749" t="s">
        <v>911</v>
      </c>
    </row>
    <row r="20" spans="1:23" ht="15">
      <c r="A20" s="868">
        <v>515</v>
      </c>
      <c r="B20" s="869">
        <v>500</v>
      </c>
      <c r="C20" s="869">
        <v>5000</v>
      </c>
      <c r="D20" s="870">
        <v>0.6</v>
      </c>
      <c r="E20" s="732" t="str">
        <f t="shared" si="0"/>
        <v>500;0,6;5000</v>
      </c>
      <c r="F20" s="870">
        <v>8.1999999999999993</v>
      </c>
      <c r="G20" s="870">
        <v>26</v>
      </c>
      <c r="H20" s="732">
        <v>80</v>
      </c>
      <c r="I20" s="870">
        <v>3.5</v>
      </c>
      <c r="J20" s="732">
        <v>0</v>
      </c>
      <c r="K20" s="732">
        <v>0</v>
      </c>
      <c r="L20" s="870">
        <f t="shared" si="1"/>
        <v>0</v>
      </c>
      <c r="M20" s="871">
        <f t="shared" si="2"/>
        <v>1.6867012400000003</v>
      </c>
      <c r="N20" s="871">
        <f t="shared" si="3"/>
        <v>1.6867012400000003</v>
      </c>
      <c r="O20" s="871">
        <v>8</v>
      </c>
      <c r="P20" s="870">
        <f t="shared" si="4"/>
        <v>3.08138405</v>
      </c>
      <c r="Q20" s="872">
        <f t="shared" si="5"/>
        <v>4.7680852900000001</v>
      </c>
      <c r="S20" s="749">
        <v>450</v>
      </c>
      <c r="T20" s="749" t="s">
        <v>912</v>
      </c>
      <c r="U20" s="749">
        <v>450</v>
      </c>
      <c r="V20" s="749" t="s">
        <v>913</v>
      </c>
      <c r="W20" s="749">
        <v>35.5</v>
      </c>
    </row>
    <row r="21" spans="1:23" ht="15">
      <c r="A21" s="873">
        <v>515</v>
      </c>
      <c r="B21" s="874">
        <v>500</v>
      </c>
      <c r="C21" s="874">
        <v>5000</v>
      </c>
      <c r="D21" s="875">
        <v>1</v>
      </c>
      <c r="E21" s="876" t="str">
        <f t="shared" si="0"/>
        <v>500;1;5000</v>
      </c>
      <c r="F21" s="875">
        <v>7.7</v>
      </c>
      <c r="G21" s="875">
        <v>23.5</v>
      </c>
      <c r="H21" s="876">
        <v>130</v>
      </c>
      <c r="I21" s="875">
        <v>5.5</v>
      </c>
      <c r="J21" s="876">
        <v>0</v>
      </c>
      <c r="K21" s="876">
        <v>0</v>
      </c>
      <c r="L21" s="875">
        <f t="shared" si="1"/>
        <v>0</v>
      </c>
      <c r="M21" s="877">
        <f t="shared" si="2"/>
        <v>4.3237258350000003</v>
      </c>
      <c r="N21" s="877">
        <f t="shared" si="3"/>
        <v>4.3237258350000003</v>
      </c>
      <c r="O21" s="877">
        <v>8</v>
      </c>
      <c r="P21" s="875">
        <f t="shared" si="4"/>
        <v>3.08138405</v>
      </c>
      <c r="Q21" s="878">
        <f t="shared" si="5"/>
        <v>7.4051098849999999</v>
      </c>
      <c r="S21" s="749">
        <v>500</v>
      </c>
      <c r="T21" s="749" t="s">
        <v>914</v>
      </c>
      <c r="U21" s="749">
        <v>500</v>
      </c>
      <c r="V21" s="749" t="s">
        <v>915</v>
      </c>
      <c r="W21" s="749" t="s">
        <v>916</v>
      </c>
    </row>
    <row r="22" spans="1:23" ht="15">
      <c r="A22" s="861">
        <v>617.1</v>
      </c>
      <c r="B22" s="862">
        <v>600</v>
      </c>
      <c r="C22" s="862">
        <v>2500</v>
      </c>
      <c r="D22" s="863">
        <v>0.6</v>
      </c>
      <c r="E22" s="864" t="str">
        <f t="shared" si="0"/>
        <v>600;0,6;2500</v>
      </c>
      <c r="F22" s="863">
        <v>7.8</v>
      </c>
      <c r="G22" s="863">
        <v>29.6</v>
      </c>
      <c r="H22" s="864">
        <v>93</v>
      </c>
      <c r="I22" s="863">
        <v>4</v>
      </c>
      <c r="J22" s="864">
        <v>47</v>
      </c>
      <c r="K22" s="864">
        <v>2</v>
      </c>
      <c r="L22" s="863">
        <f t="shared" si="1"/>
        <v>0.65470915399999996</v>
      </c>
      <c r="M22" s="865">
        <f t="shared" si="2"/>
        <v>2.6843296056000003</v>
      </c>
      <c r="N22" s="865">
        <f t="shared" si="3"/>
        <v>3.3390387596000002</v>
      </c>
      <c r="O22" s="865">
        <v>8</v>
      </c>
      <c r="P22" s="863">
        <f t="shared" si="4"/>
        <v>4.424278579380001</v>
      </c>
      <c r="Q22" s="866">
        <f t="shared" si="5"/>
        <v>7.7633173389800012</v>
      </c>
      <c r="S22" s="749">
        <v>550</v>
      </c>
      <c r="T22" s="749" t="s">
        <v>917</v>
      </c>
      <c r="U22" s="749">
        <v>560</v>
      </c>
      <c r="V22" s="749" t="s">
        <v>918</v>
      </c>
      <c r="W22" s="749" t="s">
        <v>919</v>
      </c>
    </row>
    <row r="23" spans="1:23" ht="15">
      <c r="A23" s="868">
        <v>617.1</v>
      </c>
      <c r="B23" s="869">
        <v>600</v>
      </c>
      <c r="C23" s="869">
        <v>2500</v>
      </c>
      <c r="D23" s="870">
        <v>1</v>
      </c>
      <c r="E23" s="732" t="str">
        <f t="shared" si="0"/>
        <v>600;1;2500</v>
      </c>
      <c r="F23" s="870">
        <v>7.4</v>
      </c>
      <c r="G23" s="870">
        <v>25.9</v>
      </c>
      <c r="H23" s="732">
        <v>155</v>
      </c>
      <c r="I23" s="870">
        <v>6.5</v>
      </c>
      <c r="J23" s="732">
        <v>78</v>
      </c>
      <c r="K23" s="732">
        <v>2</v>
      </c>
      <c r="L23" s="870">
        <f t="shared" si="1"/>
        <v>1.0879885224000003</v>
      </c>
      <c r="M23" s="871">
        <f t="shared" si="2"/>
        <v>7.2993221860000004</v>
      </c>
      <c r="N23" s="871">
        <f t="shared" si="3"/>
        <v>8.3873107084000011</v>
      </c>
      <c r="O23" s="871">
        <v>8</v>
      </c>
      <c r="P23" s="870">
        <f t="shared" si="4"/>
        <v>4.424278579380001</v>
      </c>
      <c r="Q23" s="872">
        <f t="shared" si="5"/>
        <v>12.811589287780002</v>
      </c>
      <c r="S23" s="749">
        <v>600</v>
      </c>
      <c r="T23" s="749" t="s">
        <v>920</v>
      </c>
      <c r="U23" s="749">
        <v>630</v>
      </c>
      <c r="V23" s="749" t="s">
        <v>921</v>
      </c>
      <c r="W23" s="749" t="s">
        <v>922</v>
      </c>
    </row>
    <row r="24" spans="1:23" ht="15">
      <c r="A24" s="868">
        <v>617.1</v>
      </c>
      <c r="B24" s="869">
        <v>600</v>
      </c>
      <c r="C24" s="869">
        <v>5000</v>
      </c>
      <c r="D24" s="870">
        <v>0.6</v>
      </c>
      <c r="E24" s="732" t="str">
        <f t="shared" si="0"/>
        <v>600;0,6;5000</v>
      </c>
      <c r="F24" s="870">
        <v>9.8000000000000007</v>
      </c>
      <c r="G24" s="870">
        <v>37.9</v>
      </c>
      <c r="H24" s="732">
        <v>93</v>
      </c>
      <c r="I24" s="870">
        <v>4</v>
      </c>
      <c r="J24" s="732">
        <v>47</v>
      </c>
      <c r="K24" s="732">
        <v>2</v>
      </c>
      <c r="L24" s="870">
        <f t="shared" si="1"/>
        <v>0.650340786</v>
      </c>
      <c r="M24" s="871">
        <f t="shared" si="2"/>
        <v>2.6843296056000003</v>
      </c>
      <c r="N24" s="871">
        <f t="shared" si="3"/>
        <v>3.3346703916000004</v>
      </c>
      <c r="O24" s="871">
        <v>8</v>
      </c>
      <c r="P24" s="870">
        <f t="shared" si="4"/>
        <v>4.424278579380001</v>
      </c>
      <c r="Q24" s="872">
        <f t="shared" si="5"/>
        <v>7.7589489709800015</v>
      </c>
      <c r="S24" s="749">
        <v>700</v>
      </c>
      <c r="T24" s="749" t="s">
        <v>923</v>
      </c>
      <c r="U24" s="749">
        <v>710</v>
      </c>
      <c r="V24" s="749" t="s">
        <v>924</v>
      </c>
      <c r="W24" s="749">
        <v>88.4</v>
      </c>
    </row>
    <row r="25" spans="1:23" ht="15">
      <c r="A25" s="873">
        <v>617.1</v>
      </c>
      <c r="B25" s="874">
        <v>600</v>
      </c>
      <c r="C25" s="874">
        <v>5000</v>
      </c>
      <c r="D25" s="875">
        <v>1</v>
      </c>
      <c r="E25" s="876" t="str">
        <f t="shared" si="0"/>
        <v>600;1;5000</v>
      </c>
      <c r="F25" s="875">
        <v>9.1999999999999993</v>
      </c>
      <c r="G25" s="875">
        <v>33.9</v>
      </c>
      <c r="H25" s="876">
        <v>155</v>
      </c>
      <c r="I25" s="875">
        <v>6.5</v>
      </c>
      <c r="J25" s="876">
        <v>78</v>
      </c>
      <c r="K25" s="876">
        <v>2</v>
      </c>
      <c r="L25" s="875">
        <f t="shared" si="1"/>
        <v>1.0814638536000001</v>
      </c>
      <c r="M25" s="877">
        <f t="shared" si="2"/>
        <v>7.2993221860000004</v>
      </c>
      <c r="N25" s="877">
        <f t="shared" si="3"/>
        <v>8.3807860396000002</v>
      </c>
      <c r="O25" s="877">
        <v>8</v>
      </c>
      <c r="P25" s="875">
        <f t="shared" si="4"/>
        <v>4.424278579380001</v>
      </c>
      <c r="Q25" s="878">
        <f t="shared" si="5"/>
        <v>12.805064618980001</v>
      </c>
      <c r="S25" s="749">
        <v>800</v>
      </c>
      <c r="T25" s="749" t="s">
        <v>925</v>
      </c>
      <c r="U25" s="749">
        <v>800</v>
      </c>
      <c r="V25" s="749" t="s">
        <v>926</v>
      </c>
      <c r="W25" s="749">
        <v>112</v>
      </c>
    </row>
    <row r="26" spans="1:23" ht="15">
      <c r="A26" s="861">
        <v>719.1</v>
      </c>
      <c r="B26" s="862">
        <v>700</v>
      </c>
      <c r="C26" s="862">
        <v>2500</v>
      </c>
      <c r="D26" s="863">
        <v>0.6</v>
      </c>
      <c r="E26" s="864" t="str">
        <f t="shared" si="0"/>
        <v>700;0,6;2500</v>
      </c>
      <c r="F26" s="863">
        <v>8.9</v>
      </c>
      <c r="G26" s="863">
        <v>39.6</v>
      </c>
      <c r="H26" s="864">
        <v>110</v>
      </c>
      <c r="I26" s="863">
        <v>4.5</v>
      </c>
      <c r="J26" s="864">
        <v>55</v>
      </c>
      <c r="K26" s="864">
        <v>2</v>
      </c>
      <c r="L26" s="863">
        <f t="shared" si="1"/>
        <v>0.89369141400000018</v>
      </c>
      <c r="M26" s="865">
        <f t="shared" si="2"/>
        <v>4.1613584760000002</v>
      </c>
      <c r="N26" s="865">
        <f t="shared" si="3"/>
        <v>5.0550498900000003</v>
      </c>
      <c r="O26" s="865">
        <v>8</v>
      </c>
      <c r="P26" s="863">
        <f t="shared" si="4"/>
        <v>6.0077236825800009</v>
      </c>
      <c r="Q26" s="866">
        <f t="shared" si="5"/>
        <v>11.062773572580001</v>
      </c>
      <c r="S26" s="749">
        <v>900</v>
      </c>
      <c r="T26" s="749" t="s">
        <v>927</v>
      </c>
      <c r="U26" s="749">
        <v>900</v>
      </c>
      <c r="V26" s="749" t="s">
        <v>928</v>
      </c>
      <c r="W26" s="749">
        <v>142</v>
      </c>
    </row>
    <row r="27" spans="1:23" ht="15">
      <c r="A27" s="868">
        <v>719.1</v>
      </c>
      <c r="B27" s="869">
        <v>700</v>
      </c>
      <c r="C27" s="869">
        <v>2500</v>
      </c>
      <c r="D27" s="870">
        <v>1</v>
      </c>
      <c r="E27" s="732" t="str">
        <f t="shared" si="0"/>
        <v>700;1;2500</v>
      </c>
      <c r="F27" s="870">
        <v>8.4</v>
      </c>
      <c r="G27" s="870">
        <v>35</v>
      </c>
      <c r="H27" s="732">
        <v>180</v>
      </c>
      <c r="I27" s="870">
        <v>7.5</v>
      </c>
      <c r="J27" s="732">
        <v>90</v>
      </c>
      <c r="K27" s="732">
        <v>2</v>
      </c>
      <c r="L27" s="870">
        <f t="shared" si="1"/>
        <v>1.4644953720000002</v>
      </c>
      <c r="M27" s="871">
        <f t="shared" si="2"/>
        <v>11.396212380000001</v>
      </c>
      <c r="N27" s="871">
        <f t="shared" si="3"/>
        <v>12.860707752000001</v>
      </c>
      <c r="O27" s="871">
        <v>8</v>
      </c>
      <c r="P27" s="870">
        <f t="shared" si="4"/>
        <v>6.0077236825800009</v>
      </c>
      <c r="Q27" s="872">
        <f t="shared" si="5"/>
        <v>18.868431434580003</v>
      </c>
      <c r="S27" s="749">
        <v>1000</v>
      </c>
      <c r="T27" s="749" t="s">
        <v>929</v>
      </c>
      <c r="U27" s="749">
        <v>1000</v>
      </c>
      <c r="V27" s="749" t="s">
        <v>930</v>
      </c>
      <c r="W27" s="749" t="s">
        <v>931</v>
      </c>
    </row>
    <row r="28" spans="1:23" ht="15">
      <c r="A28" s="868">
        <v>719.1</v>
      </c>
      <c r="B28" s="869">
        <v>700</v>
      </c>
      <c r="C28" s="869">
        <v>5000</v>
      </c>
      <c r="D28" s="870">
        <v>0.6</v>
      </c>
      <c r="E28" s="732" t="str">
        <f t="shared" si="0"/>
        <v>700;0,6;5000</v>
      </c>
      <c r="F28" s="870">
        <v>11</v>
      </c>
      <c r="G28" s="870">
        <v>49.4</v>
      </c>
      <c r="H28" s="732">
        <v>110</v>
      </c>
      <c r="I28" s="870">
        <v>4.5</v>
      </c>
      <c r="J28" s="732">
        <v>55</v>
      </c>
      <c r="K28" s="732">
        <v>2</v>
      </c>
      <c r="L28" s="870">
        <f t="shared" si="1"/>
        <v>0.88832389800000011</v>
      </c>
      <c r="M28" s="871">
        <f t="shared" si="2"/>
        <v>4.1613584760000002</v>
      </c>
      <c r="N28" s="871">
        <f t="shared" si="3"/>
        <v>5.0496823740000005</v>
      </c>
      <c r="O28" s="871">
        <v>8</v>
      </c>
      <c r="P28" s="870">
        <f t="shared" si="4"/>
        <v>6.0077236825800009</v>
      </c>
      <c r="Q28" s="872">
        <f t="shared" si="5"/>
        <v>11.057406056580001</v>
      </c>
    </row>
    <row r="29" spans="1:23" ht="15">
      <c r="A29" s="873">
        <v>719.1</v>
      </c>
      <c r="B29" s="874">
        <v>700</v>
      </c>
      <c r="C29" s="874">
        <v>5000</v>
      </c>
      <c r="D29" s="875">
        <v>1</v>
      </c>
      <c r="E29" s="876" t="str">
        <f t="shared" si="0"/>
        <v>700;1;5000</v>
      </c>
      <c r="F29" s="875">
        <v>10.3</v>
      </c>
      <c r="G29" s="875">
        <v>44.8</v>
      </c>
      <c r="H29" s="876">
        <v>180</v>
      </c>
      <c r="I29" s="875">
        <v>7.5</v>
      </c>
      <c r="J29" s="876">
        <v>90</v>
      </c>
      <c r="K29" s="876">
        <v>2</v>
      </c>
      <c r="L29" s="875">
        <f t="shared" si="1"/>
        <v>1.4565486600000002</v>
      </c>
      <c r="M29" s="877">
        <f t="shared" si="2"/>
        <v>11.396212380000001</v>
      </c>
      <c r="N29" s="877">
        <f t="shared" si="3"/>
        <v>12.852761040000001</v>
      </c>
      <c r="O29" s="877">
        <v>8</v>
      </c>
      <c r="P29" s="875">
        <f t="shared" si="4"/>
        <v>6.0077236825800009</v>
      </c>
      <c r="Q29" s="878">
        <f t="shared" si="5"/>
        <v>18.860484722580001</v>
      </c>
    </row>
    <row r="30" spans="1:23" ht="15">
      <c r="A30" s="861">
        <v>821.1</v>
      </c>
      <c r="B30" s="862">
        <v>800</v>
      </c>
      <c r="C30" s="862">
        <v>2500</v>
      </c>
      <c r="D30" s="863">
        <v>0.6</v>
      </c>
      <c r="E30" s="864" t="str">
        <f t="shared" si="0"/>
        <v>800;0,6;2500</v>
      </c>
      <c r="F30" s="863">
        <v>10.3</v>
      </c>
      <c r="G30" s="863">
        <v>52.6</v>
      </c>
      <c r="H30" s="864">
        <v>124</v>
      </c>
      <c r="I30" s="863">
        <v>5</v>
      </c>
      <c r="J30" s="864">
        <v>62</v>
      </c>
      <c r="K30" s="864">
        <v>2</v>
      </c>
      <c r="L30" s="863">
        <f t="shared" si="1"/>
        <v>1.1503446520000002</v>
      </c>
      <c r="M30" s="865">
        <f t="shared" si="2"/>
        <v>5.9505304760000017</v>
      </c>
      <c r="N30" s="865">
        <f t="shared" si="3"/>
        <v>7.100875128000002</v>
      </c>
      <c r="O30" s="865">
        <v>8</v>
      </c>
      <c r="P30" s="863">
        <f t="shared" si="4"/>
        <v>7.8329161297800018</v>
      </c>
      <c r="Q30" s="866">
        <f t="shared" si="5"/>
        <v>14.933791257780005</v>
      </c>
    </row>
    <row r="31" spans="1:23" ht="15">
      <c r="A31" s="868">
        <v>821.1</v>
      </c>
      <c r="B31" s="869">
        <v>800</v>
      </c>
      <c r="C31" s="869">
        <v>2500</v>
      </c>
      <c r="D31" s="870">
        <v>1</v>
      </c>
      <c r="E31" s="732" t="str">
        <f t="shared" si="0"/>
        <v>800;1;2500</v>
      </c>
      <c r="F31" s="870">
        <v>9.4</v>
      </c>
      <c r="G31" s="870">
        <v>44.9</v>
      </c>
      <c r="H31" s="732">
        <v>206</v>
      </c>
      <c r="I31" s="870">
        <v>8.5</v>
      </c>
      <c r="J31" s="732">
        <v>103</v>
      </c>
      <c r="K31" s="732">
        <v>2</v>
      </c>
      <c r="L31" s="870">
        <f t="shared" si="1"/>
        <v>1.9153643924000003</v>
      </c>
      <c r="M31" s="871">
        <f t="shared" si="2"/>
        <v>16.876650692800002</v>
      </c>
      <c r="N31" s="871">
        <f t="shared" si="3"/>
        <v>18.792015085200003</v>
      </c>
      <c r="O31" s="871">
        <v>8</v>
      </c>
      <c r="P31" s="870">
        <f t="shared" si="4"/>
        <v>7.8329161297800018</v>
      </c>
      <c r="Q31" s="872">
        <f t="shared" si="5"/>
        <v>26.624931214980005</v>
      </c>
    </row>
    <row r="32" spans="1:23" ht="15">
      <c r="A32" s="868">
        <v>821.1</v>
      </c>
      <c r="B32" s="869">
        <v>800</v>
      </c>
      <c r="C32" s="869">
        <v>5000</v>
      </c>
      <c r="D32" s="870">
        <v>0.6</v>
      </c>
      <c r="E32" s="732" t="str">
        <f t="shared" si="0"/>
        <v>800;0,6;5000</v>
      </c>
      <c r="F32" s="870">
        <v>12.5</v>
      </c>
      <c r="G32" s="870">
        <v>64.5</v>
      </c>
      <c r="H32" s="732">
        <v>124</v>
      </c>
      <c r="I32" s="870">
        <v>5</v>
      </c>
      <c r="J32" s="732">
        <v>62</v>
      </c>
      <c r="K32" s="732">
        <v>2</v>
      </c>
      <c r="L32" s="870">
        <f t="shared" si="1"/>
        <v>1.1440058712000003</v>
      </c>
      <c r="M32" s="871">
        <f t="shared" si="2"/>
        <v>5.9505304760000017</v>
      </c>
      <c r="N32" s="871">
        <f t="shared" si="3"/>
        <v>7.0945363472000018</v>
      </c>
      <c r="O32" s="871">
        <v>8</v>
      </c>
      <c r="P32" s="870">
        <f t="shared" si="4"/>
        <v>7.8329161297800018</v>
      </c>
      <c r="Q32" s="872">
        <f t="shared" si="5"/>
        <v>14.927452476980005</v>
      </c>
    </row>
    <row r="33" spans="1:17" ht="15">
      <c r="A33" s="873">
        <v>821.1</v>
      </c>
      <c r="B33" s="874">
        <v>800</v>
      </c>
      <c r="C33" s="874">
        <v>5000</v>
      </c>
      <c r="D33" s="875">
        <v>1</v>
      </c>
      <c r="E33" s="876" t="str">
        <f t="shared" si="0"/>
        <v>800;1;5000</v>
      </c>
      <c r="F33" s="875">
        <v>11.8</v>
      </c>
      <c r="G33" s="875">
        <v>58.8</v>
      </c>
      <c r="H33" s="876">
        <v>206</v>
      </c>
      <c r="I33" s="875">
        <v>8.5</v>
      </c>
      <c r="J33" s="876">
        <v>103</v>
      </c>
      <c r="K33" s="876">
        <v>2</v>
      </c>
      <c r="L33" s="875">
        <f t="shared" si="1"/>
        <v>1.9038765140000002</v>
      </c>
      <c r="M33" s="877">
        <f t="shared" si="2"/>
        <v>16.876650692800002</v>
      </c>
      <c r="N33" s="877">
        <f t="shared" si="3"/>
        <v>18.780527206800002</v>
      </c>
      <c r="O33" s="877">
        <v>8</v>
      </c>
      <c r="P33" s="875">
        <f t="shared" si="4"/>
        <v>7.8329161297800018</v>
      </c>
      <c r="Q33" s="878">
        <f t="shared" si="5"/>
        <v>26.613443336580005</v>
      </c>
    </row>
    <row r="34" spans="1:17" ht="15">
      <c r="A34" s="861">
        <v>923.1</v>
      </c>
      <c r="B34" s="862">
        <v>900</v>
      </c>
      <c r="C34" s="862">
        <v>2500</v>
      </c>
      <c r="D34" s="863">
        <v>0.6</v>
      </c>
      <c r="E34" s="864" t="str">
        <f t="shared" si="0"/>
        <v>900;0,6;2500</v>
      </c>
      <c r="F34" s="863">
        <v>11.2</v>
      </c>
      <c r="G34" s="863">
        <v>64.2</v>
      </c>
      <c r="H34" s="864">
        <v>140</v>
      </c>
      <c r="I34" s="863">
        <v>6</v>
      </c>
      <c r="J34" s="864">
        <v>70</v>
      </c>
      <c r="K34" s="864">
        <v>2</v>
      </c>
      <c r="L34" s="863">
        <f t="shared" si="1"/>
        <v>1.4617535240000001</v>
      </c>
      <c r="M34" s="865">
        <f t="shared" si="2"/>
        <v>9.0671983919999999</v>
      </c>
      <c r="N34" s="865">
        <f t="shared" si="3"/>
        <v>10.528951916</v>
      </c>
      <c r="O34" s="865">
        <v>8</v>
      </c>
      <c r="P34" s="863">
        <f t="shared" si="4"/>
        <v>9.8998559209800003</v>
      </c>
      <c r="Q34" s="866">
        <f t="shared" si="5"/>
        <v>20.428807836979999</v>
      </c>
    </row>
    <row r="35" spans="1:17" ht="15">
      <c r="A35" s="868">
        <v>923.1</v>
      </c>
      <c r="B35" s="869">
        <v>900</v>
      </c>
      <c r="C35" s="869">
        <v>2500</v>
      </c>
      <c r="D35" s="870">
        <v>1</v>
      </c>
      <c r="E35" s="732" t="str">
        <f t="shared" si="0"/>
        <v>900;1;2500</v>
      </c>
      <c r="F35" s="870">
        <v>10.3</v>
      </c>
      <c r="G35" s="870">
        <v>55.5</v>
      </c>
      <c r="H35" s="732">
        <v>230</v>
      </c>
      <c r="I35" s="870">
        <v>9.5</v>
      </c>
      <c r="J35" s="732">
        <v>115</v>
      </c>
      <c r="K35" s="732">
        <v>2</v>
      </c>
      <c r="L35" s="870">
        <f t="shared" si="1"/>
        <v>2.4062620700000004</v>
      </c>
      <c r="M35" s="871">
        <f t="shared" si="2"/>
        <v>23.674358758000004</v>
      </c>
      <c r="N35" s="871">
        <f t="shared" si="3"/>
        <v>26.080620828000004</v>
      </c>
      <c r="O35" s="871">
        <v>8</v>
      </c>
      <c r="P35" s="870">
        <f t="shared" si="4"/>
        <v>9.8998559209800003</v>
      </c>
      <c r="Q35" s="872">
        <f t="shared" si="5"/>
        <v>35.980476748980003</v>
      </c>
    </row>
    <row r="36" spans="1:17" ht="15">
      <c r="A36" s="868">
        <v>923.1</v>
      </c>
      <c r="B36" s="869">
        <v>900</v>
      </c>
      <c r="C36" s="869">
        <v>5000</v>
      </c>
      <c r="D36" s="870">
        <v>0.6</v>
      </c>
      <c r="E36" s="732" t="str">
        <f t="shared" si="0"/>
        <v>900;0,6;5000</v>
      </c>
      <c r="F36" s="870">
        <v>14</v>
      </c>
      <c r="G36" s="870">
        <v>81.5</v>
      </c>
      <c r="H36" s="732">
        <v>140</v>
      </c>
      <c r="I36" s="870">
        <v>6</v>
      </c>
      <c r="J36" s="732">
        <v>70</v>
      </c>
      <c r="K36" s="732">
        <v>2</v>
      </c>
      <c r="L36" s="870">
        <f t="shared" si="1"/>
        <v>1.4526450120000001</v>
      </c>
      <c r="M36" s="871">
        <f t="shared" si="2"/>
        <v>9.0671983919999999</v>
      </c>
      <c r="N36" s="871">
        <f t="shared" si="3"/>
        <v>10.519843404</v>
      </c>
      <c r="O36" s="871">
        <v>8</v>
      </c>
      <c r="P36" s="870">
        <f t="shared" si="4"/>
        <v>9.8998559209800003</v>
      </c>
      <c r="Q36" s="872">
        <f t="shared" si="5"/>
        <v>20.419699324980002</v>
      </c>
    </row>
    <row r="37" spans="1:17" ht="15">
      <c r="A37" s="873">
        <v>923.1</v>
      </c>
      <c r="B37" s="874">
        <v>900</v>
      </c>
      <c r="C37" s="874">
        <v>5000</v>
      </c>
      <c r="D37" s="875">
        <v>1</v>
      </c>
      <c r="E37" s="876" t="str">
        <f t="shared" si="0"/>
        <v>900;1;5000</v>
      </c>
      <c r="F37" s="875">
        <v>13</v>
      </c>
      <c r="G37" s="875">
        <v>73.2</v>
      </c>
      <c r="H37" s="876">
        <v>230</v>
      </c>
      <c r="I37" s="875">
        <v>9.5</v>
      </c>
      <c r="J37" s="876">
        <v>115</v>
      </c>
      <c r="K37" s="876">
        <v>2</v>
      </c>
      <c r="L37" s="875">
        <f t="shared" si="1"/>
        <v>2.3918325140000003</v>
      </c>
      <c r="M37" s="877">
        <f t="shared" si="2"/>
        <v>23.674358758000004</v>
      </c>
      <c r="N37" s="877">
        <f t="shared" si="3"/>
        <v>26.066191272000005</v>
      </c>
      <c r="O37" s="877">
        <v>8</v>
      </c>
      <c r="P37" s="875">
        <f t="shared" si="4"/>
        <v>9.8998559209800003</v>
      </c>
      <c r="Q37" s="878">
        <f t="shared" si="5"/>
        <v>35.966047192980007</v>
      </c>
    </row>
    <row r="38" spans="1:17" ht="15">
      <c r="A38" s="861">
        <v>1025</v>
      </c>
      <c r="B38" s="862">
        <v>1000</v>
      </c>
      <c r="C38" s="862">
        <v>2500</v>
      </c>
      <c r="D38" s="863">
        <v>0.6</v>
      </c>
      <c r="E38" s="864" t="str">
        <f t="shared" ref="E38:E101" si="6">B38&amp;";"&amp;D38&amp;";"&amp;C38</f>
        <v>1000;0,6;2500</v>
      </c>
      <c r="F38" s="864">
        <v>12.6</v>
      </c>
      <c r="G38" s="864">
        <v>81.099999999999994</v>
      </c>
      <c r="H38" s="864">
        <v>154</v>
      </c>
      <c r="I38" s="864">
        <v>6.5</v>
      </c>
      <c r="J38" s="864">
        <v>77</v>
      </c>
      <c r="K38" s="864">
        <v>2</v>
      </c>
      <c r="L38" s="863">
        <f t="shared" ref="L38:L101" si="7">2*0.00000185*J38*3.14*K38*(A38-(2*F38)-K38)</f>
        <v>1.7852358215999997</v>
      </c>
      <c r="M38" s="863">
        <f>2*0.00000185*H38*3.14*I38*(A38+I38)</f>
        <v>11.995950966999999</v>
      </c>
      <c r="N38" s="863">
        <f t="shared" ref="N38:N101" si="8">L38+M38</f>
        <v>13.781186788599999</v>
      </c>
      <c r="O38" s="863">
        <v>8</v>
      </c>
      <c r="P38" s="863">
        <f t="shared" ref="P38:P101" si="9">(3.14*(A38^2)*O38*0.00000185)/4</f>
        <v>12.206161250000001</v>
      </c>
      <c r="Q38" s="866">
        <f t="shared" ref="Q38:Q101" si="10">P38+N38</f>
        <v>25.9873480386</v>
      </c>
    </row>
    <row r="39" spans="1:17" ht="15">
      <c r="A39" s="868">
        <v>1025</v>
      </c>
      <c r="B39" s="869">
        <v>1000</v>
      </c>
      <c r="C39" s="869">
        <v>2500</v>
      </c>
      <c r="D39" s="870">
        <v>1</v>
      </c>
      <c r="E39" s="732" t="str">
        <f t="shared" si="6"/>
        <v>1000;1;2500</v>
      </c>
      <c r="F39" s="732">
        <v>11.4</v>
      </c>
      <c r="G39" s="732">
        <v>68.7</v>
      </c>
      <c r="H39" s="732">
        <v>257</v>
      </c>
      <c r="I39" s="732">
        <v>10.5</v>
      </c>
      <c r="J39" s="732">
        <v>129</v>
      </c>
      <c r="K39" s="732">
        <v>2</v>
      </c>
      <c r="L39" s="870">
        <f t="shared" si="7"/>
        <v>2.9980434888000005</v>
      </c>
      <c r="M39" s="870">
        <f>2*0.00000185*H39*3.14*I39*((3*(A39/4))+(I39/2))</f>
        <v>24.265807902000002</v>
      </c>
      <c r="N39" s="870">
        <f t="shared" si="8"/>
        <v>27.263851390800003</v>
      </c>
      <c r="O39" s="870">
        <v>8</v>
      </c>
      <c r="P39" s="870">
        <f t="shared" si="9"/>
        <v>12.206161250000001</v>
      </c>
      <c r="Q39" s="872">
        <f t="shared" si="10"/>
        <v>39.470012640800007</v>
      </c>
    </row>
    <row r="40" spans="1:17" ht="15">
      <c r="A40" s="868">
        <v>1025</v>
      </c>
      <c r="B40" s="869">
        <v>1000</v>
      </c>
      <c r="C40" s="869">
        <v>5000</v>
      </c>
      <c r="D40" s="870">
        <v>0.6</v>
      </c>
      <c r="E40" s="732" t="str">
        <f t="shared" si="6"/>
        <v>1000;0,6;5000</v>
      </c>
      <c r="F40" s="732">
        <v>15.4</v>
      </c>
      <c r="G40" s="732">
        <v>100.6</v>
      </c>
      <c r="H40" s="732">
        <v>154</v>
      </c>
      <c r="I40" s="732">
        <v>6.5</v>
      </c>
      <c r="J40" s="732">
        <v>77</v>
      </c>
      <c r="K40" s="732">
        <v>2</v>
      </c>
      <c r="L40" s="870">
        <f t="shared" si="7"/>
        <v>1.7752164584000001</v>
      </c>
      <c r="M40" s="870">
        <f>2*0.00000185*H40*3.14*I40*(A40+I40)</f>
        <v>11.995950966999999</v>
      </c>
      <c r="N40" s="870">
        <f t="shared" si="8"/>
        <v>13.771167425399998</v>
      </c>
      <c r="O40" s="870">
        <v>8</v>
      </c>
      <c r="P40" s="870">
        <f t="shared" si="9"/>
        <v>12.206161250000001</v>
      </c>
      <c r="Q40" s="872">
        <f t="shared" si="10"/>
        <v>25.977328675399999</v>
      </c>
    </row>
    <row r="41" spans="1:17" ht="15">
      <c r="A41" s="868">
        <v>1025</v>
      </c>
      <c r="B41" s="869">
        <v>1000</v>
      </c>
      <c r="C41" s="869">
        <v>5000</v>
      </c>
      <c r="D41" s="870">
        <v>1</v>
      </c>
      <c r="E41" s="732" t="str">
        <f t="shared" si="6"/>
        <v>1000;1;5000</v>
      </c>
      <c r="F41" s="732">
        <v>14.9</v>
      </c>
      <c r="G41" s="732">
        <v>84.8</v>
      </c>
      <c r="H41" s="732">
        <v>257</v>
      </c>
      <c r="I41" s="732">
        <v>10.5</v>
      </c>
      <c r="J41" s="732">
        <v>129</v>
      </c>
      <c r="K41" s="732">
        <v>2</v>
      </c>
      <c r="L41" s="870">
        <f t="shared" si="7"/>
        <v>2.9770613808000004</v>
      </c>
      <c r="M41" s="870">
        <f>2*0.00000185*H41*3.14*I41*((3*(A41/4))+(I41/2))</f>
        <v>24.265807902000002</v>
      </c>
      <c r="N41" s="870">
        <f t="shared" si="8"/>
        <v>27.242869282800001</v>
      </c>
      <c r="O41" s="870">
        <v>8</v>
      </c>
      <c r="P41" s="870">
        <f t="shared" si="9"/>
        <v>12.206161250000001</v>
      </c>
      <c r="Q41" s="872">
        <f t="shared" si="10"/>
        <v>39.449030532800002</v>
      </c>
    </row>
    <row r="42" spans="1:17" ht="15">
      <c r="A42" s="868">
        <v>1025</v>
      </c>
      <c r="B42" s="869">
        <v>1000</v>
      </c>
      <c r="C42" s="869">
        <v>10000</v>
      </c>
      <c r="D42" s="870">
        <v>0.6</v>
      </c>
      <c r="E42" s="732" t="str">
        <f t="shared" si="6"/>
        <v>1000;0,6;10000</v>
      </c>
      <c r="F42" s="732">
        <v>19.2</v>
      </c>
      <c r="G42" s="732">
        <v>126.1</v>
      </c>
      <c r="H42" s="732">
        <v>154</v>
      </c>
      <c r="I42" s="732">
        <v>6.5</v>
      </c>
      <c r="J42" s="732">
        <v>77</v>
      </c>
      <c r="K42" s="732">
        <v>2</v>
      </c>
      <c r="L42" s="870">
        <f t="shared" si="7"/>
        <v>1.7616187511999999</v>
      </c>
      <c r="M42" s="870">
        <f>2*0.00000185*H42*3.14*I42*(A42+I42)</f>
        <v>11.995950966999999</v>
      </c>
      <c r="N42" s="870">
        <f t="shared" si="8"/>
        <v>13.757569718199999</v>
      </c>
      <c r="O42" s="870">
        <v>8</v>
      </c>
      <c r="P42" s="870">
        <f t="shared" si="9"/>
        <v>12.206161250000001</v>
      </c>
      <c r="Q42" s="872">
        <f t="shared" si="10"/>
        <v>25.9637309682</v>
      </c>
    </row>
    <row r="43" spans="1:17" ht="15">
      <c r="A43" s="873">
        <v>1025</v>
      </c>
      <c r="B43" s="874">
        <v>1000</v>
      </c>
      <c r="C43" s="874">
        <v>10000</v>
      </c>
      <c r="D43" s="875">
        <v>1</v>
      </c>
      <c r="E43" s="876" t="str">
        <f t="shared" si="6"/>
        <v>1000;1;10000</v>
      </c>
      <c r="F43" s="876">
        <v>18.7</v>
      </c>
      <c r="G43" s="876">
        <v>121.4</v>
      </c>
      <c r="H43" s="876">
        <v>257</v>
      </c>
      <c r="I43" s="876">
        <v>10.5</v>
      </c>
      <c r="J43" s="876">
        <v>129</v>
      </c>
      <c r="K43" s="876">
        <v>2</v>
      </c>
      <c r="L43" s="875">
        <f t="shared" si="7"/>
        <v>2.9542808064000003</v>
      </c>
      <c r="M43" s="875">
        <f>2*0.00000185*H43*3.14*I43*((3*(A43/4))+(I43/2))</f>
        <v>24.265807902000002</v>
      </c>
      <c r="N43" s="875">
        <f t="shared" si="8"/>
        <v>27.220088708400002</v>
      </c>
      <c r="O43" s="875">
        <v>8</v>
      </c>
      <c r="P43" s="875">
        <f t="shared" si="9"/>
        <v>12.206161250000001</v>
      </c>
      <c r="Q43" s="878">
        <f t="shared" si="10"/>
        <v>39.426249958400007</v>
      </c>
    </row>
    <row r="44" spans="1:17" ht="15">
      <c r="A44" s="861">
        <v>1126.5</v>
      </c>
      <c r="B44" s="862">
        <v>1100</v>
      </c>
      <c r="C44" s="862">
        <v>2500</v>
      </c>
      <c r="D44" s="863">
        <v>0.6</v>
      </c>
      <c r="E44" s="864" t="str">
        <f t="shared" si="6"/>
        <v>1100;0,6;2500</v>
      </c>
      <c r="F44" s="864">
        <v>13.7</v>
      </c>
      <c r="G44" s="864">
        <v>97.7</v>
      </c>
      <c r="H44" s="864">
        <v>170</v>
      </c>
      <c r="I44" s="864">
        <v>7</v>
      </c>
      <c r="J44" s="864">
        <v>85</v>
      </c>
      <c r="K44" s="864">
        <v>2</v>
      </c>
      <c r="L44" s="863">
        <f t="shared" si="7"/>
        <v>2.1668383260000001</v>
      </c>
      <c r="M44" s="863">
        <f>2*0.00000185*H44*3.14*I44*(A44+I44)</f>
        <v>15.671113570000001</v>
      </c>
      <c r="N44" s="863">
        <f t="shared" si="8"/>
        <v>17.837951896</v>
      </c>
      <c r="O44" s="863">
        <f t="shared" ref="O44:O107" si="11">O38+1</f>
        <v>9</v>
      </c>
      <c r="P44" s="863">
        <f t="shared" si="9"/>
        <v>16.586176658062502</v>
      </c>
      <c r="Q44" s="866">
        <f t="shared" si="10"/>
        <v>34.424128554062506</v>
      </c>
    </row>
    <row r="45" spans="1:17" ht="15">
      <c r="A45" s="868">
        <v>1126.5</v>
      </c>
      <c r="B45" s="869">
        <v>1100</v>
      </c>
      <c r="C45" s="869">
        <v>2500</v>
      </c>
      <c r="D45" s="870">
        <v>1</v>
      </c>
      <c r="E45" s="732" t="str">
        <f t="shared" si="6"/>
        <v>1100;1;2500</v>
      </c>
      <c r="F45" s="732">
        <v>12.6</v>
      </c>
      <c r="G45" s="732">
        <v>83.8</v>
      </c>
      <c r="H45" s="732">
        <v>282</v>
      </c>
      <c r="I45" s="732">
        <v>11.5</v>
      </c>
      <c r="J45" s="732">
        <v>141</v>
      </c>
      <c r="K45" s="732">
        <v>2</v>
      </c>
      <c r="L45" s="870">
        <f t="shared" si="7"/>
        <v>3.6016102068000002</v>
      </c>
      <c r="M45" s="870">
        <f>2*0.00000185*H45*3.14*I45*((3*(A45/4))+(I45/2))</f>
        <v>32.04914613375</v>
      </c>
      <c r="N45" s="870">
        <f t="shared" si="8"/>
        <v>35.650756340550004</v>
      </c>
      <c r="O45" s="870">
        <f t="shared" si="11"/>
        <v>9</v>
      </c>
      <c r="P45" s="870">
        <f t="shared" si="9"/>
        <v>16.586176658062502</v>
      </c>
      <c r="Q45" s="872">
        <f t="shared" si="10"/>
        <v>52.236932998612502</v>
      </c>
    </row>
    <row r="46" spans="1:17" ht="15">
      <c r="A46" s="868">
        <v>1126.5</v>
      </c>
      <c r="B46" s="869">
        <v>1100</v>
      </c>
      <c r="C46" s="869">
        <v>5000</v>
      </c>
      <c r="D46" s="870">
        <v>0.6</v>
      </c>
      <c r="E46" s="732" t="str">
        <f t="shared" si="6"/>
        <v>1100;0,6;5000</v>
      </c>
      <c r="F46" s="732">
        <v>16.899999999999999</v>
      </c>
      <c r="G46" s="732">
        <v>121.1</v>
      </c>
      <c r="H46" s="732">
        <v>170</v>
      </c>
      <c r="I46" s="732">
        <v>7</v>
      </c>
      <c r="J46" s="732">
        <v>85</v>
      </c>
      <c r="K46" s="732">
        <v>2</v>
      </c>
      <c r="L46" s="870">
        <f t="shared" si="7"/>
        <v>2.1541979420000006</v>
      </c>
      <c r="M46" s="870">
        <f>2*0.00000185*H46*3.14*I46*(A46+I46)</f>
        <v>15.671113570000001</v>
      </c>
      <c r="N46" s="870">
        <f t="shared" si="8"/>
        <v>17.825311512000003</v>
      </c>
      <c r="O46" s="870">
        <f t="shared" si="11"/>
        <v>9</v>
      </c>
      <c r="P46" s="870">
        <f t="shared" si="9"/>
        <v>16.586176658062502</v>
      </c>
      <c r="Q46" s="872">
        <f t="shared" si="10"/>
        <v>34.411488170062505</v>
      </c>
    </row>
    <row r="47" spans="1:17" ht="15">
      <c r="A47" s="868">
        <v>1126.5</v>
      </c>
      <c r="B47" s="869">
        <v>1100</v>
      </c>
      <c r="C47" s="869">
        <v>5000</v>
      </c>
      <c r="D47" s="870">
        <v>1</v>
      </c>
      <c r="E47" s="732" t="str">
        <f t="shared" si="6"/>
        <v>1100;1;5000</v>
      </c>
      <c r="F47" s="732">
        <v>15.6</v>
      </c>
      <c r="G47" s="732">
        <v>108.1</v>
      </c>
      <c r="H47" s="732">
        <v>282</v>
      </c>
      <c r="I47" s="732">
        <v>11.5</v>
      </c>
      <c r="J47" s="732">
        <v>141</v>
      </c>
      <c r="K47" s="732">
        <v>2</v>
      </c>
      <c r="L47" s="870">
        <f t="shared" si="7"/>
        <v>3.5819525508000001</v>
      </c>
      <c r="M47" s="870">
        <f>2*0.00000185*H47*3.14*I47*((3*(A47/4))+(I47/2))</f>
        <v>32.04914613375</v>
      </c>
      <c r="N47" s="870">
        <f t="shared" si="8"/>
        <v>35.631098684549997</v>
      </c>
      <c r="O47" s="870">
        <f t="shared" si="11"/>
        <v>9</v>
      </c>
      <c r="P47" s="870">
        <f t="shared" si="9"/>
        <v>16.586176658062502</v>
      </c>
      <c r="Q47" s="872">
        <f t="shared" si="10"/>
        <v>52.217275342612496</v>
      </c>
    </row>
    <row r="48" spans="1:17" ht="15">
      <c r="A48" s="868">
        <v>1126.5</v>
      </c>
      <c r="B48" s="869">
        <v>1100</v>
      </c>
      <c r="C48" s="869">
        <v>10000</v>
      </c>
      <c r="D48" s="870">
        <v>0.6</v>
      </c>
      <c r="E48" s="732" t="str">
        <f t="shared" si="6"/>
        <v>1100;0,6;10000</v>
      </c>
      <c r="F48" s="732">
        <v>21.9</v>
      </c>
      <c r="G48" s="732">
        <v>150.9</v>
      </c>
      <c r="H48" s="732">
        <v>170</v>
      </c>
      <c r="I48" s="732">
        <v>7</v>
      </c>
      <c r="J48" s="732">
        <v>85</v>
      </c>
      <c r="K48" s="732">
        <v>2</v>
      </c>
      <c r="L48" s="870">
        <f t="shared" si="7"/>
        <v>2.1344473420000005</v>
      </c>
      <c r="M48" s="870">
        <f>2*0.00000185*H48*3.14*I48*(A48+I48)</f>
        <v>15.671113570000001</v>
      </c>
      <c r="N48" s="870">
        <f t="shared" si="8"/>
        <v>17.805560912000001</v>
      </c>
      <c r="O48" s="870">
        <f t="shared" si="11"/>
        <v>9</v>
      </c>
      <c r="P48" s="870">
        <f t="shared" si="9"/>
        <v>16.586176658062502</v>
      </c>
      <c r="Q48" s="872">
        <f t="shared" si="10"/>
        <v>34.391737570062503</v>
      </c>
    </row>
    <row r="49" spans="1:17" ht="15">
      <c r="A49" s="873">
        <v>1126.5</v>
      </c>
      <c r="B49" s="874">
        <v>1100</v>
      </c>
      <c r="C49" s="874">
        <v>10000</v>
      </c>
      <c r="D49" s="875">
        <v>1</v>
      </c>
      <c r="E49" s="876" t="str">
        <f t="shared" si="6"/>
        <v>1100;1;10000</v>
      </c>
      <c r="F49" s="876">
        <v>20.399999999999999</v>
      </c>
      <c r="G49" s="876">
        <v>146.4</v>
      </c>
      <c r="H49" s="876">
        <v>282</v>
      </c>
      <c r="I49" s="876">
        <v>11.5</v>
      </c>
      <c r="J49" s="876">
        <v>141</v>
      </c>
      <c r="K49" s="876">
        <v>2</v>
      </c>
      <c r="L49" s="875">
        <f t="shared" si="7"/>
        <v>3.5505003012000005</v>
      </c>
      <c r="M49" s="875">
        <f>2*0.00000185*H49*3.14*I49*((3*(A49/4))+(I49/2))</f>
        <v>32.04914613375</v>
      </c>
      <c r="N49" s="875">
        <f t="shared" si="8"/>
        <v>35.599646434950003</v>
      </c>
      <c r="O49" s="875">
        <f t="shared" si="11"/>
        <v>9</v>
      </c>
      <c r="P49" s="875">
        <f t="shared" si="9"/>
        <v>16.586176658062502</v>
      </c>
      <c r="Q49" s="878">
        <f t="shared" si="10"/>
        <v>52.185823093012502</v>
      </c>
    </row>
    <row r="50" spans="1:17" ht="15">
      <c r="A50" s="861">
        <v>1229.0999999999999</v>
      </c>
      <c r="B50" s="862">
        <v>1200</v>
      </c>
      <c r="C50" s="862">
        <v>2500</v>
      </c>
      <c r="D50" s="863">
        <v>0.6</v>
      </c>
      <c r="E50" s="864" t="str">
        <f t="shared" si="6"/>
        <v>1200;0,6;2500</v>
      </c>
      <c r="F50" s="864">
        <v>15</v>
      </c>
      <c r="G50" s="864">
        <v>117</v>
      </c>
      <c r="H50" s="864">
        <v>185</v>
      </c>
      <c r="I50" s="864">
        <v>7.5</v>
      </c>
      <c r="J50" s="864">
        <v>93</v>
      </c>
      <c r="K50" s="864">
        <v>2</v>
      </c>
      <c r="L50" s="863">
        <f t="shared" si="7"/>
        <v>2.5868708508</v>
      </c>
      <c r="M50" s="863">
        <f>2*0.00000185*H50*3.14*I50*(A50+I50)</f>
        <v>19.933961085</v>
      </c>
      <c r="N50" s="863">
        <f t="shared" si="8"/>
        <v>22.5208319358</v>
      </c>
      <c r="O50" s="863">
        <f t="shared" si="11"/>
        <v>10</v>
      </c>
      <c r="P50" s="863">
        <f t="shared" si="9"/>
        <v>21.938949198225</v>
      </c>
      <c r="Q50" s="866">
        <f t="shared" si="10"/>
        <v>44.459781134025</v>
      </c>
    </row>
    <row r="51" spans="1:17" ht="15">
      <c r="A51" s="868">
        <v>1229.0999999999999</v>
      </c>
      <c r="B51" s="869">
        <v>1200</v>
      </c>
      <c r="C51" s="869">
        <v>2500</v>
      </c>
      <c r="D51" s="870">
        <v>1</v>
      </c>
      <c r="E51" s="732" t="str">
        <f t="shared" si="6"/>
        <v>1200;1;2500</v>
      </c>
      <c r="F51" s="732">
        <v>13.6</v>
      </c>
      <c r="G51" s="732">
        <v>98.9</v>
      </c>
      <c r="H51" s="732">
        <v>308</v>
      </c>
      <c r="I51" s="732">
        <v>12.5</v>
      </c>
      <c r="J51" s="732">
        <v>154</v>
      </c>
      <c r="K51" s="732">
        <v>2</v>
      </c>
      <c r="L51" s="870">
        <f t="shared" si="7"/>
        <v>4.2936549655999992</v>
      </c>
      <c r="M51" s="870">
        <f>2*0.00000185*H51*3.14*I51*((3*(A51/4))+(I51/2))</f>
        <v>41.512145097499996</v>
      </c>
      <c r="N51" s="870">
        <f t="shared" si="8"/>
        <v>45.805800063099994</v>
      </c>
      <c r="O51" s="870">
        <f t="shared" si="11"/>
        <v>10</v>
      </c>
      <c r="P51" s="870">
        <f t="shared" si="9"/>
        <v>21.938949198225</v>
      </c>
      <c r="Q51" s="872">
        <f t="shared" si="10"/>
        <v>67.744749261324998</v>
      </c>
    </row>
    <row r="52" spans="1:17" ht="15">
      <c r="A52" s="868">
        <v>1229.0999999999999</v>
      </c>
      <c r="B52" s="869">
        <v>1200</v>
      </c>
      <c r="C52" s="869">
        <v>5000</v>
      </c>
      <c r="D52" s="870">
        <v>0.6</v>
      </c>
      <c r="E52" s="732" t="str">
        <f t="shared" si="6"/>
        <v>1200;0,6;5000</v>
      </c>
      <c r="F52" s="732">
        <v>18.3</v>
      </c>
      <c r="G52" s="732">
        <v>144.1</v>
      </c>
      <c r="H52" s="732">
        <v>185</v>
      </c>
      <c r="I52" s="732">
        <v>7.5</v>
      </c>
      <c r="J52" s="732">
        <v>93</v>
      </c>
      <c r="K52" s="732">
        <v>2</v>
      </c>
      <c r="L52" s="870">
        <f t="shared" si="7"/>
        <v>2.5726085940000001</v>
      </c>
      <c r="M52" s="870">
        <f>2*0.00000185*H52*3.14*I52*(A52+I52)</f>
        <v>19.933961085</v>
      </c>
      <c r="N52" s="870">
        <f t="shared" si="8"/>
        <v>22.506569679000002</v>
      </c>
      <c r="O52" s="870">
        <f t="shared" si="11"/>
        <v>10</v>
      </c>
      <c r="P52" s="870">
        <f t="shared" si="9"/>
        <v>21.938949198225</v>
      </c>
      <c r="Q52" s="872">
        <f t="shared" si="10"/>
        <v>44.445518877224998</v>
      </c>
    </row>
    <row r="53" spans="1:17" ht="15">
      <c r="A53" s="868">
        <v>1229.0999999999999</v>
      </c>
      <c r="B53" s="869">
        <v>1200</v>
      </c>
      <c r="C53" s="869">
        <v>5000</v>
      </c>
      <c r="D53" s="870">
        <v>1</v>
      </c>
      <c r="E53" s="732" t="str">
        <f t="shared" si="6"/>
        <v>1200;1;5000</v>
      </c>
      <c r="F53" s="732">
        <v>17</v>
      </c>
      <c r="G53" s="732">
        <v>128.6</v>
      </c>
      <c r="H53" s="732">
        <v>308</v>
      </c>
      <c r="I53" s="732">
        <v>12.5</v>
      </c>
      <c r="J53" s="732">
        <v>154</v>
      </c>
      <c r="K53" s="732">
        <v>2</v>
      </c>
      <c r="L53" s="870">
        <f t="shared" si="7"/>
        <v>4.269322226399999</v>
      </c>
      <c r="M53" s="870">
        <f>2*0.00000185*H53*3.14*I53*((3*(A53/4))+(I53/2))</f>
        <v>41.512145097499996</v>
      </c>
      <c r="N53" s="870">
        <f t="shared" si="8"/>
        <v>45.781467323899996</v>
      </c>
      <c r="O53" s="870">
        <f t="shared" si="11"/>
        <v>10</v>
      </c>
      <c r="P53" s="870">
        <f t="shared" si="9"/>
        <v>21.938949198225</v>
      </c>
      <c r="Q53" s="872">
        <f t="shared" si="10"/>
        <v>67.720416522124992</v>
      </c>
    </row>
    <row r="54" spans="1:17" ht="15">
      <c r="A54" s="868">
        <v>1229.0999999999999</v>
      </c>
      <c r="B54" s="869">
        <v>1200</v>
      </c>
      <c r="C54" s="869">
        <v>10000</v>
      </c>
      <c r="D54" s="870">
        <v>0.6</v>
      </c>
      <c r="E54" s="732" t="str">
        <f t="shared" si="6"/>
        <v>1200;0,6;10000</v>
      </c>
      <c r="F54" s="732">
        <v>22.8</v>
      </c>
      <c r="G54" s="732">
        <v>180.5</v>
      </c>
      <c r="H54" s="732">
        <v>185</v>
      </c>
      <c r="I54" s="732">
        <v>7.5</v>
      </c>
      <c r="J54" s="732">
        <v>93</v>
      </c>
      <c r="K54" s="732">
        <v>2</v>
      </c>
      <c r="L54" s="870">
        <f t="shared" si="7"/>
        <v>2.5531600620000003</v>
      </c>
      <c r="M54" s="870">
        <f>2*0.00000185*H54*3.14*I54*(A54+I54)</f>
        <v>19.933961085</v>
      </c>
      <c r="N54" s="870">
        <f t="shared" si="8"/>
        <v>22.487121147</v>
      </c>
      <c r="O54" s="870">
        <f t="shared" si="11"/>
        <v>10</v>
      </c>
      <c r="P54" s="870">
        <f t="shared" si="9"/>
        <v>21.938949198225</v>
      </c>
      <c r="Q54" s="872">
        <f t="shared" si="10"/>
        <v>44.426070345225</v>
      </c>
    </row>
    <row r="55" spans="1:17" ht="15">
      <c r="A55" s="873">
        <v>1229.0999999999999</v>
      </c>
      <c r="B55" s="874">
        <v>1200</v>
      </c>
      <c r="C55" s="874">
        <v>10000</v>
      </c>
      <c r="D55" s="875">
        <v>1</v>
      </c>
      <c r="E55" s="876" t="str">
        <f t="shared" si="6"/>
        <v>1200;1;10000</v>
      </c>
      <c r="F55" s="876">
        <v>22.3</v>
      </c>
      <c r="G55" s="876">
        <v>174.3</v>
      </c>
      <c r="H55" s="876">
        <v>308</v>
      </c>
      <c r="I55" s="876">
        <v>12.5</v>
      </c>
      <c r="J55" s="876">
        <v>154</v>
      </c>
      <c r="K55" s="876">
        <v>2</v>
      </c>
      <c r="L55" s="875">
        <f t="shared" si="7"/>
        <v>4.23139178</v>
      </c>
      <c r="M55" s="875">
        <f t="shared" ref="M55:M118" si="12">2*0.00000185*H55*3.14*I55*((3*(A55/4))+(I55/2))</f>
        <v>41.512145097499996</v>
      </c>
      <c r="N55" s="875">
        <f t="shared" si="8"/>
        <v>45.743536877499999</v>
      </c>
      <c r="O55" s="875">
        <f t="shared" si="11"/>
        <v>10</v>
      </c>
      <c r="P55" s="875">
        <f t="shared" si="9"/>
        <v>21.938949198225</v>
      </c>
      <c r="Q55" s="878">
        <f t="shared" si="10"/>
        <v>67.682486075724995</v>
      </c>
    </row>
    <row r="56" spans="1:17" ht="15">
      <c r="A56" s="861">
        <v>1330.5</v>
      </c>
      <c r="B56" s="879">
        <v>1300</v>
      </c>
      <c r="C56" s="879">
        <v>2500</v>
      </c>
      <c r="D56" s="863">
        <v>0.6</v>
      </c>
      <c r="E56" s="864" t="str">
        <f t="shared" si="6"/>
        <v>1300;0,6;2500</v>
      </c>
      <c r="F56" s="880">
        <v>16.100000000000001</v>
      </c>
      <c r="G56" s="880">
        <v>136.19999999999999</v>
      </c>
      <c r="H56" s="864">
        <v>200</v>
      </c>
      <c r="I56" s="864">
        <v>8</v>
      </c>
      <c r="J56" s="864">
        <v>100</v>
      </c>
      <c r="K56" s="864">
        <v>2</v>
      </c>
      <c r="L56" s="863">
        <f t="shared" si="7"/>
        <v>3.0120826799999998</v>
      </c>
      <c r="M56" s="863">
        <f t="shared" si="12"/>
        <v>18.623653999999998</v>
      </c>
      <c r="N56" s="863">
        <f t="shared" si="8"/>
        <v>21.635736679999997</v>
      </c>
      <c r="O56" s="863">
        <f t="shared" si="11"/>
        <v>11</v>
      </c>
      <c r="P56" s="863">
        <f t="shared" si="9"/>
        <v>28.2789856861875</v>
      </c>
      <c r="Q56" s="866">
        <f t="shared" si="10"/>
        <v>49.914722366187497</v>
      </c>
    </row>
    <row r="57" spans="1:17" ht="15">
      <c r="A57" s="868">
        <v>1330.5</v>
      </c>
      <c r="B57" s="881">
        <v>1300</v>
      </c>
      <c r="C57" s="881">
        <v>2500</v>
      </c>
      <c r="D57" s="870">
        <v>1</v>
      </c>
      <c r="E57" s="732" t="str">
        <f t="shared" si="6"/>
        <v>1300;1;2500</v>
      </c>
      <c r="F57" s="882">
        <v>14.7</v>
      </c>
      <c r="G57" s="882">
        <v>116.2</v>
      </c>
      <c r="H57" s="732">
        <v>333</v>
      </c>
      <c r="I57" s="732">
        <v>13</v>
      </c>
      <c r="J57" s="732">
        <v>167</v>
      </c>
      <c r="K57" s="732">
        <v>2</v>
      </c>
      <c r="L57" s="870">
        <f t="shared" si="7"/>
        <v>5.0410432291999996</v>
      </c>
      <c r="M57" s="870">
        <f t="shared" si="12"/>
        <v>50.51435965875001</v>
      </c>
      <c r="N57" s="870">
        <f t="shared" si="8"/>
        <v>55.555402887950009</v>
      </c>
      <c r="O57" s="870">
        <f t="shared" si="11"/>
        <v>11</v>
      </c>
      <c r="P57" s="870">
        <f t="shared" si="9"/>
        <v>28.2789856861875</v>
      </c>
      <c r="Q57" s="872">
        <f t="shared" si="10"/>
        <v>83.834388574137506</v>
      </c>
    </row>
    <row r="58" spans="1:17" ht="15">
      <c r="A58" s="868">
        <v>1330.5</v>
      </c>
      <c r="B58" s="881">
        <v>1300</v>
      </c>
      <c r="C58" s="881">
        <v>5000</v>
      </c>
      <c r="D58" s="870">
        <v>0.6</v>
      </c>
      <c r="E58" s="732" t="str">
        <f t="shared" si="6"/>
        <v>1300;0,6;5000</v>
      </c>
      <c r="F58" s="882">
        <v>19.600000000000001</v>
      </c>
      <c r="G58" s="882">
        <v>166.6</v>
      </c>
      <c r="H58" s="732">
        <v>200</v>
      </c>
      <c r="I58" s="732">
        <v>8</v>
      </c>
      <c r="J58" s="732">
        <v>100</v>
      </c>
      <c r="K58" s="732">
        <v>2</v>
      </c>
      <c r="L58" s="870">
        <f t="shared" si="7"/>
        <v>2.9958174799999999</v>
      </c>
      <c r="M58" s="870">
        <f t="shared" si="12"/>
        <v>18.623653999999998</v>
      </c>
      <c r="N58" s="870">
        <f t="shared" si="8"/>
        <v>21.619471479999998</v>
      </c>
      <c r="O58" s="870">
        <f t="shared" si="11"/>
        <v>11</v>
      </c>
      <c r="P58" s="870">
        <f t="shared" si="9"/>
        <v>28.2789856861875</v>
      </c>
      <c r="Q58" s="872">
        <f t="shared" si="10"/>
        <v>49.898457166187498</v>
      </c>
    </row>
    <row r="59" spans="1:17" ht="15">
      <c r="A59" s="868">
        <v>1330.5</v>
      </c>
      <c r="B59" s="881">
        <v>1300</v>
      </c>
      <c r="C59" s="881">
        <v>5000</v>
      </c>
      <c r="D59" s="870">
        <v>1</v>
      </c>
      <c r="E59" s="732" t="str">
        <f t="shared" si="6"/>
        <v>1300;1;5000</v>
      </c>
      <c r="F59" s="882">
        <v>18.399999999999999</v>
      </c>
      <c r="G59" s="882">
        <v>150.9</v>
      </c>
      <c r="H59" s="732">
        <v>333</v>
      </c>
      <c r="I59" s="732">
        <v>13</v>
      </c>
      <c r="J59" s="732">
        <v>167</v>
      </c>
      <c r="K59" s="732">
        <v>2</v>
      </c>
      <c r="L59" s="870">
        <f t="shared" si="7"/>
        <v>5.0123281804000008</v>
      </c>
      <c r="M59" s="870">
        <f t="shared" si="12"/>
        <v>50.51435965875001</v>
      </c>
      <c r="N59" s="870">
        <f t="shared" si="8"/>
        <v>55.526687839150014</v>
      </c>
      <c r="O59" s="870">
        <f t="shared" si="11"/>
        <v>11</v>
      </c>
      <c r="P59" s="870">
        <f t="shared" si="9"/>
        <v>28.2789856861875</v>
      </c>
      <c r="Q59" s="872">
        <f t="shared" si="10"/>
        <v>83.805673525337511</v>
      </c>
    </row>
    <row r="60" spans="1:17" ht="15">
      <c r="A60" s="868">
        <v>1330.5</v>
      </c>
      <c r="B60" s="881">
        <v>1300</v>
      </c>
      <c r="C60" s="881">
        <v>10000</v>
      </c>
      <c r="D60" s="870">
        <v>0.6</v>
      </c>
      <c r="E60" s="732" t="str">
        <f t="shared" si="6"/>
        <v>1300;0,6;10000</v>
      </c>
      <c r="F60" s="882">
        <v>24.3</v>
      </c>
      <c r="G60" s="882">
        <v>207.5</v>
      </c>
      <c r="H60" s="732">
        <v>200</v>
      </c>
      <c r="I60" s="732">
        <v>8</v>
      </c>
      <c r="J60" s="732">
        <v>100</v>
      </c>
      <c r="K60" s="732">
        <v>2</v>
      </c>
      <c r="L60" s="870">
        <f t="shared" si="7"/>
        <v>2.9739756399999999</v>
      </c>
      <c r="M60" s="870">
        <f t="shared" si="12"/>
        <v>18.623653999999998</v>
      </c>
      <c r="N60" s="870">
        <f t="shared" si="8"/>
        <v>21.597629639999997</v>
      </c>
      <c r="O60" s="870">
        <f t="shared" si="11"/>
        <v>11</v>
      </c>
      <c r="P60" s="870">
        <f t="shared" si="9"/>
        <v>28.2789856861875</v>
      </c>
      <c r="Q60" s="872">
        <f t="shared" si="10"/>
        <v>49.876615326187498</v>
      </c>
    </row>
    <row r="61" spans="1:17" ht="15">
      <c r="A61" s="873">
        <v>1330.5</v>
      </c>
      <c r="B61" s="883">
        <v>1300</v>
      </c>
      <c r="C61" s="883">
        <v>10000</v>
      </c>
      <c r="D61" s="875">
        <v>1</v>
      </c>
      <c r="E61" s="876" t="str">
        <f t="shared" si="6"/>
        <v>1300;1;10000</v>
      </c>
      <c r="F61" s="884">
        <v>24</v>
      </c>
      <c r="G61" s="884">
        <v>204</v>
      </c>
      <c r="H61" s="876">
        <v>333</v>
      </c>
      <c r="I61" s="876">
        <v>13</v>
      </c>
      <c r="J61" s="876">
        <v>167</v>
      </c>
      <c r="K61" s="876">
        <v>2</v>
      </c>
      <c r="L61" s="875">
        <f t="shared" si="7"/>
        <v>4.9688675660000001</v>
      </c>
      <c r="M61" s="875">
        <f t="shared" si="12"/>
        <v>50.51435965875001</v>
      </c>
      <c r="N61" s="875">
        <f t="shared" si="8"/>
        <v>55.48322722475001</v>
      </c>
      <c r="O61" s="875">
        <f t="shared" si="11"/>
        <v>11</v>
      </c>
      <c r="P61" s="875">
        <f t="shared" si="9"/>
        <v>28.2789856861875</v>
      </c>
      <c r="Q61" s="878">
        <f t="shared" si="10"/>
        <v>83.762212910937507</v>
      </c>
    </row>
    <row r="62" spans="1:17" ht="15">
      <c r="A62" s="861">
        <v>1433.1</v>
      </c>
      <c r="B62" s="862">
        <v>1400</v>
      </c>
      <c r="C62" s="862">
        <v>2500</v>
      </c>
      <c r="D62" s="863">
        <v>0.6</v>
      </c>
      <c r="E62" s="864" t="str">
        <f t="shared" si="6"/>
        <v>1400;0,6;2500</v>
      </c>
      <c r="F62" s="885">
        <v>17.399999999999999</v>
      </c>
      <c r="G62" s="885">
        <v>159.5</v>
      </c>
      <c r="H62" s="864">
        <v>215</v>
      </c>
      <c r="I62" s="864">
        <v>9</v>
      </c>
      <c r="J62" s="864">
        <v>108</v>
      </c>
      <c r="K62" s="864">
        <v>2</v>
      </c>
      <c r="L62" s="863">
        <f t="shared" si="7"/>
        <v>3.5039980944000004</v>
      </c>
      <c r="M62" s="863">
        <f t="shared" si="12"/>
        <v>24.264121839749997</v>
      </c>
      <c r="N62" s="863">
        <f t="shared" si="8"/>
        <v>27.768119934149997</v>
      </c>
      <c r="O62" s="863">
        <f t="shared" si="11"/>
        <v>12</v>
      </c>
      <c r="P62" s="863">
        <f t="shared" si="9"/>
        <v>35.791147555469998</v>
      </c>
      <c r="Q62" s="866">
        <f t="shared" si="10"/>
        <v>63.559267489619998</v>
      </c>
    </row>
    <row r="63" spans="1:17" ht="15">
      <c r="A63" s="868">
        <v>1433.1</v>
      </c>
      <c r="B63" s="869">
        <v>1400</v>
      </c>
      <c r="C63" s="869">
        <v>2500</v>
      </c>
      <c r="D63" s="870">
        <v>1</v>
      </c>
      <c r="E63" s="732" t="str">
        <f t="shared" si="6"/>
        <v>1400;1;2500</v>
      </c>
      <c r="F63" s="851">
        <v>15.7</v>
      </c>
      <c r="G63" s="851">
        <v>133.69999999999999</v>
      </c>
      <c r="H63" s="732">
        <v>360</v>
      </c>
      <c r="I63" s="732">
        <v>14.5</v>
      </c>
      <c r="J63" s="732">
        <v>180</v>
      </c>
      <c r="K63" s="732">
        <v>2</v>
      </c>
      <c r="L63" s="870">
        <f t="shared" si="7"/>
        <v>5.8542172560000001</v>
      </c>
      <c r="M63" s="870">
        <f t="shared" si="12"/>
        <v>65.62347716699999</v>
      </c>
      <c r="N63" s="870">
        <f t="shared" si="8"/>
        <v>71.477694422999988</v>
      </c>
      <c r="O63" s="870">
        <f t="shared" si="11"/>
        <v>12</v>
      </c>
      <c r="P63" s="870">
        <f t="shared" si="9"/>
        <v>35.791147555469998</v>
      </c>
      <c r="Q63" s="872">
        <f t="shared" si="10"/>
        <v>107.26884197846999</v>
      </c>
    </row>
    <row r="64" spans="1:17" ht="15">
      <c r="A64" s="868">
        <v>1433.1</v>
      </c>
      <c r="B64" s="869">
        <v>1400</v>
      </c>
      <c r="C64" s="869">
        <v>5000</v>
      </c>
      <c r="D64" s="870">
        <v>0.6</v>
      </c>
      <c r="E64" s="732" t="str">
        <f t="shared" si="6"/>
        <v>1400;0,6;5000</v>
      </c>
      <c r="F64" s="882">
        <v>21.3</v>
      </c>
      <c r="G64" s="882">
        <v>196.1</v>
      </c>
      <c r="H64" s="732">
        <v>215</v>
      </c>
      <c r="I64" s="732">
        <v>9</v>
      </c>
      <c r="J64" s="732">
        <v>108</v>
      </c>
      <c r="K64" s="732">
        <v>2</v>
      </c>
      <c r="L64" s="870">
        <f t="shared" si="7"/>
        <v>3.4844240880000004</v>
      </c>
      <c r="M64" s="870">
        <f t="shared" si="12"/>
        <v>24.264121839749997</v>
      </c>
      <c r="N64" s="870">
        <f t="shared" si="8"/>
        <v>27.748545927749998</v>
      </c>
      <c r="O64" s="870">
        <f t="shared" si="11"/>
        <v>12</v>
      </c>
      <c r="P64" s="870">
        <f t="shared" si="9"/>
        <v>35.791147555469998</v>
      </c>
      <c r="Q64" s="872">
        <f t="shared" si="10"/>
        <v>63.539693483219992</v>
      </c>
    </row>
    <row r="65" spans="1:17" ht="15">
      <c r="A65" s="868">
        <v>1433.1</v>
      </c>
      <c r="B65" s="869">
        <v>1400</v>
      </c>
      <c r="C65" s="869">
        <v>5000</v>
      </c>
      <c r="D65" s="870">
        <v>1</v>
      </c>
      <c r="E65" s="732" t="str">
        <f t="shared" si="6"/>
        <v>1400;1;5000</v>
      </c>
      <c r="F65" s="882">
        <v>19.7</v>
      </c>
      <c r="G65" s="882">
        <v>175</v>
      </c>
      <c r="H65" s="732">
        <v>360</v>
      </c>
      <c r="I65" s="732">
        <v>14.5</v>
      </c>
      <c r="J65" s="732">
        <v>180</v>
      </c>
      <c r="K65" s="732">
        <v>2</v>
      </c>
      <c r="L65" s="870">
        <f t="shared" si="7"/>
        <v>5.8207574160000002</v>
      </c>
      <c r="M65" s="870">
        <f t="shared" si="12"/>
        <v>65.62347716699999</v>
      </c>
      <c r="N65" s="870">
        <f t="shared" si="8"/>
        <v>71.444234582999997</v>
      </c>
      <c r="O65" s="870">
        <f t="shared" si="11"/>
        <v>12</v>
      </c>
      <c r="P65" s="870">
        <f t="shared" si="9"/>
        <v>35.791147555469998</v>
      </c>
      <c r="Q65" s="872">
        <f t="shared" si="10"/>
        <v>107.23538213846999</v>
      </c>
    </row>
    <row r="66" spans="1:17" ht="15">
      <c r="A66" s="868">
        <v>1433.1</v>
      </c>
      <c r="B66" s="869">
        <v>1400</v>
      </c>
      <c r="C66" s="869">
        <v>10000</v>
      </c>
      <c r="D66" s="870">
        <v>0.6</v>
      </c>
      <c r="E66" s="732" t="str">
        <f t="shared" si="6"/>
        <v>1400;0,6;10000</v>
      </c>
      <c r="F66" s="882">
        <v>26.4</v>
      </c>
      <c r="G66" s="882">
        <v>244</v>
      </c>
      <c r="H66" s="732">
        <v>215</v>
      </c>
      <c r="I66" s="732">
        <v>9</v>
      </c>
      <c r="J66" s="732">
        <v>108</v>
      </c>
      <c r="K66" s="732">
        <v>2</v>
      </c>
      <c r="L66" s="870">
        <f t="shared" si="7"/>
        <v>3.4588273104000002</v>
      </c>
      <c r="M66" s="870">
        <f t="shared" si="12"/>
        <v>24.264121839749997</v>
      </c>
      <c r="N66" s="870">
        <f t="shared" si="8"/>
        <v>27.722949150149997</v>
      </c>
      <c r="O66" s="870">
        <f t="shared" si="11"/>
        <v>12</v>
      </c>
      <c r="P66" s="870">
        <f t="shared" si="9"/>
        <v>35.791147555469998</v>
      </c>
      <c r="Q66" s="872">
        <f t="shared" si="10"/>
        <v>63.514096705619991</v>
      </c>
    </row>
    <row r="67" spans="1:17" ht="15">
      <c r="A67" s="873">
        <v>1433.1</v>
      </c>
      <c r="B67" s="874">
        <v>1400</v>
      </c>
      <c r="C67" s="874">
        <v>10000</v>
      </c>
      <c r="D67" s="875">
        <v>1</v>
      </c>
      <c r="E67" s="876" t="str">
        <f t="shared" si="6"/>
        <v>1400;1;10000</v>
      </c>
      <c r="F67" s="884">
        <v>25.9</v>
      </c>
      <c r="G67" s="884">
        <v>237.5</v>
      </c>
      <c r="H67" s="876">
        <v>360</v>
      </c>
      <c r="I67" s="876">
        <v>14.5</v>
      </c>
      <c r="J67" s="876">
        <v>180</v>
      </c>
      <c r="K67" s="876">
        <v>2</v>
      </c>
      <c r="L67" s="875">
        <f t="shared" si="7"/>
        <v>5.7688946640000003</v>
      </c>
      <c r="M67" s="875">
        <f t="shared" si="12"/>
        <v>65.62347716699999</v>
      </c>
      <c r="N67" s="875">
        <f t="shared" si="8"/>
        <v>71.392371830999991</v>
      </c>
      <c r="O67" s="875">
        <f t="shared" si="11"/>
        <v>12</v>
      </c>
      <c r="P67" s="875">
        <f t="shared" si="9"/>
        <v>35.791147555469998</v>
      </c>
      <c r="Q67" s="878">
        <f t="shared" si="10"/>
        <v>107.18351938646998</v>
      </c>
    </row>
    <row r="68" spans="1:17" ht="15">
      <c r="A68" s="861">
        <v>1535.1</v>
      </c>
      <c r="B68" s="862">
        <v>1500</v>
      </c>
      <c r="C68" s="862">
        <v>2500</v>
      </c>
      <c r="D68" s="863">
        <v>0.6</v>
      </c>
      <c r="E68" s="864" t="str">
        <f t="shared" si="6"/>
        <v>1500;0,6;2500</v>
      </c>
      <c r="F68" s="880">
        <v>18.2</v>
      </c>
      <c r="G68" s="880">
        <v>178</v>
      </c>
      <c r="H68" s="864">
        <v>230</v>
      </c>
      <c r="I68" s="864">
        <v>9</v>
      </c>
      <c r="J68" s="864">
        <v>115</v>
      </c>
      <c r="K68" s="864">
        <v>2</v>
      </c>
      <c r="L68" s="863">
        <f t="shared" si="7"/>
        <v>3.999391938</v>
      </c>
      <c r="M68" s="863">
        <f t="shared" si="12"/>
        <v>27.7967359395</v>
      </c>
      <c r="N68" s="863">
        <f t="shared" si="8"/>
        <v>31.796127877499998</v>
      </c>
      <c r="O68" s="863">
        <f t="shared" si="11"/>
        <v>13</v>
      </c>
      <c r="P68" s="863">
        <f t="shared" si="9"/>
        <v>44.489556949792494</v>
      </c>
      <c r="Q68" s="866">
        <f t="shared" si="10"/>
        <v>76.285684827292499</v>
      </c>
    </row>
    <row r="69" spans="1:17" ht="15">
      <c r="A69" s="868">
        <v>1535.1</v>
      </c>
      <c r="B69" s="869">
        <v>1500</v>
      </c>
      <c r="C69" s="869">
        <v>2500</v>
      </c>
      <c r="D69" s="870">
        <v>1</v>
      </c>
      <c r="E69" s="732" t="str">
        <f t="shared" si="6"/>
        <v>1500;1;2500</v>
      </c>
      <c r="F69" s="882">
        <v>16.8</v>
      </c>
      <c r="G69" s="882">
        <v>154.6</v>
      </c>
      <c r="H69" s="732">
        <v>384</v>
      </c>
      <c r="I69" s="732">
        <v>15</v>
      </c>
      <c r="J69" s="732">
        <v>192</v>
      </c>
      <c r="K69" s="732">
        <v>2</v>
      </c>
      <c r="L69" s="870">
        <f t="shared" si="7"/>
        <v>6.6897373440000001</v>
      </c>
      <c r="M69" s="870">
        <f t="shared" si="12"/>
        <v>77.548198176</v>
      </c>
      <c r="N69" s="870">
        <f t="shared" si="8"/>
        <v>84.237935519999994</v>
      </c>
      <c r="O69" s="870">
        <f t="shared" si="11"/>
        <v>13</v>
      </c>
      <c r="P69" s="870">
        <f t="shared" si="9"/>
        <v>44.489556949792494</v>
      </c>
      <c r="Q69" s="872">
        <f t="shared" si="10"/>
        <v>128.72749246979248</v>
      </c>
    </row>
    <row r="70" spans="1:17" ht="15">
      <c r="A70" s="868">
        <v>1535.1</v>
      </c>
      <c r="B70" s="869">
        <v>1500</v>
      </c>
      <c r="C70" s="869">
        <v>5000</v>
      </c>
      <c r="D70" s="870">
        <v>0.6</v>
      </c>
      <c r="E70" s="732" t="str">
        <f t="shared" si="6"/>
        <v>1500;0,6;5000</v>
      </c>
      <c r="F70" s="882">
        <v>22.7</v>
      </c>
      <c r="G70" s="882">
        <v>224.3</v>
      </c>
      <c r="H70" s="732">
        <v>230</v>
      </c>
      <c r="I70" s="732">
        <v>9</v>
      </c>
      <c r="J70" s="732">
        <v>115</v>
      </c>
      <c r="K70" s="732">
        <v>2</v>
      </c>
      <c r="L70" s="870">
        <f t="shared" si="7"/>
        <v>3.9753426780000001</v>
      </c>
      <c r="M70" s="870">
        <f t="shared" si="12"/>
        <v>27.7967359395</v>
      </c>
      <c r="N70" s="870">
        <f t="shared" si="8"/>
        <v>31.7720786175</v>
      </c>
      <c r="O70" s="870">
        <f t="shared" si="11"/>
        <v>13</v>
      </c>
      <c r="P70" s="870">
        <f t="shared" si="9"/>
        <v>44.489556949792494</v>
      </c>
      <c r="Q70" s="872">
        <f t="shared" si="10"/>
        <v>76.261635567292501</v>
      </c>
    </row>
    <row r="71" spans="1:17" ht="15">
      <c r="A71" s="868">
        <v>1535.1</v>
      </c>
      <c r="B71" s="869">
        <v>1500</v>
      </c>
      <c r="C71" s="869">
        <v>5000</v>
      </c>
      <c r="D71" s="870">
        <v>1</v>
      </c>
      <c r="E71" s="732" t="str">
        <f t="shared" si="6"/>
        <v>1500;1;5000</v>
      </c>
      <c r="F71" s="882">
        <v>21.2</v>
      </c>
      <c r="G71" s="882">
        <v>201.7</v>
      </c>
      <c r="H71" s="732">
        <v>384</v>
      </c>
      <c r="I71" s="732">
        <v>15</v>
      </c>
      <c r="J71" s="732">
        <v>192</v>
      </c>
      <c r="K71" s="732">
        <v>2</v>
      </c>
      <c r="L71" s="870">
        <f t="shared" si="7"/>
        <v>6.6504777983999999</v>
      </c>
      <c r="M71" s="870">
        <f t="shared" si="12"/>
        <v>77.548198176</v>
      </c>
      <c r="N71" s="870">
        <f t="shared" si="8"/>
        <v>84.198675974400004</v>
      </c>
      <c r="O71" s="870">
        <f t="shared" si="11"/>
        <v>13</v>
      </c>
      <c r="P71" s="870">
        <f t="shared" si="9"/>
        <v>44.489556949792494</v>
      </c>
      <c r="Q71" s="872">
        <f t="shared" si="10"/>
        <v>128.6882329241925</v>
      </c>
    </row>
    <row r="72" spans="1:17" ht="15">
      <c r="A72" s="868">
        <v>1535.1</v>
      </c>
      <c r="B72" s="869">
        <v>1500</v>
      </c>
      <c r="C72" s="869">
        <v>10000</v>
      </c>
      <c r="D72" s="870">
        <v>0.6</v>
      </c>
      <c r="E72" s="732" t="str">
        <f t="shared" si="6"/>
        <v>1500;0,6;10000</v>
      </c>
      <c r="F72" s="882">
        <v>28.3</v>
      </c>
      <c r="G72" s="882">
        <v>281.3</v>
      </c>
      <c r="H72" s="732">
        <v>230</v>
      </c>
      <c r="I72" s="732">
        <v>9</v>
      </c>
      <c r="J72" s="732">
        <v>115</v>
      </c>
      <c r="K72" s="732">
        <v>2</v>
      </c>
      <c r="L72" s="870">
        <f t="shared" si="7"/>
        <v>3.9454147100000005</v>
      </c>
      <c r="M72" s="870">
        <f t="shared" si="12"/>
        <v>27.7967359395</v>
      </c>
      <c r="N72" s="870">
        <f t="shared" si="8"/>
        <v>31.742150649500001</v>
      </c>
      <c r="O72" s="870">
        <f t="shared" si="11"/>
        <v>13</v>
      </c>
      <c r="P72" s="870">
        <f t="shared" si="9"/>
        <v>44.489556949792494</v>
      </c>
      <c r="Q72" s="872">
        <f t="shared" si="10"/>
        <v>76.231707599292491</v>
      </c>
    </row>
    <row r="73" spans="1:17" ht="15">
      <c r="A73" s="873">
        <v>1535.1</v>
      </c>
      <c r="B73" s="874">
        <v>1500</v>
      </c>
      <c r="C73" s="874">
        <v>10000</v>
      </c>
      <c r="D73" s="875">
        <v>1</v>
      </c>
      <c r="E73" s="876" t="str">
        <f t="shared" si="6"/>
        <v>1500;1;10000</v>
      </c>
      <c r="F73" s="884">
        <v>27.8</v>
      </c>
      <c r="G73" s="884">
        <v>273.5</v>
      </c>
      <c r="H73" s="876">
        <v>384</v>
      </c>
      <c r="I73" s="876">
        <v>15</v>
      </c>
      <c r="J73" s="876">
        <v>192</v>
      </c>
      <c r="K73" s="876">
        <v>2</v>
      </c>
      <c r="L73" s="875">
        <f t="shared" si="7"/>
        <v>6.5915884800000004</v>
      </c>
      <c r="M73" s="875">
        <f t="shared" si="12"/>
        <v>77.548198176</v>
      </c>
      <c r="N73" s="875">
        <f t="shared" si="8"/>
        <v>84.139786655999998</v>
      </c>
      <c r="O73" s="875">
        <f t="shared" si="11"/>
        <v>13</v>
      </c>
      <c r="P73" s="875">
        <f t="shared" si="9"/>
        <v>44.489556949792494</v>
      </c>
      <c r="Q73" s="878">
        <f t="shared" si="10"/>
        <v>128.62934360579249</v>
      </c>
    </row>
    <row r="74" spans="1:17" ht="15">
      <c r="A74" s="861">
        <v>1637.1</v>
      </c>
      <c r="B74" s="862">
        <v>1600</v>
      </c>
      <c r="C74" s="862">
        <v>2500</v>
      </c>
      <c r="D74" s="863">
        <v>0.6</v>
      </c>
      <c r="E74" s="864" t="str">
        <f t="shared" si="6"/>
        <v>1600;0,6;2500</v>
      </c>
      <c r="F74" s="885">
        <v>19.600000000000001</v>
      </c>
      <c r="G74" s="885">
        <v>205.5</v>
      </c>
      <c r="H74" s="864">
        <v>246</v>
      </c>
      <c r="I74" s="864">
        <v>10</v>
      </c>
      <c r="J74" s="864">
        <v>123</v>
      </c>
      <c r="K74" s="864">
        <v>2</v>
      </c>
      <c r="L74" s="863">
        <f t="shared" si="7"/>
        <v>4.5611268852000002</v>
      </c>
      <c r="M74" s="863">
        <f t="shared" si="12"/>
        <v>35.234483691000001</v>
      </c>
      <c r="N74" s="863">
        <f t="shared" si="8"/>
        <v>39.795610576200005</v>
      </c>
      <c r="O74" s="863">
        <f t="shared" si="11"/>
        <v>14</v>
      </c>
      <c r="P74" s="863">
        <f t="shared" si="9"/>
        <v>54.490380159914999</v>
      </c>
      <c r="Q74" s="866">
        <f t="shared" si="10"/>
        <v>94.285990736114996</v>
      </c>
    </row>
    <row r="75" spans="1:17" ht="15">
      <c r="A75" s="868">
        <v>1637.1</v>
      </c>
      <c r="B75" s="869">
        <v>1600</v>
      </c>
      <c r="C75" s="869">
        <v>2500</v>
      </c>
      <c r="D75" s="870">
        <v>1</v>
      </c>
      <c r="E75" s="732" t="str">
        <f t="shared" si="6"/>
        <v>1600;1;2500</v>
      </c>
      <c r="F75" s="851">
        <v>17.7</v>
      </c>
      <c r="G75" s="851">
        <v>173</v>
      </c>
      <c r="H75" s="732">
        <v>410</v>
      </c>
      <c r="I75" s="732">
        <v>16.5</v>
      </c>
      <c r="J75" s="732">
        <v>205</v>
      </c>
      <c r="K75" s="732">
        <v>2</v>
      </c>
      <c r="L75" s="870">
        <f t="shared" si="7"/>
        <v>7.6199789859999996</v>
      </c>
      <c r="M75" s="870">
        <f t="shared" si="12"/>
        <v>97.150266402749992</v>
      </c>
      <c r="N75" s="870">
        <f t="shared" si="8"/>
        <v>104.77024538875</v>
      </c>
      <c r="O75" s="870">
        <f t="shared" si="11"/>
        <v>14</v>
      </c>
      <c r="P75" s="870">
        <f t="shared" si="9"/>
        <v>54.490380159914999</v>
      </c>
      <c r="Q75" s="872">
        <f t="shared" si="10"/>
        <v>159.26062554866499</v>
      </c>
    </row>
    <row r="76" spans="1:17" ht="15">
      <c r="A76" s="868">
        <v>1637.1</v>
      </c>
      <c r="B76" s="869">
        <v>1600</v>
      </c>
      <c r="C76" s="869">
        <v>5000</v>
      </c>
      <c r="D76" s="870">
        <v>0.6</v>
      </c>
      <c r="E76" s="732" t="str">
        <f t="shared" si="6"/>
        <v>1600;0,6;5000</v>
      </c>
      <c r="F76" s="882">
        <v>23.8</v>
      </c>
      <c r="G76" s="882">
        <v>249.5</v>
      </c>
      <c r="H76" s="732">
        <v>246</v>
      </c>
      <c r="I76" s="732">
        <v>10</v>
      </c>
      <c r="J76" s="732">
        <v>123</v>
      </c>
      <c r="K76" s="732">
        <v>2</v>
      </c>
      <c r="L76" s="870">
        <f t="shared" si="7"/>
        <v>4.5371194500000005</v>
      </c>
      <c r="M76" s="870">
        <f t="shared" si="12"/>
        <v>35.234483691000001</v>
      </c>
      <c r="N76" s="870">
        <f t="shared" si="8"/>
        <v>39.771603141</v>
      </c>
      <c r="O76" s="870">
        <f t="shared" si="11"/>
        <v>14</v>
      </c>
      <c r="P76" s="870">
        <f t="shared" si="9"/>
        <v>54.490380159914999</v>
      </c>
      <c r="Q76" s="872">
        <f t="shared" si="10"/>
        <v>94.261983300915006</v>
      </c>
    </row>
    <row r="77" spans="1:17" ht="15">
      <c r="A77" s="868">
        <v>1637.1</v>
      </c>
      <c r="B77" s="869">
        <v>1600</v>
      </c>
      <c r="C77" s="869">
        <v>5000</v>
      </c>
      <c r="D77" s="870">
        <v>1</v>
      </c>
      <c r="E77" s="732" t="str">
        <f t="shared" si="6"/>
        <v>1600;1;5000</v>
      </c>
      <c r="F77" s="882">
        <v>22.5</v>
      </c>
      <c r="G77" s="882">
        <v>228.5</v>
      </c>
      <c r="H77" s="732">
        <v>410</v>
      </c>
      <c r="I77" s="732">
        <v>16.5</v>
      </c>
      <c r="J77" s="732">
        <v>205</v>
      </c>
      <c r="K77" s="732">
        <v>2</v>
      </c>
      <c r="L77" s="870">
        <f t="shared" si="7"/>
        <v>7.5742505380000003</v>
      </c>
      <c r="M77" s="870">
        <f t="shared" si="12"/>
        <v>97.150266402749992</v>
      </c>
      <c r="N77" s="870">
        <f t="shared" si="8"/>
        <v>104.72451694074999</v>
      </c>
      <c r="O77" s="870">
        <f t="shared" si="11"/>
        <v>14</v>
      </c>
      <c r="P77" s="870">
        <f t="shared" si="9"/>
        <v>54.490380159914999</v>
      </c>
      <c r="Q77" s="872">
        <f t="shared" si="10"/>
        <v>159.21489710066498</v>
      </c>
    </row>
    <row r="78" spans="1:17" ht="15">
      <c r="A78" s="868">
        <v>1637.1</v>
      </c>
      <c r="B78" s="869">
        <v>1600</v>
      </c>
      <c r="C78" s="869">
        <v>10000</v>
      </c>
      <c r="D78" s="870">
        <v>0.6</v>
      </c>
      <c r="E78" s="732" t="str">
        <f t="shared" si="6"/>
        <v>1600;0,6;10000</v>
      </c>
      <c r="F78" s="882">
        <v>30.1</v>
      </c>
      <c r="G78" s="882">
        <v>318.7</v>
      </c>
      <c r="H78" s="732">
        <v>246</v>
      </c>
      <c r="I78" s="732">
        <v>10</v>
      </c>
      <c r="J78" s="732">
        <v>123</v>
      </c>
      <c r="K78" s="732">
        <v>2</v>
      </c>
      <c r="L78" s="870">
        <f t="shared" si="7"/>
        <v>4.5011082972000001</v>
      </c>
      <c r="M78" s="870">
        <f t="shared" si="12"/>
        <v>35.234483691000001</v>
      </c>
      <c r="N78" s="870">
        <f t="shared" si="8"/>
        <v>39.735591988199999</v>
      </c>
      <c r="O78" s="870">
        <f t="shared" si="11"/>
        <v>14</v>
      </c>
      <c r="P78" s="870">
        <f t="shared" si="9"/>
        <v>54.490380159914999</v>
      </c>
      <c r="Q78" s="872">
        <f t="shared" si="10"/>
        <v>94.225972148115005</v>
      </c>
    </row>
    <row r="79" spans="1:17" ht="15">
      <c r="A79" s="873">
        <v>1637.1</v>
      </c>
      <c r="B79" s="874">
        <v>1600</v>
      </c>
      <c r="C79" s="874">
        <v>10000</v>
      </c>
      <c r="D79" s="875">
        <v>1</v>
      </c>
      <c r="E79" s="876" t="str">
        <f t="shared" si="6"/>
        <v>1600;1;10000</v>
      </c>
      <c r="F79" s="884">
        <v>39.5</v>
      </c>
      <c r="G79" s="884">
        <v>310.39999999999998</v>
      </c>
      <c r="H79" s="876">
        <v>410</v>
      </c>
      <c r="I79" s="876">
        <v>16.5</v>
      </c>
      <c r="J79" s="876">
        <v>205</v>
      </c>
      <c r="K79" s="876">
        <v>2</v>
      </c>
      <c r="L79" s="875">
        <f t="shared" si="7"/>
        <v>7.4122956179999999</v>
      </c>
      <c r="M79" s="875">
        <f t="shared" si="12"/>
        <v>97.150266402749992</v>
      </c>
      <c r="N79" s="875">
        <f t="shared" si="8"/>
        <v>104.56256202074999</v>
      </c>
      <c r="O79" s="875">
        <f t="shared" si="11"/>
        <v>14</v>
      </c>
      <c r="P79" s="875">
        <f t="shared" si="9"/>
        <v>54.490380159914999</v>
      </c>
      <c r="Q79" s="878">
        <f t="shared" si="10"/>
        <v>159.05294218066499</v>
      </c>
    </row>
    <row r="80" spans="1:17" ht="15">
      <c r="A80" s="861">
        <v>1738.5</v>
      </c>
      <c r="B80" s="862">
        <v>1700</v>
      </c>
      <c r="C80" s="862">
        <v>2500</v>
      </c>
      <c r="D80" s="863">
        <v>0.6</v>
      </c>
      <c r="E80" s="864" t="str">
        <f t="shared" si="6"/>
        <v>1700;0,6;2500</v>
      </c>
      <c r="F80" s="880">
        <v>20.6</v>
      </c>
      <c r="G80" s="880">
        <v>203</v>
      </c>
      <c r="H80" s="864">
        <v>261</v>
      </c>
      <c r="I80" s="864">
        <v>11</v>
      </c>
      <c r="J80" s="864">
        <v>130</v>
      </c>
      <c r="K80" s="864">
        <v>2</v>
      </c>
      <c r="L80" s="863">
        <f t="shared" si="7"/>
        <v>5.1209588040000007</v>
      </c>
      <c r="M80" s="863">
        <f t="shared" si="12"/>
        <v>43.674567131250001</v>
      </c>
      <c r="N80" s="863">
        <f t="shared" si="8"/>
        <v>48.795525935249998</v>
      </c>
      <c r="O80" s="863">
        <f t="shared" si="11"/>
        <v>15</v>
      </c>
      <c r="P80" s="863">
        <f t="shared" si="9"/>
        <v>65.838819338437517</v>
      </c>
      <c r="Q80" s="866">
        <f t="shared" si="10"/>
        <v>114.63434527368752</v>
      </c>
    </row>
    <row r="81" spans="1:17" ht="15">
      <c r="A81" s="868">
        <v>1738.5</v>
      </c>
      <c r="B81" s="869">
        <v>1700</v>
      </c>
      <c r="C81" s="869">
        <v>2500</v>
      </c>
      <c r="D81" s="870">
        <v>1</v>
      </c>
      <c r="E81" s="732" t="str">
        <f t="shared" si="6"/>
        <v>1700;1;2500</v>
      </c>
      <c r="F81" s="882">
        <v>18.8</v>
      </c>
      <c r="G81" s="882">
        <v>196.1</v>
      </c>
      <c r="H81" s="732">
        <v>435</v>
      </c>
      <c r="I81" s="732">
        <v>18</v>
      </c>
      <c r="J81" s="732">
        <v>218</v>
      </c>
      <c r="K81" s="732">
        <v>2</v>
      </c>
      <c r="L81" s="870">
        <f t="shared" si="7"/>
        <v>8.6056896072000004</v>
      </c>
      <c r="M81" s="870">
        <f t="shared" si="12"/>
        <v>119.43084710250001</v>
      </c>
      <c r="N81" s="870">
        <f t="shared" si="8"/>
        <v>128.03653670970002</v>
      </c>
      <c r="O81" s="870">
        <f t="shared" si="11"/>
        <v>15</v>
      </c>
      <c r="P81" s="870">
        <f t="shared" si="9"/>
        <v>65.838819338437517</v>
      </c>
      <c r="Q81" s="872">
        <f t="shared" si="10"/>
        <v>193.87535604813752</v>
      </c>
    </row>
    <row r="82" spans="1:17" ht="15">
      <c r="A82" s="868">
        <v>1738.5</v>
      </c>
      <c r="B82" s="869">
        <v>1700</v>
      </c>
      <c r="C82" s="869">
        <v>5000</v>
      </c>
      <c r="D82" s="870">
        <v>0.6</v>
      </c>
      <c r="E82" s="732" t="str">
        <f t="shared" si="6"/>
        <v>1700;0,6;5000</v>
      </c>
      <c r="F82" s="882">
        <v>25.4</v>
      </c>
      <c r="G82" s="882">
        <v>284</v>
      </c>
      <c r="H82" s="732">
        <v>261</v>
      </c>
      <c r="I82" s="732">
        <v>11</v>
      </c>
      <c r="J82" s="732">
        <v>130</v>
      </c>
      <c r="K82" s="732">
        <v>2</v>
      </c>
      <c r="L82" s="870">
        <f t="shared" si="7"/>
        <v>5.0919602760000009</v>
      </c>
      <c r="M82" s="870">
        <f t="shared" si="12"/>
        <v>43.674567131250001</v>
      </c>
      <c r="N82" s="870">
        <f t="shared" si="8"/>
        <v>48.766527407250003</v>
      </c>
      <c r="O82" s="870">
        <f t="shared" si="11"/>
        <v>15</v>
      </c>
      <c r="P82" s="870">
        <f t="shared" si="9"/>
        <v>65.838819338437517</v>
      </c>
      <c r="Q82" s="872">
        <f t="shared" si="10"/>
        <v>114.60534674568751</v>
      </c>
    </row>
    <row r="83" spans="1:17" ht="15">
      <c r="A83" s="868">
        <v>1738.5</v>
      </c>
      <c r="B83" s="869">
        <v>1700</v>
      </c>
      <c r="C83" s="869">
        <v>5000</v>
      </c>
      <c r="D83" s="870">
        <v>1</v>
      </c>
      <c r="E83" s="732" t="str">
        <f t="shared" si="6"/>
        <v>1700;1;5000</v>
      </c>
      <c r="F83" s="882">
        <v>23.7</v>
      </c>
      <c r="G83" s="882">
        <v>255.6</v>
      </c>
      <c r="H83" s="732">
        <v>435</v>
      </c>
      <c r="I83" s="732">
        <v>18</v>
      </c>
      <c r="J83" s="732">
        <v>218</v>
      </c>
      <c r="K83" s="732">
        <v>2</v>
      </c>
      <c r="L83" s="870">
        <f t="shared" si="7"/>
        <v>8.5560482168000007</v>
      </c>
      <c r="M83" s="870">
        <f t="shared" si="12"/>
        <v>119.43084710250001</v>
      </c>
      <c r="N83" s="870">
        <f t="shared" si="8"/>
        <v>127.9868953193</v>
      </c>
      <c r="O83" s="870">
        <f t="shared" si="11"/>
        <v>15</v>
      </c>
      <c r="P83" s="870">
        <f t="shared" si="9"/>
        <v>65.838819338437517</v>
      </c>
      <c r="Q83" s="872">
        <f t="shared" si="10"/>
        <v>193.82571465773754</v>
      </c>
    </row>
    <row r="84" spans="1:17" ht="15">
      <c r="A84" s="868">
        <v>1738.5</v>
      </c>
      <c r="B84" s="869">
        <v>1700</v>
      </c>
      <c r="C84" s="869">
        <v>10000</v>
      </c>
      <c r="D84" s="870">
        <v>0.6</v>
      </c>
      <c r="E84" s="732" t="str">
        <f t="shared" si="6"/>
        <v>1700;0,6;10000</v>
      </c>
      <c r="F84" s="882">
        <v>31.9</v>
      </c>
      <c r="G84" s="882">
        <v>358.4</v>
      </c>
      <c r="H84" s="732">
        <v>261</v>
      </c>
      <c r="I84" s="732">
        <v>11</v>
      </c>
      <c r="J84" s="732">
        <v>130</v>
      </c>
      <c r="K84" s="732">
        <v>2</v>
      </c>
      <c r="L84" s="870">
        <f t="shared" si="7"/>
        <v>5.0526914360000008</v>
      </c>
      <c r="M84" s="870">
        <f t="shared" si="12"/>
        <v>43.674567131250001</v>
      </c>
      <c r="N84" s="870">
        <f t="shared" si="8"/>
        <v>48.727258567250004</v>
      </c>
      <c r="O84" s="870">
        <f t="shared" si="11"/>
        <v>15</v>
      </c>
      <c r="P84" s="870">
        <f t="shared" si="9"/>
        <v>65.838819338437517</v>
      </c>
      <c r="Q84" s="872">
        <f t="shared" si="10"/>
        <v>114.56607790568752</v>
      </c>
    </row>
    <row r="85" spans="1:17" ht="15">
      <c r="A85" s="873">
        <v>1738.5</v>
      </c>
      <c r="B85" s="874">
        <v>1700</v>
      </c>
      <c r="C85" s="874">
        <v>10000</v>
      </c>
      <c r="D85" s="875">
        <v>1.6</v>
      </c>
      <c r="E85" s="876" t="str">
        <f t="shared" si="6"/>
        <v>1700;1,6;10000</v>
      </c>
      <c r="F85" s="884">
        <v>28.8</v>
      </c>
      <c r="G85" s="884">
        <v>302.89999999999998</v>
      </c>
      <c r="H85" s="876">
        <v>435</v>
      </c>
      <c r="I85" s="876">
        <v>18</v>
      </c>
      <c r="J85" s="876">
        <v>218</v>
      </c>
      <c r="K85" s="876">
        <v>2</v>
      </c>
      <c r="L85" s="875">
        <f t="shared" si="7"/>
        <v>8.5043806472000014</v>
      </c>
      <c r="M85" s="875">
        <f t="shared" si="12"/>
        <v>119.43084710250001</v>
      </c>
      <c r="N85" s="875">
        <f t="shared" si="8"/>
        <v>127.9352277497</v>
      </c>
      <c r="O85" s="875">
        <f t="shared" si="11"/>
        <v>15</v>
      </c>
      <c r="P85" s="875">
        <f t="shared" si="9"/>
        <v>65.838819338437517</v>
      </c>
      <c r="Q85" s="878">
        <f t="shared" si="10"/>
        <v>193.77404708813754</v>
      </c>
    </row>
    <row r="86" spans="1:17" ht="15">
      <c r="A86" s="861">
        <v>1841.1</v>
      </c>
      <c r="B86" s="862">
        <v>1800</v>
      </c>
      <c r="C86" s="862">
        <v>2500</v>
      </c>
      <c r="D86" s="863">
        <v>0.6</v>
      </c>
      <c r="E86" s="864" t="str">
        <f t="shared" si="6"/>
        <v>1800;0,6;2500</v>
      </c>
      <c r="F86" s="885">
        <v>21.1</v>
      </c>
      <c r="G86" s="885">
        <v>246.4</v>
      </c>
      <c r="H86" s="864">
        <v>277</v>
      </c>
      <c r="I86" s="864">
        <v>11.5</v>
      </c>
      <c r="J86" s="864">
        <v>139</v>
      </c>
      <c r="K86" s="864">
        <v>2</v>
      </c>
      <c r="L86" s="863">
        <f t="shared" si="7"/>
        <v>5.8036348075999999</v>
      </c>
      <c r="M86" s="863">
        <f t="shared" si="12"/>
        <v>51.315946908925</v>
      </c>
      <c r="N86" s="863">
        <f t="shared" si="8"/>
        <v>57.119581716524998</v>
      </c>
      <c r="O86" s="863">
        <f t="shared" si="11"/>
        <v>16</v>
      </c>
      <c r="P86" s="863">
        <f t="shared" si="9"/>
        <v>78.761889043559989</v>
      </c>
      <c r="Q86" s="866">
        <f t="shared" si="10"/>
        <v>135.88147076008499</v>
      </c>
    </row>
    <row r="87" spans="1:17" ht="15">
      <c r="A87" s="868">
        <v>1842.1</v>
      </c>
      <c r="B87" s="869">
        <v>1800</v>
      </c>
      <c r="C87" s="869">
        <v>2500</v>
      </c>
      <c r="D87" s="870">
        <v>1</v>
      </c>
      <c r="E87" s="732" t="str">
        <f t="shared" si="6"/>
        <v>1800;1;2500</v>
      </c>
      <c r="F87" s="851">
        <v>19.899999999999999</v>
      </c>
      <c r="G87" s="851">
        <v>220.2</v>
      </c>
      <c r="H87" s="732">
        <v>461</v>
      </c>
      <c r="I87" s="732">
        <v>18.5</v>
      </c>
      <c r="J87" s="732">
        <v>231</v>
      </c>
      <c r="K87" s="732">
        <v>2</v>
      </c>
      <c r="L87" s="870">
        <f t="shared" si="7"/>
        <v>9.6631390548000002</v>
      </c>
      <c r="M87" s="870">
        <f t="shared" si="12"/>
        <v>137.80866146322498</v>
      </c>
      <c r="N87" s="870">
        <f t="shared" si="8"/>
        <v>147.47180051802499</v>
      </c>
      <c r="O87" s="870">
        <f t="shared" si="11"/>
        <v>16</v>
      </c>
      <c r="P87" s="870">
        <f t="shared" si="9"/>
        <v>78.847471878760004</v>
      </c>
      <c r="Q87" s="872">
        <f t="shared" si="10"/>
        <v>226.31927239678498</v>
      </c>
    </row>
    <row r="88" spans="1:17" ht="15">
      <c r="A88" s="868">
        <v>1843.1</v>
      </c>
      <c r="B88" s="869">
        <v>1800</v>
      </c>
      <c r="C88" s="869">
        <v>5000</v>
      </c>
      <c r="D88" s="870">
        <v>0.6</v>
      </c>
      <c r="E88" s="732" t="str">
        <f t="shared" si="6"/>
        <v>1800;0,6;5000</v>
      </c>
      <c r="F88" s="882">
        <v>27</v>
      </c>
      <c r="G88" s="882">
        <v>320.7</v>
      </c>
      <c r="H88" s="732">
        <v>277</v>
      </c>
      <c r="I88" s="732">
        <v>11.5</v>
      </c>
      <c r="J88" s="732">
        <v>139</v>
      </c>
      <c r="K88" s="732">
        <v>2</v>
      </c>
      <c r="L88" s="870">
        <f t="shared" si="7"/>
        <v>5.7719827284000003</v>
      </c>
      <c r="M88" s="870">
        <f t="shared" si="12"/>
        <v>51.371460617425001</v>
      </c>
      <c r="N88" s="870">
        <f t="shared" si="8"/>
        <v>57.143443345824998</v>
      </c>
      <c r="O88" s="870">
        <f t="shared" si="11"/>
        <v>16</v>
      </c>
      <c r="P88" s="870">
        <f t="shared" si="9"/>
        <v>78.933101185959998</v>
      </c>
      <c r="Q88" s="872">
        <f t="shared" si="10"/>
        <v>136.076544531785</v>
      </c>
    </row>
    <row r="89" spans="1:17" ht="15.75" customHeight="1">
      <c r="A89" s="868">
        <v>1844.1</v>
      </c>
      <c r="B89" s="869">
        <v>1800</v>
      </c>
      <c r="C89" s="869">
        <v>5000</v>
      </c>
      <c r="D89" s="870">
        <v>1.6</v>
      </c>
      <c r="E89" s="732" t="str">
        <f t="shared" si="6"/>
        <v>1800;1,6;5000</v>
      </c>
      <c r="F89" s="882">
        <v>24.9</v>
      </c>
      <c r="G89" s="882">
        <v>284.7</v>
      </c>
      <c r="H89" s="732">
        <v>461</v>
      </c>
      <c r="I89" s="732">
        <v>18.5</v>
      </c>
      <c r="J89" s="732">
        <v>231</v>
      </c>
      <c r="K89" s="732">
        <v>2</v>
      </c>
      <c r="L89" s="870">
        <f t="shared" si="7"/>
        <v>9.6201989268000005</v>
      </c>
      <c r="M89" s="870">
        <f t="shared" si="12"/>
        <v>137.95728763272498</v>
      </c>
      <c r="N89" s="870">
        <f t="shared" si="8"/>
        <v>147.57748655952497</v>
      </c>
      <c r="O89" s="870">
        <f t="shared" si="11"/>
        <v>16</v>
      </c>
      <c r="P89" s="870">
        <f t="shared" si="9"/>
        <v>79.018776965160001</v>
      </c>
      <c r="Q89" s="872">
        <f t="shared" si="10"/>
        <v>226.59626352468496</v>
      </c>
    </row>
    <row r="90" spans="1:17" ht="15">
      <c r="A90" s="868">
        <v>1845.1</v>
      </c>
      <c r="B90" s="869">
        <v>1800</v>
      </c>
      <c r="C90" s="869">
        <v>10000</v>
      </c>
      <c r="D90" s="870">
        <v>0.6</v>
      </c>
      <c r="E90" s="732" t="str">
        <f t="shared" si="6"/>
        <v>1800;0,6;10000</v>
      </c>
      <c r="F90" s="882">
        <v>33.700000000000003</v>
      </c>
      <c r="G90" s="882">
        <v>402.3</v>
      </c>
      <c r="H90" s="732">
        <v>277</v>
      </c>
      <c r="I90" s="732">
        <v>11.5</v>
      </c>
      <c r="J90" s="732">
        <v>139</v>
      </c>
      <c r="K90" s="732">
        <v>2</v>
      </c>
      <c r="L90" s="870">
        <f t="shared" si="7"/>
        <v>5.7351629627999996</v>
      </c>
      <c r="M90" s="870">
        <f t="shared" si="12"/>
        <v>51.426974325924995</v>
      </c>
      <c r="N90" s="870">
        <f t="shared" si="8"/>
        <v>57.162137288724992</v>
      </c>
      <c r="O90" s="870">
        <f t="shared" si="11"/>
        <v>16</v>
      </c>
      <c r="P90" s="870">
        <f t="shared" si="9"/>
        <v>79.104499216359997</v>
      </c>
      <c r="Q90" s="872">
        <f t="shared" si="10"/>
        <v>136.26663650508499</v>
      </c>
    </row>
    <row r="91" spans="1:17" ht="15">
      <c r="A91" s="873">
        <v>1846.1</v>
      </c>
      <c r="B91" s="874">
        <v>1800</v>
      </c>
      <c r="C91" s="874">
        <v>10000</v>
      </c>
      <c r="D91" s="875">
        <v>1.6</v>
      </c>
      <c r="E91" s="876" t="str">
        <f t="shared" si="6"/>
        <v>1800;1,6;10000</v>
      </c>
      <c r="F91" s="884">
        <v>32.9</v>
      </c>
      <c r="G91" s="884">
        <v>389.6</v>
      </c>
      <c r="H91" s="876">
        <v>461</v>
      </c>
      <c r="I91" s="876">
        <v>18.5</v>
      </c>
      <c r="J91" s="876">
        <v>231</v>
      </c>
      <c r="K91" s="876">
        <v>2</v>
      </c>
      <c r="L91" s="875">
        <f t="shared" si="7"/>
        <v>9.5450537028000007</v>
      </c>
      <c r="M91" s="875">
        <f t="shared" si="12"/>
        <v>138.10591380222499</v>
      </c>
      <c r="N91" s="875">
        <f t="shared" si="8"/>
        <v>147.65096750502499</v>
      </c>
      <c r="O91" s="875">
        <f t="shared" si="11"/>
        <v>16</v>
      </c>
      <c r="P91" s="875">
        <f t="shared" si="9"/>
        <v>79.190267939560002</v>
      </c>
      <c r="Q91" s="878">
        <f t="shared" si="10"/>
        <v>226.84123544458498</v>
      </c>
    </row>
    <row r="92" spans="1:17" ht="15">
      <c r="A92" s="861">
        <v>1942.5</v>
      </c>
      <c r="B92" s="862">
        <v>1900</v>
      </c>
      <c r="C92" s="862">
        <v>2500</v>
      </c>
      <c r="D92" s="863">
        <v>0.6</v>
      </c>
      <c r="E92" s="864" t="str">
        <f t="shared" si="6"/>
        <v>1900;0,6;2500</v>
      </c>
      <c r="F92" s="880">
        <v>22.5</v>
      </c>
      <c r="G92" s="880">
        <v>278</v>
      </c>
      <c r="H92" s="864">
        <v>292</v>
      </c>
      <c r="I92" s="864">
        <v>12</v>
      </c>
      <c r="J92" s="864">
        <v>146</v>
      </c>
      <c r="K92" s="864">
        <v>2</v>
      </c>
      <c r="L92" s="863">
        <f t="shared" si="7"/>
        <v>6.4304003480000009</v>
      </c>
      <c r="M92" s="863">
        <f t="shared" si="12"/>
        <v>59.552868852000003</v>
      </c>
      <c r="N92" s="863">
        <f t="shared" si="8"/>
        <v>65.983269200000009</v>
      </c>
      <c r="O92" s="863">
        <f t="shared" si="11"/>
        <v>17</v>
      </c>
      <c r="P92" s="863">
        <f t="shared" si="9"/>
        <v>93.156328026562505</v>
      </c>
      <c r="Q92" s="866">
        <f t="shared" si="10"/>
        <v>159.1395972265625</v>
      </c>
    </row>
    <row r="93" spans="1:17" ht="15">
      <c r="A93" s="868">
        <v>1942.5</v>
      </c>
      <c r="B93" s="869">
        <v>1900</v>
      </c>
      <c r="C93" s="869">
        <v>2500</v>
      </c>
      <c r="D93" s="870">
        <v>1</v>
      </c>
      <c r="E93" s="732" t="str">
        <f t="shared" si="6"/>
        <v>1900;1;2500</v>
      </c>
      <c r="F93" s="882">
        <v>21</v>
      </c>
      <c r="G93" s="882">
        <v>245.7</v>
      </c>
      <c r="H93" s="732">
        <v>486</v>
      </c>
      <c r="I93" s="732">
        <v>19</v>
      </c>
      <c r="J93" s="732">
        <v>243</v>
      </c>
      <c r="K93" s="732">
        <v>2</v>
      </c>
      <c r="L93" s="870">
        <f t="shared" si="7"/>
        <v>10.719591678</v>
      </c>
      <c r="M93" s="870">
        <f t="shared" si="12"/>
        <v>157.31360742150002</v>
      </c>
      <c r="N93" s="870">
        <f t="shared" si="8"/>
        <v>168.03319909950002</v>
      </c>
      <c r="O93" s="870">
        <f t="shared" si="11"/>
        <v>17</v>
      </c>
      <c r="P93" s="870">
        <f t="shared" si="9"/>
        <v>93.156328026562505</v>
      </c>
      <c r="Q93" s="872">
        <f t="shared" si="10"/>
        <v>261.18952712606256</v>
      </c>
    </row>
    <row r="94" spans="1:17" ht="15">
      <c r="A94" s="868">
        <v>1942.5</v>
      </c>
      <c r="B94" s="869">
        <v>1900</v>
      </c>
      <c r="C94" s="869">
        <v>5000</v>
      </c>
      <c r="D94" s="870">
        <v>0.6</v>
      </c>
      <c r="E94" s="732" t="str">
        <f t="shared" si="6"/>
        <v>1900;0,6;5000</v>
      </c>
      <c r="F94" s="882">
        <v>28.2</v>
      </c>
      <c r="G94" s="882">
        <v>353.8</v>
      </c>
      <c r="H94" s="732">
        <v>292</v>
      </c>
      <c r="I94" s="732">
        <v>12</v>
      </c>
      <c r="J94" s="732">
        <v>146</v>
      </c>
      <c r="K94" s="732">
        <v>2</v>
      </c>
      <c r="L94" s="870">
        <f t="shared" si="7"/>
        <v>6.3917263495999999</v>
      </c>
      <c r="M94" s="870">
        <f t="shared" si="12"/>
        <v>59.552868852000003</v>
      </c>
      <c r="N94" s="870">
        <f t="shared" si="8"/>
        <v>65.944595201600009</v>
      </c>
      <c r="O94" s="870">
        <f t="shared" si="11"/>
        <v>17</v>
      </c>
      <c r="P94" s="870">
        <f t="shared" si="9"/>
        <v>93.156328026562505</v>
      </c>
      <c r="Q94" s="872">
        <f t="shared" si="10"/>
        <v>159.10092322816251</v>
      </c>
    </row>
    <row r="95" spans="1:17" ht="15">
      <c r="A95" s="868">
        <v>1942.5</v>
      </c>
      <c r="B95" s="869">
        <v>1900</v>
      </c>
      <c r="C95" s="869">
        <v>5000</v>
      </c>
      <c r="D95" s="870">
        <v>1</v>
      </c>
      <c r="E95" s="732" t="str">
        <f t="shared" si="6"/>
        <v>1900;1;5000</v>
      </c>
      <c r="F95" s="882">
        <v>26.1</v>
      </c>
      <c r="G95" s="882">
        <v>314.89999999999998</v>
      </c>
      <c r="H95" s="732">
        <v>486</v>
      </c>
      <c r="I95" s="732">
        <v>19</v>
      </c>
      <c r="J95" s="732">
        <v>243</v>
      </c>
      <c r="K95" s="732">
        <v>2</v>
      </c>
      <c r="L95" s="870">
        <f t="shared" si="7"/>
        <v>10.661998928400001</v>
      </c>
      <c r="M95" s="870">
        <f t="shared" si="12"/>
        <v>157.31360742150002</v>
      </c>
      <c r="N95" s="870">
        <f t="shared" si="8"/>
        <v>167.97560634990003</v>
      </c>
      <c r="O95" s="870">
        <f t="shared" si="11"/>
        <v>17</v>
      </c>
      <c r="P95" s="870">
        <f t="shared" si="9"/>
        <v>93.156328026562505</v>
      </c>
      <c r="Q95" s="872">
        <f t="shared" si="10"/>
        <v>261.13193437646254</v>
      </c>
    </row>
    <row r="96" spans="1:17" ht="15">
      <c r="A96" s="868">
        <v>1942.5</v>
      </c>
      <c r="B96" s="869">
        <v>1900</v>
      </c>
      <c r="C96" s="869">
        <v>10000</v>
      </c>
      <c r="D96" s="870">
        <v>0.6</v>
      </c>
      <c r="E96" s="732" t="str">
        <f t="shared" si="6"/>
        <v>1900;0,6;10000</v>
      </c>
      <c r="F96" s="882">
        <v>34.799999999999997</v>
      </c>
      <c r="G96" s="882">
        <v>435.5</v>
      </c>
      <c r="H96" s="732">
        <v>292</v>
      </c>
      <c r="I96" s="732">
        <v>12</v>
      </c>
      <c r="J96" s="732">
        <v>146</v>
      </c>
      <c r="K96" s="732">
        <v>2</v>
      </c>
      <c r="L96" s="870">
        <f t="shared" si="7"/>
        <v>6.3469459304000004</v>
      </c>
      <c r="M96" s="870">
        <f t="shared" si="12"/>
        <v>59.552868852000003</v>
      </c>
      <c r="N96" s="870">
        <f t="shared" si="8"/>
        <v>65.8998147824</v>
      </c>
      <c r="O96" s="870">
        <f t="shared" si="11"/>
        <v>17</v>
      </c>
      <c r="P96" s="870">
        <f t="shared" si="9"/>
        <v>93.156328026562505</v>
      </c>
      <c r="Q96" s="872">
        <f t="shared" si="10"/>
        <v>159.05614280896251</v>
      </c>
    </row>
    <row r="97" spans="1:17" ht="15">
      <c r="A97" s="873">
        <v>1942.5</v>
      </c>
      <c r="B97" s="874">
        <v>1900</v>
      </c>
      <c r="C97" s="874">
        <v>10000</v>
      </c>
      <c r="D97" s="875">
        <v>1</v>
      </c>
      <c r="E97" s="876" t="str">
        <f t="shared" si="6"/>
        <v>1900;1;10000</v>
      </c>
      <c r="F97" s="884">
        <v>34.700000000000003</v>
      </c>
      <c r="G97" s="884">
        <v>433.4</v>
      </c>
      <c r="H97" s="876">
        <v>486</v>
      </c>
      <c r="I97" s="876">
        <v>19</v>
      </c>
      <c r="J97" s="876">
        <v>243</v>
      </c>
      <c r="K97" s="876">
        <v>2</v>
      </c>
      <c r="L97" s="875">
        <f t="shared" si="7"/>
        <v>10.564881742800001</v>
      </c>
      <c r="M97" s="875">
        <f t="shared" si="12"/>
        <v>157.31360742150002</v>
      </c>
      <c r="N97" s="875">
        <f t="shared" si="8"/>
        <v>167.87848916430002</v>
      </c>
      <c r="O97" s="875">
        <f t="shared" si="11"/>
        <v>17</v>
      </c>
      <c r="P97" s="875">
        <f t="shared" si="9"/>
        <v>93.156328026562505</v>
      </c>
      <c r="Q97" s="878">
        <f t="shared" si="10"/>
        <v>261.03481719086255</v>
      </c>
    </row>
    <row r="98" spans="1:17" ht="15">
      <c r="A98" s="861">
        <v>2045.1</v>
      </c>
      <c r="B98" s="862">
        <v>2000</v>
      </c>
      <c r="C98" s="862">
        <v>2500</v>
      </c>
      <c r="D98" s="863">
        <v>0.6</v>
      </c>
      <c r="E98" s="864" t="str">
        <f t="shared" si="6"/>
        <v>2000;0,6;2500</v>
      </c>
      <c r="F98" s="885">
        <v>24</v>
      </c>
      <c r="G98" s="885">
        <v>314.3</v>
      </c>
      <c r="H98" s="864">
        <v>307</v>
      </c>
      <c r="I98" s="864">
        <v>12.5</v>
      </c>
      <c r="J98" s="864">
        <v>154</v>
      </c>
      <c r="K98" s="864">
        <v>2</v>
      </c>
      <c r="L98" s="863">
        <f t="shared" si="7"/>
        <v>7.1391541143999993</v>
      </c>
      <c r="M98" s="863">
        <f t="shared" si="12"/>
        <v>68.662819305624993</v>
      </c>
      <c r="N98" s="863">
        <f t="shared" si="8"/>
        <v>75.801973420024993</v>
      </c>
      <c r="O98" s="886">
        <f t="shared" si="11"/>
        <v>18</v>
      </c>
      <c r="P98" s="886">
        <f t="shared" si="9"/>
        <v>109.33091623840501</v>
      </c>
      <c r="Q98" s="887">
        <f t="shared" si="10"/>
        <v>185.13288965843</v>
      </c>
    </row>
    <row r="99" spans="1:17" ht="15">
      <c r="A99" s="868">
        <v>2045.1</v>
      </c>
      <c r="B99" s="869">
        <v>2000</v>
      </c>
      <c r="C99" s="869">
        <v>2500</v>
      </c>
      <c r="D99" s="870">
        <v>1</v>
      </c>
      <c r="E99" s="732" t="str">
        <f t="shared" si="6"/>
        <v>2000;1;2500</v>
      </c>
      <c r="F99" s="851">
        <v>22</v>
      </c>
      <c r="G99" s="851">
        <v>271</v>
      </c>
      <c r="H99" s="732">
        <v>512</v>
      </c>
      <c r="I99" s="732">
        <v>20.5</v>
      </c>
      <c r="J99" s="732">
        <v>256</v>
      </c>
      <c r="K99" s="732">
        <v>2</v>
      </c>
      <c r="L99" s="870">
        <f t="shared" si="7"/>
        <v>11.891478425600001</v>
      </c>
      <c r="M99" s="870">
        <f t="shared" si="12"/>
        <v>188.28840892159999</v>
      </c>
      <c r="N99" s="870">
        <f t="shared" si="8"/>
        <v>200.17988734720001</v>
      </c>
      <c r="O99" s="888">
        <f t="shared" si="11"/>
        <v>18</v>
      </c>
      <c r="P99" s="888">
        <f t="shared" si="9"/>
        <v>109.33091623840501</v>
      </c>
      <c r="Q99" s="889">
        <f t="shared" si="10"/>
        <v>309.510803585605</v>
      </c>
    </row>
    <row r="100" spans="1:17" ht="15">
      <c r="A100" s="868">
        <v>2045.1</v>
      </c>
      <c r="B100" s="869">
        <v>2000</v>
      </c>
      <c r="C100" s="869">
        <v>5000</v>
      </c>
      <c r="D100" s="870">
        <v>0.6</v>
      </c>
      <c r="E100" s="732" t="str">
        <f t="shared" si="6"/>
        <v>2000;0,6;5000</v>
      </c>
      <c r="F100" s="882">
        <v>29.9</v>
      </c>
      <c r="G100" s="732">
        <v>396.3</v>
      </c>
      <c r="H100" s="732">
        <v>307</v>
      </c>
      <c r="I100" s="732">
        <v>12.5</v>
      </c>
      <c r="J100" s="732">
        <v>154</v>
      </c>
      <c r="K100" s="732">
        <v>2</v>
      </c>
      <c r="L100" s="870">
        <f t="shared" si="7"/>
        <v>7.0969296551999994</v>
      </c>
      <c r="M100" s="870">
        <f t="shared" si="12"/>
        <v>68.662819305624993</v>
      </c>
      <c r="N100" s="870">
        <f t="shared" si="8"/>
        <v>75.759748960824993</v>
      </c>
      <c r="O100" s="888">
        <f t="shared" si="11"/>
        <v>18</v>
      </c>
      <c r="P100" s="888">
        <f t="shared" si="9"/>
        <v>109.33091623840501</v>
      </c>
      <c r="Q100" s="889">
        <f t="shared" si="10"/>
        <v>185.09066519922999</v>
      </c>
    </row>
    <row r="101" spans="1:17" ht="15">
      <c r="A101" s="868">
        <v>2045.1</v>
      </c>
      <c r="B101" s="869">
        <v>2000</v>
      </c>
      <c r="C101" s="869">
        <v>5000</v>
      </c>
      <c r="D101" s="870">
        <v>1</v>
      </c>
      <c r="E101" s="732" t="str">
        <f t="shared" si="6"/>
        <v>2000;1;5000</v>
      </c>
      <c r="F101" s="882">
        <v>27.6</v>
      </c>
      <c r="G101" s="732">
        <v>351.4</v>
      </c>
      <c r="H101" s="732">
        <v>512</v>
      </c>
      <c r="I101" s="732">
        <v>20.5</v>
      </c>
      <c r="J101" s="732">
        <v>256</v>
      </c>
      <c r="K101" s="732">
        <v>2</v>
      </c>
      <c r="L101" s="870">
        <f t="shared" si="7"/>
        <v>11.8248561664</v>
      </c>
      <c r="M101" s="870">
        <f t="shared" si="12"/>
        <v>188.28840892159999</v>
      </c>
      <c r="N101" s="870">
        <f t="shared" si="8"/>
        <v>200.11326508799999</v>
      </c>
      <c r="O101" s="888">
        <f t="shared" si="11"/>
        <v>18</v>
      </c>
      <c r="P101" s="888">
        <f t="shared" si="9"/>
        <v>109.33091623840501</v>
      </c>
      <c r="Q101" s="889">
        <f t="shared" si="10"/>
        <v>309.44418132640499</v>
      </c>
    </row>
    <row r="102" spans="1:17" ht="15">
      <c r="A102" s="868">
        <v>2045.1</v>
      </c>
      <c r="B102" s="869">
        <v>2000</v>
      </c>
      <c r="C102" s="869">
        <v>10000</v>
      </c>
      <c r="D102" s="870">
        <v>0.6</v>
      </c>
      <c r="E102" s="732" t="str">
        <f t="shared" ref="E102" si="13">B102&amp;";"&amp;D102&amp;";"&amp;C102</f>
        <v>2000;0,6;10000</v>
      </c>
      <c r="F102" s="882">
        <v>37.200000000000003</v>
      </c>
      <c r="G102" s="882">
        <v>475.1</v>
      </c>
      <c r="H102" s="732">
        <v>307</v>
      </c>
      <c r="I102" s="732">
        <v>12.5</v>
      </c>
      <c r="J102" s="732">
        <v>154</v>
      </c>
      <c r="K102" s="732">
        <v>2</v>
      </c>
      <c r="L102" s="870">
        <f t="shared" ref="L102:L161" si="14">2*0.00000185*J102*3.14*K102*(A102-(2*F102)-K102)</f>
        <v>7.044685832799999</v>
      </c>
      <c r="M102" s="870">
        <f t="shared" si="12"/>
        <v>68.662819305624993</v>
      </c>
      <c r="N102" s="870">
        <f t="shared" ref="N102:N161" si="15">L102+M102</f>
        <v>75.707505138424992</v>
      </c>
      <c r="O102" s="888">
        <f t="shared" si="11"/>
        <v>18</v>
      </c>
      <c r="P102" s="888">
        <f t="shared" ref="P102:P161" si="16">(3.14*(A102^2)*O102*0.00000185)/4</f>
        <v>109.33091623840501</v>
      </c>
      <c r="Q102" s="889">
        <f t="shared" ref="Q102:Q161" si="17">P102+N102</f>
        <v>185.03842137683</v>
      </c>
    </row>
    <row r="103" spans="1:17" ht="15">
      <c r="A103" s="873">
        <v>2045.1</v>
      </c>
      <c r="B103" s="874">
        <v>2000</v>
      </c>
      <c r="C103" s="874">
        <v>10000</v>
      </c>
      <c r="D103" s="875">
        <v>1</v>
      </c>
      <c r="E103" s="876" t="str">
        <f t="shared" ref="E103:E163" si="18">B103&amp;";"&amp;D103&amp;";"&amp;C103</f>
        <v>2000;1;10000</v>
      </c>
      <c r="F103" s="884">
        <v>36.4</v>
      </c>
      <c r="G103" s="884">
        <v>479.5</v>
      </c>
      <c r="H103" s="732">
        <v>512</v>
      </c>
      <c r="I103" s="732">
        <v>20.5</v>
      </c>
      <c r="J103" s="732">
        <v>256</v>
      </c>
      <c r="K103" s="732">
        <v>2</v>
      </c>
      <c r="L103" s="875">
        <f t="shared" si="14"/>
        <v>11.720164044800001</v>
      </c>
      <c r="M103" s="875">
        <f t="shared" si="12"/>
        <v>188.28840892159999</v>
      </c>
      <c r="N103" s="875">
        <f t="shared" si="15"/>
        <v>200.00857296639998</v>
      </c>
      <c r="O103" s="890">
        <f t="shared" si="11"/>
        <v>18</v>
      </c>
      <c r="P103" s="890">
        <f t="shared" si="16"/>
        <v>109.33091623840501</v>
      </c>
      <c r="Q103" s="891">
        <f t="shared" si="17"/>
        <v>309.33948920480498</v>
      </c>
    </row>
    <row r="104" spans="1:17" ht="15">
      <c r="A104" s="861">
        <v>2146.5</v>
      </c>
      <c r="B104" s="862">
        <v>2100</v>
      </c>
      <c r="C104" s="862">
        <v>2500</v>
      </c>
      <c r="D104" s="863">
        <v>0.6</v>
      </c>
      <c r="E104" s="864" t="str">
        <f t="shared" si="18"/>
        <v>2100;0,6;2500</v>
      </c>
      <c r="F104" s="880">
        <v>25.1</v>
      </c>
      <c r="G104" s="880">
        <v>306.3</v>
      </c>
      <c r="H104" s="864">
        <v>317</v>
      </c>
      <c r="I104" s="864">
        <v>13</v>
      </c>
      <c r="J104" s="864">
        <v>159</v>
      </c>
      <c r="K104" s="864">
        <v>2</v>
      </c>
      <c r="L104" s="863">
        <f t="shared" si="14"/>
        <v>7.7374416132000015</v>
      </c>
      <c r="M104" s="863">
        <f t="shared" si="12"/>
        <v>77.38844341475</v>
      </c>
      <c r="N104" s="863">
        <f t="shared" si="15"/>
        <v>85.125885027950005</v>
      </c>
      <c r="O104" s="886">
        <f t="shared" si="11"/>
        <v>19</v>
      </c>
      <c r="P104" s="886">
        <f t="shared" si="16"/>
        <v>127.1325539986875</v>
      </c>
      <c r="Q104" s="887">
        <f t="shared" si="17"/>
        <v>212.25843902663752</v>
      </c>
    </row>
    <row r="105" spans="1:17" ht="15">
      <c r="A105" s="868">
        <v>2146.5</v>
      </c>
      <c r="B105" s="869">
        <v>2100</v>
      </c>
      <c r="C105" s="869">
        <v>2500</v>
      </c>
      <c r="D105" s="870">
        <v>1</v>
      </c>
      <c r="E105" s="732" t="str">
        <f t="shared" si="18"/>
        <v>2100;1;2500</v>
      </c>
      <c r="F105" s="882">
        <v>23.2</v>
      </c>
      <c r="G105" s="882">
        <v>300.39999999999998</v>
      </c>
      <c r="H105" s="732">
        <v>528</v>
      </c>
      <c r="I105" s="732">
        <v>21</v>
      </c>
      <c r="J105" s="732">
        <v>264</v>
      </c>
      <c r="K105" s="732">
        <v>2</v>
      </c>
      <c r="L105" s="870">
        <f t="shared" si="14"/>
        <v>12.870383222400001</v>
      </c>
      <c r="M105" s="870">
        <f t="shared" si="12"/>
        <v>208.73732972400001</v>
      </c>
      <c r="N105" s="870">
        <f t="shared" si="15"/>
        <v>221.6077129464</v>
      </c>
      <c r="O105" s="888">
        <f t="shared" si="11"/>
        <v>19</v>
      </c>
      <c r="P105" s="888">
        <f t="shared" si="16"/>
        <v>127.1325539986875</v>
      </c>
      <c r="Q105" s="889">
        <f t="shared" si="17"/>
        <v>348.74026694508751</v>
      </c>
    </row>
    <row r="106" spans="1:17" ht="15">
      <c r="A106" s="868">
        <v>2146.5</v>
      </c>
      <c r="B106" s="869">
        <v>2100</v>
      </c>
      <c r="C106" s="869">
        <v>5000</v>
      </c>
      <c r="D106" s="870">
        <v>0.6</v>
      </c>
      <c r="E106" s="732" t="str">
        <f t="shared" si="18"/>
        <v>2100;0,6;5000</v>
      </c>
      <c r="F106" s="882">
        <v>31.3</v>
      </c>
      <c r="G106" s="882">
        <v>434.8</v>
      </c>
      <c r="H106" s="732">
        <v>317</v>
      </c>
      <c r="I106" s="732">
        <v>13</v>
      </c>
      <c r="J106" s="732">
        <v>159</v>
      </c>
      <c r="K106" s="732">
        <v>2</v>
      </c>
      <c r="L106" s="870">
        <f t="shared" si="14"/>
        <v>7.6916295156000007</v>
      </c>
      <c r="M106" s="870">
        <f t="shared" si="12"/>
        <v>77.38844341475</v>
      </c>
      <c r="N106" s="870">
        <f t="shared" si="15"/>
        <v>85.080072930349999</v>
      </c>
      <c r="O106" s="888">
        <f t="shared" si="11"/>
        <v>19</v>
      </c>
      <c r="P106" s="888">
        <f t="shared" si="16"/>
        <v>127.1325539986875</v>
      </c>
      <c r="Q106" s="889">
        <f t="shared" si="17"/>
        <v>212.2126269290375</v>
      </c>
    </row>
    <row r="107" spans="1:17" ht="15">
      <c r="A107" s="868">
        <v>2146.5</v>
      </c>
      <c r="B107" s="869">
        <v>2100</v>
      </c>
      <c r="C107" s="869">
        <v>5000</v>
      </c>
      <c r="D107" s="870">
        <v>1</v>
      </c>
      <c r="E107" s="732" t="str">
        <f t="shared" si="18"/>
        <v>2100;1;5000</v>
      </c>
      <c r="F107" s="882">
        <v>29</v>
      </c>
      <c r="G107" s="882">
        <v>357.8</v>
      </c>
      <c r="H107" s="732">
        <v>528</v>
      </c>
      <c r="I107" s="732">
        <v>21</v>
      </c>
      <c r="J107" s="732">
        <v>264</v>
      </c>
      <c r="K107" s="732">
        <v>2</v>
      </c>
      <c r="L107" s="870">
        <f t="shared" si="14"/>
        <v>12.799225296000001</v>
      </c>
      <c r="M107" s="870">
        <f t="shared" si="12"/>
        <v>208.73732972400001</v>
      </c>
      <c r="N107" s="870">
        <f t="shared" si="15"/>
        <v>221.53655502000001</v>
      </c>
      <c r="O107" s="888">
        <f t="shared" si="11"/>
        <v>19</v>
      </c>
      <c r="P107" s="888">
        <f t="shared" si="16"/>
        <v>127.1325539986875</v>
      </c>
      <c r="Q107" s="889">
        <f t="shared" si="17"/>
        <v>348.66910901868749</v>
      </c>
    </row>
    <row r="108" spans="1:17" ht="15">
      <c r="A108" s="868">
        <v>2146.5</v>
      </c>
      <c r="B108" s="869">
        <v>2100</v>
      </c>
      <c r="C108" s="869">
        <v>10000</v>
      </c>
      <c r="D108" s="870">
        <v>0.6</v>
      </c>
      <c r="E108" s="732" t="str">
        <f t="shared" si="18"/>
        <v>2100;0,6;10000</v>
      </c>
      <c r="F108" s="882">
        <v>38.200000000000003</v>
      </c>
      <c r="G108" s="882">
        <v>527.9</v>
      </c>
      <c r="H108" s="732">
        <v>317</v>
      </c>
      <c r="I108" s="732">
        <v>13</v>
      </c>
      <c r="J108" s="732">
        <v>159</v>
      </c>
      <c r="K108" s="732">
        <v>2</v>
      </c>
      <c r="L108" s="870">
        <f t="shared" si="14"/>
        <v>7.6406450844</v>
      </c>
      <c r="M108" s="870">
        <f t="shared" si="12"/>
        <v>77.38844341475</v>
      </c>
      <c r="N108" s="870">
        <f t="shared" si="15"/>
        <v>85.029088499150006</v>
      </c>
      <c r="O108" s="888">
        <f t="shared" ref="O108:O114" si="19">O102+1</f>
        <v>19</v>
      </c>
      <c r="P108" s="888">
        <f t="shared" si="16"/>
        <v>127.1325539986875</v>
      </c>
      <c r="Q108" s="889">
        <f t="shared" si="17"/>
        <v>212.16164249783751</v>
      </c>
    </row>
    <row r="109" spans="1:17" ht="15">
      <c r="A109" s="873">
        <v>2146.5</v>
      </c>
      <c r="B109" s="874">
        <v>2100</v>
      </c>
      <c r="C109" s="874">
        <v>10000</v>
      </c>
      <c r="D109" s="875">
        <v>1</v>
      </c>
      <c r="E109" s="876" t="str">
        <f t="shared" si="18"/>
        <v>2100;1;10000</v>
      </c>
      <c r="F109" s="884">
        <v>38.1</v>
      </c>
      <c r="G109" s="884">
        <v>525.6</v>
      </c>
      <c r="H109" s="732">
        <v>528</v>
      </c>
      <c r="I109" s="732">
        <v>21</v>
      </c>
      <c r="J109" s="732">
        <v>264</v>
      </c>
      <c r="K109" s="732">
        <v>2</v>
      </c>
      <c r="L109" s="875">
        <f t="shared" si="14"/>
        <v>12.687580963200004</v>
      </c>
      <c r="M109" s="875">
        <f t="shared" si="12"/>
        <v>208.73732972400001</v>
      </c>
      <c r="N109" s="875">
        <f t="shared" si="15"/>
        <v>221.4249106872</v>
      </c>
      <c r="O109" s="890">
        <f t="shared" si="19"/>
        <v>19</v>
      </c>
      <c r="P109" s="890">
        <f t="shared" si="16"/>
        <v>127.1325539986875</v>
      </c>
      <c r="Q109" s="891">
        <f t="shared" si="17"/>
        <v>348.55746468588751</v>
      </c>
    </row>
    <row r="110" spans="1:17" ht="15">
      <c r="A110" s="861">
        <v>2249</v>
      </c>
      <c r="B110" s="862">
        <v>2200</v>
      </c>
      <c r="C110" s="862">
        <v>2500</v>
      </c>
      <c r="D110" s="863">
        <v>0.6</v>
      </c>
      <c r="E110" s="864" t="str">
        <f t="shared" si="18"/>
        <v>2200;0,6;2500</v>
      </c>
      <c r="F110" s="885">
        <v>26.3</v>
      </c>
      <c r="G110" s="885">
        <v>379.5</v>
      </c>
      <c r="H110" s="864">
        <v>338</v>
      </c>
      <c r="I110" s="864">
        <v>13.5</v>
      </c>
      <c r="J110" s="864">
        <v>169</v>
      </c>
      <c r="K110" s="864">
        <v>2</v>
      </c>
      <c r="L110" s="863">
        <f t="shared" si="14"/>
        <v>8.6171542496000004</v>
      </c>
      <c r="M110" s="863">
        <f t="shared" si="12"/>
        <v>89.777403729000014</v>
      </c>
      <c r="N110" s="863">
        <f t="shared" si="15"/>
        <v>98.39455797860002</v>
      </c>
      <c r="O110" s="886">
        <f t="shared" si="19"/>
        <v>20</v>
      </c>
      <c r="P110" s="886">
        <f t="shared" si="16"/>
        <v>146.90963904500001</v>
      </c>
      <c r="Q110" s="887">
        <f t="shared" si="17"/>
        <v>245.30419702360001</v>
      </c>
    </row>
    <row r="111" spans="1:17" ht="15">
      <c r="A111" s="868">
        <v>2249</v>
      </c>
      <c r="B111" s="869">
        <v>2200</v>
      </c>
      <c r="C111" s="869">
        <v>2500</v>
      </c>
      <c r="D111" s="870">
        <v>1</v>
      </c>
      <c r="E111" s="732" t="str">
        <f t="shared" si="18"/>
        <v>2200;1;2500</v>
      </c>
      <c r="F111" s="882">
        <v>24.1</v>
      </c>
      <c r="G111" s="882">
        <v>327</v>
      </c>
      <c r="H111" s="732">
        <v>563</v>
      </c>
      <c r="I111" s="732">
        <v>22.5</v>
      </c>
      <c r="J111" s="732">
        <v>282</v>
      </c>
      <c r="K111" s="732">
        <v>2</v>
      </c>
      <c r="L111" s="870">
        <f t="shared" si="14"/>
        <v>14.407751337600002</v>
      </c>
      <c r="M111" s="870">
        <f t="shared" si="12"/>
        <v>249.89638347000002</v>
      </c>
      <c r="N111" s="870">
        <f t="shared" si="15"/>
        <v>264.30413480760001</v>
      </c>
      <c r="O111" s="888">
        <f t="shared" si="19"/>
        <v>20</v>
      </c>
      <c r="P111" s="888">
        <f t="shared" si="16"/>
        <v>146.90963904500001</v>
      </c>
      <c r="Q111" s="889">
        <f t="shared" si="17"/>
        <v>411.21377385260001</v>
      </c>
    </row>
    <row r="112" spans="1:17" ht="15">
      <c r="A112" s="868">
        <v>2249</v>
      </c>
      <c r="B112" s="869">
        <v>2200</v>
      </c>
      <c r="C112" s="869">
        <v>5000</v>
      </c>
      <c r="D112" s="870">
        <v>0.6</v>
      </c>
      <c r="E112" s="732" t="str">
        <f t="shared" si="18"/>
        <v>2200;0,6;5000</v>
      </c>
      <c r="F112" s="882">
        <v>32.4</v>
      </c>
      <c r="G112" s="882">
        <v>471.5</v>
      </c>
      <c r="H112" s="732">
        <v>338</v>
      </c>
      <c r="I112" s="732">
        <v>13.5</v>
      </c>
      <c r="J112" s="732">
        <v>169</v>
      </c>
      <c r="K112" s="732">
        <v>2</v>
      </c>
      <c r="L112" s="870">
        <f t="shared" si="14"/>
        <v>8.5692462648000003</v>
      </c>
      <c r="M112" s="870">
        <f t="shared" si="12"/>
        <v>89.777403729000014</v>
      </c>
      <c r="N112" s="870">
        <f t="shared" si="15"/>
        <v>98.346649993800014</v>
      </c>
      <c r="O112" s="888">
        <f t="shared" si="19"/>
        <v>20</v>
      </c>
      <c r="P112" s="888">
        <f t="shared" si="16"/>
        <v>146.90963904500001</v>
      </c>
      <c r="Q112" s="889">
        <f t="shared" si="17"/>
        <v>245.25628903880002</v>
      </c>
    </row>
    <row r="113" spans="1:17" ht="15">
      <c r="A113" s="868">
        <v>2249</v>
      </c>
      <c r="B113" s="869">
        <v>2200</v>
      </c>
      <c r="C113" s="869">
        <v>5000</v>
      </c>
      <c r="D113" s="870">
        <v>1</v>
      </c>
      <c r="E113" s="732" t="str">
        <f t="shared" si="18"/>
        <v>2200;1;5000</v>
      </c>
      <c r="F113" s="892">
        <v>30.1</v>
      </c>
      <c r="G113" s="892">
        <v>422.8</v>
      </c>
      <c r="H113" s="732">
        <v>563</v>
      </c>
      <c r="I113" s="732">
        <v>22.5</v>
      </c>
      <c r="J113" s="732">
        <v>282</v>
      </c>
      <c r="K113" s="732">
        <v>2</v>
      </c>
      <c r="L113" s="870">
        <f t="shared" si="14"/>
        <v>14.329120713600002</v>
      </c>
      <c r="M113" s="870">
        <f t="shared" si="12"/>
        <v>249.89638347000002</v>
      </c>
      <c r="N113" s="870">
        <f t="shared" si="15"/>
        <v>264.22550418360004</v>
      </c>
      <c r="O113" s="888">
        <f t="shared" si="19"/>
        <v>20</v>
      </c>
      <c r="P113" s="888">
        <f t="shared" si="16"/>
        <v>146.90963904500001</v>
      </c>
      <c r="Q113" s="889">
        <f t="shared" si="17"/>
        <v>411.13514322860004</v>
      </c>
    </row>
    <row r="114" spans="1:17" ht="15.75" customHeight="1">
      <c r="A114" s="868">
        <v>2249</v>
      </c>
      <c r="B114" s="869">
        <v>2200</v>
      </c>
      <c r="C114" s="869">
        <v>10000</v>
      </c>
      <c r="D114" s="870">
        <v>0.6</v>
      </c>
      <c r="E114" s="732" t="str">
        <f t="shared" si="18"/>
        <v>2200;0,6;10000</v>
      </c>
      <c r="F114" s="882">
        <v>40.1</v>
      </c>
      <c r="G114" s="882">
        <v>581</v>
      </c>
      <c r="H114" s="732">
        <v>338</v>
      </c>
      <c r="I114" s="732">
        <v>13.5</v>
      </c>
      <c r="J114" s="732">
        <v>169</v>
      </c>
      <c r="K114" s="732">
        <v>2</v>
      </c>
      <c r="L114" s="870">
        <f t="shared" si="14"/>
        <v>8.5087722512000017</v>
      </c>
      <c r="M114" s="870">
        <f t="shared" si="12"/>
        <v>89.777403729000014</v>
      </c>
      <c r="N114" s="870">
        <f t="shared" si="15"/>
        <v>98.286175980200014</v>
      </c>
      <c r="O114" s="888">
        <f t="shared" si="19"/>
        <v>20</v>
      </c>
      <c r="P114" s="888">
        <f t="shared" si="16"/>
        <v>146.90963904500001</v>
      </c>
      <c r="Q114" s="889">
        <f t="shared" si="17"/>
        <v>245.19581502520003</v>
      </c>
    </row>
    <row r="115" spans="1:17" ht="15">
      <c r="A115" s="873">
        <v>2249</v>
      </c>
      <c r="B115" s="874">
        <v>2200</v>
      </c>
      <c r="C115" s="874">
        <v>10000</v>
      </c>
      <c r="D115" s="875">
        <v>1</v>
      </c>
      <c r="E115" s="876" t="str">
        <f t="shared" si="18"/>
        <v>2200;1;10000</v>
      </c>
      <c r="F115" s="884">
        <v>40.1</v>
      </c>
      <c r="G115" s="884">
        <v>581</v>
      </c>
      <c r="H115" s="732">
        <v>563</v>
      </c>
      <c r="I115" s="732">
        <v>22.5</v>
      </c>
      <c r="J115" s="732">
        <v>282</v>
      </c>
      <c r="K115" s="732">
        <v>2</v>
      </c>
      <c r="L115" s="875">
        <f t="shared" si="14"/>
        <v>14.198069673600003</v>
      </c>
      <c r="M115" s="875">
        <f t="shared" si="12"/>
        <v>249.89638347000002</v>
      </c>
      <c r="N115" s="875">
        <f t="shared" si="15"/>
        <v>264.09445314360005</v>
      </c>
      <c r="O115" s="890">
        <f t="shared" ref="O115:O163" si="20">O109+1</f>
        <v>20</v>
      </c>
      <c r="P115" s="890">
        <f t="shared" si="16"/>
        <v>146.90963904500001</v>
      </c>
      <c r="Q115" s="891">
        <f t="shared" si="17"/>
        <v>411.00409218860005</v>
      </c>
    </row>
    <row r="116" spans="1:17" ht="15">
      <c r="A116" s="861">
        <v>2350.5</v>
      </c>
      <c r="B116" s="862">
        <v>2300</v>
      </c>
      <c r="C116" s="862">
        <v>2500</v>
      </c>
      <c r="D116" s="863">
        <v>0.6</v>
      </c>
      <c r="E116" s="864" t="str">
        <f t="shared" si="18"/>
        <v>2300;0,6;2500</v>
      </c>
      <c r="F116" s="880">
        <v>27.6</v>
      </c>
      <c r="G116" s="880">
        <v>418.5</v>
      </c>
      <c r="H116" s="864">
        <v>353</v>
      </c>
      <c r="I116" s="864">
        <v>14</v>
      </c>
      <c r="J116" s="864">
        <v>177</v>
      </c>
      <c r="K116" s="864">
        <v>2</v>
      </c>
      <c r="L116" s="863">
        <f t="shared" si="14"/>
        <v>9.4318200276000024</v>
      </c>
      <c r="M116" s="863">
        <f t="shared" si="12"/>
        <v>101.61941910050001</v>
      </c>
      <c r="N116" s="863">
        <f t="shared" si="15"/>
        <v>111.05123912810001</v>
      </c>
      <c r="O116" s="886">
        <f t="shared" si="20"/>
        <v>21</v>
      </c>
      <c r="P116" s="886">
        <f t="shared" si="16"/>
        <v>168.49273928681251</v>
      </c>
      <c r="Q116" s="887">
        <f t="shared" si="17"/>
        <v>279.54397841491254</v>
      </c>
    </row>
    <row r="117" spans="1:17" ht="15">
      <c r="A117" s="868">
        <v>2350.5</v>
      </c>
      <c r="B117" s="869">
        <v>2300</v>
      </c>
      <c r="C117" s="869">
        <v>2500</v>
      </c>
      <c r="D117" s="870">
        <v>1</v>
      </c>
      <c r="E117" s="732" t="str">
        <f t="shared" si="18"/>
        <v>2300;1;2500</v>
      </c>
      <c r="F117" s="882">
        <v>25.2</v>
      </c>
      <c r="G117" s="882">
        <v>357.9</v>
      </c>
      <c r="H117" s="732">
        <v>588</v>
      </c>
      <c r="I117" s="732">
        <v>23.5</v>
      </c>
      <c r="J117" s="732">
        <v>294</v>
      </c>
      <c r="K117" s="732">
        <v>2</v>
      </c>
      <c r="L117" s="870">
        <f t="shared" si="14"/>
        <v>15.699203570400002</v>
      </c>
      <c r="M117" s="870">
        <f t="shared" si="12"/>
        <v>284.8939035285</v>
      </c>
      <c r="N117" s="870">
        <f t="shared" si="15"/>
        <v>300.59310709890002</v>
      </c>
      <c r="O117" s="888">
        <f t="shared" si="20"/>
        <v>21</v>
      </c>
      <c r="P117" s="888">
        <f t="shared" si="16"/>
        <v>168.49273928681251</v>
      </c>
      <c r="Q117" s="889">
        <f t="shared" si="17"/>
        <v>469.08584638571256</v>
      </c>
    </row>
    <row r="118" spans="1:17" ht="18.75" customHeight="1">
      <c r="A118" s="868">
        <v>2350.5</v>
      </c>
      <c r="B118" s="869">
        <v>2300</v>
      </c>
      <c r="C118" s="869">
        <v>5000</v>
      </c>
      <c r="D118" s="870">
        <v>0.6</v>
      </c>
      <c r="E118" s="732" t="str">
        <f t="shared" si="18"/>
        <v>2300;0,6;5000</v>
      </c>
      <c r="F118" s="882">
        <v>33.9</v>
      </c>
      <c r="G118" s="882">
        <v>515.9</v>
      </c>
      <c r="H118" s="732">
        <v>353</v>
      </c>
      <c r="I118" s="732">
        <v>14</v>
      </c>
      <c r="J118" s="732">
        <v>177</v>
      </c>
      <c r="K118" s="732">
        <v>2</v>
      </c>
      <c r="L118" s="870">
        <f t="shared" si="14"/>
        <v>9.379999100400001</v>
      </c>
      <c r="M118" s="870">
        <f t="shared" si="12"/>
        <v>101.61941910050001</v>
      </c>
      <c r="N118" s="870">
        <f t="shared" si="15"/>
        <v>110.99941820090001</v>
      </c>
      <c r="O118" s="888">
        <f t="shared" si="20"/>
        <v>21</v>
      </c>
      <c r="P118" s="888">
        <f t="shared" si="16"/>
        <v>168.49273928681251</v>
      </c>
      <c r="Q118" s="889">
        <f t="shared" si="17"/>
        <v>279.49215748771252</v>
      </c>
    </row>
    <row r="119" spans="1:17" ht="15">
      <c r="A119" s="868">
        <v>2350.5</v>
      </c>
      <c r="B119" s="869">
        <v>2300</v>
      </c>
      <c r="C119" s="869">
        <v>5000</v>
      </c>
      <c r="D119" s="870">
        <v>1</v>
      </c>
      <c r="E119" s="732" t="str">
        <f t="shared" si="18"/>
        <v>2300;1;5000</v>
      </c>
      <c r="F119" s="882">
        <v>31.3</v>
      </c>
      <c r="G119" s="882">
        <v>459.3</v>
      </c>
      <c r="H119" s="732">
        <v>588</v>
      </c>
      <c r="I119" s="732">
        <v>23.5</v>
      </c>
      <c r="J119" s="732">
        <v>294</v>
      </c>
      <c r="K119" s="732">
        <v>2</v>
      </c>
      <c r="L119" s="870">
        <f t="shared" si="14"/>
        <v>15.615860685600003</v>
      </c>
      <c r="M119" s="870">
        <f t="shared" ref="M119:M161" si="21">2*0.00000185*H119*3.14*I119*((3*(A119/4))+(I119/2))</f>
        <v>284.8939035285</v>
      </c>
      <c r="N119" s="870">
        <f t="shared" si="15"/>
        <v>300.50976421410002</v>
      </c>
      <c r="O119" s="888">
        <f t="shared" si="20"/>
        <v>21</v>
      </c>
      <c r="P119" s="888">
        <f t="shared" si="16"/>
        <v>168.49273928681251</v>
      </c>
      <c r="Q119" s="889">
        <f t="shared" si="17"/>
        <v>469.00250350091255</v>
      </c>
    </row>
    <row r="120" spans="1:17" ht="15">
      <c r="A120" s="868">
        <v>2350.5</v>
      </c>
      <c r="B120" s="869">
        <v>2300</v>
      </c>
      <c r="C120" s="869">
        <v>10000</v>
      </c>
      <c r="D120" s="870">
        <v>0.6</v>
      </c>
      <c r="E120" s="732" t="str">
        <f t="shared" si="18"/>
        <v>2300;0,6;10000</v>
      </c>
      <c r="F120" s="882">
        <v>41.9</v>
      </c>
      <c r="G120" s="882">
        <v>636.79999999999995</v>
      </c>
      <c r="H120" s="732">
        <v>353</v>
      </c>
      <c r="I120" s="732">
        <v>14</v>
      </c>
      <c r="J120" s="732">
        <v>177</v>
      </c>
      <c r="K120" s="732">
        <v>2</v>
      </c>
      <c r="L120" s="870">
        <f t="shared" si="14"/>
        <v>9.3141947484000003</v>
      </c>
      <c r="M120" s="870">
        <f t="shared" si="21"/>
        <v>101.61941910050001</v>
      </c>
      <c r="N120" s="870">
        <f t="shared" si="15"/>
        <v>110.93361384890001</v>
      </c>
      <c r="O120" s="888">
        <f t="shared" si="20"/>
        <v>21</v>
      </c>
      <c r="P120" s="888">
        <f t="shared" si="16"/>
        <v>168.49273928681251</v>
      </c>
      <c r="Q120" s="889">
        <f t="shared" si="17"/>
        <v>279.42635313571253</v>
      </c>
    </row>
    <row r="121" spans="1:17" ht="15">
      <c r="A121" s="873">
        <v>2350.5</v>
      </c>
      <c r="B121" s="874">
        <v>2300</v>
      </c>
      <c r="C121" s="874">
        <v>10000</v>
      </c>
      <c r="D121" s="875">
        <v>1</v>
      </c>
      <c r="E121" s="876" t="str">
        <f t="shared" si="18"/>
        <v>2300;1;10000</v>
      </c>
      <c r="F121" s="884">
        <v>41.4</v>
      </c>
      <c r="G121" s="884">
        <v>628</v>
      </c>
      <c r="H121" s="732">
        <v>588</v>
      </c>
      <c r="I121" s="732">
        <v>23.5</v>
      </c>
      <c r="J121" s="732">
        <v>294</v>
      </c>
      <c r="K121" s="732">
        <v>2</v>
      </c>
      <c r="L121" s="875">
        <f t="shared" si="14"/>
        <v>15.4778667288</v>
      </c>
      <c r="M121" s="875">
        <f t="shared" si="21"/>
        <v>284.8939035285</v>
      </c>
      <c r="N121" s="875">
        <f t="shared" si="15"/>
        <v>300.3717702573</v>
      </c>
      <c r="O121" s="890">
        <f t="shared" si="20"/>
        <v>21</v>
      </c>
      <c r="P121" s="890">
        <f t="shared" si="16"/>
        <v>168.49273928681251</v>
      </c>
      <c r="Q121" s="891">
        <f t="shared" si="17"/>
        <v>468.86450954411248</v>
      </c>
    </row>
    <row r="122" spans="1:17" ht="15">
      <c r="A122" s="861">
        <v>2453.1</v>
      </c>
      <c r="B122" s="862">
        <v>2400</v>
      </c>
      <c r="C122" s="862">
        <v>2500</v>
      </c>
      <c r="D122" s="863">
        <v>0.6</v>
      </c>
      <c r="E122" s="864" t="str">
        <f t="shared" si="18"/>
        <v>2400;0,6;2500</v>
      </c>
      <c r="F122" s="885">
        <v>28.5</v>
      </c>
      <c r="G122" s="885">
        <v>448.8</v>
      </c>
      <c r="H122" s="864">
        <v>368</v>
      </c>
      <c r="I122" s="864">
        <v>15</v>
      </c>
      <c r="J122" s="864">
        <v>184</v>
      </c>
      <c r="K122" s="864">
        <v>2</v>
      </c>
      <c r="L122" s="863">
        <f t="shared" si="14"/>
        <v>10.235792598400002</v>
      </c>
      <c r="M122" s="863">
        <f t="shared" si="21"/>
        <v>118.47146461200001</v>
      </c>
      <c r="N122" s="863">
        <f t="shared" si="15"/>
        <v>128.7072572104</v>
      </c>
      <c r="O122" s="886">
        <f t="shared" si="20"/>
        <v>22</v>
      </c>
      <c r="P122" s="886">
        <f t="shared" si="16"/>
        <v>192.26249368969499</v>
      </c>
      <c r="Q122" s="887">
        <f t="shared" si="17"/>
        <v>320.96975090009499</v>
      </c>
    </row>
    <row r="123" spans="1:17" ht="15">
      <c r="A123" s="868">
        <v>2453.1</v>
      </c>
      <c r="B123" s="869">
        <v>2400</v>
      </c>
      <c r="C123" s="869">
        <v>2500</v>
      </c>
      <c r="D123" s="870">
        <v>1</v>
      </c>
      <c r="E123" s="732" t="str">
        <f t="shared" si="18"/>
        <v>2400;1;2500</v>
      </c>
      <c r="F123" s="851">
        <v>26.2</v>
      </c>
      <c r="G123" s="851">
        <v>388.3</v>
      </c>
      <c r="H123" s="732">
        <v>614</v>
      </c>
      <c r="I123" s="732">
        <v>25</v>
      </c>
      <c r="J123" s="732">
        <v>307</v>
      </c>
      <c r="K123" s="732">
        <v>2</v>
      </c>
      <c r="L123" s="870">
        <f t="shared" si="14"/>
        <v>17.111011312399999</v>
      </c>
      <c r="M123" s="870">
        <f t="shared" si="21"/>
        <v>330.33678689749996</v>
      </c>
      <c r="N123" s="870">
        <f t="shared" si="15"/>
        <v>347.44779820989999</v>
      </c>
      <c r="O123" s="888">
        <f t="shared" si="20"/>
        <v>22</v>
      </c>
      <c r="P123" s="888">
        <f t="shared" si="16"/>
        <v>192.26249368969499</v>
      </c>
      <c r="Q123" s="889">
        <f t="shared" si="17"/>
        <v>539.71029189959495</v>
      </c>
    </row>
    <row r="124" spans="1:17" ht="15">
      <c r="A124" s="868">
        <v>2453.1</v>
      </c>
      <c r="B124" s="869">
        <v>2400</v>
      </c>
      <c r="C124" s="869">
        <v>5000</v>
      </c>
      <c r="D124" s="870">
        <v>0.6</v>
      </c>
      <c r="E124" s="732" t="str">
        <f t="shared" si="18"/>
        <v>2400;0,6;5000</v>
      </c>
      <c r="F124" s="882">
        <v>35</v>
      </c>
      <c r="G124" s="882">
        <v>554.5</v>
      </c>
      <c r="H124" s="732">
        <v>368</v>
      </c>
      <c r="I124" s="732">
        <v>15</v>
      </c>
      <c r="J124" s="732">
        <v>184</v>
      </c>
      <c r="K124" s="732">
        <v>2</v>
      </c>
      <c r="L124" s="870">
        <f t="shared" si="14"/>
        <v>10.180212086400001</v>
      </c>
      <c r="M124" s="870">
        <f t="shared" si="21"/>
        <v>118.47146461200001</v>
      </c>
      <c r="N124" s="870">
        <f t="shared" si="15"/>
        <v>128.6516766984</v>
      </c>
      <c r="O124" s="888">
        <f t="shared" si="20"/>
        <v>22</v>
      </c>
      <c r="P124" s="888">
        <f t="shared" si="16"/>
        <v>192.26249368969499</v>
      </c>
      <c r="Q124" s="889">
        <f t="shared" si="17"/>
        <v>320.91417038809499</v>
      </c>
    </row>
    <row r="125" spans="1:17" ht="15">
      <c r="A125" s="868">
        <v>2453.1</v>
      </c>
      <c r="B125" s="869">
        <v>2400</v>
      </c>
      <c r="C125" s="869">
        <v>5000</v>
      </c>
      <c r="D125" s="870">
        <v>1</v>
      </c>
      <c r="E125" s="732" t="str">
        <f t="shared" si="18"/>
        <v>2400;1;5000</v>
      </c>
      <c r="F125" s="882">
        <v>33</v>
      </c>
      <c r="G125" s="882">
        <v>507.3</v>
      </c>
      <c r="H125" s="732">
        <v>614</v>
      </c>
      <c r="I125" s="732">
        <v>25</v>
      </c>
      <c r="J125" s="732">
        <v>307</v>
      </c>
      <c r="K125" s="732">
        <v>2</v>
      </c>
      <c r="L125" s="870">
        <f t="shared" si="14"/>
        <v>17.013996365200001</v>
      </c>
      <c r="M125" s="870">
        <f t="shared" si="21"/>
        <v>330.33678689749996</v>
      </c>
      <c r="N125" s="870">
        <f t="shared" si="15"/>
        <v>347.35078326269996</v>
      </c>
      <c r="O125" s="888">
        <f t="shared" si="20"/>
        <v>22</v>
      </c>
      <c r="P125" s="888">
        <f t="shared" si="16"/>
        <v>192.26249368969499</v>
      </c>
      <c r="Q125" s="889">
        <f t="shared" si="17"/>
        <v>539.61327695239493</v>
      </c>
    </row>
    <row r="126" spans="1:17" ht="15">
      <c r="A126" s="868">
        <v>2453.1</v>
      </c>
      <c r="B126" s="869">
        <v>2400</v>
      </c>
      <c r="C126" s="869">
        <v>10000</v>
      </c>
      <c r="D126" s="870">
        <v>0.6</v>
      </c>
      <c r="E126" s="732" t="str">
        <f t="shared" si="18"/>
        <v>2400;0,6;10000</v>
      </c>
      <c r="F126" s="882">
        <v>43.9</v>
      </c>
      <c r="G126" s="882">
        <v>697.6</v>
      </c>
      <c r="H126" s="732">
        <v>368</v>
      </c>
      <c r="I126" s="732">
        <v>15</v>
      </c>
      <c r="J126" s="732">
        <v>184</v>
      </c>
      <c r="K126" s="732">
        <v>2</v>
      </c>
      <c r="L126" s="870">
        <f t="shared" si="14"/>
        <v>10.104109539200001</v>
      </c>
      <c r="M126" s="870">
        <f t="shared" si="21"/>
        <v>118.47146461200001</v>
      </c>
      <c r="N126" s="870">
        <f t="shared" si="15"/>
        <v>128.57557415120002</v>
      </c>
      <c r="O126" s="888">
        <f t="shared" si="20"/>
        <v>22</v>
      </c>
      <c r="P126" s="888">
        <f t="shared" si="16"/>
        <v>192.26249368969499</v>
      </c>
      <c r="Q126" s="889">
        <f t="shared" si="17"/>
        <v>320.83806784089501</v>
      </c>
    </row>
    <row r="127" spans="1:17" ht="15">
      <c r="A127" s="873">
        <v>2453.1</v>
      </c>
      <c r="B127" s="874">
        <v>2400</v>
      </c>
      <c r="C127" s="874">
        <v>10000</v>
      </c>
      <c r="D127" s="875">
        <v>1</v>
      </c>
      <c r="E127" s="876" t="str">
        <f t="shared" si="18"/>
        <v>2400;1;10000</v>
      </c>
      <c r="F127" s="884">
        <v>43.2</v>
      </c>
      <c r="G127" s="884">
        <v>683.2</v>
      </c>
      <c r="H127" s="732">
        <v>614</v>
      </c>
      <c r="I127" s="732">
        <v>25</v>
      </c>
      <c r="J127" s="732">
        <v>307</v>
      </c>
      <c r="K127" s="732">
        <v>2</v>
      </c>
      <c r="L127" s="875">
        <f t="shared" si="14"/>
        <v>16.868473944399998</v>
      </c>
      <c r="M127" s="875">
        <f t="shared" si="21"/>
        <v>330.33678689749996</v>
      </c>
      <c r="N127" s="875">
        <f t="shared" si="15"/>
        <v>347.20526084189999</v>
      </c>
      <c r="O127" s="890">
        <f t="shared" si="20"/>
        <v>22</v>
      </c>
      <c r="P127" s="890">
        <f t="shared" si="16"/>
        <v>192.26249368969499</v>
      </c>
      <c r="Q127" s="891">
        <f t="shared" si="17"/>
        <v>539.46775453159501</v>
      </c>
    </row>
    <row r="128" spans="1:17" ht="15">
      <c r="A128" s="861">
        <v>2554.5100000000002</v>
      </c>
      <c r="B128" s="862">
        <v>2500</v>
      </c>
      <c r="C128" s="862">
        <v>2500</v>
      </c>
      <c r="D128" s="863">
        <v>0.6</v>
      </c>
      <c r="E128" s="864" t="str">
        <f t="shared" si="18"/>
        <v>2500;0,6;2500</v>
      </c>
      <c r="F128" s="880">
        <v>29.3</v>
      </c>
      <c r="G128" s="880">
        <v>481.5</v>
      </c>
      <c r="H128" s="864">
        <v>384</v>
      </c>
      <c r="I128" s="864">
        <v>15.5</v>
      </c>
      <c r="J128" s="864">
        <v>192</v>
      </c>
      <c r="K128" s="864">
        <v>2</v>
      </c>
      <c r="L128" s="863">
        <f t="shared" si="14"/>
        <v>11.126110609920001</v>
      </c>
      <c r="M128" s="863">
        <f t="shared" si="21"/>
        <v>133.01983371552004</v>
      </c>
      <c r="N128" s="863">
        <f t="shared" si="15"/>
        <v>144.14594432544004</v>
      </c>
      <c r="O128" s="886">
        <f t="shared" si="20"/>
        <v>23</v>
      </c>
      <c r="P128" s="886">
        <f t="shared" si="16"/>
        <v>217.96383242168525</v>
      </c>
      <c r="Q128" s="887">
        <f t="shared" si="17"/>
        <v>362.1097767471253</v>
      </c>
    </row>
    <row r="129" spans="1:17" ht="15">
      <c r="A129" s="868">
        <v>2554.5100000000002</v>
      </c>
      <c r="B129" s="869">
        <v>2500</v>
      </c>
      <c r="C129" s="869">
        <v>2500</v>
      </c>
      <c r="D129" s="870">
        <v>1</v>
      </c>
      <c r="E129" s="732" t="str">
        <f t="shared" si="18"/>
        <v>2500;1;2500</v>
      </c>
      <c r="F129" s="882">
        <v>27.2</v>
      </c>
      <c r="G129" s="882">
        <v>419.8</v>
      </c>
      <c r="H129" s="732">
        <v>639</v>
      </c>
      <c r="I129" s="732">
        <v>25.5</v>
      </c>
      <c r="J129" s="732">
        <v>320</v>
      </c>
      <c r="K129" s="732">
        <v>2</v>
      </c>
      <c r="L129" s="870">
        <f t="shared" si="14"/>
        <v>18.574746867200002</v>
      </c>
      <c r="M129" s="870">
        <f t="shared" si="21"/>
        <v>365.10845618738256</v>
      </c>
      <c r="N129" s="870">
        <f t="shared" si="15"/>
        <v>383.68320305458258</v>
      </c>
      <c r="O129" s="888">
        <f t="shared" si="20"/>
        <v>23</v>
      </c>
      <c r="P129" s="888">
        <f t="shared" si="16"/>
        <v>217.96383242168525</v>
      </c>
      <c r="Q129" s="889">
        <f t="shared" si="17"/>
        <v>601.64703547626777</v>
      </c>
    </row>
    <row r="130" spans="1:17" ht="14.45" customHeight="1">
      <c r="A130" s="868">
        <v>2554.5100000000002</v>
      </c>
      <c r="B130" s="869">
        <v>2500</v>
      </c>
      <c r="C130" s="869">
        <v>5000</v>
      </c>
      <c r="D130" s="870">
        <v>0.6</v>
      </c>
      <c r="E130" s="732" t="str">
        <f t="shared" si="18"/>
        <v>2500;0,6;5000</v>
      </c>
      <c r="F130" s="882">
        <v>36.6</v>
      </c>
      <c r="G130" s="882">
        <v>605.29999999999995</v>
      </c>
      <c r="H130" s="732">
        <v>384</v>
      </c>
      <c r="I130" s="732">
        <v>15.5</v>
      </c>
      <c r="J130" s="732">
        <v>192</v>
      </c>
      <c r="K130" s="732">
        <v>2</v>
      </c>
      <c r="L130" s="870">
        <f t="shared" si="14"/>
        <v>11.060975454720003</v>
      </c>
      <c r="M130" s="870">
        <f t="shared" si="21"/>
        <v>133.01983371552004</v>
      </c>
      <c r="N130" s="870">
        <f t="shared" si="15"/>
        <v>144.08080917024003</v>
      </c>
      <c r="O130" s="888">
        <f t="shared" si="20"/>
        <v>23</v>
      </c>
      <c r="P130" s="888">
        <f t="shared" si="16"/>
        <v>217.96383242168525</v>
      </c>
      <c r="Q130" s="889">
        <f t="shared" si="17"/>
        <v>362.04464159192526</v>
      </c>
    </row>
    <row r="131" spans="1:17" ht="14.45" customHeight="1">
      <c r="A131" s="868">
        <v>2554.5100000000002</v>
      </c>
      <c r="B131" s="869">
        <v>2500</v>
      </c>
      <c r="C131" s="869">
        <v>5000</v>
      </c>
      <c r="D131" s="870">
        <v>1</v>
      </c>
      <c r="E131" s="732" t="str">
        <f t="shared" si="18"/>
        <v>2500;1;5000</v>
      </c>
      <c r="F131" s="882">
        <v>34.200000000000003</v>
      </c>
      <c r="G131" s="882">
        <v>547.29999999999995</v>
      </c>
      <c r="H131" s="732">
        <v>639</v>
      </c>
      <c r="I131" s="732">
        <v>25.5</v>
      </c>
      <c r="J131" s="732">
        <v>320</v>
      </c>
      <c r="K131" s="732">
        <v>2</v>
      </c>
      <c r="L131" s="870">
        <f t="shared" si="14"/>
        <v>18.470649587200004</v>
      </c>
      <c r="M131" s="870">
        <f t="shared" si="21"/>
        <v>365.10845618738256</v>
      </c>
      <c r="N131" s="870">
        <f t="shared" si="15"/>
        <v>383.57910577458256</v>
      </c>
      <c r="O131" s="888">
        <f t="shared" si="20"/>
        <v>23</v>
      </c>
      <c r="P131" s="888">
        <f t="shared" si="16"/>
        <v>217.96383242168525</v>
      </c>
      <c r="Q131" s="889">
        <f t="shared" si="17"/>
        <v>601.54293819626787</v>
      </c>
    </row>
    <row r="132" spans="1:17" ht="14.45" customHeight="1">
      <c r="A132" s="868">
        <v>2554.5100000000002</v>
      </c>
      <c r="B132" s="869">
        <v>2500</v>
      </c>
      <c r="C132" s="869">
        <v>10000</v>
      </c>
      <c r="D132" s="870">
        <v>0.6</v>
      </c>
      <c r="E132" s="732" t="str">
        <f t="shared" si="18"/>
        <v>2500;0,6;10000</v>
      </c>
      <c r="F132" s="882">
        <v>45.7</v>
      </c>
      <c r="G132" s="882">
        <v>755.8</v>
      </c>
      <c r="H132" s="732">
        <v>384</v>
      </c>
      <c r="I132" s="732">
        <v>15.5</v>
      </c>
      <c r="J132" s="732">
        <v>192</v>
      </c>
      <c r="K132" s="732">
        <v>2</v>
      </c>
      <c r="L132" s="870">
        <f t="shared" si="14"/>
        <v>10.97977957632</v>
      </c>
      <c r="M132" s="870">
        <f t="shared" si="21"/>
        <v>133.01983371552004</v>
      </c>
      <c r="N132" s="870">
        <f t="shared" si="15"/>
        <v>143.99961329184003</v>
      </c>
      <c r="O132" s="888">
        <f t="shared" si="20"/>
        <v>23</v>
      </c>
      <c r="P132" s="888">
        <f t="shared" si="16"/>
        <v>217.96383242168525</v>
      </c>
      <c r="Q132" s="889">
        <f t="shared" si="17"/>
        <v>361.96344571352529</v>
      </c>
    </row>
    <row r="133" spans="1:17" ht="14.45" customHeight="1">
      <c r="A133" s="873">
        <v>2554.5100000000002</v>
      </c>
      <c r="B133" s="874">
        <v>2500</v>
      </c>
      <c r="C133" s="874">
        <v>10000</v>
      </c>
      <c r="D133" s="875">
        <v>1</v>
      </c>
      <c r="E133" s="876" t="str">
        <f t="shared" si="18"/>
        <v>2500;1;10000</v>
      </c>
      <c r="F133" s="884">
        <v>45.1</v>
      </c>
      <c r="G133" s="884">
        <v>743.5</v>
      </c>
      <c r="H133" s="732">
        <v>639</v>
      </c>
      <c r="I133" s="732">
        <v>25.5</v>
      </c>
      <c r="J133" s="732">
        <v>320</v>
      </c>
      <c r="K133" s="732">
        <v>2</v>
      </c>
      <c r="L133" s="875">
        <f t="shared" si="14"/>
        <v>18.308555251200005</v>
      </c>
      <c r="M133" s="875">
        <f t="shared" si="21"/>
        <v>365.10845618738256</v>
      </c>
      <c r="N133" s="875">
        <f t="shared" si="15"/>
        <v>383.41701143858256</v>
      </c>
      <c r="O133" s="890">
        <f t="shared" si="20"/>
        <v>23</v>
      </c>
      <c r="P133" s="890">
        <f t="shared" si="16"/>
        <v>217.96383242168525</v>
      </c>
      <c r="Q133" s="891">
        <f t="shared" si="17"/>
        <v>601.38084386026776</v>
      </c>
    </row>
    <row r="134" spans="1:17" ht="14.45" customHeight="1">
      <c r="A134" s="861">
        <v>2657.1</v>
      </c>
      <c r="B134" s="862">
        <v>2600</v>
      </c>
      <c r="C134" s="862">
        <v>2500</v>
      </c>
      <c r="D134" s="863">
        <v>0.6</v>
      </c>
      <c r="E134" s="864" t="str">
        <f t="shared" si="18"/>
        <v>2600;0,6;2500</v>
      </c>
      <c r="F134" s="885">
        <v>30.5</v>
      </c>
      <c r="G134" s="885">
        <v>522.4</v>
      </c>
      <c r="H134" s="864">
        <v>400</v>
      </c>
      <c r="I134" s="864">
        <v>16</v>
      </c>
      <c r="J134" s="864">
        <v>200</v>
      </c>
      <c r="K134" s="864">
        <v>2</v>
      </c>
      <c r="L134" s="863">
        <f t="shared" si="14"/>
        <v>12.055301519999999</v>
      </c>
      <c r="M134" s="863">
        <f t="shared" si="21"/>
        <v>148.77174303999999</v>
      </c>
      <c r="N134" s="863">
        <f t="shared" si="15"/>
        <v>160.82704455999999</v>
      </c>
      <c r="O134" s="886">
        <f t="shared" si="20"/>
        <v>24</v>
      </c>
      <c r="P134" s="886">
        <f t="shared" si="16"/>
        <v>246.07552801014</v>
      </c>
      <c r="Q134" s="887">
        <f t="shared" si="17"/>
        <v>406.90257257014002</v>
      </c>
    </row>
    <row r="135" spans="1:17" ht="14.45" customHeight="1">
      <c r="A135" s="868">
        <v>2657.1</v>
      </c>
      <c r="B135" s="869">
        <v>2600</v>
      </c>
      <c r="C135" s="869">
        <v>2500</v>
      </c>
      <c r="D135" s="870">
        <v>1</v>
      </c>
      <c r="E135" s="732" t="str">
        <f t="shared" si="18"/>
        <v>2600;1;2500</v>
      </c>
      <c r="F135" s="851">
        <v>28.1</v>
      </c>
      <c r="G135" s="851">
        <v>452.6</v>
      </c>
      <c r="H135" s="732">
        <v>665</v>
      </c>
      <c r="I135" s="732">
        <v>27</v>
      </c>
      <c r="J135" s="732">
        <v>333</v>
      </c>
      <c r="K135" s="732">
        <v>2</v>
      </c>
      <c r="L135" s="870">
        <f t="shared" si="14"/>
        <v>20.109217453200003</v>
      </c>
      <c r="M135" s="870">
        <f t="shared" si="21"/>
        <v>418.52178252674997</v>
      </c>
      <c r="N135" s="870">
        <f t="shared" si="15"/>
        <v>438.63099997994999</v>
      </c>
      <c r="O135" s="888">
        <f t="shared" si="20"/>
        <v>24</v>
      </c>
      <c r="P135" s="888">
        <f t="shared" si="16"/>
        <v>246.07552801014</v>
      </c>
      <c r="Q135" s="889">
        <f t="shared" si="17"/>
        <v>684.70652799008997</v>
      </c>
    </row>
    <row r="136" spans="1:17" ht="14.45" customHeight="1">
      <c r="A136" s="868">
        <v>2657.1</v>
      </c>
      <c r="B136" s="869">
        <v>2600</v>
      </c>
      <c r="C136" s="869">
        <v>5000</v>
      </c>
      <c r="D136" s="870">
        <v>0.6</v>
      </c>
      <c r="E136" s="732" t="str">
        <f t="shared" si="18"/>
        <v>2600;0,6;5000</v>
      </c>
      <c r="F136" s="882">
        <v>38</v>
      </c>
      <c r="G136" s="882">
        <v>652.70000000000005</v>
      </c>
      <c r="H136" s="732">
        <v>400</v>
      </c>
      <c r="I136" s="732">
        <v>16</v>
      </c>
      <c r="J136" s="732">
        <v>200</v>
      </c>
      <c r="K136" s="732">
        <v>2</v>
      </c>
      <c r="L136" s="870">
        <f t="shared" si="14"/>
        <v>11.985593519999998</v>
      </c>
      <c r="M136" s="870">
        <f t="shared" si="21"/>
        <v>148.77174303999999</v>
      </c>
      <c r="N136" s="870">
        <f t="shared" si="15"/>
        <v>160.75733656</v>
      </c>
      <c r="O136" s="888">
        <f t="shared" si="20"/>
        <v>24</v>
      </c>
      <c r="P136" s="888">
        <f t="shared" si="16"/>
        <v>246.07552801014</v>
      </c>
      <c r="Q136" s="889">
        <f t="shared" si="17"/>
        <v>406.83286457014003</v>
      </c>
    </row>
    <row r="137" spans="1:17" ht="14.45" customHeight="1">
      <c r="A137" s="868">
        <v>2657.1</v>
      </c>
      <c r="B137" s="869">
        <v>2600</v>
      </c>
      <c r="C137" s="869">
        <v>5000</v>
      </c>
      <c r="D137" s="870">
        <v>1</v>
      </c>
      <c r="E137" s="732" t="str">
        <f t="shared" si="18"/>
        <v>2600;1;5000</v>
      </c>
      <c r="F137" s="882">
        <v>35.299999999999997</v>
      </c>
      <c r="G137" s="882">
        <v>585.9</v>
      </c>
      <c r="H137" s="732">
        <v>665</v>
      </c>
      <c r="I137" s="732">
        <v>27</v>
      </c>
      <c r="J137" s="732">
        <v>333</v>
      </c>
      <c r="K137" s="732">
        <v>2</v>
      </c>
      <c r="L137" s="870">
        <f t="shared" si="14"/>
        <v>19.997796186000002</v>
      </c>
      <c r="M137" s="870">
        <f t="shared" si="21"/>
        <v>418.52178252674997</v>
      </c>
      <c r="N137" s="870">
        <f t="shared" si="15"/>
        <v>438.51957871274999</v>
      </c>
      <c r="O137" s="888">
        <f t="shared" si="20"/>
        <v>24</v>
      </c>
      <c r="P137" s="888">
        <f t="shared" si="16"/>
        <v>246.07552801014</v>
      </c>
      <c r="Q137" s="889">
        <f t="shared" si="17"/>
        <v>684.59510672289002</v>
      </c>
    </row>
    <row r="138" spans="1:17" ht="14.45" customHeight="1">
      <c r="A138" s="868">
        <v>2657.1</v>
      </c>
      <c r="B138" s="869">
        <v>2600</v>
      </c>
      <c r="C138" s="869">
        <v>10000</v>
      </c>
      <c r="D138" s="870">
        <v>0.6</v>
      </c>
      <c r="E138" s="732" t="str">
        <f t="shared" si="18"/>
        <v>2600;0,6;10000</v>
      </c>
      <c r="F138" s="882">
        <v>47.9</v>
      </c>
      <c r="G138" s="882">
        <v>827.5</v>
      </c>
      <c r="H138" s="732">
        <v>400</v>
      </c>
      <c r="I138" s="732">
        <v>16</v>
      </c>
      <c r="J138" s="732">
        <v>200</v>
      </c>
      <c r="K138" s="732">
        <v>2</v>
      </c>
      <c r="L138" s="870">
        <f t="shared" si="14"/>
        <v>11.893578959999997</v>
      </c>
      <c r="M138" s="870">
        <f t="shared" si="21"/>
        <v>148.77174303999999</v>
      </c>
      <c r="N138" s="870">
        <f t="shared" si="15"/>
        <v>160.66532199999997</v>
      </c>
      <c r="O138" s="888">
        <f t="shared" si="20"/>
        <v>24</v>
      </c>
      <c r="P138" s="888">
        <f t="shared" si="16"/>
        <v>246.07552801014</v>
      </c>
      <c r="Q138" s="889">
        <f t="shared" si="17"/>
        <v>406.74085001013998</v>
      </c>
    </row>
    <row r="139" spans="1:17" ht="14.45" customHeight="1">
      <c r="A139" s="873">
        <v>2657.1</v>
      </c>
      <c r="B139" s="874">
        <v>2600</v>
      </c>
      <c r="C139" s="874">
        <v>10000</v>
      </c>
      <c r="D139" s="875">
        <v>1</v>
      </c>
      <c r="E139" s="876" t="str">
        <f t="shared" si="18"/>
        <v>2600;1;10000</v>
      </c>
      <c r="F139" s="884">
        <v>46.7</v>
      </c>
      <c r="G139" s="884">
        <v>800.7</v>
      </c>
      <c r="H139" s="732">
        <v>665</v>
      </c>
      <c r="I139" s="732">
        <v>27</v>
      </c>
      <c r="J139" s="732">
        <v>333</v>
      </c>
      <c r="K139" s="732">
        <v>2</v>
      </c>
      <c r="L139" s="875">
        <f t="shared" si="14"/>
        <v>19.821379179600001</v>
      </c>
      <c r="M139" s="875">
        <f t="shared" si="21"/>
        <v>418.52178252674997</v>
      </c>
      <c r="N139" s="875">
        <f t="shared" si="15"/>
        <v>438.34316170634997</v>
      </c>
      <c r="O139" s="890">
        <f t="shared" si="20"/>
        <v>24</v>
      </c>
      <c r="P139" s="890">
        <f t="shared" si="16"/>
        <v>246.07552801014</v>
      </c>
      <c r="Q139" s="891">
        <f t="shared" si="17"/>
        <v>684.41868971649001</v>
      </c>
    </row>
    <row r="140" spans="1:17" ht="14.45" customHeight="1">
      <c r="A140" s="861">
        <v>2758</v>
      </c>
      <c r="B140" s="862">
        <v>2700</v>
      </c>
      <c r="C140" s="862">
        <v>2500</v>
      </c>
      <c r="D140" s="863">
        <v>0.6</v>
      </c>
      <c r="E140" s="864" t="str">
        <f t="shared" si="18"/>
        <v>2700;0,6;2500</v>
      </c>
      <c r="F140" s="880">
        <v>31.7</v>
      </c>
      <c r="G140" s="880">
        <v>563.5</v>
      </c>
      <c r="H140" s="864">
        <v>414</v>
      </c>
      <c r="I140" s="864">
        <v>16.5</v>
      </c>
      <c r="J140" s="864">
        <v>207</v>
      </c>
      <c r="K140" s="864">
        <v>2</v>
      </c>
      <c r="L140" s="863">
        <f t="shared" si="14"/>
        <v>12.951007495200001</v>
      </c>
      <c r="M140" s="863">
        <f t="shared" si="21"/>
        <v>164.81619232650002</v>
      </c>
      <c r="N140" s="863">
        <f t="shared" si="15"/>
        <v>177.76719982170002</v>
      </c>
      <c r="O140" s="886">
        <f t="shared" si="20"/>
        <v>25</v>
      </c>
      <c r="P140" s="886">
        <f t="shared" si="16"/>
        <v>276.16581422500002</v>
      </c>
      <c r="Q140" s="887">
        <f t="shared" si="17"/>
        <v>453.93301404670001</v>
      </c>
    </row>
    <row r="141" spans="1:17" ht="14.45" customHeight="1">
      <c r="A141" s="868">
        <v>2758</v>
      </c>
      <c r="B141" s="869">
        <v>2700</v>
      </c>
      <c r="C141" s="869">
        <v>2500</v>
      </c>
      <c r="D141" s="870">
        <v>1</v>
      </c>
      <c r="E141" s="732" t="str">
        <f t="shared" si="18"/>
        <v>2700;1;2500</v>
      </c>
      <c r="F141" s="882">
        <v>29.1</v>
      </c>
      <c r="G141" s="882">
        <v>485.5</v>
      </c>
      <c r="H141" s="732">
        <v>690</v>
      </c>
      <c r="I141" s="732">
        <v>27.5</v>
      </c>
      <c r="J141" s="732">
        <v>345</v>
      </c>
      <c r="K141" s="732">
        <v>2</v>
      </c>
      <c r="L141" s="870">
        <f t="shared" si="14"/>
        <v>21.626697876000005</v>
      </c>
      <c r="M141" s="870">
        <f t="shared" si="21"/>
        <v>459.03523998750012</v>
      </c>
      <c r="N141" s="870">
        <f t="shared" si="15"/>
        <v>480.6619378635001</v>
      </c>
      <c r="O141" s="888">
        <f t="shared" si="20"/>
        <v>25</v>
      </c>
      <c r="P141" s="888">
        <f t="shared" si="16"/>
        <v>276.16581422500002</v>
      </c>
      <c r="Q141" s="889">
        <f t="shared" si="17"/>
        <v>756.82775208850012</v>
      </c>
    </row>
    <row r="142" spans="1:17" ht="14.45" customHeight="1">
      <c r="A142" s="868">
        <v>2758</v>
      </c>
      <c r="B142" s="869">
        <v>2700</v>
      </c>
      <c r="C142" s="869">
        <v>5000</v>
      </c>
      <c r="D142" s="870">
        <v>0.6</v>
      </c>
      <c r="E142" s="732" t="str">
        <f t="shared" si="18"/>
        <v>2700;0,6;5000</v>
      </c>
      <c r="F142" s="882">
        <v>39.5</v>
      </c>
      <c r="G142" s="882">
        <v>707</v>
      </c>
      <c r="H142" s="732">
        <v>414</v>
      </c>
      <c r="I142" s="732">
        <v>16.5</v>
      </c>
      <c r="J142" s="732">
        <v>207</v>
      </c>
      <c r="K142" s="732">
        <v>2</v>
      </c>
      <c r="L142" s="870">
        <f t="shared" si="14"/>
        <v>12.875973804000003</v>
      </c>
      <c r="M142" s="870">
        <f t="shared" si="21"/>
        <v>164.81619232650002</v>
      </c>
      <c r="N142" s="870">
        <f t="shared" si="15"/>
        <v>177.69216613050003</v>
      </c>
      <c r="O142" s="888">
        <f t="shared" si="20"/>
        <v>25</v>
      </c>
      <c r="P142" s="888">
        <f t="shared" si="16"/>
        <v>276.16581422500002</v>
      </c>
      <c r="Q142" s="889">
        <f t="shared" si="17"/>
        <v>453.85798035550005</v>
      </c>
    </row>
    <row r="143" spans="1:17" ht="14.45" customHeight="1">
      <c r="A143" s="868">
        <v>2758</v>
      </c>
      <c r="B143" s="869">
        <v>2700</v>
      </c>
      <c r="C143" s="869">
        <v>5000</v>
      </c>
      <c r="D143" s="870">
        <v>1</v>
      </c>
      <c r="E143" s="732" t="str">
        <f t="shared" si="18"/>
        <v>2700;1;5000</v>
      </c>
      <c r="F143" s="882">
        <v>36.799999999999997</v>
      </c>
      <c r="G143" s="882">
        <v>637.20000000000005</v>
      </c>
      <c r="H143" s="732">
        <v>690</v>
      </c>
      <c r="I143" s="732">
        <v>27.5</v>
      </c>
      <c r="J143" s="732">
        <v>345</v>
      </c>
      <c r="K143" s="732">
        <v>2</v>
      </c>
      <c r="L143" s="870">
        <f t="shared" si="14"/>
        <v>21.503245008000004</v>
      </c>
      <c r="M143" s="870">
        <f t="shared" si="21"/>
        <v>459.03523998750012</v>
      </c>
      <c r="N143" s="870">
        <f t="shared" si="15"/>
        <v>480.53848499550014</v>
      </c>
      <c r="O143" s="888">
        <f t="shared" si="20"/>
        <v>25</v>
      </c>
      <c r="P143" s="888">
        <f t="shared" si="16"/>
        <v>276.16581422500002</v>
      </c>
      <c r="Q143" s="889">
        <f t="shared" si="17"/>
        <v>756.70429922050016</v>
      </c>
    </row>
    <row r="144" spans="1:17" ht="14.45" customHeight="1">
      <c r="A144" s="868">
        <v>2758</v>
      </c>
      <c r="B144" s="869">
        <v>2700</v>
      </c>
      <c r="C144" s="869">
        <v>10000</v>
      </c>
      <c r="D144" s="870">
        <v>0.6</v>
      </c>
      <c r="E144" s="732" t="str">
        <f t="shared" si="18"/>
        <v>2700;0,6;10000</v>
      </c>
      <c r="F144" s="882">
        <v>49.9</v>
      </c>
      <c r="G144" s="882">
        <v>896.9</v>
      </c>
      <c r="H144" s="732">
        <v>414</v>
      </c>
      <c r="I144" s="732">
        <v>16.5</v>
      </c>
      <c r="J144" s="732">
        <v>207</v>
      </c>
      <c r="K144" s="732">
        <v>2</v>
      </c>
      <c r="L144" s="870">
        <f t="shared" si="14"/>
        <v>12.775928882400001</v>
      </c>
      <c r="M144" s="870">
        <f t="shared" si="21"/>
        <v>164.81619232650002</v>
      </c>
      <c r="N144" s="870">
        <f t="shared" si="15"/>
        <v>177.59212120890001</v>
      </c>
      <c r="O144" s="888">
        <f t="shared" si="20"/>
        <v>25</v>
      </c>
      <c r="P144" s="888">
        <f t="shared" si="16"/>
        <v>276.16581422500002</v>
      </c>
      <c r="Q144" s="889">
        <f t="shared" si="17"/>
        <v>453.7579354339</v>
      </c>
    </row>
    <row r="145" spans="1:17" ht="14.45" customHeight="1">
      <c r="A145" s="873">
        <v>2758</v>
      </c>
      <c r="B145" s="874">
        <v>2700</v>
      </c>
      <c r="C145" s="874">
        <v>10000</v>
      </c>
      <c r="D145" s="875">
        <v>1</v>
      </c>
      <c r="E145" s="876" t="str">
        <f t="shared" si="18"/>
        <v>2700;1;10000</v>
      </c>
      <c r="F145" s="884">
        <v>48.7</v>
      </c>
      <c r="G145" s="884">
        <v>867.6</v>
      </c>
      <c r="H145" s="732">
        <v>690</v>
      </c>
      <c r="I145" s="732">
        <v>27.5</v>
      </c>
      <c r="J145" s="732">
        <v>345</v>
      </c>
      <c r="K145" s="732">
        <v>2</v>
      </c>
      <c r="L145" s="875">
        <f t="shared" si="14"/>
        <v>21.312454212000002</v>
      </c>
      <c r="M145" s="875">
        <f t="shared" si="21"/>
        <v>459.03523998750012</v>
      </c>
      <c r="N145" s="875">
        <f t="shared" si="15"/>
        <v>480.3476941995001</v>
      </c>
      <c r="O145" s="890">
        <f t="shared" si="20"/>
        <v>25</v>
      </c>
      <c r="P145" s="890">
        <f t="shared" si="16"/>
        <v>276.16581422500002</v>
      </c>
      <c r="Q145" s="891">
        <f t="shared" si="17"/>
        <v>756.51350842450006</v>
      </c>
    </row>
    <row r="146" spans="1:17" ht="14.45" customHeight="1">
      <c r="A146" s="861">
        <v>2860</v>
      </c>
      <c r="B146" s="862">
        <v>2800</v>
      </c>
      <c r="C146" s="862">
        <v>2500</v>
      </c>
      <c r="D146" s="863">
        <v>0.6</v>
      </c>
      <c r="E146" s="864" t="str">
        <f t="shared" si="18"/>
        <v>2800;0,6;2500</v>
      </c>
      <c r="F146" s="880">
        <v>33.5</v>
      </c>
      <c r="G146" s="880">
        <v>632.29999999999995</v>
      </c>
      <c r="H146" s="864">
        <v>429</v>
      </c>
      <c r="I146" s="864">
        <v>17</v>
      </c>
      <c r="J146" s="864">
        <v>215</v>
      </c>
      <c r="K146" s="864">
        <v>2</v>
      </c>
      <c r="L146" s="863">
        <f t="shared" si="14"/>
        <v>13.94311034</v>
      </c>
      <c r="M146" s="863">
        <f t="shared" si="21"/>
        <v>182.46621435900005</v>
      </c>
      <c r="N146" s="863">
        <f t="shared" si="15"/>
        <v>196.40932469900005</v>
      </c>
      <c r="O146" s="886">
        <f t="shared" si="20"/>
        <v>26</v>
      </c>
      <c r="P146" s="886">
        <f t="shared" si="16"/>
        <v>308.84942660000002</v>
      </c>
      <c r="Q146" s="887">
        <f t="shared" si="17"/>
        <v>505.2587512990001</v>
      </c>
    </row>
    <row r="147" spans="1:17" ht="14.45" customHeight="1">
      <c r="A147" s="868">
        <v>2860</v>
      </c>
      <c r="B147" s="869">
        <v>2800</v>
      </c>
      <c r="C147" s="869">
        <v>2500</v>
      </c>
      <c r="D147" s="870">
        <v>1</v>
      </c>
      <c r="E147" s="732" t="str">
        <f t="shared" si="18"/>
        <v>2800;1;2500</v>
      </c>
      <c r="F147" s="882">
        <v>30.2</v>
      </c>
      <c r="G147" s="882">
        <v>539.9</v>
      </c>
      <c r="H147" s="732">
        <v>715</v>
      </c>
      <c r="I147" s="732">
        <v>28.5</v>
      </c>
      <c r="J147" s="732">
        <v>358</v>
      </c>
      <c r="K147" s="732">
        <v>2</v>
      </c>
      <c r="L147" s="870">
        <f t="shared" si="14"/>
        <v>23.2718020288</v>
      </c>
      <c r="M147" s="870">
        <f t="shared" si="21"/>
        <v>511.19335785375006</v>
      </c>
      <c r="N147" s="870">
        <f t="shared" si="15"/>
        <v>534.4651598825501</v>
      </c>
      <c r="O147" s="888">
        <f t="shared" si="20"/>
        <v>26</v>
      </c>
      <c r="P147" s="888">
        <f t="shared" si="16"/>
        <v>308.84942660000002</v>
      </c>
      <c r="Q147" s="889">
        <f t="shared" si="17"/>
        <v>843.31458648255011</v>
      </c>
    </row>
    <row r="148" spans="1:17" ht="14.45" customHeight="1">
      <c r="A148" s="868">
        <v>2860</v>
      </c>
      <c r="B148" s="869">
        <v>2800</v>
      </c>
      <c r="C148" s="869">
        <v>5000</v>
      </c>
      <c r="D148" s="870">
        <v>0.6</v>
      </c>
      <c r="E148" s="732" t="str">
        <f t="shared" si="18"/>
        <v>2800;0,6;5000</v>
      </c>
      <c r="F148" s="882">
        <v>41.3</v>
      </c>
      <c r="G148" s="882">
        <v>767.4</v>
      </c>
      <c r="H148" s="732">
        <v>429</v>
      </c>
      <c r="I148" s="732">
        <v>17</v>
      </c>
      <c r="J148" s="732">
        <v>215</v>
      </c>
      <c r="K148" s="732">
        <v>2</v>
      </c>
      <c r="L148" s="870">
        <f t="shared" si="14"/>
        <v>13.865176796000002</v>
      </c>
      <c r="M148" s="870">
        <f t="shared" si="21"/>
        <v>182.46621435900005</v>
      </c>
      <c r="N148" s="870">
        <f t="shared" si="15"/>
        <v>196.33139115500006</v>
      </c>
      <c r="O148" s="888">
        <f t="shared" si="20"/>
        <v>26</v>
      </c>
      <c r="P148" s="888">
        <f t="shared" si="16"/>
        <v>308.84942660000002</v>
      </c>
      <c r="Q148" s="889">
        <f t="shared" si="17"/>
        <v>505.18081775500008</v>
      </c>
    </row>
    <row r="149" spans="1:17" ht="14.45" customHeight="1">
      <c r="A149" s="868">
        <v>2860</v>
      </c>
      <c r="B149" s="869">
        <v>2800</v>
      </c>
      <c r="C149" s="869">
        <v>5000</v>
      </c>
      <c r="D149" s="870">
        <v>1</v>
      </c>
      <c r="E149" s="732" t="str">
        <f t="shared" si="18"/>
        <v>2800;1;5000</v>
      </c>
      <c r="F149" s="882">
        <v>38.1</v>
      </c>
      <c r="G149" s="882">
        <v>681.7</v>
      </c>
      <c r="H149" s="732">
        <v>715</v>
      </c>
      <c r="I149" s="732">
        <v>28.5</v>
      </c>
      <c r="J149" s="732">
        <v>358</v>
      </c>
      <c r="K149" s="732">
        <v>2</v>
      </c>
      <c r="L149" s="870">
        <f t="shared" si="14"/>
        <v>23.140369918400005</v>
      </c>
      <c r="M149" s="870">
        <f t="shared" si="21"/>
        <v>511.19335785375006</v>
      </c>
      <c r="N149" s="870">
        <f t="shared" si="15"/>
        <v>534.33372777215004</v>
      </c>
      <c r="O149" s="888">
        <f t="shared" si="20"/>
        <v>26</v>
      </c>
      <c r="P149" s="888">
        <f t="shared" si="16"/>
        <v>308.84942660000002</v>
      </c>
      <c r="Q149" s="889">
        <f t="shared" si="17"/>
        <v>843.18315437215006</v>
      </c>
    </row>
    <row r="150" spans="1:17" ht="14.45" customHeight="1">
      <c r="A150" s="868">
        <v>2860</v>
      </c>
      <c r="B150" s="869">
        <v>2800</v>
      </c>
      <c r="C150" s="869">
        <v>10000</v>
      </c>
      <c r="D150" s="870">
        <v>0.6</v>
      </c>
      <c r="E150" s="732" t="str">
        <f t="shared" si="18"/>
        <v>2800;0,6;10000</v>
      </c>
      <c r="F150" s="882">
        <v>51.7</v>
      </c>
      <c r="G150" s="882">
        <v>964.2</v>
      </c>
      <c r="H150" s="732">
        <v>429</v>
      </c>
      <c r="I150" s="732">
        <v>17</v>
      </c>
      <c r="J150" s="732">
        <v>215</v>
      </c>
      <c r="K150" s="732">
        <v>2</v>
      </c>
      <c r="L150" s="870">
        <f t="shared" si="14"/>
        <v>13.761265404</v>
      </c>
      <c r="M150" s="870">
        <f t="shared" si="21"/>
        <v>182.46621435900005</v>
      </c>
      <c r="N150" s="870">
        <f t="shared" si="15"/>
        <v>196.22747976300005</v>
      </c>
      <c r="O150" s="888">
        <f t="shared" si="20"/>
        <v>26</v>
      </c>
      <c r="P150" s="888">
        <f t="shared" si="16"/>
        <v>308.84942660000002</v>
      </c>
      <c r="Q150" s="889">
        <f t="shared" si="17"/>
        <v>505.07690636300003</v>
      </c>
    </row>
    <row r="151" spans="1:17" ht="14.45" customHeight="1">
      <c r="A151" s="873">
        <v>2860</v>
      </c>
      <c r="B151" s="874">
        <v>2800</v>
      </c>
      <c r="C151" s="874">
        <v>10000</v>
      </c>
      <c r="D151" s="875">
        <v>1</v>
      </c>
      <c r="E151" s="876" t="str">
        <f t="shared" si="18"/>
        <v>2800;1;10000</v>
      </c>
      <c r="F151" s="884">
        <v>50.6</v>
      </c>
      <c r="G151" s="884">
        <v>936.9</v>
      </c>
      <c r="H151" s="732">
        <v>715</v>
      </c>
      <c r="I151" s="732">
        <v>28.5</v>
      </c>
      <c r="J151" s="732">
        <v>358</v>
      </c>
      <c r="K151" s="732">
        <v>2</v>
      </c>
      <c r="L151" s="875">
        <f t="shared" si="14"/>
        <v>22.932407718400004</v>
      </c>
      <c r="M151" s="875">
        <f t="shared" si="21"/>
        <v>511.19335785375006</v>
      </c>
      <c r="N151" s="875">
        <f t="shared" si="15"/>
        <v>534.12576557215004</v>
      </c>
      <c r="O151" s="890">
        <f t="shared" si="20"/>
        <v>26</v>
      </c>
      <c r="P151" s="890">
        <f t="shared" si="16"/>
        <v>308.84942660000002</v>
      </c>
      <c r="Q151" s="891">
        <f t="shared" si="17"/>
        <v>842.97519217215006</v>
      </c>
    </row>
    <row r="152" spans="1:17" ht="14.45" customHeight="1">
      <c r="A152" s="861">
        <v>2962</v>
      </c>
      <c r="B152" s="862">
        <v>2900</v>
      </c>
      <c r="C152" s="862">
        <v>2500</v>
      </c>
      <c r="D152" s="863">
        <v>0.6</v>
      </c>
      <c r="E152" s="864" t="str">
        <f t="shared" si="18"/>
        <v>2900;0,6;2500</v>
      </c>
      <c r="F152" s="880">
        <v>33.6</v>
      </c>
      <c r="G152" s="880">
        <v>636.70000000000005</v>
      </c>
      <c r="H152" s="864">
        <v>444</v>
      </c>
      <c r="I152" s="864">
        <v>18</v>
      </c>
      <c r="J152" s="864">
        <v>222</v>
      </c>
      <c r="K152" s="864">
        <v>2</v>
      </c>
      <c r="L152" s="863">
        <f t="shared" si="14"/>
        <v>14.922196377600002</v>
      </c>
      <c r="M152" s="863">
        <f t="shared" si="21"/>
        <v>207.10428040799999</v>
      </c>
      <c r="N152" s="863">
        <f t="shared" si="15"/>
        <v>222.02647678559998</v>
      </c>
      <c r="O152" s="886">
        <f t="shared" si="20"/>
        <v>27</v>
      </c>
      <c r="P152" s="886">
        <f t="shared" si="16"/>
        <v>344.01331932300002</v>
      </c>
      <c r="Q152" s="887">
        <f t="shared" si="17"/>
        <v>566.03979610860006</v>
      </c>
    </row>
    <row r="153" spans="1:17" ht="14.45" customHeight="1">
      <c r="A153" s="868">
        <v>2962</v>
      </c>
      <c r="B153" s="869">
        <v>2900</v>
      </c>
      <c r="C153" s="869">
        <v>2500</v>
      </c>
      <c r="D153" s="870">
        <v>1</v>
      </c>
      <c r="E153" s="732" t="str">
        <f t="shared" si="18"/>
        <v>2900;1;2500</v>
      </c>
      <c r="F153" s="882">
        <v>31.6</v>
      </c>
      <c r="G153" s="882">
        <v>567.79999999999995</v>
      </c>
      <c r="H153" s="732">
        <v>740</v>
      </c>
      <c r="I153" s="732">
        <v>30</v>
      </c>
      <c r="J153" s="732">
        <v>370</v>
      </c>
      <c r="K153" s="732">
        <v>2</v>
      </c>
      <c r="L153" s="870">
        <f t="shared" si="14"/>
        <v>24.904716576000002</v>
      </c>
      <c r="M153" s="870">
        <f t="shared" si="21"/>
        <v>576.83718540000007</v>
      </c>
      <c r="N153" s="870">
        <f t="shared" si="15"/>
        <v>601.74190197600012</v>
      </c>
      <c r="O153" s="888">
        <f t="shared" si="20"/>
        <v>27</v>
      </c>
      <c r="P153" s="888">
        <f t="shared" si="16"/>
        <v>344.01331932300002</v>
      </c>
      <c r="Q153" s="889">
        <f t="shared" si="17"/>
        <v>945.75522129900014</v>
      </c>
    </row>
    <row r="154" spans="1:17" ht="14.45" customHeight="1">
      <c r="A154" s="868">
        <v>2962</v>
      </c>
      <c r="B154" s="869">
        <v>2900</v>
      </c>
      <c r="C154" s="869">
        <v>5000</v>
      </c>
      <c r="D154" s="870">
        <v>0.6</v>
      </c>
      <c r="E154" s="732" t="str">
        <f t="shared" si="18"/>
        <v>2900;0,6;5000</v>
      </c>
      <c r="F154" s="882">
        <v>42.4</v>
      </c>
      <c r="G154" s="882">
        <v>751.4</v>
      </c>
      <c r="H154" s="732">
        <v>444</v>
      </c>
      <c r="I154" s="732">
        <v>18</v>
      </c>
      <c r="J154" s="732">
        <v>222</v>
      </c>
      <c r="K154" s="732">
        <v>2</v>
      </c>
      <c r="L154" s="870">
        <f t="shared" si="14"/>
        <v>14.831408678400001</v>
      </c>
      <c r="M154" s="870">
        <f t="shared" si="21"/>
        <v>207.10428040799999</v>
      </c>
      <c r="N154" s="870">
        <f t="shared" si="15"/>
        <v>221.9356890864</v>
      </c>
      <c r="O154" s="888">
        <f t="shared" si="20"/>
        <v>27</v>
      </c>
      <c r="P154" s="888">
        <f t="shared" si="16"/>
        <v>344.01331932300002</v>
      </c>
      <c r="Q154" s="889">
        <f t="shared" si="17"/>
        <v>565.94900840939999</v>
      </c>
    </row>
    <row r="155" spans="1:17" ht="14.45" customHeight="1">
      <c r="A155" s="868">
        <v>2962</v>
      </c>
      <c r="B155" s="869">
        <v>2900</v>
      </c>
      <c r="C155" s="869">
        <v>5000</v>
      </c>
      <c r="D155" s="870">
        <v>1</v>
      </c>
      <c r="E155" s="732" t="str">
        <f t="shared" si="18"/>
        <v>2900;1;5000</v>
      </c>
      <c r="F155" s="882">
        <v>39.700000000000003</v>
      </c>
      <c r="G155" s="882">
        <v>738.2</v>
      </c>
      <c r="H155" s="732">
        <v>740</v>
      </c>
      <c r="I155" s="732">
        <v>30</v>
      </c>
      <c r="J155" s="732">
        <v>370</v>
      </c>
      <c r="K155" s="732">
        <v>2</v>
      </c>
      <c r="L155" s="870">
        <f t="shared" si="14"/>
        <v>24.765439992000001</v>
      </c>
      <c r="M155" s="870">
        <f t="shared" si="21"/>
        <v>576.83718540000007</v>
      </c>
      <c r="N155" s="870">
        <f t="shared" si="15"/>
        <v>601.60262539200005</v>
      </c>
      <c r="O155" s="888">
        <f t="shared" si="20"/>
        <v>27</v>
      </c>
      <c r="P155" s="888">
        <f t="shared" si="16"/>
        <v>344.01331932300002</v>
      </c>
      <c r="Q155" s="889">
        <f t="shared" si="17"/>
        <v>945.61594471500007</v>
      </c>
    </row>
    <row r="156" spans="1:17" ht="14.45" customHeight="1">
      <c r="A156" s="868">
        <v>2962</v>
      </c>
      <c r="B156" s="869">
        <v>2900</v>
      </c>
      <c r="C156" s="869">
        <v>10000</v>
      </c>
      <c r="D156" s="870">
        <v>0.6</v>
      </c>
      <c r="E156" s="732" t="str">
        <f t="shared" si="18"/>
        <v>2900;0,6;10000</v>
      </c>
      <c r="F156" s="882">
        <v>53.2</v>
      </c>
      <c r="G156" s="882">
        <v>1025.5999999999999</v>
      </c>
      <c r="H156" s="732">
        <v>444</v>
      </c>
      <c r="I156" s="732">
        <v>18</v>
      </c>
      <c r="J156" s="732">
        <v>222</v>
      </c>
      <c r="K156" s="732">
        <v>2</v>
      </c>
      <c r="L156" s="870">
        <f t="shared" si="14"/>
        <v>14.7199874112</v>
      </c>
      <c r="M156" s="870">
        <f t="shared" si="21"/>
        <v>207.10428040799999</v>
      </c>
      <c r="N156" s="870">
        <f t="shared" si="15"/>
        <v>221.8242678192</v>
      </c>
      <c r="O156" s="888">
        <f t="shared" si="20"/>
        <v>27</v>
      </c>
      <c r="P156" s="888">
        <f t="shared" si="16"/>
        <v>344.01331932300002</v>
      </c>
      <c r="Q156" s="889">
        <f t="shared" si="17"/>
        <v>565.83758714220005</v>
      </c>
    </row>
    <row r="157" spans="1:17" ht="14.45" customHeight="1">
      <c r="A157" s="873">
        <v>2962</v>
      </c>
      <c r="B157" s="874">
        <v>2900</v>
      </c>
      <c r="C157" s="874">
        <v>10000</v>
      </c>
      <c r="D157" s="875">
        <v>1</v>
      </c>
      <c r="E157" s="876" t="str">
        <f t="shared" si="18"/>
        <v>2900;1;10000</v>
      </c>
      <c r="F157" s="884">
        <v>52.1</v>
      </c>
      <c r="G157" s="884">
        <v>998.3</v>
      </c>
      <c r="H157" s="732">
        <v>740</v>
      </c>
      <c r="I157" s="732">
        <v>30</v>
      </c>
      <c r="J157" s="732">
        <v>370</v>
      </c>
      <c r="K157" s="732">
        <v>2</v>
      </c>
      <c r="L157" s="875">
        <f t="shared" si="14"/>
        <v>24.552226456000003</v>
      </c>
      <c r="M157" s="875">
        <f t="shared" si="21"/>
        <v>576.83718540000007</v>
      </c>
      <c r="N157" s="875">
        <f t="shared" si="15"/>
        <v>601.38941185600004</v>
      </c>
      <c r="O157" s="890">
        <f t="shared" si="20"/>
        <v>27</v>
      </c>
      <c r="P157" s="890">
        <f t="shared" si="16"/>
        <v>344.01331932300002</v>
      </c>
      <c r="Q157" s="891">
        <f t="shared" si="17"/>
        <v>945.40273117900006</v>
      </c>
    </row>
    <row r="158" spans="1:17" ht="14.45" customHeight="1">
      <c r="A158" s="861">
        <v>3064</v>
      </c>
      <c r="B158" s="862">
        <v>3000</v>
      </c>
      <c r="C158" s="862">
        <v>2500</v>
      </c>
      <c r="D158" s="863">
        <v>0.6</v>
      </c>
      <c r="E158" s="864" t="str">
        <f t="shared" si="18"/>
        <v>3000;0,6;2500</v>
      </c>
      <c r="F158" s="880">
        <v>35.700000000000003</v>
      </c>
      <c r="G158" s="880">
        <v>707.3</v>
      </c>
      <c r="H158" s="864">
        <v>460</v>
      </c>
      <c r="I158" s="864">
        <v>18.5</v>
      </c>
      <c r="J158" s="864">
        <v>230</v>
      </c>
      <c r="K158" s="864">
        <v>2</v>
      </c>
      <c r="L158" s="863">
        <f t="shared" si="14"/>
        <v>15.982603768000002</v>
      </c>
      <c r="M158" s="863">
        <f t="shared" si="21"/>
        <v>228.11591555500004</v>
      </c>
      <c r="N158" s="863">
        <f t="shared" si="15"/>
        <v>244.09851932300003</v>
      </c>
      <c r="O158" s="886">
        <f t="shared" si="20"/>
        <v>28</v>
      </c>
      <c r="P158" s="886">
        <f t="shared" si="16"/>
        <v>381.74814764800004</v>
      </c>
      <c r="Q158" s="887">
        <f t="shared" si="17"/>
        <v>625.8466669710001</v>
      </c>
    </row>
    <row r="159" spans="1:17" ht="14.45" customHeight="1">
      <c r="A159" s="868">
        <v>3064</v>
      </c>
      <c r="B159" s="869">
        <v>3000</v>
      </c>
      <c r="C159" s="869">
        <v>2500</v>
      </c>
      <c r="D159" s="870">
        <v>1</v>
      </c>
      <c r="E159" s="732" t="str">
        <f t="shared" si="18"/>
        <v>3000;1;2500</v>
      </c>
      <c r="F159" s="882">
        <v>32.299999999999997</v>
      </c>
      <c r="G159" s="882">
        <v>598.70000000000005</v>
      </c>
      <c r="H159" s="732">
        <v>766</v>
      </c>
      <c r="I159" s="732">
        <v>31</v>
      </c>
      <c r="J159" s="732">
        <v>383</v>
      </c>
      <c r="K159" s="732">
        <v>2</v>
      </c>
      <c r="L159" s="870">
        <f t="shared" si="14"/>
        <v>26.675025591200004</v>
      </c>
      <c r="M159" s="870">
        <f t="shared" si="21"/>
        <v>638.25075827800003</v>
      </c>
      <c r="N159" s="870">
        <f t="shared" si="15"/>
        <v>664.92578386920002</v>
      </c>
      <c r="O159" s="888">
        <f t="shared" si="20"/>
        <v>28</v>
      </c>
      <c r="P159" s="888">
        <f t="shared" si="16"/>
        <v>381.74814764800004</v>
      </c>
      <c r="Q159" s="889">
        <f t="shared" si="17"/>
        <v>1046.6739315172001</v>
      </c>
    </row>
    <row r="160" spans="1:17" ht="14.45" customHeight="1">
      <c r="A160" s="868">
        <v>3064</v>
      </c>
      <c r="B160" s="869">
        <v>3000</v>
      </c>
      <c r="C160" s="869">
        <v>5000</v>
      </c>
      <c r="D160" s="870">
        <v>0.6</v>
      </c>
      <c r="E160" s="732" t="str">
        <f t="shared" si="18"/>
        <v>3000;0,6;5000</v>
      </c>
      <c r="F160" s="882">
        <v>44</v>
      </c>
      <c r="G160" s="882">
        <v>876.7</v>
      </c>
      <c r="H160" s="732">
        <v>460</v>
      </c>
      <c r="I160" s="732">
        <v>18.5</v>
      </c>
      <c r="J160" s="732">
        <v>230</v>
      </c>
      <c r="K160" s="732">
        <v>2</v>
      </c>
      <c r="L160" s="870">
        <f t="shared" si="14"/>
        <v>15.893888720000001</v>
      </c>
      <c r="M160" s="870">
        <f t="shared" si="21"/>
        <v>228.11591555500004</v>
      </c>
      <c r="N160" s="870">
        <f t="shared" si="15"/>
        <v>244.00980427500005</v>
      </c>
      <c r="O160" s="888">
        <f t="shared" si="20"/>
        <v>28</v>
      </c>
      <c r="P160" s="888">
        <f t="shared" si="16"/>
        <v>381.74814764800004</v>
      </c>
      <c r="Q160" s="889">
        <f t="shared" si="17"/>
        <v>625.75795192300006</v>
      </c>
    </row>
    <row r="161" spans="1:17" ht="14.45" customHeight="1">
      <c r="A161" s="868">
        <v>3064</v>
      </c>
      <c r="B161" s="869">
        <v>3000</v>
      </c>
      <c r="C161" s="869">
        <v>5000</v>
      </c>
      <c r="D161" s="870">
        <v>1</v>
      </c>
      <c r="E161" s="732" t="str">
        <f t="shared" si="18"/>
        <v>3000;1;5000</v>
      </c>
      <c r="F161" s="882">
        <v>40.799999999999997</v>
      </c>
      <c r="G161" s="882">
        <v>784.9</v>
      </c>
      <c r="H161" s="732">
        <v>766</v>
      </c>
      <c r="I161" s="732">
        <v>31</v>
      </c>
      <c r="J161" s="732">
        <v>383</v>
      </c>
      <c r="K161" s="732">
        <v>2</v>
      </c>
      <c r="L161" s="870">
        <f t="shared" si="14"/>
        <v>26.523735995200003</v>
      </c>
      <c r="M161" s="870">
        <f t="shared" si="21"/>
        <v>638.25075827800003</v>
      </c>
      <c r="N161" s="870">
        <f t="shared" si="15"/>
        <v>664.77449427320005</v>
      </c>
      <c r="O161" s="888">
        <f t="shared" si="20"/>
        <v>28</v>
      </c>
      <c r="P161" s="888">
        <f t="shared" si="16"/>
        <v>381.74814764800004</v>
      </c>
      <c r="Q161" s="889">
        <f t="shared" si="17"/>
        <v>1046.5226419212001</v>
      </c>
    </row>
    <row r="162" spans="1:17" ht="14.45" customHeight="1">
      <c r="A162" s="868">
        <v>3064</v>
      </c>
      <c r="B162" s="869">
        <v>3000</v>
      </c>
      <c r="C162" s="869">
        <v>10000</v>
      </c>
      <c r="D162" s="870">
        <v>0.6</v>
      </c>
      <c r="E162" s="732" t="str">
        <f t="shared" si="18"/>
        <v>3000;0,6;10000</v>
      </c>
      <c r="F162" s="882">
        <v>55.1</v>
      </c>
      <c r="G162" s="882">
        <v>970.2</v>
      </c>
      <c r="H162" s="732">
        <v>460</v>
      </c>
      <c r="I162" s="732">
        <v>18.5</v>
      </c>
      <c r="J162" s="732">
        <v>230</v>
      </c>
      <c r="K162" s="732">
        <v>2</v>
      </c>
      <c r="L162" s="870">
        <f t="shared" ref="L162:L163" si="22">2*0.00000185*J162*3.14*K162*(A162-(2*F162)-K162)</f>
        <v>15.775245704000003</v>
      </c>
      <c r="M162" s="870">
        <f t="shared" ref="M162:M163" si="23">2*0.00000185*H162*3.14*I162*((3*(A162/4))+(I162/2))</f>
        <v>228.11591555500004</v>
      </c>
      <c r="N162" s="870">
        <f t="shared" ref="N162:N163" si="24">L162+M162</f>
        <v>243.89116125900006</v>
      </c>
      <c r="O162" s="888">
        <f t="shared" si="20"/>
        <v>28</v>
      </c>
      <c r="P162" s="888">
        <f t="shared" ref="P162:P163" si="25">(3.14*(A162^2)*O162*0.00000185)/4</f>
        <v>381.74814764800004</v>
      </c>
      <c r="Q162" s="889">
        <f t="shared" ref="Q162:Q163" si="26">P162+N162</f>
        <v>625.6393089070001</v>
      </c>
    </row>
    <row r="163" spans="1:17" ht="14.45" customHeight="1">
      <c r="A163" s="873">
        <v>3064</v>
      </c>
      <c r="B163" s="874">
        <v>3000</v>
      </c>
      <c r="C163" s="874">
        <v>10000</v>
      </c>
      <c r="D163" s="875">
        <v>1</v>
      </c>
      <c r="E163" s="876" t="str">
        <f t="shared" si="18"/>
        <v>3000;1;10000</v>
      </c>
      <c r="F163" s="884">
        <v>53.9</v>
      </c>
      <c r="G163" s="884">
        <v>947.6</v>
      </c>
      <c r="H163" s="893">
        <v>766</v>
      </c>
      <c r="I163" s="893">
        <v>31</v>
      </c>
      <c r="J163" s="893">
        <v>383</v>
      </c>
      <c r="K163" s="894">
        <v>2</v>
      </c>
      <c r="L163" s="875">
        <f t="shared" si="22"/>
        <v>26.290572029600003</v>
      </c>
      <c r="M163" s="875">
        <f t="shared" si="23"/>
        <v>638.25075827800003</v>
      </c>
      <c r="N163" s="875">
        <f t="shared" si="24"/>
        <v>664.54133030759999</v>
      </c>
      <c r="O163" s="890">
        <f t="shared" si="20"/>
        <v>28</v>
      </c>
      <c r="P163" s="890">
        <f t="shared" si="25"/>
        <v>381.74814764800004</v>
      </c>
      <c r="Q163" s="891">
        <f t="shared" si="26"/>
        <v>1046.2894779556</v>
      </c>
    </row>
  </sheetData>
  <conditionalFormatting sqref="D1:D163">
    <cfRule type="cellIs" dxfId="1" priority="1" operator="equal">
      <formula>1.6</formula>
    </cfRule>
    <cfRule type="cellIs" dxfId="0" priority="2" operator="equal">
      <formula>0.4</formula>
    </cfRule>
  </conditionalFormatting>
  <dataValidations count="6">
    <dataValidation type="list" allowBlank="1" showInputMessage="1" showErrorMessage="1" sqref="AA2" xr:uid="{00620051-00F5-42DD-A675-00E300750012}">
      <formula1>INDIRECT(SUBSTITUTE($Z$2," ","_"))</formula1>
    </dataValidation>
    <dataValidation type="list" allowBlank="1" showInputMessage="1" showErrorMessage="1" sqref="AA3" xr:uid="{00E60003-0088-4B49-B7D9-009500CB004A}">
      <formula1>INDIRECT(SUBSTITUTE($Z$3," ","_"))</formula1>
    </dataValidation>
    <dataValidation type="list" allowBlank="1" showInputMessage="1" showErrorMessage="1" sqref="AA4" xr:uid="{00B4008F-00AD-4A06-B580-0030009E00D4}">
      <formula1>INDIRECT(SUBSTITUTE($Z$4," ","_"))</formula1>
    </dataValidation>
    <dataValidation type="list" allowBlank="1" showInputMessage="1" showErrorMessage="1" sqref="AB2" xr:uid="{001100B7-00F9-41FF-A861-00A6007000F6}">
      <formula1>INDIRECT(SUBSTITUTE($Y$2," ","_"))</formula1>
    </dataValidation>
    <dataValidation type="list" allowBlank="1" showInputMessage="1" showErrorMessage="1" sqref="AB3" xr:uid="{00D900AE-0010-478F-91B1-00BF009A006E}">
      <formula1>INDIRECT(SUBSTITUTE($Y$3," ","_"))</formula1>
    </dataValidation>
    <dataValidation type="list" allowBlank="1" showInputMessage="1" showErrorMessage="1" sqref="AB4" xr:uid="{00A0000B-00A8-47CC-A9BE-00A5004300DB}">
      <formula1>INDIRECT(SUBSTITUTE($Y$4," ","_"))</formula1>
    </dataValidation>
  </dataValidations>
  <hyperlinks>
    <hyperlink ref="A1" location="'Содержание'!A1" display="к содержанию" xr:uid="{00000000-0004-0000-0E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045"/>
  <sheetViews>
    <sheetView showGridLines="0" zoomScale="110" zoomScaleNormal="110" workbookViewId="0">
      <pane ySplit="1" topLeftCell="A67" activePane="bottomLeft" state="frozen"/>
      <selection activeCell="D77" sqref="D77"/>
      <selection pane="bottomLeft" activeCell="D76" sqref="D76"/>
    </sheetView>
  </sheetViews>
  <sheetFormatPr defaultColWidth="8.5703125" defaultRowHeight="14.45" customHeight="1"/>
  <cols>
    <col min="1" max="1" width="70" style="738" customWidth="1"/>
    <col min="2" max="2" width="20.5703125" style="738" bestFit="1" customWidth="1"/>
    <col min="3" max="3" width="11.42578125" style="738" bestFit="1" customWidth="1"/>
    <col min="4" max="4" width="88.140625" style="1195" customWidth="1"/>
    <col min="5" max="5" width="15" style="738" bestFit="1" customWidth="1"/>
    <col min="6" max="6" width="5" style="738" bestFit="1" customWidth="1"/>
    <col min="7" max="7" width="15.28515625" style="738" bestFit="1" customWidth="1"/>
    <col min="8" max="8" width="8.5703125" style="738" customWidth="1"/>
    <col min="9" max="10" width="10.28515625" style="738" bestFit="1" customWidth="1"/>
    <col min="11" max="11" width="11.85546875" style="738" bestFit="1" customWidth="1"/>
    <col min="12" max="12" width="5.28515625" style="738" bestFit="1" customWidth="1"/>
    <col min="13" max="13" width="6.28515625" style="738" bestFit="1" customWidth="1"/>
    <col min="14" max="14" width="13.5703125" style="738" customWidth="1"/>
    <col min="15" max="16" width="8.5703125" style="738"/>
    <col min="17" max="17" width="82.7109375" style="738" bestFit="1" customWidth="1"/>
    <col min="18" max="26" width="8.5703125" style="738"/>
    <col min="27" max="27" width="8.140625" style="738" bestFit="1" customWidth="1"/>
    <col min="28" max="16384" width="8.5703125" style="738"/>
  </cols>
  <sheetData>
    <row r="1" spans="1:14" ht="15">
      <c r="A1" s="1162" t="s">
        <v>932</v>
      </c>
      <c r="B1" s="1163" t="s">
        <v>933</v>
      </c>
      <c r="C1" s="1163" t="s">
        <v>934</v>
      </c>
      <c r="D1" s="1164" t="s">
        <v>935</v>
      </c>
      <c r="E1" s="738" t="s">
        <v>936</v>
      </c>
      <c r="F1" s="1165" t="s">
        <v>88</v>
      </c>
      <c r="G1" s="1166" t="s">
        <v>937</v>
      </c>
      <c r="H1" s="1166" t="s">
        <v>90</v>
      </c>
      <c r="I1" s="1167" t="s">
        <v>938</v>
      </c>
      <c r="J1" s="1167" t="s">
        <v>939</v>
      </c>
      <c r="K1" s="1165" t="s">
        <v>940</v>
      </c>
      <c r="L1" s="1168" t="s">
        <v>941</v>
      </c>
      <c r="M1" s="1169" t="s">
        <v>942</v>
      </c>
      <c r="N1" s="1170" t="s">
        <v>1</v>
      </c>
    </row>
    <row r="2" spans="1:14" ht="15">
      <c r="A2" s="1171" t="str">
        <f>Таблица301715[[#This Row],[Группа]]&amp;Таблица301715[[#This Row],[Номенклатура]]&amp;Таблица301715[[#This Row],[ЕИ]]</f>
        <v>ФОТФОТчел. ч</v>
      </c>
      <c r="B2" s="1165" t="s">
        <v>238</v>
      </c>
      <c r="C2" s="1165"/>
      <c r="D2" s="1172" t="s">
        <v>238</v>
      </c>
      <c r="E2" s="1173"/>
      <c r="F2" s="1165" t="s">
        <v>212</v>
      </c>
      <c r="G2" s="896">
        <v>1207.8</v>
      </c>
      <c r="H2" s="897" t="s">
        <v>131</v>
      </c>
      <c r="I2" s="898"/>
      <c r="J2" s="899">
        <v>1207.8</v>
      </c>
      <c r="K2" s="1165"/>
    </row>
    <row r="3" spans="1:14" ht="15">
      <c r="A3" s="1171" t="str">
        <f>Таблица301715[[#This Row],[Группа]]&amp;Таблица301715[[#This Row],[Номенклатура]]&amp;Таблица301715[[#This Row],[ЕИ]]</f>
        <v>Собственное производствоРучная формовка стеклокомпозитного фланцакг</v>
      </c>
      <c r="B3" s="1165" t="s">
        <v>72</v>
      </c>
      <c r="C3" s="1165"/>
      <c r="D3" s="1172" t="s">
        <v>1931</v>
      </c>
      <c r="E3" s="1172"/>
      <c r="F3" s="1165" t="s">
        <v>193</v>
      </c>
      <c r="G3" s="896">
        <v>310.2</v>
      </c>
      <c r="H3" s="897" t="s">
        <v>131</v>
      </c>
      <c r="I3" s="898"/>
      <c r="J3" s="899">
        <v>310.2</v>
      </c>
      <c r="K3" s="1165"/>
      <c r="L3" s="895"/>
      <c r="M3" s="895"/>
    </row>
    <row r="4" spans="1:14" ht="15">
      <c r="A4" s="1171" t="str">
        <f>Таблица301715[[#This Row],[Группа]]&amp;Таблица301715[[#This Row],[Номенклатура]]&amp;Таблица301715[[#This Row],[ЕИ]]</f>
        <v>Собственное производствоФормовка гильзкг</v>
      </c>
      <c r="B4" s="1165" t="s">
        <v>72</v>
      </c>
      <c r="C4" s="1165"/>
      <c r="D4" s="1172" t="s">
        <v>943</v>
      </c>
      <c r="E4" s="1172"/>
      <c r="F4" s="1165" t="s">
        <v>193</v>
      </c>
      <c r="G4" s="896">
        <v>310.2</v>
      </c>
      <c r="H4" s="897" t="s">
        <v>131</v>
      </c>
      <c r="I4" s="898"/>
      <c r="J4" s="899">
        <v>310.2</v>
      </c>
      <c r="K4" s="1165"/>
      <c r="L4" s="895"/>
      <c r="M4" s="895"/>
    </row>
    <row r="5" spans="1:14" ht="15">
      <c r="A5" s="1171" t="str">
        <f>Таблица301715[[#This Row],[Группа]]&amp;Таблица301715[[#This Row],[Номенклатура]]&amp;Таблица301715[[#This Row],[ЕИ]]</f>
        <v>Собственное производствоФормовочный материалкг</v>
      </c>
      <c r="B5" s="1165" t="s">
        <v>72</v>
      </c>
      <c r="C5" s="1165"/>
      <c r="D5" s="1172" t="s">
        <v>944</v>
      </c>
      <c r="E5" s="1172"/>
      <c r="F5" s="1165" t="s">
        <v>193</v>
      </c>
      <c r="G5" s="896">
        <v>310.2</v>
      </c>
      <c r="H5" s="897" t="s">
        <v>131</v>
      </c>
      <c r="I5" s="898"/>
      <c r="J5" s="899">
        <v>310.2</v>
      </c>
      <c r="K5" s="1165"/>
      <c r="L5" s="1158"/>
      <c r="M5" s="1158"/>
    </row>
    <row r="6" spans="1:14" ht="15">
      <c r="A6" s="1171" t="str">
        <f>Таблица301715[[#This Row],[Группа]]&amp;Таблица301715[[#This Row],[Номенклатура]]&amp;Таблица301715[[#This Row],[ЕИ]]</f>
        <v>Собственное производствоЗащитный слой ламинации 5 мм на теплоизоляциюкг</v>
      </c>
      <c r="B6" s="1165" t="s">
        <v>72</v>
      </c>
      <c r="C6" s="1165"/>
      <c r="D6" s="1172" t="s">
        <v>1915</v>
      </c>
      <c r="E6" s="1172"/>
      <c r="F6" s="1165" t="s">
        <v>193</v>
      </c>
      <c r="G6" s="896">
        <v>310.2</v>
      </c>
      <c r="H6" s="897" t="s">
        <v>131</v>
      </c>
      <c r="I6" s="898"/>
      <c r="J6" s="899">
        <v>310.2</v>
      </c>
      <c r="K6" s="1165"/>
      <c r="L6" s="1158"/>
      <c r="M6" s="1158"/>
    </row>
    <row r="7" spans="1:14" ht="15">
      <c r="A7" s="1171" t="str">
        <f>Таблица301715[[#This Row],[Группа]]&amp;Таблица301715[[#This Row],[Номенклатура]]&amp;Таблица301715[[#This Row],[ЕИ]]</f>
        <v>Собственное производствоЗащитный слой ламинации 4 мм на теплоизоляциюкг</v>
      </c>
      <c r="B7" s="1165" t="s">
        <v>72</v>
      </c>
      <c r="C7" s="1165"/>
      <c r="D7" s="1172" t="s">
        <v>355</v>
      </c>
      <c r="E7" s="1172"/>
      <c r="F7" s="1165" t="s">
        <v>193</v>
      </c>
      <c r="G7" s="896">
        <v>310.2</v>
      </c>
      <c r="H7" s="897" t="s">
        <v>131</v>
      </c>
      <c r="I7" s="898"/>
      <c r="J7" s="899">
        <v>310.2</v>
      </c>
      <c r="K7" s="1165"/>
      <c r="L7" s="1158"/>
      <c r="M7" s="1158"/>
    </row>
    <row r="8" spans="1:14" ht="15">
      <c r="A8" s="1171" t="str">
        <f>Таблица301715[[#This Row],[Группа]]&amp;Таблица301715[[#This Row],[Номенклатура]]&amp;Таблица301715[[#This Row],[ЕИ]]</f>
        <v>Собственное производствоМеханическое формованное днокг</v>
      </c>
      <c r="B8" s="1165" t="s">
        <v>72</v>
      </c>
      <c r="C8" s="1165"/>
      <c r="D8" s="1172" t="s">
        <v>945</v>
      </c>
      <c r="E8" s="1172"/>
      <c r="F8" s="1165" t="s">
        <v>193</v>
      </c>
      <c r="G8" s="896">
        <v>214.4</v>
      </c>
      <c r="H8" s="897" t="s">
        <v>131</v>
      </c>
      <c r="I8" s="898"/>
      <c r="J8" s="899">
        <v>214.4</v>
      </c>
      <c r="K8" s="1165"/>
      <c r="L8" s="1158"/>
      <c r="M8" s="1158"/>
    </row>
    <row r="9" spans="1:14" ht="15">
      <c r="A9" s="1171" t="str">
        <f>Таблица301715[[#This Row],[Группа]]&amp;Таблица301715[[#This Row],[Номенклатура]]&amp;Таблица301715[[#This Row],[ЕИ]]</f>
        <v>Собственное производствоМеханическая формовка плоского днищакг</v>
      </c>
      <c r="B9" s="1165" t="s">
        <v>72</v>
      </c>
      <c r="C9" s="1165"/>
      <c r="D9" s="1172" t="s">
        <v>946</v>
      </c>
      <c r="E9" s="1172"/>
      <c r="F9" s="1165" t="s">
        <v>193</v>
      </c>
      <c r="G9" s="896">
        <v>214.4</v>
      </c>
      <c r="H9" s="897" t="s">
        <v>131</v>
      </c>
      <c r="I9" s="898"/>
      <c r="J9" s="899">
        <v>214.4</v>
      </c>
      <c r="K9" s="1165"/>
      <c r="L9" s="1158"/>
      <c r="M9" s="1158"/>
    </row>
    <row r="10" spans="1:14" ht="15">
      <c r="A10" s="1171" t="str">
        <f>Таблица301715[[#This Row],[Группа]]&amp;Таблица301715[[#This Row],[Номенклатура]]&amp;Таблица301715[[#This Row],[ЕИ]]</f>
        <v>Собственное производствоМеханическая формовка эллиптических днищкг</v>
      </c>
      <c r="B10" s="1165" t="s">
        <v>72</v>
      </c>
      <c r="C10" s="1165"/>
      <c r="D10" s="1172" t="s">
        <v>947</v>
      </c>
      <c r="E10" s="1172"/>
      <c r="F10" s="1165" t="s">
        <v>193</v>
      </c>
      <c r="G10" s="896">
        <v>214.4</v>
      </c>
      <c r="H10" s="897" t="s">
        <v>131</v>
      </c>
      <c r="I10" s="898"/>
      <c r="J10" s="899">
        <v>214.4</v>
      </c>
      <c r="K10" s="1165"/>
      <c r="L10" s="1158"/>
      <c r="M10" s="1158"/>
    </row>
    <row r="11" spans="1:14" ht="15">
      <c r="A11" s="1171" t="str">
        <f>Таблица301715[[#This Row],[Группа]]&amp;Таблица301715[[#This Row],[Номенклатура]]&amp;Таблица301715[[#This Row],[ЕИ]]</f>
        <v>Собственное производствоЛаминация днища (косые и центральный стыки)кг</v>
      </c>
      <c r="B11" s="1165" t="s">
        <v>72</v>
      </c>
      <c r="C11" s="1165"/>
      <c r="D11" s="1172" t="s">
        <v>948</v>
      </c>
      <c r="E11" s="1172"/>
      <c r="F11" s="1165" t="s">
        <v>193</v>
      </c>
      <c r="G11" s="896">
        <v>214.4</v>
      </c>
      <c r="H11" s="897" t="s">
        <v>131</v>
      </c>
      <c r="I11" s="898"/>
      <c r="J11" s="899">
        <v>214.4</v>
      </c>
      <c r="K11" s="1165"/>
      <c r="L11" s="1158"/>
      <c r="M11" s="1158"/>
    </row>
    <row r="12" spans="1:14" ht="15">
      <c r="A12" s="1171" t="str">
        <f>Таблица301715[[#This Row],[Группа]]&amp;Таблица301715[[#This Row],[Номенклатура]]&amp;Таблица301715[[#This Row],[ЕИ]]</f>
        <v>Собственное производствоМеханическая формовка эллиптического днища к муфтекг</v>
      </c>
      <c r="B12" s="1165" t="s">
        <v>72</v>
      </c>
      <c r="C12" s="1165"/>
      <c r="D12" s="1172" t="s">
        <v>949</v>
      </c>
      <c r="E12" s="1172"/>
      <c r="F12" s="1165" t="s">
        <v>193</v>
      </c>
      <c r="G12" s="896">
        <v>214.4</v>
      </c>
      <c r="H12" s="897" t="s">
        <v>131</v>
      </c>
      <c r="I12" s="898"/>
      <c r="J12" s="899">
        <v>214.4</v>
      </c>
      <c r="K12" s="1165"/>
      <c r="L12" s="1158"/>
      <c r="M12" s="1158"/>
    </row>
    <row r="13" spans="1:14" ht="15">
      <c r="A13" s="1171" t="str">
        <f>Таблица301715[[#This Row],[Группа]]&amp;Таблица301715[[#This Row],[Номенклатура]]&amp;Таблица301715[[#This Row],[ЕИ]]</f>
        <v>Собственное производствоМеханическая формовка горловины к корпусукг</v>
      </c>
      <c r="B13" s="1165" t="s">
        <v>72</v>
      </c>
      <c r="C13" s="1165"/>
      <c r="D13" s="1172" t="s">
        <v>344</v>
      </c>
      <c r="E13" s="1172"/>
      <c r="F13" s="1165" t="s">
        <v>193</v>
      </c>
      <c r="G13" s="896">
        <v>214.4</v>
      </c>
      <c r="H13" s="897" t="s">
        <v>131</v>
      </c>
      <c r="I13" s="898"/>
      <c r="J13" s="899">
        <v>214.4</v>
      </c>
      <c r="K13" s="1165"/>
      <c r="L13" s="1158"/>
      <c r="M13" s="1158"/>
    </row>
    <row r="14" spans="1:14" ht="15">
      <c r="A14" s="1171" t="str">
        <f>Таблица301715[[#This Row],[Группа]]&amp;Таблица301715[[#This Row],[Номенклатура]]&amp;Таблица301715[[#This Row],[ЕИ]]</f>
        <v>Собственное производствоЛаминирование эллиптического днища к корпусукг</v>
      </c>
      <c r="B14" s="1165" t="s">
        <v>72</v>
      </c>
      <c r="C14" s="1165"/>
      <c r="D14" s="1172" t="s">
        <v>950</v>
      </c>
      <c r="E14" s="1172"/>
      <c r="F14" s="1165" t="s">
        <v>193</v>
      </c>
      <c r="G14" s="896">
        <v>310.2</v>
      </c>
      <c r="H14" s="897" t="s">
        <v>131</v>
      </c>
      <c r="I14" s="898"/>
      <c r="J14" s="899">
        <v>310.2</v>
      </c>
      <c r="K14" s="1165"/>
      <c r="L14" s="1158"/>
      <c r="M14" s="1158"/>
    </row>
    <row r="15" spans="1:14" ht="15">
      <c r="A15" s="1171" t="str">
        <f>Таблица301715[[#This Row],[Группа]]&amp;Таблица301715[[#This Row],[Номенклатура]]&amp;Таблица301715[[#This Row],[ЕИ]]</f>
        <v>Собственное производствоЛаминирование дна к фальшполукг</v>
      </c>
      <c r="B15" s="1165" t="s">
        <v>72</v>
      </c>
      <c r="C15" s="1165"/>
      <c r="D15" s="1172" t="s">
        <v>951</v>
      </c>
      <c r="E15" s="1172"/>
      <c r="F15" s="1165" t="s">
        <v>193</v>
      </c>
      <c r="G15" s="896">
        <v>310.2</v>
      </c>
      <c r="H15" s="897" t="s">
        <v>131</v>
      </c>
      <c r="I15" s="898"/>
      <c r="J15" s="899">
        <v>310.2</v>
      </c>
      <c r="K15" s="1165"/>
      <c r="L15" s="1158"/>
      <c r="M15" s="1158"/>
    </row>
    <row r="16" spans="1:14" ht="15">
      <c r="A16" s="1171" t="str">
        <f>Таблица301715[[#This Row],[Группа]]&amp;Таблица301715[[#This Row],[Номенклатура]]&amp;Таблица301715[[#This Row],[ЕИ]]</f>
        <v>Собственное производствоЛаминирование плоского днищакг</v>
      </c>
      <c r="B16" s="1165" t="s">
        <v>72</v>
      </c>
      <c r="C16" s="1165"/>
      <c r="D16" s="1172" t="s">
        <v>952</v>
      </c>
      <c r="E16" s="1172"/>
      <c r="F16" s="1165" t="s">
        <v>193</v>
      </c>
      <c r="G16" s="896">
        <v>310.2</v>
      </c>
      <c r="H16" s="897" t="s">
        <v>131</v>
      </c>
      <c r="I16" s="898"/>
      <c r="J16" s="899">
        <v>310.2</v>
      </c>
      <c r="K16" s="1165"/>
      <c r="L16" s="1158"/>
      <c r="M16" s="1158"/>
    </row>
    <row r="17" spans="1:13" ht="15">
      <c r="A17" s="1171" t="str">
        <f>Таблица301715[[#This Row],[Группа]]&amp;Таблица301715[[#This Row],[Номенклатура]]&amp;Таблица301715[[#This Row],[ЕИ]]</f>
        <v>Собственное производствоРучная формовка соединительного патрубка к корпусукг</v>
      </c>
      <c r="B17" s="1165" t="s">
        <v>72</v>
      </c>
      <c r="C17" s="1165"/>
      <c r="D17" s="1172" t="s">
        <v>953</v>
      </c>
      <c r="E17" s="1172"/>
      <c r="F17" s="1165" t="s">
        <v>193</v>
      </c>
      <c r="G17" s="896">
        <v>310.2</v>
      </c>
      <c r="H17" s="897" t="s">
        <v>131</v>
      </c>
      <c r="I17" s="898"/>
      <c r="J17" s="899">
        <v>310.2</v>
      </c>
      <c r="K17" s="1165"/>
      <c r="L17" s="1158"/>
      <c r="M17" s="1158"/>
    </row>
    <row r="18" spans="1:13" ht="15">
      <c r="A18" s="1171" t="str">
        <f>Таблица301715[[#This Row],[Группа]]&amp;Таблица301715[[#This Row],[Номенклатура]]&amp;Таблица301715[[#This Row],[ЕИ]]</f>
        <v>Собственное производствоРучная формовка шахты обслуживания к корпусукг</v>
      </c>
      <c r="B18" s="1165" t="s">
        <v>72</v>
      </c>
      <c r="C18" s="1165"/>
      <c r="D18" s="1172" t="s">
        <v>954</v>
      </c>
      <c r="E18" s="1172"/>
      <c r="F18" s="1165" t="s">
        <v>193</v>
      </c>
      <c r="G18" s="896">
        <v>310.2</v>
      </c>
      <c r="H18" s="897" t="s">
        <v>131</v>
      </c>
      <c r="I18" s="898"/>
      <c r="J18" s="899">
        <v>310.2</v>
      </c>
      <c r="K18" s="1165"/>
      <c r="L18" s="1158"/>
      <c r="M18" s="1158"/>
    </row>
    <row r="19" spans="1:13" ht="15">
      <c r="A19" s="1171" t="str">
        <f>Таблица301715[[#This Row],[Группа]]&amp;Таблица301715[[#This Row],[Номенклатура]]&amp;Таблица301715[[#This Row],[ЕИ]]</f>
        <v>Собственное производствоРучная формовка патрубкакг</v>
      </c>
      <c r="B19" s="1165" t="s">
        <v>72</v>
      </c>
      <c r="C19" s="1165"/>
      <c r="D19" s="1172" t="s">
        <v>955</v>
      </c>
      <c r="E19" s="1172"/>
      <c r="F19" s="1165" t="s">
        <v>193</v>
      </c>
      <c r="G19" s="896">
        <v>310.2</v>
      </c>
      <c r="H19" s="897" t="s">
        <v>131</v>
      </c>
      <c r="I19" s="898"/>
      <c r="J19" s="899">
        <v>310.2</v>
      </c>
      <c r="K19" s="1165"/>
      <c r="L19" s="1158"/>
      <c r="M19" s="1158"/>
    </row>
    <row r="20" spans="1:13" ht="15">
      <c r="A20" s="1171" t="str">
        <f>Таблица301715[[#This Row],[Группа]]&amp;Таблица301715[[#This Row],[Номенклатура]]&amp;Таблица301715[[#This Row],[ЕИ]]</f>
        <v>Собственное производствоРучная формовка равнопроходного тройникакг</v>
      </c>
      <c r="B20" s="1165" t="s">
        <v>72</v>
      </c>
      <c r="C20" s="1165"/>
      <c r="D20" s="1172" t="s">
        <v>956</v>
      </c>
      <c r="E20" s="1172"/>
      <c r="F20" s="1165" t="s">
        <v>193</v>
      </c>
      <c r="G20" s="896">
        <v>310.2</v>
      </c>
      <c r="H20" s="897" t="s">
        <v>131</v>
      </c>
      <c r="I20" s="898"/>
      <c r="J20" s="899">
        <v>310.2</v>
      </c>
      <c r="K20" s="1165"/>
      <c r="L20" s="1158"/>
      <c r="M20" s="1158"/>
    </row>
    <row r="21" spans="1:13" ht="15">
      <c r="A21" s="1171" t="str">
        <f>Таблица301715[[#This Row],[Группа]]&amp;Таблица301715[[#This Row],[Номенклатура]]&amp;Таблица301715[[#This Row],[ЕИ]]</f>
        <v>Собственное производствоРучная формовка гильз для ввода кабелейкг</v>
      </c>
      <c r="B21" s="1165" t="s">
        <v>72</v>
      </c>
      <c r="C21" s="1165"/>
      <c r="D21" s="1172" t="s">
        <v>673</v>
      </c>
      <c r="E21" s="1172"/>
      <c r="F21" s="1165" t="s">
        <v>193</v>
      </c>
      <c r="G21" s="896">
        <v>310.2</v>
      </c>
      <c r="H21" s="897" t="s">
        <v>131</v>
      </c>
      <c r="I21" s="898"/>
      <c r="J21" s="899">
        <v>310.2</v>
      </c>
      <c r="K21" s="1165"/>
      <c r="L21" s="1158"/>
      <c r="M21" s="1158"/>
    </row>
    <row r="22" spans="1:13" ht="15">
      <c r="A22" s="1171" t="str">
        <f>Таблица301715[[#This Row],[Группа]]&amp;Таблица301715[[#This Row],[Номенклатура]]&amp;Таблица301715[[#This Row],[ЕИ]]</f>
        <v>Собственное производствоРучная формовка фланца для задвижки на подводящем трубопроводекг</v>
      </c>
      <c r="B22" s="1165" t="s">
        <v>72</v>
      </c>
      <c r="C22" s="1165"/>
      <c r="D22" s="1172" t="s">
        <v>1956</v>
      </c>
      <c r="E22" s="1172"/>
      <c r="F22" s="1165" t="s">
        <v>193</v>
      </c>
      <c r="G22" s="896">
        <v>310.2</v>
      </c>
      <c r="H22" s="897" t="s">
        <v>131</v>
      </c>
      <c r="I22" s="898"/>
      <c r="J22" s="899">
        <v>310.2</v>
      </c>
      <c r="K22" s="1165"/>
      <c r="L22" s="1158"/>
      <c r="M22" s="1158"/>
    </row>
    <row r="23" spans="1:13" ht="15">
      <c r="A23" s="1171" t="str">
        <f>Таблица301715[[#This Row],[Группа]]&amp;Таблица301715[[#This Row],[Номенклатура]]&amp;Таблица301715[[#This Row],[ЕИ]]</f>
        <v>Собственное производствоРучная формовка перегородкикг</v>
      </c>
      <c r="B23" s="1165" t="s">
        <v>72</v>
      </c>
      <c r="C23" s="1165"/>
      <c r="D23" s="1172" t="s">
        <v>957</v>
      </c>
      <c r="E23" s="1172"/>
      <c r="F23" s="1165" t="s">
        <v>193</v>
      </c>
      <c r="G23" s="896">
        <v>310.2</v>
      </c>
      <c r="H23" s="897" t="s">
        <v>131</v>
      </c>
      <c r="I23" s="898"/>
      <c r="J23" s="899">
        <v>310.2</v>
      </c>
      <c r="K23" s="1165"/>
      <c r="L23" s="1158"/>
      <c r="M23" s="1158"/>
    </row>
    <row r="24" spans="1:13" ht="15">
      <c r="A24" s="1171" t="str">
        <f>Таблица301715[[#This Row],[Группа]]&amp;Таблица301715[[#This Row],[Номенклатура]]&amp;Таблица301715[[#This Row],[ЕИ]]</f>
        <v>Собственное производствоЛаминирование частей корпусакг</v>
      </c>
      <c r="B24" s="1165" t="s">
        <v>72</v>
      </c>
      <c r="C24" s="1165"/>
      <c r="D24" s="1172" t="s">
        <v>958</v>
      </c>
      <c r="E24" s="1172"/>
      <c r="F24" s="1165" t="s">
        <v>193</v>
      </c>
      <c r="G24" s="896">
        <v>310.2</v>
      </c>
      <c r="H24" s="897" t="s">
        <v>131</v>
      </c>
      <c r="I24" s="898"/>
      <c r="J24" s="899">
        <v>310.2</v>
      </c>
      <c r="K24" s="1165"/>
      <c r="L24" s="1158"/>
      <c r="M24" s="1158"/>
    </row>
    <row r="25" spans="1:13" ht="15">
      <c r="A25" s="1171" t="str">
        <f>Таблица301715[[#This Row],[Группа]]&amp;Таблица301715[[#This Row],[Номенклатура]]&amp;Таблица301715[[#This Row],[ЕИ]]</f>
        <v>Собственное производствоЛаминирование соединительного патрубка к корпусукг</v>
      </c>
      <c r="B25" s="1165" t="s">
        <v>72</v>
      </c>
      <c r="C25" s="1165"/>
      <c r="D25" s="1172" t="s">
        <v>568</v>
      </c>
      <c r="E25" s="1172"/>
      <c r="F25" s="1165" t="s">
        <v>193</v>
      </c>
      <c r="G25" s="896">
        <v>310.2</v>
      </c>
      <c r="H25" s="897" t="s">
        <v>131</v>
      </c>
      <c r="I25" s="898"/>
      <c r="J25" s="899">
        <v>310.2</v>
      </c>
      <c r="K25" s="1165"/>
      <c r="L25" s="1158"/>
      <c r="M25" s="1158"/>
    </row>
    <row r="26" spans="1:13" ht="15">
      <c r="A26" s="1171" t="str">
        <f>Таблица301715[[#This Row],[Группа]]&amp;Таблица301715[[#This Row],[Номенклатура]]&amp;Таблица301715[[#This Row],[ЕИ]]</f>
        <v>Собственное производствоЛаминирование шахты обслуживания к корпусу кг</v>
      </c>
      <c r="B26" s="1165" t="s">
        <v>72</v>
      </c>
      <c r="C26" s="1165"/>
      <c r="D26" s="1172" t="s">
        <v>567</v>
      </c>
      <c r="E26" s="1172"/>
      <c r="F26" s="1165" t="s">
        <v>193</v>
      </c>
      <c r="G26" s="896">
        <v>310.2</v>
      </c>
      <c r="H26" s="897" t="s">
        <v>131</v>
      </c>
      <c r="I26" s="898"/>
      <c r="J26" s="899">
        <v>310.2</v>
      </c>
      <c r="K26" s="1165"/>
      <c r="L26" s="1158"/>
      <c r="M26" s="1158"/>
    </row>
    <row r="27" spans="1:13" ht="15">
      <c r="A27" s="1171" t="str">
        <f>Таблица301715[[#This Row],[Группа]]&amp;Таблица301715[[#This Row],[Номенклатура]]&amp;Таблица301715[[#This Row],[ЕИ]]</f>
        <v>Собственное производствоЛаминирование равнопроходного тройникакг</v>
      </c>
      <c r="B27" s="1165" t="s">
        <v>72</v>
      </c>
      <c r="C27" s="1165"/>
      <c r="D27" s="1172" t="s">
        <v>959</v>
      </c>
      <c r="E27" s="1172"/>
      <c r="F27" s="1165" t="s">
        <v>193</v>
      </c>
      <c r="G27" s="896">
        <v>310.2</v>
      </c>
      <c r="H27" s="897" t="s">
        <v>131</v>
      </c>
      <c r="I27" s="898"/>
      <c r="J27" s="899">
        <v>310.2</v>
      </c>
      <c r="K27" s="1165"/>
      <c r="L27" s="1158"/>
      <c r="M27" s="1158"/>
    </row>
    <row r="28" spans="1:13" ht="15">
      <c r="A28" s="1171" t="str">
        <f>Таблица301715[[#This Row],[Группа]]&amp;Таблица301715[[#This Row],[Номенклатура]]&amp;Таблица301715[[#This Row],[ЕИ]]</f>
        <v>Собственное производствоЛаминирование перегородки к корпусукг</v>
      </c>
      <c r="B28" s="1165" t="s">
        <v>72</v>
      </c>
      <c r="C28" s="1165"/>
      <c r="D28" s="1172" t="s">
        <v>960</v>
      </c>
      <c r="E28" s="1172"/>
      <c r="F28" s="1165" t="s">
        <v>193</v>
      </c>
      <c r="G28" s="896">
        <v>310.2</v>
      </c>
      <c r="H28" s="897" t="s">
        <v>131</v>
      </c>
      <c r="I28" s="898"/>
      <c r="J28" s="899">
        <v>310.2</v>
      </c>
      <c r="K28" s="1165"/>
      <c r="L28" s="1158"/>
      <c r="M28" s="1158"/>
    </row>
    <row r="29" spans="1:13" ht="15">
      <c r="A29" s="1171" t="str">
        <f>Таблица301715[[#This Row],[Группа]]&amp;Таблица301715[[#This Row],[Номенклатура]]&amp;Таблица301715[[#This Row],[ЕИ]]</f>
        <v>Собственное производствоЛаминирование проходной муфты к корпусукг</v>
      </c>
      <c r="B29" s="1165" t="s">
        <v>72</v>
      </c>
      <c r="C29" s="1165"/>
      <c r="D29" s="1172" t="s">
        <v>961</v>
      </c>
      <c r="E29" s="1172"/>
      <c r="F29" s="1165" t="s">
        <v>193</v>
      </c>
      <c r="G29" s="896">
        <v>310.2</v>
      </c>
      <c r="H29" s="897" t="s">
        <v>131</v>
      </c>
      <c r="I29" s="898"/>
      <c r="J29" s="899">
        <v>310.2</v>
      </c>
      <c r="K29" s="1165"/>
    </row>
    <row r="30" spans="1:13" ht="15">
      <c r="A30" s="1171" t="str">
        <f>Таблица301715[[#This Row],[Группа]]&amp;Таблица301715[[#This Row],[Номенклатура]]&amp;Таблица301715[[#This Row],[ЕИ]]</f>
        <v>Собственное производствоЛаминирование патрубка к корпусукг</v>
      </c>
      <c r="B30" s="1165" t="s">
        <v>72</v>
      </c>
      <c r="C30" s="1165"/>
      <c r="D30" s="1172" t="s">
        <v>561</v>
      </c>
      <c r="E30" s="1172"/>
      <c r="F30" s="1165" t="s">
        <v>193</v>
      </c>
      <c r="G30" s="896">
        <v>310.2</v>
      </c>
      <c r="H30" s="897" t="s">
        <v>131</v>
      </c>
      <c r="I30" s="898"/>
      <c r="J30" s="899">
        <v>310.2</v>
      </c>
      <c r="K30" s="1165"/>
    </row>
    <row r="31" spans="1:13" ht="15">
      <c r="A31" s="1171" t="str">
        <f>Таблица301715[[#This Row],[Группа]]&amp;Таблица301715[[#This Row],[Номенклатура]]&amp;Таблица301715[[#This Row],[ЕИ]]</f>
        <v>Собственное производствоМеханическая формовка деталей фальшполакг</v>
      </c>
      <c r="B31" s="1165" t="s">
        <v>72</v>
      </c>
      <c r="C31" s="1165"/>
      <c r="D31" s="1172" t="s">
        <v>349</v>
      </c>
      <c r="E31" s="1172"/>
      <c r="F31" s="1165" t="s">
        <v>193</v>
      </c>
      <c r="G31" s="896">
        <v>214.4</v>
      </c>
      <c r="H31" s="897" t="s">
        <v>131</v>
      </c>
      <c r="I31" s="898"/>
      <c r="J31" s="899">
        <v>214.4</v>
      </c>
      <c r="K31" s="1165"/>
    </row>
    <row r="32" spans="1:13" ht="15">
      <c r="A32" s="1171" t="str">
        <f>Таблица301715[[#This Row],[Группа]]&amp;Таблица301715[[#This Row],[Номенклатура]]&amp;Таблица301715[[#This Row],[ЕИ]]</f>
        <v>Собственное производствоЛаминирование горловины к корпусу емкостикг</v>
      </c>
      <c r="B32" s="1165" t="s">
        <v>72</v>
      </c>
      <c r="C32" s="1165"/>
      <c r="D32" s="1172" t="s">
        <v>345</v>
      </c>
      <c r="E32" s="1172"/>
      <c r="F32" s="1165" t="s">
        <v>193</v>
      </c>
      <c r="G32" s="896">
        <v>310.2</v>
      </c>
      <c r="H32" s="897" t="s">
        <v>131</v>
      </c>
      <c r="I32" s="898"/>
      <c r="J32" s="899">
        <v>310.2</v>
      </c>
      <c r="K32" s="1165"/>
    </row>
    <row r="33" spans="1:11" ht="15">
      <c r="A33" s="1171" t="str">
        <f>Таблица301715[[#This Row],[Группа]]&amp;Таблица301715[[#This Row],[Номенклатура]]&amp;Таблица301715[[#This Row],[ЕИ]]</f>
        <v>Собственное производствоЛаминирование фальшпола к корпусукг</v>
      </c>
      <c r="B33" s="1165" t="s">
        <v>72</v>
      </c>
      <c r="C33" s="1165"/>
      <c r="D33" s="1172" t="s">
        <v>350</v>
      </c>
      <c r="E33" s="1172"/>
      <c r="F33" s="1165" t="s">
        <v>193</v>
      </c>
      <c r="G33" s="896">
        <v>310.2</v>
      </c>
      <c r="H33" s="897" t="s">
        <v>131</v>
      </c>
      <c r="I33" s="898"/>
      <c r="J33" s="899">
        <v>310.2</v>
      </c>
      <c r="K33" s="1165"/>
    </row>
    <row r="34" spans="1:11" ht="15">
      <c r="A34" s="1171" t="str">
        <f>Таблица301715[[#This Row],[Группа]]&amp;Таблица301715[[#This Row],[Номенклатура]]&amp;Таблица301715[[#This Row],[ЕИ]]</f>
        <v>Собственное производствоЛаминирование петель к корпусукг</v>
      </c>
      <c r="B34" s="1165" t="s">
        <v>72</v>
      </c>
      <c r="C34" s="1165"/>
      <c r="D34" s="1172" t="s">
        <v>785</v>
      </c>
      <c r="E34" s="1172"/>
      <c r="F34" s="1165" t="s">
        <v>193</v>
      </c>
      <c r="G34" s="896">
        <v>310.2</v>
      </c>
      <c r="H34" s="897" t="s">
        <v>131</v>
      </c>
      <c r="I34" s="898"/>
      <c r="J34" s="899">
        <v>310.2</v>
      </c>
      <c r="K34" s="1165"/>
    </row>
    <row r="35" spans="1:11" ht="15">
      <c r="A35" s="1171" t="str">
        <f>Таблица301715[[#This Row],[Группа]]&amp;Таблица301715[[#This Row],[Номенклатура]]&amp;Таблица301715[[#This Row],[ЕИ]]</f>
        <v>Собственное производствоЛаминирование болтов к корпусукг</v>
      </c>
      <c r="B35" s="1165" t="s">
        <v>72</v>
      </c>
      <c r="C35" s="1165"/>
      <c r="D35" s="1172" t="s">
        <v>436</v>
      </c>
      <c r="E35" s="1172"/>
      <c r="F35" s="1165" t="s">
        <v>193</v>
      </c>
      <c r="G35" s="896">
        <v>310.2</v>
      </c>
      <c r="H35" s="897" t="s">
        <v>131</v>
      </c>
      <c r="I35" s="898"/>
      <c r="J35" s="899">
        <v>310.2</v>
      </c>
      <c r="K35" s="1165"/>
    </row>
    <row r="36" spans="1:11" ht="15">
      <c r="A36" s="1171" t="str">
        <f>Таблица301715[[#This Row],[Группа]]&amp;Таблица301715[[#This Row],[Номенклатура]]&amp;Таблица301715[[#This Row],[ЕИ]]</f>
        <v>Собственное производствоМеханическая формовка деталей канала под дробилкукг</v>
      </c>
      <c r="B36" s="1165" t="s">
        <v>72</v>
      </c>
      <c r="C36" s="1165"/>
      <c r="D36" s="1172" t="s">
        <v>358</v>
      </c>
      <c r="E36" s="1172"/>
      <c r="F36" s="1165" t="s">
        <v>193</v>
      </c>
      <c r="G36" s="896">
        <v>214.4</v>
      </c>
      <c r="H36" s="897" t="s">
        <v>131</v>
      </c>
      <c r="I36" s="898"/>
      <c r="J36" s="899">
        <v>214.4</v>
      </c>
      <c r="K36" s="1165"/>
    </row>
    <row r="37" spans="1:11" ht="15">
      <c r="A37" s="1171" t="str">
        <f>Таблица301715[[#This Row],[Группа]]&amp;Таблица301715[[#This Row],[Номенклатура]]&amp;Таблица301715[[#This Row],[ЕИ]]</f>
        <v>Собственное производствоЛаминирование деталей площадки под дробилку в сборкекг</v>
      </c>
      <c r="B37" s="1165" t="s">
        <v>72</v>
      </c>
      <c r="C37" s="1165"/>
      <c r="D37" s="1172" t="s">
        <v>359</v>
      </c>
      <c r="E37" s="1172"/>
      <c r="F37" s="1165" t="s">
        <v>193</v>
      </c>
      <c r="G37" s="896">
        <v>310.2</v>
      </c>
      <c r="H37" s="897" t="s">
        <v>131</v>
      </c>
      <c r="I37" s="898"/>
      <c r="J37" s="899">
        <v>310.2</v>
      </c>
      <c r="K37" s="1165"/>
    </row>
    <row r="38" spans="1:11" ht="15">
      <c r="A38" s="1171" t="str">
        <f>Таблица301715[[#This Row],[Группа]]&amp;Таблица301715[[#This Row],[Номенклатура]]&amp;Таблица301715[[#This Row],[ЕИ]]</f>
        <v>Собственное производствоПредварительные работы для подготовки трубы (транспортировка, разметка осей, шлифовка)чел. ч</v>
      </c>
      <c r="B38" s="1165" t="s">
        <v>72</v>
      </c>
      <c r="C38" s="1165"/>
      <c r="D38" s="1172" t="s">
        <v>367</v>
      </c>
      <c r="E38" s="1172"/>
      <c r="F38" s="1165" t="s">
        <v>212</v>
      </c>
      <c r="G38" s="896">
        <v>1207.8</v>
      </c>
      <c r="H38" s="897" t="s">
        <v>131</v>
      </c>
      <c r="I38" s="898"/>
      <c r="J38" s="899">
        <v>1207.8</v>
      </c>
      <c r="K38" s="1165"/>
    </row>
    <row r="39" spans="1:11" ht="15">
      <c r="A39" s="1171" t="str">
        <f>Таблица301715[[#This Row],[Группа]]&amp;Таблица301715[[#This Row],[Номенклатура]]&amp;Таблица301715[[#This Row],[ЕИ]]</f>
        <v>Собственное производствоПрорезка отверстия для горловины обслуживаниячел. ч</v>
      </c>
      <c r="B39" s="1165" t="s">
        <v>72</v>
      </c>
      <c r="C39" s="1165"/>
      <c r="D39" s="1172" t="s">
        <v>371</v>
      </c>
      <c r="E39" s="1172"/>
      <c r="F39" s="1165" t="s">
        <v>212</v>
      </c>
      <c r="G39" s="896">
        <v>1207.8</v>
      </c>
      <c r="H39" s="897" t="s">
        <v>131</v>
      </c>
      <c r="I39" s="898"/>
      <c r="J39" s="899">
        <v>1207.8</v>
      </c>
      <c r="K39" s="1165"/>
    </row>
    <row r="40" spans="1:11" ht="15">
      <c r="A40" s="1171" t="str">
        <f>Таблица301715[[#This Row],[Группа]]&amp;Таблица301715[[#This Row],[Номенклатура]]&amp;Таблица301715[[#This Row],[ЕИ]]</f>
        <v>Собственное производствоПрорезка отверстия патрубка в корпусечел. ч</v>
      </c>
      <c r="B40" s="1165" t="s">
        <v>72</v>
      </c>
      <c r="C40" s="1165"/>
      <c r="D40" s="1172" t="s">
        <v>369</v>
      </c>
      <c r="E40" s="1172"/>
      <c r="F40" s="1165" t="s">
        <v>212</v>
      </c>
      <c r="G40" s="896">
        <v>1207.8</v>
      </c>
      <c r="H40" s="897" t="s">
        <v>131</v>
      </c>
      <c r="I40" s="898"/>
      <c r="J40" s="899">
        <v>1207.8</v>
      </c>
      <c r="K40" s="1165"/>
    </row>
    <row r="41" spans="1:11" ht="15">
      <c r="A41" s="1171" t="str">
        <f>Таблица301715[[#This Row],[Группа]]&amp;Таблица301715[[#This Row],[Номенклатура]]&amp;Таблица301715[[#This Row],[ЕИ]]</f>
        <v>Собственное производствоПрорезка отверстия шахты обслуживаниячел. ч</v>
      </c>
      <c r="B41" s="1165" t="s">
        <v>72</v>
      </c>
      <c r="C41" s="1165"/>
      <c r="D41" s="1172" t="s">
        <v>570</v>
      </c>
      <c r="E41" s="1172"/>
      <c r="F41" s="1165" t="s">
        <v>212</v>
      </c>
      <c r="G41" s="896">
        <v>1207.8</v>
      </c>
      <c r="H41" s="897" t="s">
        <v>131</v>
      </c>
      <c r="I41" s="898"/>
      <c r="J41" s="899">
        <v>1207.8</v>
      </c>
      <c r="K41" s="1165"/>
    </row>
    <row r="42" spans="1:11" ht="15">
      <c r="A42" s="1171" t="str">
        <f>Таблица301715[[#This Row],[Группа]]&amp;Таблица301715[[#This Row],[Номенклатура]]&amp;Таблица301715[[#This Row],[ЕИ]]</f>
        <v>Собственное производствоПрорезка отверстия соединительного патрубка чел. ч</v>
      </c>
      <c r="B42" s="1165" t="s">
        <v>72</v>
      </c>
      <c r="C42" s="1165"/>
      <c r="D42" s="1172" t="s">
        <v>571</v>
      </c>
      <c r="E42" s="1172"/>
      <c r="F42" s="1165" t="s">
        <v>212</v>
      </c>
      <c r="G42" s="896">
        <v>1207.8</v>
      </c>
      <c r="H42" s="897" t="s">
        <v>131</v>
      </c>
      <c r="I42" s="898"/>
      <c r="J42" s="899">
        <v>1207.8</v>
      </c>
      <c r="K42" s="1165"/>
    </row>
    <row r="43" spans="1:11" ht="15">
      <c r="A43" s="1171" t="str">
        <f>Таблица301715[[#This Row],[Группа]]&amp;Таблица301715[[#This Row],[Номенклатура]]&amp;Таблица301715[[#This Row],[ЕИ]]</f>
        <v>Собственное производствоПрорезка отверстия под гильзу входящего патрубкачел. ч</v>
      </c>
      <c r="B43" s="1165" t="s">
        <v>72</v>
      </c>
      <c r="C43" s="1165"/>
      <c r="D43" s="1172" t="s">
        <v>677</v>
      </c>
      <c r="E43" s="1172"/>
      <c r="F43" s="1165" t="s">
        <v>212</v>
      </c>
      <c r="G43" s="896">
        <v>1207.8</v>
      </c>
      <c r="H43" s="897" t="s">
        <v>131</v>
      </c>
      <c r="I43" s="898"/>
      <c r="J43" s="899">
        <v>1207.8</v>
      </c>
      <c r="K43" s="1165"/>
    </row>
    <row r="44" spans="1:11" ht="15">
      <c r="A44" s="1171" t="str">
        <f>Таблица301715[[#This Row],[Группа]]&amp;Таблица301715[[#This Row],[Номенклатура]]&amp;Таблица301715[[#This Row],[ЕИ]]</f>
        <v>Собственное производствоПрорезка отверстия под гильзу напорного патрубка (ов)чел. ч</v>
      </c>
      <c r="B44" s="1165" t="s">
        <v>72</v>
      </c>
      <c r="C44" s="1165"/>
      <c r="D44" s="1172" t="s">
        <v>678</v>
      </c>
      <c r="E44" s="1172"/>
      <c r="F44" s="1165" t="s">
        <v>212</v>
      </c>
      <c r="G44" s="896">
        <v>1207.8</v>
      </c>
      <c r="H44" s="897" t="s">
        <v>131</v>
      </c>
      <c r="I44" s="898"/>
      <c r="J44" s="899">
        <v>1207.8</v>
      </c>
      <c r="K44" s="1165"/>
    </row>
    <row r="45" spans="1:11" ht="15">
      <c r="A45" s="1171" t="str">
        <f>Таблица301715[[#This Row],[Группа]]&amp;Таблица301715[[#This Row],[Номенклатура]]&amp;Таблица301715[[#This Row],[ЕИ]]</f>
        <v>Собственное производствоПрорезка отверстия под гильзу ввода кабелейчел. ч</v>
      </c>
      <c r="B45" s="1165" t="s">
        <v>72</v>
      </c>
      <c r="C45" s="1165"/>
      <c r="D45" s="1172" t="s">
        <v>679</v>
      </c>
      <c r="E45" s="1172"/>
      <c r="F45" s="1165" t="s">
        <v>212</v>
      </c>
      <c r="G45" s="896">
        <v>1207.8</v>
      </c>
      <c r="H45" s="897" t="s">
        <v>131</v>
      </c>
      <c r="I45" s="898"/>
      <c r="J45" s="899">
        <v>1207.8</v>
      </c>
      <c r="K45" s="1165"/>
    </row>
    <row r="46" spans="1:11" ht="15">
      <c r="A46" s="1171" t="str">
        <f>Таблица301715[[#This Row],[Группа]]&amp;Таблица301715[[#This Row],[Номенклатура]]&amp;Таблица301715[[#This Row],[ЕИ]]</f>
        <v>Собственное производствоИзготовление Петель монтажных чел. ч</v>
      </c>
      <c r="B46" s="1165" t="s">
        <v>72</v>
      </c>
      <c r="C46" s="1165"/>
      <c r="D46" s="1172" t="s">
        <v>372</v>
      </c>
      <c r="E46" s="1172"/>
      <c r="F46" s="1165" t="s">
        <v>212</v>
      </c>
      <c r="G46" s="896">
        <v>1207.8</v>
      </c>
      <c r="H46" s="897" t="s">
        <v>131</v>
      </c>
      <c r="I46" s="898"/>
      <c r="J46" s="899">
        <v>1207.8</v>
      </c>
      <c r="K46" s="1165"/>
    </row>
    <row r="47" spans="1:11" ht="15">
      <c r="A47" s="1171" t="str">
        <f>Таблица301715[[#This Row],[Группа]]&amp;Таблица301715[[#This Row],[Номенклатура]]&amp;Таблица301715[[#This Row],[ЕИ]]</f>
        <v>Собственное производствоМонтаж Петель монтажных чел. ч</v>
      </c>
      <c r="B47" s="1165" t="s">
        <v>72</v>
      </c>
      <c r="C47" s="1165"/>
      <c r="D47" s="1172" t="s">
        <v>374</v>
      </c>
      <c r="E47" s="1172"/>
      <c r="F47" s="1165" t="s">
        <v>212</v>
      </c>
      <c r="G47" s="896">
        <v>1207.8</v>
      </c>
      <c r="H47" s="897" t="s">
        <v>131</v>
      </c>
      <c r="I47" s="898"/>
      <c r="J47" s="899">
        <v>1207.8</v>
      </c>
      <c r="K47" s="1165"/>
    </row>
    <row r="48" spans="1:11" ht="15">
      <c r="A48" s="1171" t="str">
        <f>Таблица301715[[#This Row],[Группа]]&amp;Таблица301715[[#This Row],[Номенклатура]]&amp;Таблица301715[[#This Row],[ЕИ]]</f>
        <v>Собственное производствоМонтаж теплоизоляциичел. ч</v>
      </c>
      <c r="B48" s="1165" t="s">
        <v>72</v>
      </c>
      <c r="C48" s="1165"/>
      <c r="D48" s="1172" t="s">
        <v>375</v>
      </c>
      <c r="E48" s="1172"/>
      <c r="F48" s="1165" t="s">
        <v>212</v>
      </c>
      <c r="G48" s="896">
        <v>1207.8</v>
      </c>
      <c r="H48" s="897" t="s">
        <v>131</v>
      </c>
      <c r="I48" s="898"/>
      <c r="J48" s="899">
        <v>1207.8</v>
      </c>
      <c r="K48" s="1165"/>
    </row>
    <row r="49" spans="1:11" ht="15">
      <c r="A49" s="1171" t="str">
        <f>Таблица301715[[#This Row],[Группа]]&amp;Таблица301715[[#This Row],[Номенклатура]]&amp;Таблица301715[[#This Row],[ЕИ]]</f>
        <v>Собственное производствоМонтаж направляющих дробилкичел. ч</v>
      </c>
      <c r="B49" s="1165" t="s">
        <v>72</v>
      </c>
      <c r="C49" s="1165"/>
      <c r="D49" s="1172" t="s">
        <v>680</v>
      </c>
      <c r="E49" s="1172"/>
      <c r="F49" s="1165" t="s">
        <v>212</v>
      </c>
      <c r="G49" s="896">
        <v>1207.8</v>
      </c>
      <c r="H49" s="897" t="s">
        <v>131</v>
      </c>
      <c r="I49" s="898"/>
      <c r="J49" s="899">
        <v>1207.8</v>
      </c>
      <c r="K49" s="1165"/>
    </row>
    <row r="50" spans="1:11" ht="15">
      <c r="A50" s="1171" t="str">
        <f>Таблица301715[[#This Row],[Группа]]&amp;Таблица301715[[#This Row],[Номенклатура]]&amp;Таблица301715[[#This Row],[ЕИ]]</f>
        <v>Собственное производствоИзготовление Сороудерживающей корзинычел. ч</v>
      </c>
      <c r="B50" s="1165" t="s">
        <v>72</v>
      </c>
      <c r="C50" s="1165"/>
      <c r="D50" s="1172" t="s">
        <v>392</v>
      </c>
      <c r="E50" s="1172"/>
      <c r="F50" s="1165" t="s">
        <v>212</v>
      </c>
      <c r="G50" s="896">
        <v>1207.8</v>
      </c>
      <c r="H50" s="897" t="s">
        <v>131</v>
      </c>
      <c r="I50" s="898"/>
      <c r="J50" s="899">
        <v>1207.8</v>
      </c>
      <c r="K50" s="1165"/>
    </row>
    <row r="51" spans="1:11" ht="15">
      <c r="A51" s="1171" t="str">
        <f>Таблица301715[[#This Row],[Группа]]&amp;Таблица301715[[#This Row],[Номенклатура]]&amp;Таблица301715[[#This Row],[ЕИ]]</f>
        <v>Собственное производствоМонтаж Сороудерживающей корзинычел. ч</v>
      </c>
      <c r="B51" s="1165" t="s">
        <v>72</v>
      </c>
      <c r="C51" s="1165"/>
      <c r="D51" s="1172" t="s">
        <v>393</v>
      </c>
      <c r="E51" s="1172"/>
      <c r="F51" s="1165" t="s">
        <v>212</v>
      </c>
      <c r="G51" s="896">
        <v>1207.8</v>
      </c>
      <c r="H51" s="897" t="s">
        <v>131</v>
      </c>
      <c r="I51" s="898"/>
      <c r="J51" s="899">
        <v>1207.8</v>
      </c>
      <c r="K51" s="1165"/>
    </row>
    <row r="52" spans="1:11" ht="15">
      <c r="A52" s="1171" t="str">
        <f>Таблица301715[[#This Row],[Группа]]&amp;Таблица301715[[#This Row],[Номенклатура]]&amp;Таблица301715[[#This Row],[ЕИ]]</f>
        <v>Собственное производствоИзготовление направляющих корзинычел. ч</v>
      </c>
      <c r="B52" s="1165" t="s">
        <v>72</v>
      </c>
      <c r="C52" s="1165"/>
      <c r="D52" s="1172" t="s">
        <v>394</v>
      </c>
      <c r="E52" s="1172"/>
      <c r="F52" s="1165" t="s">
        <v>212</v>
      </c>
      <c r="G52" s="896">
        <v>1207.8</v>
      </c>
      <c r="H52" s="897" t="s">
        <v>131</v>
      </c>
      <c r="I52" s="898"/>
      <c r="J52" s="899">
        <v>1207.8</v>
      </c>
      <c r="K52" s="1165"/>
    </row>
    <row r="53" spans="1:11" ht="15">
      <c r="A53" s="1171" t="str">
        <f>Таблица301715[[#This Row],[Группа]]&amp;Таблица301715[[#This Row],[Номенклатура]]&amp;Таблица301715[[#This Row],[ЕИ]]</f>
        <v>Собственное производствоМонтаж направляющих корзинычел. ч</v>
      </c>
      <c r="B53" s="1165" t="s">
        <v>72</v>
      </c>
      <c r="C53" s="1165"/>
      <c r="D53" s="1172" t="s">
        <v>396</v>
      </c>
      <c r="E53" s="1172"/>
      <c r="F53" s="1165" t="s">
        <v>212</v>
      </c>
      <c r="G53" s="896">
        <v>1207.8</v>
      </c>
      <c r="H53" s="897" t="s">
        <v>131</v>
      </c>
      <c r="I53" s="898"/>
      <c r="J53" s="899">
        <v>1207.8</v>
      </c>
      <c r="K53" s="1165"/>
    </row>
    <row r="54" spans="1:11" ht="15">
      <c r="A54" s="1171" t="str">
        <f>Таблица301715[[#This Row],[Группа]]&amp;Таблица301715[[#This Row],[Номенклатура]]&amp;Таблица301715[[#This Row],[ЕИ]]</f>
        <v>Собственное производствоИзготовление Лестницычел. ч</v>
      </c>
      <c r="B54" s="1165" t="s">
        <v>72</v>
      </c>
      <c r="C54" s="1165"/>
      <c r="D54" s="1172" t="s">
        <v>406</v>
      </c>
      <c r="E54" s="1172"/>
      <c r="F54" s="1165" t="s">
        <v>212</v>
      </c>
      <c r="G54" s="896">
        <v>1207.8</v>
      </c>
      <c r="H54" s="897" t="s">
        <v>131</v>
      </c>
      <c r="I54" s="898"/>
      <c r="J54" s="899">
        <v>1207.8</v>
      </c>
      <c r="K54" s="1165"/>
    </row>
    <row r="55" spans="1:11" ht="15">
      <c r="A55" s="1171" t="str">
        <f>Таблица301715[[#This Row],[Группа]]&amp;Таблица301715[[#This Row],[Номенклатура]]&amp;Таблица301715[[#This Row],[ЕИ]]</f>
        <v>Собственное производствоМонтаж Лестницычел. ч</v>
      </c>
      <c r="B55" s="1165" t="s">
        <v>72</v>
      </c>
      <c r="C55" s="1165"/>
      <c r="D55" s="1172" t="s">
        <v>408</v>
      </c>
      <c r="E55" s="1172"/>
      <c r="F55" s="1165" t="s">
        <v>212</v>
      </c>
      <c r="G55" s="896">
        <v>1207.8</v>
      </c>
      <c r="H55" s="897" t="s">
        <v>131</v>
      </c>
      <c r="I55" s="898"/>
      <c r="J55" s="899">
        <v>1207.8</v>
      </c>
      <c r="K55" s="1165"/>
    </row>
    <row r="56" spans="1:11" ht="15">
      <c r="A56" s="1171" t="str">
        <f>Таблица301715[[#This Row],[Группа]]&amp;Таблица301715[[#This Row],[Номенклатура]]&amp;Таблица301715[[#This Row],[ЕИ]]</f>
        <v>Собственное производствоМеханическая формовка верхнего перекрытиякг</v>
      </c>
      <c r="B56" s="1165" t="s">
        <v>72</v>
      </c>
      <c r="C56" s="1165"/>
      <c r="D56" s="1172" t="s">
        <v>416</v>
      </c>
      <c r="E56" s="1172"/>
      <c r="F56" s="1165" t="s">
        <v>193</v>
      </c>
      <c r="G56" s="896">
        <v>214.4</v>
      </c>
      <c r="H56" s="897" t="s">
        <v>131</v>
      </c>
      <c r="I56" s="898"/>
      <c r="J56" s="899">
        <v>214.4</v>
      </c>
      <c r="K56" s="1165"/>
    </row>
    <row r="57" spans="1:11" ht="15">
      <c r="A57" s="1171" t="str">
        <f>Таблица301715[[#This Row],[Группа]]&amp;Таблица301715[[#This Row],[Номенклатура]]&amp;Таблица301715[[#This Row],[ЕИ]]</f>
        <v>Собственное производствоЛаминирование верхнего перекрытиякг</v>
      </c>
      <c r="B57" s="1165" t="s">
        <v>72</v>
      </c>
      <c r="C57" s="1165"/>
      <c r="D57" s="1172" t="s">
        <v>418</v>
      </c>
      <c r="E57" s="1172"/>
      <c r="F57" s="1165" t="s">
        <v>193</v>
      </c>
      <c r="G57" s="896">
        <v>310.2</v>
      </c>
      <c r="H57" s="897" t="s">
        <v>131</v>
      </c>
      <c r="I57" s="898"/>
      <c r="J57" s="899">
        <v>310.2</v>
      </c>
      <c r="K57" s="1165"/>
    </row>
    <row r="58" spans="1:11" ht="15">
      <c r="A58" s="1171" t="str">
        <f>Таблица301715[[#This Row],[Группа]]&amp;Таблица301715[[#This Row],[Номенклатура]]&amp;Таблица301715[[#This Row],[ЕИ]]</f>
        <v>Собственное производствоМеханическая формовка стеклокомпозитной крышкикг</v>
      </c>
      <c r="B58" s="1165" t="s">
        <v>72</v>
      </c>
      <c r="C58" s="1165"/>
      <c r="D58" s="1172" t="s">
        <v>424</v>
      </c>
      <c r="E58" s="1172"/>
      <c r="F58" s="1165" t="s">
        <v>193</v>
      </c>
      <c r="G58" s="896">
        <v>214.4</v>
      </c>
      <c r="H58" s="897" t="s">
        <v>131</v>
      </c>
      <c r="I58" s="898"/>
      <c r="J58" s="899">
        <v>214.4</v>
      </c>
      <c r="K58" s="1165"/>
    </row>
    <row r="59" spans="1:11" ht="15">
      <c r="A59" s="1171" t="str">
        <f>Таблица301715[[#This Row],[Группа]]&amp;Таблица301715[[#This Row],[Номенклатура]]&amp;Таблица301715[[#This Row],[ЕИ]]</f>
        <v>Собственное производствоЛаминирование стеклокомпозитной крышкикг</v>
      </c>
      <c r="B59" s="1165" t="s">
        <v>72</v>
      </c>
      <c r="C59" s="1165"/>
      <c r="D59" s="1172" t="s">
        <v>425</v>
      </c>
      <c r="E59" s="1172"/>
      <c r="F59" s="1165" t="s">
        <v>193</v>
      </c>
      <c r="G59" s="896">
        <v>310.2</v>
      </c>
      <c r="H59" s="897" t="s">
        <v>131</v>
      </c>
      <c r="I59" s="898"/>
      <c r="J59" s="899">
        <v>310.2</v>
      </c>
      <c r="K59" s="1165"/>
    </row>
    <row r="60" spans="1:11" ht="15">
      <c r="A60" s="1171" t="str">
        <f>Таблица301715[[#This Row],[Группа]]&amp;Таблица301715[[#This Row],[Номенклатура]]&amp;Таблица301715[[#This Row],[ЕИ]]</f>
        <v>Собственное производствоИзготовление рамы перекрытия из профильной трубы чел. ч</v>
      </c>
      <c r="B60" s="1165" t="s">
        <v>72</v>
      </c>
      <c r="C60" s="1165"/>
      <c r="D60" s="1172" t="s">
        <v>447</v>
      </c>
      <c r="E60" s="1172"/>
      <c r="F60" s="1165" t="s">
        <v>212</v>
      </c>
      <c r="G60" s="896">
        <v>1207.8</v>
      </c>
      <c r="H60" s="897" t="s">
        <v>131</v>
      </c>
      <c r="I60" s="898"/>
      <c r="J60" s="899">
        <v>1207.8</v>
      </c>
      <c r="K60" s="1165"/>
    </row>
    <row r="61" spans="1:11" ht="15">
      <c r="A61" s="1171" t="str">
        <f>Таблица301715[[#This Row],[Группа]]&amp;Таблица301715[[#This Row],[Номенклатура]]&amp;Таблица301715[[#This Row],[ЕИ]]</f>
        <v>Собственное производствоМонтаж рамы перекрытия на верхнем стеклокомпозитном перекрытиичел. ч</v>
      </c>
      <c r="B61" s="1165" t="s">
        <v>72</v>
      </c>
      <c r="C61" s="1165"/>
      <c r="D61" s="1172" t="s">
        <v>449</v>
      </c>
      <c r="E61" s="1172"/>
      <c r="F61" s="1165" t="s">
        <v>212</v>
      </c>
      <c r="G61" s="896">
        <v>1207.8</v>
      </c>
      <c r="H61" s="897" t="s">
        <v>131</v>
      </c>
      <c r="I61" s="898"/>
      <c r="J61" s="899">
        <v>1207.8</v>
      </c>
      <c r="K61" s="1165"/>
    </row>
    <row r="62" spans="1:11" ht="15">
      <c r="A62" s="1171" t="str">
        <f>Таблица301715[[#This Row],[Группа]]&amp;Таблица301715[[#This Row],[Номенклатура]]&amp;Таблица301715[[#This Row],[ЕИ]]</f>
        <v>Собственное производствоПрорезка люков (горловин) в стеклокомпозитном перекрытиичел. ч</v>
      </c>
      <c r="B62" s="1165" t="s">
        <v>72</v>
      </c>
      <c r="C62" s="1165"/>
      <c r="D62" s="1172" t="s">
        <v>697</v>
      </c>
      <c r="E62" s="1172"/>
      <c r="F62" s="1165" t="s">
        <v>212</v>
      </c>
      <c r="G62" s="896">
        <v>1207.8</v>
      </c>
      <c r="H62" s="897" t="s">
        <v>131</v>
      </c>
      <c r="I62" s="898"/>
      <c r="J62" s="899">
        <v>1207.8</v>
      </c>
      <c r="K62" s="1165"/>
    </row>
    <row r="63" spans="1:11" ht="15">
      <c r="A63" s="1171" t="str">
        <f>Таблица301715[[#This Row],[Группа]]&amp;Таблица301715[[#This Row],[Номенклатура]]&amp;Таблица301715[[#This Row],[ЕИ]]</f>
        <v>Собственное производствоМонтаж рамы перекрытия на верхнем нержавеющем перекрытиичел. ч</v>
      </c>
      <c r="B63" s="1165" t="s">
        <v>72</v>
      </c>
      <c r="C63" s="1165"/>
      <c r="D63" s="1172" t="s">
        <v>453</v>
      </c>
      <c r="E63" s="1172"/>
      <c r="F63" s="1165" t="s">
        <v>212</v>
      </c>
      <c r="G63" s="896">
        <v>1207.8</v>
      </c>
      <c r="H63" s="897" t="s">
        <v>131</v>
      </c>
      <c r="I63" s="898"/>
      <c r="J63" s="899">
        <v>1207.8</v>
      </c>
      <c r="K63" s="1165"/>
    </row>
    <row r="64" spans="1:11" ht="15">
      <c r="A64" s="1171" t="str">
        <f>Таблица301715[[#This Row],[Группа]]&amp;Таблица301715[[#This Row],[Номенклатура]]&amp;Таблица301715[[#This Row],[ЕИ]]</f>
        <v>Собственное производствоРаскрой ст.листов и их монтаж на раму перекрытия при помощи саморезовчел. ч</v>
      </c>
      <c r="B64" s="1165" t="s">
        <v>72</v>
      </c>
      <c r="C64" s="1165"/>
      <c r="D64" s="1172" t="s">
        <v>454</v>
      </c>
      <c r="E64" s="1172"/>
      <c r="F64" s="1165" t="s">
        <v>212</v>
      </c>
      <c r="G64" s="896">
        <v>1207.8</v>
      </c>
      <c r="H64" s="897" t="s">
        <v>131</v>
      </c>
      <c r="I64" s="898"/>
      <c r="J64" s="899">
        <v>1207.8</v>
      </c>
      <c r="K64" s="1165"/>
    </row>
    <row r="65" spans="1:27" ht="15">
      <c r="A65" s="1171" t="str">
        <f>Таблица301715[[#This Row],[Группа]]&amp;Таблица301715[[#This Row],[Номенклатура]]&amp;Таблица301715[[#This Row],[ЕИ]]</f>
        <v>Собственное производствоИзготовление люков обслуживания из стальных листов и уголка 40х40х3чел. ч</v>
      </c>
      <c r="B65" s="1165" t="s">
        <v>72</v>
      </c>
      <c r="C65" s="1165"/>
      <c r="D65" s="1172" t="s">
        <v>455</v>
      </c>
      <c r="E65" s="1172"/>
      <c r="F65" s="1165" t="s">
        <v>212</v>
      </c>
      <c r="G65" s="896">
        <v>1207.8</v>
      </c>
      <c r="H65" s="897" t="s">
        <v>131</v>
      </c>
      <c r="I65" s="898"/>
      <c r="J65" s="899">
        <v>1207.8</v>
      </c>
      <c r="K65" s="1165"/>
    </row>
    <row r="66" spans="1:27" ht="15">
      <c r="A66" s="1171" t="str">
        <f>Таблица301715[[#This Row],[Группа]]&amp;Таблица301715[[#This Row],[Номенклатура]]&amp;Таблица301715[[#This Row],[ЕИ]]</f>
        <v>Собственное производствоМонтаж люков обслуживания на перекрытие на приварных петляхчел. ч</v>
      </c>
      <c r="B66" s="1165" t="s">
        <v>72</v>
      </c>
      <c r="C66" s="1165"/>
      <c r="D66" s="1172" t="s">
        <v>456</v>
      </c>
      <c r="E66" s="1172"/>
      <c r="F66" s="1165" t="s">
        <v>212</v>
      </c>
      <c r="G66" s="896">
        <v>1207.8</v>
      </c>
      <c r="H66" s="897" t="s">
        <v>131</v>
      </c>
      <c r="I66" s="898"/>
      <c r="J66" s="899">
        <v>1207.8</v>
      </c>
      <c r="K66" s="1165"/>
    </row>
    <row r="67" spans="1:27" ht="15">
      <c r="A67" s="1171" t="str">
        <f>Таблица301715[[#This Row],[Группа]]&amp;Таблица301715[[#This Row],[Номенклатура]]&amp;Таблица301715[[#This Row],[ЕИ]]</f>
        <v>Собственное производствоМонтаж складных ручек на болтах М6чел. ч</v>
      </c>
      <c r="B67" s="1165" t="s">
        <v>72</v>
      </c>
      <c r="C67" s="1165"/>
      <c r="D67" s="1172" t="s">
        <v>451</v>
      </c>
      <c r="E67" s="1172"/>
      <c r="F67" s="1165" t="s">
        <v>212</v>
      </c>
      <c r="G67" s="896">
        <v>1207.8</v>
      </c>
      <c r="H67" s="897" t="s">
        <v>131</v>
      </c>
      <c r="I67" s="898"/>
      <c r="J67" s="899">
        <v>1207.8</v>
      </c>
      <c r="K67" s="1165"/>
    </row>
    <row r="68" spans="1:27" ht="15">
      <c r="A68" s="1171" t="str">
        <f>Таблица301715[[#This Row],[Группа]]&amp;Таблица301715[[#This Row],[Номенклатура]]&amp;Таблица301715[[#This Row],[ЕИ]]</f>
        <v>Собственное производствоМонтаж замка натяжного, петли и концевого выключателячел. ч</v>
      </c>
      <c r="B68" s="1165" t="s">
        <v>72</v>
      </c>
      <c r="C68" s="1165"/>
      <c r="D68" s="1172" t="s">
        <v>586</v>
      </c>
      <c r="E68" s="1172"/>
      <c r="F68" s="1165" t="s">
        <v>212</v>
      </c>
      <c r="G68" s="896">
        <v>1207.8</v>
      </c>
      <c r="H68" s="897" t="s">
        <v>131</v>
      </c>
      <c r="I68" s="898"/>
      <c r="J68" s="899">
        <v>1207.8</v>
      </c>
      <c r="K68" s="1165"/>
    </row>
    <row r="69" spans="1:27" ht="15">
      <c r="A69" s="1171" t="str">
        <f>Таблица301715[[#This Row],[Группа]]&amp;Таблица301715[[#This Row],[Номенклатура]]&amp;Таблица301715[[#This Row],[ЕИ]]</f>
        <v>Собственное производствоМонтаж петли приварной из нержавеющей сталичел. ч</v>
      </c>
      <c r="B69" s="1165" t="s">
        <v>72</v>
      </c>
      <c r="C69" s="1165"/>
      <c r="D69" s="1172" t="s">
        <v>457</v>
      </c>
      <c r="E69" s="1172"/>
      <c r="F69" s="1165" t="s">
        <v>212</v>
      </c>
      <c r="G69" s="896">
        <v>1207.8</v>
      </c>
      <c r="H69" s="897" t="s">
        <v>131</v>
      </c>
      <c r="I69" s="898"/>
      <c r="J69" s="899">
        <v>1207.8</v>
      </c>
      <c r="K69" s="1165"/>
      <c r="Q69" s="738" t="str">
        <f>B68&amp;D68&amp;F68</f>
        <v>Собственное производствоМонтаж замка натяжного, петли и концевого выключателячел. ч</v>
      </c>
      <c r="AA69" s="738" t="b">
        <f>Q69=Q70</f>
        <v>1</v>
      </c>
    </row>
    <row r="70" spans="1:27" ht="15">
      <c r="A70" s="1171" t="str">
        <f>Таблица301715[[#This Row],[Группа]]&amp;Таблица301715[[#This Row],[Номенклатура]]&amp;Таблица301715[[#This Row],[ЕИ]]</f>
        <v>Собственное производствоИзготовление поддержив. конструкций площадки обслуживания из проф.трубычел. ч</v>
      </c>
      <c r="B70" s="1165" t="s">
        <v>72</v>
      </c>
      <c r="C70" s="1165"/>
      <c r="D70" s="1172" t="s">
        <v>458</v>
      </c>
      <c r="E70" s="1172"/>
      <c r="F70" s="1165" t="s">
        <v>212</v>
      </c>
      <c r="G70" s="896">
        <v>1207.8</v>
      </c>
      <c r="H70" s="897" t="s">
        <v>131</v>
      </c>
      <c r="I70" s="898"/>
      <c r="J70" s="899">
        <v>1207.8</v>
      </c>
      <c r="K70" s="1165"/>
      <c r="Q70" s="738" t="s">
        <v>962</v>
      </c>
    </row>
    <row r="71" spans="1:27" ht="15">
      <c r="A71" s="1171" t="str">
        <f>Таблица301715[[#This Row],[Группа]]&amp;Таблица301715[[#This Row],[Номенклатура]]&amp;Таблица301715[[#This Row],[ЕИ]]</f>
        <v>Собственное производствоМонтаж площадкичел. ч</v>
      </c>
      <c r="B71" s="1165" t="s">
        <v>72</v>
      </c>
      <c r="C71" s="1165"/>
      <c r="D71" s="1172" t="s">
        <v>459</v>
      </c>
      <c r="E71" s="1172"/>
      <c r="F71" s="1165" t="s">
        <v>212</v>
      </c>
      <c r="G71" s="896">
        <v>1207.8</v>
      </c>
      <c r="H71" s="897" t="s">
        <v>131</v>
      </c>
      <c r="I71" s="898"/>
      <c r="J71" s="899">
        <v>1207.8</v>
      </c>
      <c r="K71" s="1165"/>
    </row>
    <row r="72" spans="1:27" ht="15">
      <c r="A72" s="1171" t="str">
        <f>Таблица301715[[#This Row],[Группа]]&amp;Таблица301715[[#This Row],[Номенклатура]]&amp;Таблица301715[[#This Row],[ЕИ]]</f>
        <v>Собственное производствоРаскрой листов настила для площадки обслуживаниячел. ч</v>
      </c>
      <c r="B72" s="1165" t="s">
        <v>72</v>
      </c>
      <c r="C72" s="1165"/>
      <c r="D72" s="1172" t="s">
        <v>1944</v>
      </c>
      <c r="E72" s="1172"/>
      <c r="F72" s="1165" t="s">
        <v>212</v>
      </c>
      <c r="G72" s="896">
        <v>1207.8</v>
      </c>
      <c r="H72" s="897" t="s">
        <v>131</v>
      </c>
      <c r="I72" s="898"/>
      <c r="J72" s="899">
        <v>1207.8</v>
      </c>
      <c r="K72" s="1165"/>
    </row>
    <row r="73" spans="1:27" ht="15">
      <c r="A73" s="1171" t="str">
        <f>Таблица301715[[#This Row],[Группа]]&amp;Таблица301715[[#This Row],[Номенклатура]]&amp;Таблица301715[[#This Row],[ЕИ]]</f>
        <v>Собственное производствоИзготовление "стульчиков" из уголка 100х100х6,0чел. ч</v>
      </c>
      <c r="B73" s="1165" t="s">
        <v>72</v>
      </c>
      <c r="C73" s="1165"/>
      <c r="D73" s="1172" t="s">
        <v>460</v>
      </c>
      <c r="E73" s="1172"/>
      <c r="F73" s="1165" t="s">
        <v>212</v>
      </c>
      <c r="G73" s="896">
        <v>1207.8</v>
      </c>
      <c r="H73" s="897" t="s">
        <v>131</v>
      </c>
      <c r="I73" s="898"/>
      <c r="J73" s="899">
        <v>1207.8</v>
      </c>
      <c r="K73" s="1165"/>
    </row>
    <row r="74" spans="1:27" ht="15">
      <c r="A74" s="1171" t="str">
        <f>Таблица301715[[#This Row],[Группа]]&amp;Таблица301715[[#This Row],[Номенклатура]]&amp;Таблица301715[[#This Row],[ЕИ]]</f>
        <v>Собственное производствоМонтаж "стульчиков"чел. ч</v>
      </c>
      <c r="B74" s="1165" t="s">
        <v>72</v>
      </c>
      <c r="C74" s="1165"/>
      <c r="D74" s="1172" t="s">
        <v>461</v>
      </c>
      <c r="E74" s="1172"/>
      <c r="F74" s="1165" t="s">
        <v>212</v>
      </c>
      <c r="G74" s="896">
        <v>1207.8</v>
      </c>
      <c r="H74" s="897" t="s">
        <v>131</v>
      </c>
      <c r="I74" s="898"/>
      <c r="J74" s="899">
        <v>1207.8</v>
      </c>
      <c r="K74" s="1165"/>
    </row>
    <row r="75" spans="1:27" ht="15">
      <c r="A75" s="1171" t="str">
        <f>Таблица301715[[#This Row],[Группа]]&amp;Таблица301715[[#This Row],[Номенклатура]]&amp;Таблица301715[[#This Row],[ЕИ]]</f>
        <v>Собственное производствоМонтаж емкости к бетонному основанию ремнями стяжнымичел. ч</v>
      </c>
      <c r="B75" s="1165" t="s">
        <v>72</v>
      </c>
      <c r="C75" s="1165"/>
      <c r="D75" s="1172" t="s">
        <v>2201</v>
      </c>
      <c r="E75" s="1172"/>
      <c r="F75" s="1165" t="s">
        <v>212</v>
      </c>
      <c r="G75" s="896">
        <v>1207.8</v>
      </c>
      <c r="H75" s="897" t="s">
        <v>131</v>
      </c>
      <c r="I75" s="1181"/>
      <c r="J75" s="899">
        <v>1207.8</v>
      </c>
      <c r="K75" s="1165"/>
    </row>
    <row r="76" spans="1:27" ht="15">
      <c r="A76" s="1171" t="str">
        <f>Таблица301715[[#This Row],[Группа]]&amp;Таблица301715[[#This Row],[Номенклатура]]&amp;Таблица301715[[#This Row],[ЕИ]]</f>
        <v>Собственное производствоИзготовление направляющих насосовчел. ч</v>
      </c>
      <c r="B76" s="1165" t="s">
        <v>72</v>
      </c>
      <c r="C76" s="1165"/>
      <c r="D76" s="1172" t="s">
        <v>587</v>
      </c>
      <c r="E76" s="1172"/>
      <c r="F76" s="1165" t="s">
        <v>212</v>
      </c>
      <c r="G76" s="896">
        <v>1207.8</v>
      </c>
      <c r="H76" s="897" t="s">
        <v>131</v>
      </c>
      <c r="I76" s="898"/>
      <c r="J76" s="899">
        <v>1207.8</v>
      </c>
      <c r="K76" s="1165"/>
    </row>
    <row r="77" spans="1:27" ht="15">
      <c r="A77" s="1171" t="str">
        <f>Таблица301715[[#This Row],[Группа]]&amp;Таблица301715[[#This Row],[Номенклатура]]&amp;Таблица301715[[#This Row],[ЕИ]]</f>
        <v>Собственное производствоМонтаж направляющих насосовчел. ч</v>
      </c>
      <c r="B77" s="1165" t="s">
        <v>72</v>
      </c>
      <c r="C77" s="1165"/>
      <c r="D77" s="1172" t="s">
        <v>589</v>
      </c>
      <c r="E77" s="1172"/>
      <c r="F77" s="1165" t="s">
        <v>212</v>
      </c>
      <c r="G77" s="896">
        <v>1207.8</v>
      </c>
      <c r="H77" s="897" t="s">
        <v>131</v>
      </c>
      <c r="I77" s="898"/>
      <c r="J77" s="899">
        <v>1207.8</v>
      </c>
      <c r="K77" s="1165"/>
    </row>
    <row r="78" spans="1:27" ht="15">
      <c r="A78" s="1171" t="str">
        <f>Таблица301715[[#This Row],[Группа]]&amp;Таблица301715[[#This Row],[Номенклатура]]&amp;Таблица301715[[#This Row],[ЕИ]]</f>
        <v>Собственное производствоИзготовление рамы насосовчел. ч</v>
      </c>
      <c r="B78" s="1165" t="s">
        <v>72</v>
      </c>
      <c r="C78" s="1165"/>
      <c r="D78" s="1172" t="s">
        <v>590</v>
      </c>
      <c r="E78" s="1172"/>
      <c r="F78" s="1165" t="s">
        <v>212</v>
      </c>
      <c r="G78" s="896">
        <v>1207.8</v>
      </c>
      <c r="H78" s="897" t="s">
        <v>131</v>
      </c>
      <c r="I78" s="898"/>
      <c r="J78" s="899">
        <v>1207.8</v>
      </c>
      <c r="K78" s="1165"/>
    </row>
    <row r="79" spans="1:27" ht="15">
      <c r="A79" s="1171" t="str">
        <f>Таблица301715[[#This Row],[Группа]]&amp;Таблица301715[[#This Row],[Номенклатура]]&amp;Таблица301715[[#This Row],[ЕИ]]</f>
        <v>Собственное производствоИзготовление откидывающихся люковчел. ч</v>
      </c>
      <c r="B79" s="1165" t="s">
        <v>72</v>
      </c>
      <c r="C79" s="1165"/>
      <c r="D79" s="1172" t="s">
        <v>2076</v>
      </c>
      <c r="E79" s="1172"/>
      <c r="F79" s="1165" t="s">
        <v>212</v>
      </c>
      <c r="G79" s="896">
        <v>1207.8</v>
      </c>
      <c r="H79" s="897" t="s">
        <v>131</v>
      </c>
      <c r="I79" s="898"/>
      <c r="J79" s="899">
        <v>1207.8</v>
      </c>
      <c r="K79" s="1165"/>
    </row>
    <row r="80" spans="1:27" ht="15">
      <c r="A80" s="1171" t="str">
        <f>Таблица301715[[#This Row],[Группа]]&amp;Таблица301715[[#This Row],[Номенклатура]]&amp;Таблица301715[[#This Row],[ЕИ]]</f>
        <v>Собственное производствоМонтаж откидывающихся люковчел. ч</v>
      </c>
      <c r="B80" s="1165" t="s">
        <v>72</v>
      </c>
      <c r="C80" s="1165"/>
      <c r="D80" s="1172" t="s">
        <v>2077</v>
      </c>
      <c r="E80" s="1172"/>
      <c r="F80" s="1165" t="s">
        <v>212</v>
      </c>
      <c r="G80" s="896">
        <v>1207.8</v>
      </c>
      <c r="H80" s="897" t="s">
        <v>131</v>
      </c>
      <c r="I80" s="898"/>
      <c r="J80" s="899">
        <v>1207.8</v>
      </c>
      <c r="K80" s="1165"/>
    </row>
    <row r="81" spans="1:12" ht="15">
      <c r="A81" s="1171" t="str">
        <f>Таблица301715[[#This Row],[Группа]]&amp;Таблица301715[[#This Row],[Номенклатура]]&amp;Таблица301715[[#This Row],[ЕИ]]</f>
        <v>Собственное производствоИзготовление поручня для спускачел. ч</v>
      </c>
      <c r="B81" s="1165" t="s">
        <v>72</v>
      </c>
      <c r="C81" s="1165"/>
      <c r="D81" s="1172" t="s">
        <v>698</v>
      </c>
      <c r="E81" s="1172"/>
      <c r="F81" s="1165" t="s">
        <v>212</v>
      </c>
      <c r="G81" s="896">
        <v>1207.8</v>
      </c>
      <c r="H81" s="897" t="s">
        <v>131</v>
      </c>
      <c r="I81" s="898"/>
      <c r="J81" s="899">
        <v>1207.8</v>
      </c>
      <c r="K81" s="1165"/>
    </row>
    <row r="82" spans="1:12" ht="15">
      <c r="A82" s="1171" t="str">
        <f>Таблица301715[[#This Row],[Группа]]&amp;Таблица301715[[#This Row],[Номенклатура]]&amp;Таблица301715[[#This Row],[ЕИ]]</f>
        <v>Собственное производствоМонтаж поручня для спускачел. ч</v>
      </c>
      <c r="B82" s="1165" t="s">
        <v>72</v>
      </c>
      <c r="C82" s="1165"/>
      <c r="D82" s="1172" t="s">
        <v>699</v>
      </c>
      <c r="E82" s="1172"/>
      <c r="F82" s="1165" t="s">
        <v>212</v>
      </c>
      <c r="G82" s="896">
        <v>1207.8</v>
      </c>
      <c r="H82" s="897" t="s">
        <v>131</v>
      </c>
      <c r="I82" s="898"/>
      <c r="J82" s="899">
        <v>1207.8</v>
      </c>
      <c r="K82" s="1165"/>
    </row>
    <row r="83" spans="1:12" ht="15">
      <c r="A83" s="1171" t="str">
        <f>Таблица301715[[#This Row],[Группа]]&amp;Таблица301715[[#This Row],[Номенклатура]]&amp;Таблица301715[[#This Row],[ЕИ]]</f>
        <v>Собственное производствоИзготовление перехватывающего устройствачел. ч</v>
      </c>
      <c r="B83" s="1165" t="s">
        <v>72</v>
      </c>
      <c r="C83" s="1165"/>
      <c r="D83" s="1172" t="s">
        <v>2078</v>
      </c>
      <c r="E83" s="1172"/>
      <c r="F83" s="1165" t="s">
        <v>212</v>
      </c>
      <c r="G83" s="896">
        <v>1207.8</v>
      </c>
      <c r="H83" s="897" t="s">
        <v>131</v>
      </c>
      <c r="I83" s="898"/>
      <c r="J83" s="899">
        <v>1207.8</v>
      </c>
      <c r="K83" s="1165"/>
    </row>
    <row r="84" spans="1:12" ht="15">
      <c r="A84" s="1171" t="str">
        <f>Таблица301715[[#This Row],[Группа]]&amp;Таблица301715[[#This Row],[Номенклатура]]&amp;Таблица301715[[#This Row],[ЕИ]]</f>
        <v>Собственное производствоМонтаж перехватывающего устройствачел. ч</v>
      </c>
      <c r="B84" s="1165" t="s">
        <v>72</v>
      </c>
      <c r="C84" s="1165"/>
      <c r="D84" s="1172" t="s">
        <v>2079</v>
      </c>
      <c r="E84" s="1172"/>
      <c r="F84" s="1165" t="s">
        <v>212</v>
      </c>
      <c r="G84" s="896">
        <v>1207.8</v>
      </c>
      <c r="H84" s="897" t="s">
        <v>131</v>
      </c>
      <c r="I84" s="898"/>
      <c r="J84" s="899">
        <v>1207.8</v>
      </c>
      <c r="K84" s="1165"/>
    </row>
    <row r="85" spans="1:12" ht="15">
      <c r="A85" s="1171" t="str">
        <f>Таблица301715[[#This Row],[Группа]]&amp;Таблица301715[[#This Row],[Номенклатура]]&amp;Таблица301715[[#This Row],[ЕИ]]</f>
        <v>Собственное производствоМонтаж рамы насосовчел. ч</v>
      </c>
      <c r="B85" s="1165" t="s">
        <v>72</v>
      </c>
      <c r="C85" s="1165"/>
      <c r="D85" s="1172" t="s">
        <v>592</v>
      </c>
      <c r="E85" s="1172"/>
      <c r="F85" s="1165" t="s">
        <v>212</v>
      </c>
      <c r="G85" s="896">
        <v>1207.8</v>
      </c>
      <c r="H85" s="897" t="s">
        <v>131</v>
      </c>
      <c r="I85" s="898"/>
      <c r="J85" s="899">
        <v>1207.8</v>
      </c>
      <c r="K85" s="1165"/>
    </row>
    <row r="86" spans="1:12" ht="15">
      <c r="A86" s="1171" t="str">
        <f>Таблица301715[[#This Row],[Группа]]&amp;Таблица301715[[#This Row],[Номенклатура]]&amp;Таблица301715[[#This Row],[ЕИ]]</f>
        <v>Собственное производствоМонтаж анкерных болтов к плите перекрытиячел. ч</v>
      </c>
      <c r="B86" s="1165" t="s">
        <v>72</v>
      </c>
      <c r="C86" s="1165"/>
      <c r="D86" s="1172" t="s">
        <v>1945</v>
      </c>
      <c r="E86" s="1172"/>
      <c r="F86" s="1165" t="s">
        <v>212</v>
      </c>
      <c r="G86" s="896">
        <v>1207.8</v>
      </c>
      <c r="H86" s="897" t="s">
        <v>131</v>
      </c>
      <c r="I86" s="898"/>
      <c r="J86" s="899">
        <v>1207.8</v>
      </c>
      <c r="K86" s="1165"/>
    </row>
    <row r="87" spans="1:12" ht="15">
      <c r="A87" s="1171" t="str">
        <f>Таблица301715[[#This Row],[Группа]]&amp;Таблица301715[[#This Row],[Номенклатура]]&amp;Таблица301715[[#This Row],[ЕИ]]</f>
        <v>Собственное производствоИзготовление "башмаков" из уголка 125х125х10чел. ч</v>
      </c>
      <c r="B87" s="1165" t="s">
        <v>72</v>
      </c>
      <c r="C87" s="1165"/>
      <c r="D87" s="1172" t="s">
        <v>463</v>
      </c>
      <c r="E87" s="1172"/>
      <c r="F87" s="1165" t="s">
        <v>212</v>
      </c>
      <c r="G87" s="896">
        <v>1207.8</v>
      </c>
      <c r="H87" s="897" t="s">
        <v>131</v>
      </c>
      <c r="I87" s="898"/>
      <c r="J87" s="899">
        <v>1207.8</v>
      </c>
      <c r="K87" s="1165"/>
    </row>
    <row r="88" spans="1:12" ht="15.75">
      <c r="A88" s="1171" t="str">
        <f>Таблица301715[[#This Row],[Группа]]&amp;Таблица301715[[#This Row],[Номенклатура]]&amp;Таблица301715[[#This Row],[ЕИ]]</f>
        <v>Собственное производствоМонтаж "башмаков" из уголка 125х125х10чел. ч</v>
      </c>
      <c r="B88" s="1165" t="s">
        <v>72</v>
      </c>
      <c r="C88" s="1165"/>
      <c r="D88" s="1172" t="s">
        <v>465</v>
      </c>
      <c r="E88" s="1172"/>
      <c r="F88" s="1165" t="s">
        <v>212</v>
      </c>
      <c r="G88" s="896">
        <v>1207.8</v>
      </c>
      <c r="H88" s="897" t="s">
        <v>131</v>
      </c>
      <c r="I88" s="898"/>
      <c r="J88" s="899">
        <v>1207.8</v>
      </c>
      <c r="K88" s="1165"/>
      <c r="L88" s="1174"/>
    </row>
    <row r="89" spans="1:12" ht="15">
      <c r="A89" s="1171" t="str">
        <f>Таблица301715[[#This Row],[Группа]]&amp;Таблица301715[[#This Row],[Номенклатура]]&amp;Таблица301715[[#This Row],[ЕИ]]</f>
        <v>Собственное производствоПрорезка отверстия вентиляции в перекрытиичел. ч</v>
      </c>
      <c r="B89" s="1165" t="s">
        <v>72</v>
      </c>
      <c r="C89" s="1165"/>
      <c r="D89" s="1172" t="s">
        <v>476</v>
      </c>
      <c r="E89" s="1172"/>
      <c r="F89" s="1165" t="s">
        <v>212</v>
      </c>
      <c r="G89" s="896">
        <v>1207.8</v>
      </c>
      <c r="H89" s="897" t="s">
        <v>131</v>
      </c>
      <c r="I89" s="898"/>
      <c r="J89" s="899">
        <v>1207.8</v>
      </c>
      <c r="K89" s="1165"/>
    </row>
    <row r="90" spans="1:12" ht="15">
      <c r="A90" s="1171" t="str">
        <f>Таблица301715[[#This Row],[Группа]]&amp;Таблица301715[[#This Row],[Номенклатура]]&amp;Таблица301715[[#This Row],[ЕИ]]</f>
        <v>Собственное производствоМонтаж вентиляционного стоякачел. ч</v>
      </c>
      <c r="B90" s="1165" t="s">
        <v>72</v>
      </c>
      <c r="C90" s="1165"/>
      <c r="D90" s="1172" t="s">
        <v>477</v>
      </c>
      <c r="E90" s="1172"/>
      <c r="F90" s="1165" t="s">
        <v>212</v>
      </c>
      <c r="G90" s="896">
        <v>1207.8</v>
      </c>
      <c r="H90" s="897" t="s">
        <v>131</v>
      </c>
      <c r="I90" s="898"/>
      <c r="J90" s="899">
        <v>1207.8</v>
      </c>
      <c r="K90" s="1165"/>
    </row>
    <row r="91" spans="1:12" ht="15">
      <c r="A91" s="1171" t="str">
        <f>Таблица301715[[#This Row],[Группа]]&amp;Таблица301715[[#This Row],[Номенклатура]]&amp;Таблица301715[[#This Row],[ЕИ]]</f>
        <v>Собственное производствоИзготовление напорного трубопроводачел. ч</v>
      </c>
      <c r="B91" s="1165" t="s">
        <v>72</v>
      </c>
      <c r="C91" s="1165"/>
      <c r="D91" s="1172" t="s">
        <v>608</v>
      </c>
      <c r="E91" s="1172"/>
      <c r="F91" s="1165" t="s">
        <v>212</v>
      </c>
      <c r="G91" s="896">
        <v>1207.8</v>
      </c>
      <c r="H91" s="897" t="s">
        <v>131</v>
      </c>
      <c r="I91" s="898"/>
      <c r="J91" s="899">
        <v>1207.8</v>
      </c>
      <c r="K91" s="1165"/>
    </row>
    <row r="92" spans="1:12" ht="15">
      <c r="A92" s="1171" t="str">
        <f>Таблица301715[[#This Row],[Группа]]&amp;Таблица301715[[#This Row],[Номенклатура]]&amp;Таблица301715[[#This Row],[ЕИ]]</f>
        <v>Собственное производствоМонтаж напорного трубопроводачел. ч</v>
      </c>
      <c r="B92" s="1165" t="s">
        <v>72</v>
      </c>
      <c r="C92" s="1165"/>
      <c r="D92" s="1172" t="s">
        <v>610</v>
      </c>
      <c r="E92" s="1172"/>
      <c r="F92" s="1165" t="s">
        <v>212</v>
      </c>
      <c r="G92" s="896">
        <v>1207.8</v>
      </c>
      <c r="H92" s="897" t="s">
        <v>131</v>
      </c>
      <c r="I92" s="898"/>
      <c r="J92" s="899">
        <v>1207.8</v>
      </c>
      <c r="K92" s="1165"/>
    </row>
    <row r="93" spans="1:12" ht="15">
      <c r="A93" s="1171" t="str">
        <f>Таблица301715[[#This Row],[Группа]]&amp;Таблица301715[[#This Row],[Номенклатура]]&amp;Таблица301715[[#This Row],[ЕИ]]</f>
        <v>Собственное производствоИзготовление трубопровода гидросмывачел. ч</v>
      </c>
      <c r="B93" s="1165" t="s">
        <v>72</v>
      </c>
      <c r="C93" s="1165"/>
      <c r="D93" s="1172" t="s">
        <v>963</v>
      </c>
      <c r="E93" s="1172"/>
      <c r="F93" s="1165" t="s">
        <v>212</v>
      </c>
      <c r="G93" s="896">
        <v>1207.8</v>
      </c>
      <c r="H93" s="897" t="s">
        <v>131</v>
      </c>
      <c r="I93" s="898"/>
      <c r="J93" s="899">
        <v>1207.8</v>
      </c>
      <c r="K93" s="1165"/>
    </row>
    <row r="94" spans="1:12" ht="15">
      <c r="A94" s="1171" t="str">
        <f>Таблица301715[[#This Row],[Группа]]&amp;Таблица301715[[#This Row],[Номенклатура]]&amp;Таблица301715[[#This Row],[ЕИ]]</f>
        <v>Собственное производствоМонтаж  трубопровода гидросмывачел. ч</v>
      </c>
      <c r="B94" s="1165" t="s">
        <v>72</v>
      </c>
      <c r="C94" s="1165"/>
      <c r="D94" s="1172" t="s">
        <v>964</v>
      </c>
      <c r="E94" s="1172"/>
      <c r="F94" s="1165" t="s">
        <v>212</v>
      </c>
      <c r="G94" s="896">
        <v>1207.8</v>
      </c>
      <c r="H94" s="897" t="s">
        <v>131</v>
      </c>
      <c r="I94" s="898"/>
      <c r="J94" s="899">
        <v>1207.8</v>
      </c>
      <c r="K94" s="1165"/>
    </row>
    <row r="95" spans="1:12" ht="15">
      <c r="A95" s="1171" t="str">
        <f>Таблица301715[[#This Row],[Группа]]&amp;Таблица301715[[#This Row],[Номенклатура]]&amp;Таблица301715[[#This Row],[ЕИ]]</f>
        <v>Собственное производствоМонтаж Клапанов обратных шаровыхчел. ч</v>
      </c>
      <c r="B95" s="1165" t="s">
        <v>72</v>
      </c>
      <c r="C95" s="1165"/>
      <c r="D95" s="1172" t="s">
        <v>498</v>
      </c>
      <c r="E95" s="1172"/>
      <c r="F95" s="1165" t="s">
        <v>212</v>
      </c>
      <c r="G95" s="896">
        <v>1207.8</v>
      </c>
      <c r="H95" s="897" t="s">
        <v>131</v>
      </c>
      <c r="I95" s="898"/>
      <c r="J95" s="899">
        <v>1207.8</v>
      </c>
      <c r="K95" s="1165"/>
    </row>
    <row r="96" spans="1:12" ht="15">
      <c r="A96" s="1171" t="str">
        <f>Таблица301715[[#This Row],[Группа]]&amp;Таблица301715[[#This Row],[Номенклатура]]&amp;Таблица301715[[#This Row],[ЕИ]]</f>
        <v>Собственное производствоМонтаж Задвижки клиновойчел. ч</v>
      </c>
      <c r="B96" s="1165" t="s">
        <v>72</v>
      </c>
      <c r="C96" s="1165"/>
      <c r="D96" s="1172" t="s">
        <v>749</v>
      </c>
      <c r="E96" s="1172"/>
      <c r="F96" s="1165" t="s">
        <v>212</v>
      </c>
      <c r="G96" s="896">
        <v>1207.8</v>
      </c>
      <c r="H96" s="897" t="s">
        <v>131</v>
      </c>
      <c r="I96" s="898"/>
      <c r="J96" s="899">
        <v>1207.8</v>
      </c>
      <c r="K96" s="1165"/>
    </row>
    <row r="97" spans="1:11" ht="15">
      <c r="A97" s="1171" t="str">
        <f>Таблица301715[[#This Row],[Группа]]&amp;Таблица301715[[#This Row],[Номенклатура]]&amp;Таблица301715[[#This Row],[ЕИ]]</f>
        <v>Собственное производствоМонтаж Задвижки шиберной ножевойчел. ч</v>
      </c>
      <c r="B97" s="1165" t="s">
        <v>72</v>
      </c>
      <c r="C97" s="1165"/>
      <c r="D97" s="1172" t="s">
        <v>496</v>
      </c>
      <c r="E97" s="1172"/>
      <c r="F97" s="1165" t="s">
        <v>212</v>
      </c>
      <c r="G97" s="896">
        <v>1207.8</v>
      </c>
      <c r="H97" s="897" t="s">
        <v>131</v>
      </c>
      <c r="I97" s="898"/>
      <c r="J97" s="899">
        <v>1207.8</v>
      </c>
      <c r="K97" s="1165"/>
    </row>
    <row r="98" spans="1:11" ht="15">
      <c r="A98" s="1171" t="str">
        <f>Таблица301715[[#This Row],[Группа]]&amp;Таблица301715[[#This Row],[Номенклатура]]&amp;Таблица301715[[#This Row],[ЕИ]]</f>
        <v>Собственное производствоМонтаж Насосов чел. ч</v>
      </c>
      <c r="B98" s="1165" t="s">
        <v>72</v>
      </c>
      <c r="C98" s="1165"/>
      <c r="D98" s="1172" t="s">
        <v>965</v>
      </c>
      <c r="E98" s="1172"/>
      <c r="F98" s="1165" t="s">
        <v>212</v>
      </c>
      <c r="G98" s="896">
        <v>1207.8</v>
      </c>
      <c r="H98" s="897" t="s">
        <v>131</v>
      </c>
      <c r="I98" s="898"/>
      <c r="J98" s="899">
        <v>1207.8</v>
      </c>
      <c r="K98" s="1165"/>
    </row>
    <row r="99" spans="1:11" ht="15">
      <c r="A99" s="1171" t="str">
        <f>Таблица301715[[#This Row],[Группа]]&amp;Таблица301715[[#This Row],[Номенклатура]]&amp;Таблица301715[[#This Row],[ЕИ]]</f>
        <v>Собственное производствоМонтаж Систем автоматической трубной муфтычел. ч</v>
      </c>
      <c r="B99" s="1165" t="s">
        <v>72</v>
      </c>
      <c r="C99" s="1165"/>
      <c r="D99" s="1172" t="s">
        <v>752</v>
      </c>
      <c r="E99" s="1172"/>
      <c r="F99" s="1165" t="s">
        <v>212</v>
      </c>
      <c r="G99" s="896">
        <v>1207.8</v>
      </c>
      <c r="H99" s="897" t="s">
        <v>131</v>
      </c>
      <c r="I99" s="898"/>
      <c r="J99" s="899">
        <v>1207.8</v>
      </c>
      <c r="K99" s="1165"/>
    </row>
    <row r="100" spans="1:11" ht="15">
      <c r="A100" s="1171" t="str">
        <f>Таблица301715[[#This Row],[Группа]]&amp;Таблица301715[[#This Row],[Номенклатура]]&amp;Таблица301715[[#This Row],[ЕИ]]</f>
        <v>Собственное производствоМонтаж датчиковчел. ч</v>
      </c>
      <c r="B100" s="1165" t="s">
        <v>72</v>
      </c>
      <c r="C100" s="1165"/>
      <c r="D100" s="1172" t="s">
        <v>756</v>
      </c>
      <c r="E100" s="1172"/>
      <c r="F100" s="1165" t="s">
        <v>212</v>
      </c>
      <c r="G100" s="896">
        <v>1207.8</v>
      </c>
      <c r="H100" s="897" t="s">
        <v>131</v>
      </c>
      <c r="I100" s="898"/>
      <c r="J100" s="899">
        <v>1207.8</v>
      </c>
      <c r="K100" s="1165"/>
    </row>
    <row r="101" spans="1:11" ht="15">
      <c r="A101" s="1171" t="str">
        <f>Таблица301715[[#This Row],[Группа]]&amp;Таблица301715[[#This Row],[Номенклатура]]&amp;Таблица301715[[#This Row],[ЕИ]]</f>
        <v>Собственное производствоМонтаж расходомерачел. ч</v>
      </c>
      <c r="B101" s="1165" t="s">
        <v>72</v>
      </c>
      <c r="C101" s="1165"/>
      <c r="D101" s="1172" t="s">
        <v>2043</v>
      </c>
      <c r="E101" s="1172"/>
      <c r="F101" s="1165" t="s">
        <v>212</v>
      </c>
      <c r="G101" s="896">
        <v>1207.8</v>
      </c>
      <c r="H101" s="897" t="s">
        <v>131</v>
      </c>
      <c r="I101" s="898"/>
      <c r="J101" s="899">
        <v>1207.8</v>
      </c>
      <c r="K101" s="1165"/>
    </row>
    <row r="102" spans="1:11" ht="15">
      <c r="A102" s="1171" t="str">
        <f>Таблица301715[[#This Row],[Группа]]&amp;Таблица301715[[#This Row],[Номенклатура]]&amp;Таблица301715[[#This Row],[ЕИ]]</f>
        <v>Собственное производствоМонтаж измельчителячел. ч</v>
      </c>
      <c r="B102" s="1165" t="s">
        <v>72</v>
      </c>
      <c r="C102" s="1165"/>
      <c r="D102" s="1172" t="s">
        <v>966</v>
      </c>
      <c r="E102" s="1172"/>
      <c r="F102" s="1165" t="s">
        <v>212</v>
      </c>
      <c r="G102" s="896">
        <v>1207.8</v>
      </c>
      <c r="H102" s="897" t="s">
        <v>131</v>
      </c>
      <c r="I102" s="898"/>
      <c r="J102" s="899">
        <v>1207.8</v>
      </c>
      <c r="K102" s="1165"/>
    </row>
    <row r="103" spans="1:11" ht="15">
      <c r="A103" s="1171" t="str">
        <f>Таблица301715[[#This Row],[Группа]]&amp;Таблица301715[[#This Row],[Номенклатура]]&amp;Таблица301715[[#This Row],[ЕИ]]</f>
        <v>Собственное производствоМонтаж сорбционного фильтрачел. ч</v>
      </c>
      <c r="B103" s="1165" t="s">
        <v>72</v>
      </c>
      <c r="C103" s="1165"/>
      <c r="D103" s="1172" t="s">
        <v>967</v>
      </c>
      <c r="E103" s="1172"/>
      <c r="F103" s="1165" t="s">
        <v>212</v>
      </c>
      <c r="G103" s="896">
        <v>1207.8</v>
      </c>
      <c r="H103" s="897" t="s">
        <v>131</v>
      </c>
      <c r="I103" s="898"/>
      <c r="J103" s="899">
        <v>1207.8</v>
      </c>
      <c r="K103" s="1165"/>
    </row>
    <row r="104" spans="1:11" ht="15">
      <c r="A104" s="1171" t="str">
        <f>Таблица301715[[#This Row],[Группа]]&amp;Таблица301715[[#This Row],[Номенклатура]]&amp;Таблица301715[[#This Row],[ЕИ]]</f>
        <v>Собственное производствоМонтаж УФ установкичел. ч</v>
      </c>
      <c r="B104" s="1165" t="s">
        <v>72</v>
      </c>
      <c r="C104" s="1165"/>
      <c r="D104" s="1172" t="s">
        <v>968</v>
      </c>
      <c r="E104" s="1172"/>
      <c r="F104" s="1165" t="s">
        <v>212</v>
      </c>
      <c r="G104" s="896">
        <v>1207.8</v>
      </c>
      <c r="H104" s="897" t="s">
        <v>131</v>
      </c>
      <c r="I104" s="898"/>
      <c r="J104" s="899">
        <v>1207.8</v>
      </c>
      <c r="K104" s="1165"/>
    </row>
    <row r="105" spans="1:11" ht="15">
      <c r="A105" s="1171" t="str">
        <f>Таблица301715[[#This Row],[Группа]]&amp;Таблица301715[[#This Row],[Номенклатура]]&amp;Таблица301715[[#This Row],[ЕИ]]</f>
        <v>Собственное производствоМонтаж Поплавковых выключателейчел. ч</v>
      </c>
      <c r="B105" s="1165" t="s">
        <v>72</v>
      </c>
      <c r="C105" s="1165"/>
      <c r="D105" s="1172" t="s">
        <v>754</v>
      </c>
      <c r="E105" s="1172"/>
      <c r="F105" s="1165" t="s">
        <v>212</v>
      </c>
      <c r="G105" s="896">
        <v>1207.8</v>
      </c>
      <c r="H105" s="897" t="s">
        <v>131</v>
      </c>
      <c r="I105" s="898"/>
      <c r="J105" s="899">
        <v>1207.8</v>
      </c>
      <c r="K105" s="1165"/>
    </row>
    <row r="106" spans="1:11" ht="15">
      <c r="A106" s="1171" t="str">
        <f>Таблица301715[[#This Row],[Группа]]&amp;Таблица301715[[#This Row],[Номенклатура]]&amp;Таблица301715[[#This Row],[ЕИ]]</f>
        <v>Собственное производствоМонтаж Шкафа управлениячел. ч</v>
      </c>
      <c r="B106" s="1165" t="s">
        <v>72</v>
      </c>
      <c r="C106" s="1165"/>
      <c r="D106" s="1172" t="s">
        <v>969</v>
      </c>
      <c r="E106" s="1172"/>
      <c r="F106" s="1165" t="s">
        <v>212</v>
      </c>
      <c r="G106" s="896">
        <v>1207.8</v>
      </c>
      <c r="H106" s="897" t="s">
        <v>131</v>
      </c>
      <c r="I106" s="898"/>
      <c r="J106" s="899">
        <v>1207.8</v>
      </c>
      <c r="K106" s="1165"/>
    </row>
    <row r="107" spans="1:11" ht="15">
      <c r="A107" s="1171" t="str">
        <f>Таблица301715[[#This Row],[Группа]]&amp;Таблица301715[[#This Row],[Номенклатура]]&amp;Таблица301715[[#This Row],[ЕИ]]</f>
        <v>Собственное производствоПридание изделию товарного видачел. ч</v>
      </c>
      <c r="B107" s="1165" t="s">
        <v>72</v>
      </c>
      <c r="C107" s="1165"/>
      <c r="D107" s="1172" t="s">
        <v>334</v>
      </c>
      <c r="E107" s="1172"/>
      <c r="F107" s="1165" t="s">
        <v>212</v>
      </c>
      <c r="G107" s="896">
        <v>1207.8</v>
      </c>
      <c r="H107" s="897" t="s">
        <v>131</v>
      </c>
      <c r="I107" s="898"/>
      <c r="J107" s="899">
        <v>1207.8</v>
      </c>
      <c r="K107" s="1165"/>
    </row>
    <row r="108" spans="1:11" ht="15">
      <c r="A108" s="1171" t="str">
        <f>Таблица301715[[#This Row],[Группа]]&amp;Таблица301715[[#This Row],[Номенклатура]]&amp;Таблица301715[[#This Row],[ЕИ]]</f>
        <v>ВыключателиПОПЛАВКОВЫЙ ВЫКЛЮЧАТЕЛЬ  КАБЕЛЬ 10 Мшт</v>
      </c>
      <c r="B108" s="1165" t="s">
        <v>167</v>
      </c>
      <c r="C108" s="1165"/>
      <c r="D108" s="1172" t="s">
        <v>970</v>
      </c>
      <c r="E108" s="1172"/>
      <c r="F108" s="838" t="s">
        <v>129</v>
      </c>
      <c r="G108" s="899">
        <v>6000</v>
      </c>
      <c r="H108" s="1175" t="s">
        <v>131</v>
      </c>
      <c r="I108" s="901"/>
      <c r="J108" s="899">
        <v>6000</v>
      </c>
      <c r="K108" s="1165"/>
    </row>
    <row r="109" spans="1:11" ht="15">
      <c r="A109" s="1171" t="str">
        <f>Таблица301715[[#This Row],[Группа]]&amp;Таблица301715[[#This Row],[Номенклатура]]&amp;Таблица301715[[#This Row],[ЕИ]]</f>
        <v>ВыключателиПОПЛАВКОВЫЙ ВЫКЛЮЧАТЕЛЬ КАБЕЛЬ 20 Мшт</v>
      </c>
      <c r="B109" s="1165" t="s">
        <v>167</v>
      </c>
      <c r="C109" s="1165"/>
      <c r="D109" s="1172" t="s">
        <v>742</v>
      </c>
      <c r="E109" s="1172"/>
      <c r="F109" s="838" t="s">
        <v>129</v>
      </c>
      <c r="G109" s="899">
        <v>7500</v>
      </c>
      <c r="H109" s="1175" t="s">
        <v>131</v>
      </c>
      <c r="I109" s="901"/>
      <c r="J109" s="899">
        <v>7500</v>
      </c>
      <c r="K109" s="1165"/>
    </row>
    <row r="110" spans="1:11" ht="15">
      <c r="A110" s="1171" t="str">
        <f>Таблица301715[[#This Row],[Группа]]&amp;Таблица301715[[#This Row],[Номенклатура]]&amp;Таблица301715[[#This Row],[ЕИ]]</f>
        <v>ВыключателиПОПЛАВКОВЫЙ ВЫКЛЮЧАТЕЛЬ КАБЕЛЬ 30 Мшт</v>
      </c>
      <c r="B110" s="1165" t="s">
        <v>167</v>
      </c>
      <c r="C110" s="1165"/>
      <c r="D110" s="1172" t="s">
        <v>971</v>
      </c>
      <c r="E110" s="1172"/>
      <c r="F110" s="838" t="s">
        <v>129</v>
      </c>
      <c r="G110" s="899">
        <v>9000</v>
      </c>
      <c r="H110" s="1175" t="s">
        <v>131</v>
      </c>
      <c r="I110" s="901"/>
      <c r="J110" s="899">
        <v>9000</v>
      </c>
      <c r="K110" s="1165"/>
    </row>
    <row r="111" spans="1:11" ht="15">
      <c r="A111" s="1171" t="str">
        <f>Таблица301715[[#This Row],[Группа]]&amp;Таблица301715[[#This Row],[Номенклатура]]&amp;Таблица301715[[#This Row],[ЕИ]]</f>
        <v>ВыключателиПОПЛАВКОВЫЙ ВЫКЛЮЧАТЕЛЬ  КАБЕЛЬ 40 Мшт</v>
      </c>
      <c r="B111" s="1165" t="s">
        <v>167</v>
      </c>
      <c r="C111" s="1165"/>
      <c r="D111" s="1172" t="s">
        <v>972</v>
      </c>
      <c r="E111" s="1172"/>
      <c r="F111" s="838" t="s">
        <v>129</v>
      </c>
      <c r="G111" s="899">
        <v>13000</v>
      </c>
      <c r="H111" s="1175" t="s">
        <v>131</v>
      </c>
      <c r="I111" s="901"/>
      <c r="J111" s="899">
        <v>13000</v>
      </c>
      <c r="K111" s="1165"/>
    </row>
    <row r="112" spans="1:11" ht="15">
      <c r="A112" s="1171" t="str">
        <f>Таблица301715[[#This Row],[Группа]]&amp;Таблица301715[[#This Row],[Номенклатура]]&amp;Таблица301715[[#This Row],[ЕИ]]</f>
        <v>ГрузоподъемЦепь короткозвенная сварная 3 мм DIN 766 А2/А4 м</v>
      </c>
      <c r="B112" s="1165" t="s">
        <v>64</v>
      </c>
      <c r="C112" s="1165"/>
      <c r="D112" s="1172" t="s">
        <v>390</v>
      </c>
      <c r="E112" s="1172"/>
      <c r="F112" s="1165" t="s">
        <v>163</v>
      </c>
      <c r="G112" s="896">
        <v>180</v>
      </c>
      <c r="H112" s="897" t="s">
        <v>131</v>
      </c>
      <c r="I112" s="898"/>
      <c r="J112" s="899">
        <v>180</v>
      </c>
      <c r="K112" s="1165"/>
    </row>
    <row r="113" spans="1:11" ht="15">
      <c r="A113" s="1171" t="str">
        <f>Таблица301715[[#This Row],[Группа]]&amp;Таблица301715[[#This Row],[Номенклатура]]&amp;Таблица301715[[#This Row],[ЕИ]]</f>
        <v>ГрузоподъемЦепь короткозвенная сварная 5 мм DIN 766 А2/А4 м</v>
      </c>
      <c r="B113" s="1165" t="s">
        <v>64</v>
      </c>
      <c r="C113" s="1165"/>
      <c r="D113" s="1172" t="s">
        <v>363</v>
      </c>
      <c r="E113" s="1172"/>
      <c r="F113" s="1165" t="s">
        <v>163</v>
      </c>
      <c r="G113" s="896">
        <v>450</v>
      </c>
      <c r="H113" s="897" t="s">
        <v>131</v>
      </c>
      <c r="I113" s="898"/>
      <c r="J113" s="899">
        <v>450</v>
      </c>
      <c r="K113" s="1165"/>
    </row>
    <row r="114" spans="1:11" ht="15">
      <c r="A114" s="1171" t="str">
        <f>Таблица301715[[#This Row],[Группа]]&amp;Таблица301715[[#This Row],[Номенклатура]]&amp;Таблица301715[[#This Row],[ЕИ]]</f>
        <v>ГрузоподъемЦепь короткозвенная сварная 6 мм DIN 766 А2/А4 м</v>
      </c>
      <c r="B114" s="1165" t="s">
        <v>64</v>
      </c>
      <c r="C114" s="1165"/>
      <c r="D114" s="1172" t="s">
        <v>438</v>
      </c>
      <c r="E114" s="1172"/>
      <c r="F114" s="1165" t="s">
        <v>163</v>
      </c>
      <c r="G114" s="896">
        <v>600</v>
      </c>
      <c r="H114" s="897" t="s">
        <v>131</v>
      </c>
      <c r="I114" s="898"/>
      <c r="J114" s="899">
        <v>600</v>
      </c>
      <c r="K114" s="1165"/>
    </row>
    <row r="115" spans="1:11" ht="15">
      <c r="A115" s="1171" t="str">
        <f>Таблица301715[[#This Row],[Группа]]&amp;Таблица301715[[#This Row],[Номенклатура]]&amp;Таблица301715[[#This Row],[ЕИ]]</f>
        <v>ГрузоподъемЦепь короткозвенная сварная 8 мм DIN 766 А2/А4 м</v>
      </c>
      <c r="B115" s="1165" t="s">
        <v>64</v>
      </c>
      <c r="C115" s="1165"/>
      <c r="D115" s="1172" t="s">
        <v>1906</v>
      </c>
      <c r="E115" s="1172"/>
      <c r="F115" s="1165" t="s">
        <v>163</v>
      </c>
      <c r="G115" s="896">
        <v>1000</v>
      </c>
      <c r="H115" s="897" t="s">
        <v>131</v>
      </c>
      <c r="I115" s="898"/>
      <c r="J115" s="899">
        <v>1000</v>
      </c>
      <c r="K115" s="1176"/>
    </row>
    <row r="116" spans="1:11" ht="15">
      <c r="A116" s="1171" t="str">
        <f>Таблица301715[[#This Row],[Группа]]&amp;Таблица301715[[#This Row],[Номенклатура]]&amp;Таблица301715[[#This Row],[ЕИ]]</f>
        <v>ГрузоподъемЦепь длиннозвенная DIN 763 3мм сталь А2 3х26м</v>
      </c>
      <c r="B116" s="1165" t="s">
        <v>64</v>
      </c>
      <c r="C116" s="1165"/>
      <c r="D116" s="1172" t="s">
        <v>973</v>
      </c>
      <c r="E116" s="1172"/>
      <c r="F116" s="1165" t="s">
        <v>163</v>
      </c>
      <c r="G116" s="896">
        <v>160</v>
      </c>
      <c r="H116" s="897" t="s">
        <v>131</v>
      </c>
      <c r="I116" s="898"/>
      <c r="J116" s="899">
        <v>160</v>
      </c>
      <c r="K116" s="1165"/>
    </row>
    <row r="117" spans="1:11" ht="15">
      <c r="A117" s="1171" t="str">
        <f>Таблица301715[[#This Row],[Группа]]&amp;Таблица301715[[#This Row],[Номенклатура]]&amp;Таблица301715[[#This Row],[ЕИ]]</f>
        <v>ГрузоподъемЦепь длиннозвенная DIN 763 5мм сталь А2 5х35м</v>
      </c>
      <c r="B117" s="1165" t="s">
        <v>64</v>
      </c>
      <c r="C117" s="1165"/>
      <c r="D117" s="1172" t="s">
        <v>974</v>
      </c>
      <c r="E117" s="1172"/>
      <c r="F117" s="1165" t="s">
        <v>163</v>
      </c>
      <c r="G117" s="896">
        <v>370</v>
      </c>
      <c r="H117" s="897" t="s">
        <v>131</v>
      </c>
      <c r="I117" s="898"/>
      <c r="J117" s="899">
        <v>370</v>
      </c>
      <c r="K117" s="1165"/>
    </row>
    <row r="118" spans="1:11" ht="15">
      <c r="A118" s="1171" t="str">
        <f>Таблица301715[[#This Row],[Группа]]&amp;Таблица301715[[#This Row],[Номенклатура]]&amp;Таблица301715[[#This Row],[ЕИ]]</f>
        <v>ГрузоподъемЦепь длиннозвенная DIN 763 6мм сталь А2 6х25м</v>
      </c>
      <c r="B118" s="1165" t="s">
        <v>64</v>
      </c>
      <c r="C118" s="1165"/>
      <c r="D118" s="1172" t="s">
        <v>2133</v>
      </c>
      <c r="E118" s="1172"/>
      <c r="F118" s="1165" t="s">
        <v>163</v>
      </c>
      <c r="G118" s="896">
        <v>550</v>
      </c>
      <c r="H118" s="897" t="s">
        <v>131</v>
      </c>
      <c r="I118" s="898"/>
      <c r="J118" s="899">
        <v>550</v>
      </c>
      <c r="K118" s="1165"/>
    </row>
    <row r="119" spans="1:11" ht="22.5">
      <c r="A119" s="1171" t="str">
        <f>Таблица301715[[#This Row],[Группа]]&amp;Таблица301715[[#This Row],[Номенклатура]]&amp;Таблица301715[[#This Row],[ЕИ]]</f>
        <v>ГрузоподъемРемень стяжной с натяжным устройством и крюками на концах (Прочность на разрыв 10тонн, Длина ремня 10 метров, Ширина 50мм)шт</v>
      </c>
      <c r="B119" s="1165" t="s">
        <v>64</v>
      </c>
      <c r="C119" s="1165"/>
      <c r="D119" s="1172" t="s">
        <v>583</v>
      </c>
      <c r="E119" s="1172"/>
      <c r="F119" s="1165" t="s">
        <v>129</v>
      </c>
      <c r="G119" s="896">
        <v>3000</v>
      </c>
      <c r="H119" s="897" t="s">
        <v>131</v>
      </c>
      <c r="I119" s="898"/>
      <c r="J119" s="899">
        <v>3000</v>
      </c>
      <c r="K119" s="1165"/>
    </row>
    <row r="120" spans="1:11" ht="22.5">
      <c r="A120" s="1171" t="str">
        <f>Таблица301715[[#This Row],[Группа]]&amp;Таблица301715[[#This Row],[Номенклатура]]&amp;Таблица301715[[#This Row],[ЕИ]]</f>
        <v>ГрузоподъемРемень стяжной с натяжным устройством и крюками на концах (Прочность на разрыв 18тонн, Длина ремня 10 метров, Ширина 100мм)шт</v>
      </c>
      <c r="B120" s="1165" t="s">
        <v>64</v>
      </c>
      <c r="C120" s="1165"/>
      <c r="D120" s="1172" t="s">
        <v>2134</v>
      </c>
      <c r="E120" s="1172"/>
      <c r="F120" s="1165" t="s">
        <v>129</v>
      </c>
      <c r="G120" s="896">
        <v>4300</v>
      </c>
      <c r="H120" s="897" t="s">
        <v>131</v>
      </c>
      <c r="I120" s="898"/>
      <c r="J120" s="899">
        <v>4300</v>
      </c>
      <c r="K120" s="1165"/>
    </row>
    <row r="121" spans="1:11" ht="15">
      <c r="A121" s="1171" t="str">
        <f>Таблица301715[[#This Row],[Группа]]&amp;Таблица301715[[#This Row],[Номенклатура]]&amp;Таблица301715[[#This Row],[ЕИ]]</f>
        <v>ГрузоподъемКарабин винтовой 4 мм нерж. А4 ART 8253     шт</v>
      </c>
      <c r="B121" s="1165" t="s">
        <v>64</v>
      </c>
      <c r="C121" s="1165"/>
      <c r="D121" s="1172" t="s">
        <v>975</v>
      </c>
      <c r="E121" s="1172"/>
      <c r="F121" s="1165" t="s">
        <v>129</v>
      </c>
      <c r="G121" s="896">
        <v>280</v>
      </c>
      <c r="H121" s="897" t="s">
        <v>131</v>
      </c>
      <c r="I121" s="898"/>
      <c r="J121" s="899">
        <v>280</v>
      </c>
      <c r="K121" s="1165"/>
    </row>
    <row r="122" spans="1:11" ht="15">
      <c r="A122" s="1171" t="str">
        <f>Таблица301715[[#This Row],[Группа]]&amp;Таблица301715[[#This Row],[Номенклатура]]&amp;Таблица301715[[#This Row],[ЕИ]]</f>
        <v>ГрузоподъемКарабин винтовой 5 мм нерж. А4 ART 8253 шт</v>
      </c>
      <c r="B122" s="1165" t="s">
        <v>64</v>
      </c>
      <c r="C122" s="1165"/>
      <c r="D122" s="1172" t="s">
        <v>364</v>
      </c>
      <c r="E122" s="1172"/>
      <c r="F122" s="1165" t="s">
        <v>129</v>
      </c>
      <c r="G122" s="896">
        <v>320</v>
      </c>
      <c r="H122" s="897" t="s">
        <v>131</v>
      </c>
      <c r="I122" s="898"/>
      <c r="J122" s="899">
        <v>320</v>
      </c>
      <c r="K122" s="1165"/>
    </row>
    <row r="123" spans="1:11" ht="15">
      <c r="A123" s="1171" t="str">
        <f>Таблица301715[[#This Row],[Группа]]&amp;Таблица301715[[#This Row],[Номенклатура]]&amp;Таблица301715[[#This Row],[ЕИ]]</f>
        <v>ГрузоподъемКарабин винтовой 6 мм нерж. А4 ART 8253 шт</v>
      </c>
      <c r="B123" s="1165" t="s">
        <v>64</v>
      </c>
      <c r="C123" s="1165"/>
      <c r="D123" s="1172" t="s">
        <v>439</v>
      </c>
      <c r="E123" s="1172"/>
      <c r="F123" s="1165" t="s">
        <v>129</v>
      </c>
      <c r="G123" s="896">
        <v>440</v>
      </c>
      <c r="H123" s="897" t="s">
        <v>131</v>
      </c>
      <c r="I123" s="898"/>
      <c r="J123" s="899">
        <v>440</v>
      </c>
      <c r="K123" s="1165"/>
    </row>
    <row r="124" spans="1:11" ht="15">
      <c r="A124" s="1171" t="str">
        <f>Таблица301715[[#This Row],[Группа]]&amp;Таблица301715[[#This Row],[Номенклатура]]&amp;Таблица301715[[#This Row],[ЕИ]]</f>
        <v>ГрузоподъемКарабин винтовой 8 мм нерж. А4 ART 8253 шт</v>
      </c>
      <c r="B124" s="1165" t="s">
        <v>64</v>
      </c>
      <c r="C124" s="1165"/>
      <c r="D124" s="1172" t="s">
        <v>976</v>
      </c>
      <c r="E124" s="1172"/>
      <c r="F124" s="1165" t="s">
        <v>129</v>
      </c>
      <c r="G124" s="896">
        <v>730</v>
      </c>
      <c r="H124" s="897" t="s">
        <v>131</v>
      </c>
      <c r="I124" s="898"/>
      <c r="J124" s="899">
        <v>730</v>
      </c>
      <c r="K124" s="1165"/>
    </row>
    <row r="125" spans="1:11" ht="15">
      <c r="A125" s="1171" t="str">
        <f>Таблица301715[[#This Row],[Группа]]&amp;Таблица301715[[#This Row],[Номенклатура]]&amp;Таблица301715[[#This Row],[ЕИ]]</f>
        <v>ГрузоподъемКольцо сварное полированное АРТ 8229 А4 5Х30шт</v>
      </c>
      <c r="B125" s="1165" t="s">
        <v>64</v>
      </c>
      <c r="C125" s="1165"/>
      <c r="D125" s="1172" t="s">
        <v>2135</v>
      </c>
      <c r="E125" s="1172"/>
      <c r="F125" s="1165" t="s">
        <v>129</v>
      </c>
      <c r="G125" s="896">
        <v>150</v>
      </c>
      <c r="H125" s="897" t="s">
        <v>131</v>
      </c>
      <c r="I125" s="898"/>
      <c r="J125" s="899">
        <v>150</v>
      </c>
      <c r="K125" s="1165"/>
    </row>
    <row r="126" spans="1:11" ht="15">
      <c r="A126" s="1171" t="str">
        <f>Таблица301715[[#This Row],[Группа]]&amp;Таблица301715[[#This Row],[Номенклатура]]&amp;Таблица301715[[#This Row],[ЕИ]]</f>
        <v>ГрузоподъемКольцо сварное полированное АРТ 8229 А4 10Х60шт</v>
      </c>
      <c r="B126" s="1165" t="s">
        <v>64</v>
      </c>
      <c r="C126" s="1165"/>
      <c r="D126" s="1172" t="s">
        <v>674</v>
      </c>
      <c r="E126" s="1172"/>
      <c r="F126" s="1165" t="s">
        <v>129</v>
      </c>
      <c r="G126" s="896">
        <v>600</v>
      </c>
      <c r="H126" s="897" t="s">
        <v>131</v>
      </c>
      <c r="I126" s="898"/>
      <c r="J126" s="899">
        <v>600</v>
      </c>
      <c r="K126" s="1165"/>
    </row>
    <row r="127" spans="1:11" ht="15">
      <c r="A127" s="1171" t="str">
        <f>Таблица301715[[#This Row],[Группа]]&amp;Таблица301715[[#This Row],[Номенклатура]]&amp;Таблица301715[[#This Row],[ЕИ]]</f>
        <v>ГрузоподъемСкоба такелажная прямая М4шт</v>
      </c>
      <c r="B127" s="1165" t="s">
        <v>64</v>
      </c>
      <c r="C127" s="1165"/>
      <c r="D127" s="1172" t="s">
        <v>2136</v>
      </c>
      <c r="E127" s="1172"/>
      <c r="F127" s="1165" t="s">
        <v>129</v>
      </c>
      <c r="G127" s="896">
        <v>100</v>
      </c>
      <c r="H127" s="897"/>
      <c r="I127" s="898"/>
      <c r="J127" s="899">
        <v>100</v>
      </c>
      <c r="K127" s="1165"/>
    </row>
    <row r="128" spans="1:11" ht="15">
      <c r="A128" s="1171" t="str">
        <f>Таблица301715[[#This Row],[Группа]]&amp;Таблица301715[[#This Row],[Номенклатура]]&amp;Таблица301715[[#This Row],[ЕИ]]</f>
        <v>ГрузоподъемСкоба такелажная прямая М6шт</v>
      </c>
      <c r="B128" s="1165" t="s">
        <v>64</v>
      </c>
      <c r="C128" s="1165"/>
      <c r="D128" s="1172" t="s">
        <v>675</v>
      </c>
      <c r="E128" s="1172"/>
      <c r="F128" s="1165" t="s">
        <v>129</v>
      </c>
      <c r="G128" s="896">
        <v>150</v>
      </c>
      <c r="H128" s="897" t="s">
        <v>131</v>
      </c>
      <c r="I128" s="898"/>
      <c r="J128" s="899">
        <v>150</v>
      </c>
      <c r="K128" s="1165"/>
    </row>
    <row r="129" spans="1:12" ht="15">
      <c r="A129" s="1171" t="str">
        <f>Таблица301715[[#This Row],[Группа]]&amp;Таблица301715[[#This Row],[Номенклатура]]&amp;Таблица301715[[#This Row],[ЕИ]]</f>
        <v>ГрузоподъемСкоба такелажная прямая М8шт</v>
      </c>
      <c r="B129" s="1165" t="s">
        <v>64</v>
      </c>
      <c r="C129" s="1165"/>
      <c r="D129" s="1172" t="s">
        <v>2137</v>
      </c>
      <c r="E129" s="1172"/>
      <c r="F129" s="1165" t="s">
        <v>129</v>
      </c>
      <c r="G129" s="896">
        <v>200</v>
      </c>
      <c r="H129" s="897" t="s">
        <v>131</v>
      </c>
      <c r="I129" s="898"/>
      <c r="J129" s="899">
        <v>200</v>
      </c>
      <c r="K129" s="1165"/>
    </row>
    <row r="130" spans="1:12" ht="15">
      <c r="A130" s="1171" t="str">
        <f>Таблица301715[[#This Row],[Группа]]&amp;Таблица301715[[#This Row],[Номенклатура]]&amp;Таблица301715[[#This Row],[ЕИ]]</f>
        <v>ГрузоподъемТаль ручная цепная ТРШС 0,5т Н=6м шт</v>
      </c>
      <c r="B130" s="1165" t="s">
        <v>64</v>
      </c>
      <c r="C130" s="1165"/>
      <c r="D130" s="1172" t="s">
        <v>977</v>
      </c>
      <c r="E130" s="1172"/>
      <c r="F130" s="1165" t="s">
        <v>129</v>
      </c>
      <c r="G130" s="896">
        <v>10000</v>
      </c>
      <c r="H130" s="897" t="s">
        <v>131</v>
      </c>
      <c r="I130" s="898"/>
      <c r="J130" s="899">
        <v>10000</v>
      </c>
      <c r="K130" s="1165"/>
    </row>
    <row r="131" spans="1:12" ht="15">
      <c r="A131" s="1171" t="str">
        <f>Таблица301715[[#This Row],[Группа]]&amp;Таблица301715[[#This Row],[Номенклатура]]&amp;Таблица301715[[#This Row],[ЕИ]]</f>
        <v>ГрузоподъемТаль ручная цепная ТРШС 0,5т Н=9м шт</v>
      </c>
      <c r="B131" s="1165" t="s">
        <v>64</v>
      </c>
      <c r="C131" s="1165"/>
      <c r="D131" s="1172" t="s">
        <v>2138</v>
      </c>
      <c r="E131" s="1172"/>
      <c r="F131" s="1165" t="s">
        <v>129</v>
      </c>
      <c r="G131" s="896">
        <v>15000</v>
      </c>
      <c r="H131" s="897" t="s">
        <v>131</v>
      </c>
      <c r="I131" s="898"/>
      <c r="J131" s="899">
        <v>15000</v>
      </c>
      <c r="K131" s="1165"/>
    </row>
    <row r="132" spans="1:12" ht="27.75" customHeight="1">
      <c r="A132" s="1171" t="str">
        <f>Таблица301715[[#This Row],[Группа]]&amp;Таблица301715[[#This Row],[Номенклатура]]&amp;Таблица301715[[#This Row],[ЕИ]]</f>
        <v>ГрузоподъемТаль ручная цепная ТРШС 0,5т Н=12м шт</v>
      </c>
      <c r="B132" s="1165" t="s">
        <v>64</v>
      </c>
      <c r="C132" s="1165"/>
      <c r="D132" s="1172" t="s">
        <v>2139</v>
      </c>
      <c r="E132" s="1172"/>
      <c r="F132" s="838" t="s">
        <v>129</v>
      </c>
      <c r="G132" s="900">
        <v>20000</v>
      </c>
      <c r="H132" s="1175" t="s">
        <v>131</v>
      </c>
      <c r="I132" s="901"/>
      <c r="J132" s="899">
        <v>2000</v>
      </c>
      <c r="K132" s="1165"/>
    </row>
    <row r="133" spans="1:12" ht="15">
      <c r="A133" s="1171" t="str">
        <f>Таблица301715[[#This Row],[Группа]]&amp;Таблица301715[[#This Row],[Номенклатура]]&amp;Таблица301715[[#This Row],[ЕИ]]</f>
        <v>ГрузоподъемТаль ручная цепная ТРШС 0,5т Н=18м шт</v>
      </c>
      <c r="B133" s="1165" t="s">
        <v>64</v>
      </c>
      <c r="C133" s="1165"/>
      <c r="D133" s="1172" t="s">
        <v>2140</v>
      </c>
      <c r="E133" s="1172"/>
      <c r="F133" s="838" t="s">
        <v>129</v>
      </c>
      <c r="G133" s="900">
        <v>25000</v>
      </c>
      <c r="H133" s="1175" t="s">
        <v>131</v>
      </c>
      <c r="I133" s="901"/>
      <c r="J133" s="899">
        <v>25000</v>
      </c>
      <c r="K133" s="1165"/>
    </row>
    <row r="134" spans="1:12" ht="27" customHeight="1">
      <c r="A134" s="1171" t="str">
        <f>Таблица301715[[#This Row],[Группа]]&amp;Таблица301715[[#This Row],[Номенклатура]]&amp;Таблица301715[[#This Row],[ЕИ]]</f>
        <v>ГрузоподъемТренога перегрузочная ТП-1000 г/п 1000 кг (без тали)шт</v>
      </c>
      <c r="B134" s="1165" t="s">
        <v>64</v>
      </c>
      <c r="C134" s="1165"/>
      <c r="D134" s="1172" t="s">
        <v>978</v>
      </c>
      <c r="E134" s="1172"/>
      <c r="F134" s="838" t="s">
        <v>129</v>
      </c>
      <c r="G134" s="900">
        <v>30000</v>
      </c>
      <c r="H134" s="1175" t="s">
        <v>131</v>
      </c>
      <c r="I134" s="901"/>
      <c r="J134" s="899">
        <v>30000</v>
      </c>
      <c r="K134" s="1165"/>
    </row>
    <row r="135" spans="1:12" ht="15">
      <c r="A135" s="1171" t="str">
        <f>Таблица301715[[#This Row],[Группа]]&amp;Таблица301715[[#This Row],[Номенклатура]]&amp;Таблица301715[[#This Row],[ЕИ]]</f>
        <v>ГрузоподъемТренога перегрузочная ТП-500 г/п 500 кг (без тали)шт</v>
      </c>
      <c r="B135" s="1165" t="s">
        <v>64</v>
      </c>
      <c r="C135" s="1165"/>
      <c r="D135" s="1172" t="s">
        <v>2141</v>
      </c>
      <c r="E135" s="1172"/>
      <c r="F135" s="838" t="s">
        <v>129</v>
      </c>
      <c r="G135" s="900">
        <v>20000</v>
      </c>
      <c r="H135" s="1175" t="s">
        <v>131</v>
      </c>
      <c r="I135" s="901"/>
      <c r="J135" s="899">
        <v>15000</v>
      </c>
      <c r="K135" s="1165"/>
    </row>
    <row r="136" spans="1:12" ht="15">
      <c r="A136" s="1171" t="str">
        <f>Таблица301715[[#This Row],[Группа]]&amp;Таблица301715[[#This Row],[Номенклатура]]&amp;Таблица301715[[#This Row],[ЕИ]]</f>
        <v>ГрузоподъемТаль ручная шестеренная стационарная ТРШСК 1,0 т 9,0мшт</v>
      </c>
      <c r="B136" s="1165" t="s">
        <v>64</v>
      </c>
      <c r="C136" s="1165"/>
      <c r="D136" s="1172" t="s">
        <v>979</v>
      </c>
      <c r="E136" s="1172"/>
      <c r="F136" s="838" t="s">
        <v>129</v>
      </c>
      <c r="G136" s="900">
        <v>32000</v>
      </c>
      <c r="H136" s="897" t="s">
        <v>131</v>
      </c>
      <c r="I136" s="901"/>
      <c r="J136" s="899">
        <v>32000</v>
      </c>
      <c r="K136" s="1165"/>
    </row>
    <row r="137" spans="1:12" ht="22.5">
      <c r="A137" s="1171" t="str">
        <f>Таблица301715[[#This Row],[Группа]]&amp;Таблица301715[[#This Row],[Номенклатура]]&amp;Таблица301715[[#This Row],[ЕИ]]</f>
        <v>ДатчикиДатчик давления общепромышленного применения (диапазон измерения 0..10 бар, выходной сигнал 4..20 мA / 2-х пров. / 12..36 В, присоединение М20х1.5 DIN 3852, уплотнение EPDM, стандартное исполнение) с кабелем 10 мшт</v>
      </c>
      <c r="B137" s="1165" t="s">
        <v>235</v>
      </c>
      <c r="C137" s="1165"/>
      <c r="D137" s="1172" t="s">
        <v>2120</v>
      </c>
      <c r="E137" s="1172"/>
      <c r="F137" s="838" t="s">
        <v>129</v>
      </c>
      <c r="G137" s="900">
        <v>30000</v>
      </c>
      <c r="H137" s="897" t="s">
        <v>131</v>
      </c>
      <c r="I137" s="901"/>
      <c r="J137" s="899">
        <v>30000</v>
      </c>
      <c r="K137" s="1165"/>
      <c r="L137" s="738" t="s">
        <v>2091</v>
      </c>
    </row>
    <row r="138" spans="1:12" ht="22.5">
      <c r="A138" s="1171" t="str">
        <f>Таблица301715[[#This Row],[Группа]]&amp;Таблица301715[[#This Row],[Номенклатура]]&amp;Таблица301715[[#This Row],[ЕИ]]</f>
        <v>ДатчикиДатчик давления общепромышленного применения (диапазон измерения 0..10 бар, выходной сигнал 4..20 мA / 2-х пров. / 12..36 В, присоединение М20х1.5 DIN 3852, уплотнение EPDM, стандартное исполнение) с кабелем 20 м    шт</v>
      </c>
      <c r="B138" s="1165" t="s">
        <v>235</v>
      </c>
      <c r="C138" s="1165"/>
      <c r="D138" s="1172" t="s">
        <v>2121</v>
      </c>
      <c r="E138" s="1172"/>
      <c r="F138" s="838" t="s">
        <v>129</v>
      </c>
      <c r="G138" s="900">
        <v>40000</v>
      </c>
      <c r="H138" s="897" t="s">
        <v>131</v>
      </c>
      <c r="I138" s="901"/>
      <c r="J138" s="899">
        <v>40000</v>
      </c>
      <c r="K138" s="1165"/>
    </row>
    <row r="139" spans="1:12" ht="22.5">
      <c r="A139" s="1171" t="str">
        <f>Таблица301715[[#This Row],[Группа]]&amp;Таблица301715[[#This Row],[Номенклатура]]&amp;Таблица301715[[#This Row],[ЕИ]]</f>
        <v>ДатчикиПогружной датчик уровня (гидростатического давления) (диапазон измерения 0..10 бар), с керамическим сенсором в корпусе из пластика PVC (поливинилхлорида), уплотнение EPDM) в защитном кожухе с кабелем 10 мшт</v>
      </c>
      <c r="B139" s="1165" t="s">
        <v>235</v>
      </c>
      <c r="C139" s="1165"/>
      <c r="D139" s="1172" t="s">
        <v>2122</v>
      </c>
      <c r="E139" s="1172"/>
      <c r="F139" s="838" t="s">
        <v>129</v>
      </c>
      <c r="G139" s="900">
        <v>80000</v>
      </c>
      <c r="H139" s="897" t="s">
        <v>131</v>
      </c>
      <c r="I139" s="901"/>
      <c r="J139" s="899">
        <v>80000</v>
      </c>
      <c r="K139" s="1165"/>
    </row>
    <row r="140" spans="1:12" ht="22.5">
      <c r="A140" s="1171" t="str">
        <f>Таблица301715[[#This Row],[Группа]]&amp;Таблица301715[[#This Row],[Номенклатура]]&amp;Таблица301715[[#This Row],[ЕИ]]</f>
        <v>ДатчикиПогружной датчик уровня (гидростатического давления) (диапазон измерения 0..10 бар), с керамическим сенсором в корпусе из пластика PVC (поливинилхлорида), уплотнение EPDM) в защитном кожухе с кабелем 20 мшт</v>
      </c>
      <c r="B140" s="1165" t="s">
        <v>235</v>
      </c>
      <c r="C140" s="1165"/>
      <c r="D140" s="1172" t="s">
        <v>2123</v>
      </c>
      <c r="E140" s="1172"/>
      <c r="F140" s="838" t="s">
        <v>129</v>
      </c>
      <c r="G140" s="900">
        <v>80000</v>
      </c>
      <c r="H140" s="897" t="s">
        <v>131</v>
      </c>
      <c r="I140" s="901"/>
      <c r="J140" s="899">
        <v>80000</v>
      </c>
      <c r="K140" s="1165"/>
      <c r="L140" s="738" t="s">
        <v>1947</v>
      </c>
    </row>
    <row r="141" spans="1:12" ht="15">
      <c r="A141" s="1171" t="str">
        <f>Таблица301715[[#This Row],[Группа]]&amp;Таблица301715[[#This Row],[Номенклатура]]&amp;Таблица301715[[#This Row],[ЕИ]]</f>
        <v>ДатчикиСигнализатор уровня жир раздела сред LC2-1 шт</v>
      </c>
      <c r="B141" s="1165" t="s">
        <v>235</v>
      </c>
      <c r="C141" s="1165"/>
      <c r="D141" s="1172" t="s">
        <v>980</v>
      </c>
      <c r="E141" s="1172"/>
      <c r="F141" s="838" t="s">
        <v>129</v>
      </c>
      <c r="G141" s="900">
        <v>25000</v>
      </c>
      <c r="H141" s="897" t="s">
        <v>131</v>
      </c>
      <c r="I141" s="901"/>
      <c r="J141" s="899">
        <v>25000</v>
      </c>
      <c r="K141" s="1165"/>
    </row>
    <row r="142" spans="1:12" ht="15">
      <c r="A142" s="1171" t="str">
        <f>Таблица301715[[#This Row],[Группа]]&amp;Таблица301715[[#This Row],[Номенклатура]]&amp;Таблица301715[[#This Row],[ЕИ]]</f>
        <v>ДатчикиСигнализатор уровня пескоотделителей LC2-1 (песок)шт</v>
      </c>
      <c r="B142" s="1165" t="s">
        <v>235</v>
      </c>
      <c r="C142" s="1165"/>
      <c r="D142" s="1172" t="s">
        <v>981</v>
      </c>
      <c r="E142" s="1172"/>
      <c r="F142" s="838" t="s">
        <v>129</v>
      </c>
      <c r="G142" s="900">
        <v>40281</v>
      </c>
      <c r="H142" s="897" t="s">
        <v>131</v>
      </c>
      <c r="I142" s="901"/>
      <c r="J142" s="899">
        <v>40281</v>
      </c>
      <c r="K142" s="1165"/>
    </row>
    <row r="143" spans="1:12" ht="15">
      <c r="A143" s="1171" t="str">
        <f>Таблица301715[[#This Row],[Группа]]&amp;Таблица301715[[#This Row],[Номенклатура]]&amp;Таблица301715[[#This Row],[ЕИ]]</f>
        <v>ДатчикиКабель 30 м для сигнализаторов уровня LS-1, LS-2 шт</v>
      </c>
      <c r="B143" s="1165" t="s">
        <v>235</v>
      </c>
      <c r="C143" s="1165"/>
      <c r="D143" s="1172" t="s">
        <v>982</v>
      </c>
      <c r="E143" s="1172"/>
      <c r="F143" s="838" t="s">
        <v>129</v>
      </c>
      <c r="G143" s="900">
        <v>8000</v>
      </c>
      <c r="H143" s="897" t="s">
        <v>131</v>
      </c>
      <c r="I143" s="901"/>
      <c r="J143" s="899">
        <v>8000</v>
      </c>
      <c r="K143" s="1165"/>
    </row>
    <row r="144" spans="1:12" ht="15">
      <c r="A144" s="1171" t="str">
        <f>Таблица301715[[#This Row],[Группа]]&amp;Таблица301715[[#This Row],[Номенклатура]]&amp;Таблица301715[[#This Row],[ЕИ]]</f>
        <v>Детали труб_да ПЭ ПВХ PPRМуфта ПВХ Ду110шт</v>
      </c>
      <c r="B144" s="1165" t="s">
        <v>197</v>
      </c>
      <c r="C144" s="1165"/>
      <c r="D144" s="1172" t="s">
        <v>471</v>
      </c>
      <c r="E144" s="1172"/>
      <c r="F144" s="838" t="s">
        <v>129</v>
      </c>
      <c r="G144" s="900">
        <v>500</v>
      </c>
      <c r="H144" s="897" t="s">
        <v>131</v>
      </c>
      <c r="I144" s="901"/>
      <c r="J144" s="899">
        <v>500</v>
      </c>
      <c r="K144" s="1165"/>
    </row>
    <row r="145" spans="1:11" ht="15">
      <c r="A145" s="1171" t="str">
        <f>Таблица301715[[#This Row],[Группа]]&amp;Таблица301715[[#This Row],[Номенклатура]]&amp;Таблица301715[[#This Row],[ЕИ]]</f>
        <v>Детали труб_да ПЭ ПВХ PPRДефлектор ПВХ Ду110шт</v>
      </c>
      <c r="B145" s="1165" t="s">
        <v>197</v>
      </c>
      <c r="C145" s="1165"/>
      <c r="D145" s="1172" t="s">
        <v>472</v>
      </c>
      <c r="E145" s="1172"/>
      <c r="F145" s="838" t="s">
        <v>129</v>
      </c>
      <c r="G145" s="900">
        <v>600</v>
      </c>
      <c r="H145" s="897" t="s">
        <v>131</v>
      </c>
      <c r="I145" s="901"/>
      <c r="J145" s="899">
        <v>600</v>
      </c>
      <c r="K145" s="1165"/>
    </row>
    <row r="146" spans="1:11" ht="15">
      <c r="A146" s="1171" t="str">
        <f>Таблица301715[[#This Row],[Группа]]&amp;Таблица301715[[#This Row],[Номенклатура]]&amp;Таблица301715[[#This Row],[ЕИ]]</f>
        <v>Детали труб_да ПЭ ПВХ PPRЗаглушка для раструба НПВХ 110 НКшт</v>
      </c>
      <c r="B146" s="1165" t="s">
        <v>197</v>
      </c>
      <c r="C146" s="1165"/>
      <c r="D146" s="1172" t="s">
        <v>983</v>
      </c>
      <c r="E146" s="1172"/>
      <c r="F146" s="838" t="s">
        <v>129</v>
      </c>
      <c r="G146" s="900">
        <v>284</v>
      </c>
      <c r="H146" s="897" t="s">
        <v>131</v>
      </c>
      <c r="I146" s="901"/>
      <c r="J146" s="899">
        <v>284</v>
      </c>
      <c r="K146" s="1165"/>
    </row>
    <row r="147" spans="1:11" ht="15">
      <c r="A147" s="1171" t="str">
        <f>Таблица301715[[#This Row],[Группа]]&amp;Таблица301715[[#This Row],[Номенклатура]]&amp;Таблица301715[[#This Row],[ЕИ]]</f>
        <v>Детали труб_да ПЭ ПВХ PPRВтулка под фланец ПЭ 100 SDR17 Ø50×3 PN10 шт</v>
      </c>
      <c r="B147" s="1165" t="s">
        <v>197</v>
      </c>
      <c r="C147" s="1165"/>
      <c r="D147" s="1172" t="s">
        <v>600</v>
      </c>
      <c r="E147" s="1172"/>
      <c r="F147" s="838" t="s">
        <v>129</v>
      </c>
      <c r="G147" s="900">
        <v>320</v>
      </c>
      <c r="H147" s="897" t="s">
        <v>131</v>
      </c>
      <c r="I147" s="901"/>
      <c r="J147" s="899">
        <v>320</v>
      </c>
      <c r="K147" s="1165"/>
    </row>
    <row r="148" spans="1:11" ht="15">
      <c r="A148" s="1171" t="str">
        <f>Таблица301715[[#This Row],[Группа]]&amp;Таблица301715[[#This Row],[Номенклатура]]&amp;Таблица301715[[#This Row],[ЕИ]]</f>
        <v>Детали труб_да ПЭ ПВХ PPRВтулка под фланец ПЭ 100 SDR17 Ø40х2,4 PN16 шт</v>
      </c>
      <c r="B148" s="1165" t="s">
        <v>197</v>
      </c>
      <c r="C148" s="1165"/>
      <c r="D148" s="1172" t="s">
        <v>984</v>
      </c>
      <c r="E148" s="1172"/>
      <c r="F148" s="838" t="s">
        <v>129</v>
      </c>
      <c r="G148" s="900">
        <v>320</v>
      </c>
      <c r="H148" s="897" t="s">
        <v>131</v>
      </c>
      <c r="I148" s="901"/>
      <c r="J148" s="899">
        <v>320</v>
      </c>
      <c r="K148" s="1165"/>
    </row>
    <row r="149" spans="1:11" ht="15">
      <c r="A149" s="1171" t="str">
        <f>Таблица301715[[#This Row],[Группа]]&amp;Таблица301715[[#This Row],[Номенклатура]]&amp;Таблица301715[[#This Row],[ЕИ]]</f>
        <v>Детали труб_да ПЭ ПВХ PPRВтулка под фланец ПЭ 100 SDR17 Ø63×3,8 PN10 шт</v>
      </c>
      <c r="B149" s="1165" t="s">
        <v>197</v>
      </c>
      <c r="C149" s="1165"/>
      <c r="D149" s="1172" t="s">
        <v>985</v>
      </c>
      <c r="E149" s="1172"/>
      <c r="F149" s="838" t="s">
        <v>129</v>
      </c>
      <c r="G149" s="900">
        <v>320</v>
      </c>
      <c r="H149" s="897" t="s">
        <v>131</v>
      </c>
      <c r="I149" s="901"/>
      <c r="J149" s="899">
        <v>320</v>
      </c>
      <c r="K149" s="1176"/>
    </row>
    <row r="150" spans="1:11" ht="15">
      <c r="A150" s="1171" t="str">
        <f>Таблица301715[[#This Row],[Группа]]&amp;Таблица301715[[#This Row],[Номенклатура]]&amp;Таблица301715[[#This Row],[ЕИ]]</f>
        <v>Детали труб_да ПЭ ПВХ PPRВтулка под фланец ПЭ 100 SDR17 Ø63×3,8 PN16 шт</v>
      </c>
      <c r="B150" s="1165" t="s">
        <v>197</v>
      </c>
      <c r="C150" s="1165"/>
      <c r="D150" s="1172" t="s">
        <v>986</v>
      </c>
      <c r="E150" s="1172"/>
      <c r="F150" s="838" t="s">
        <v>129</v>
      </c>
      <c r="G150" s="900">
        <v>362</v>
      </c>
      <c r="H150" s="897" t="s">
        <v>131</v>
      </c>
      <c r="I150" s="901"/>
      <c r="J150" s="899">
        <v>362</v>
      </c>
      <c r="K150" s="1165"/>
    </row>
    <row r="151" spans="1:11" ht="15">
      <c r="A151" s="1171" t="str">
        <f>Таблица301715[[#This Row],[Группа]]&amp;Таблица301715[[#This Row],[Номенклатура]]&amp;Таблица301715[[#This Row],[ЕИ]]</f>
        <v>Детали труб_да ПЭ ПВХ PPRВтулка под фланец ПЭ 100 SDR17 Ø75×4,5 PN10 шт</v>
      </c>
      <c r="B151" s="1165" t="s">
        <v>197</v>
      </c>
      <c r="C151" s="1165"/>
      <c r="D151" s="1172" t="s">
        <v>987</v>
      </c>
      <c r="E151" s="1172"/>
      <c r="F151" s="838" t="s">
        <v>129</v>
      </c>
      <c r="G151" s="900">
        <v>488</v>
      </c>
      <c r="H151" s="897" t="s">
        <v>131</v>
      </c>
      <c r="I151" s="901"/>
      <c r="J151" s="899">
        <v>488</v>
      </c>
      <c r="K151" s="1165"/>
    </row>
    <row r="152" spans="1:11" ht="15">
      <c r="A152" s="1171" t="str">
        <f>Таблица301715[[#This Row],[Группа]]&amp;Таблица301715[[#This Row],[Номенклатура]]&amp;Таблица301715[[#This Row],[ЕИ]]</f>
        <v>Детали труб_да ПЭ ПВХ PPRВтулка под фланец ПЭ 100 SDR11 Ø90×8,2 PN16шт</v>
      </c>
      <c r="B152" s="1165" t="s">
        <v>197</v>
      </c>
      <c r="C152" s="1165"/>
      <c r="D152" s="1172" t="s">
        <v>988</v>
      </c>
      <c r="E152" s="1172"/>
      <c r="F152" s="838" t="s">
        <v>129</v>
      </c>
      <c r="G152" s="900">
        <v>48</v>
      </c>
      <c r="H152" s="897" t="s">
        <v>131</v>
      </c>
      <c r="I152" s="901"/>
      <c r="J152" s="899">
        <v>48</v>
      </c>
      <c r="K152" s="1165"/>
    </row>
    <row r="153" spans="1:11" ht="15">
      <c r="A153" s="1171" t="str">
        <f>Таблица301715[[#This Row],[Группа]]&amp;Таблица301715[[#This Row],[Номенклатура]]&amp;Таблица301715[[#This Row],[ЕИ]]</f>
        <v>Детали труб_да ПЭ ПВХ PPRВтулка под фланец ПЭ 100 SDR17 Ø90×5,4 PN10 шт</v>
      </c>
      <c r="B153" s="1165" t="s">
        <v>197</v>
      </c>
      <c r="C153" s="1165"/>
      <c r="D153" s="1172" t="s">
        <v>989</v>
      </c>
      <c r="E153" s="1172"/>
      <c r="F153" s="838" t="s">
        <v>129</v>
      </c>
      <c r="G153" s="900">
        <v>488</v>
      </c>
      <c r="H153" s="897" t="s">
        <v>131</v>
      </c>
      <c r="I153" s="901"/>
      <c r="J153" s="899">
        <v>488</v>
      </c>
      <c r="K153" s="1165"/>
    </row>
    <row r="154" spans="1:11" ht="15">
      <c r="A154" s="1171" t="str">
        <f>Таблица301715[[#This Row],[Группа]]&amp;Таблица301715[[#This Row],[Номенклатура]]&amp;Таблица301715[[#This Row],[ЕИ]]</f>
        <v>Детали труб_да ПЭ ПВХ PPRВтулка под фланец ПЭ 100+ SDR17 Ø90×5,4 PN10 шт</v>
      </c>
      <c r="B154" s="1165" t="s">
        <v>197</v>
      </c>
      <c r="C154" s="1165"/>
      <c r="D154" s="1172" t="s">
        <v>1907</v>
      </c>
      <c r="E154" s="1172"/>
      <c r="F154" s="838" t="s">
        <v>129</v>
      </c>
      <c r="G154" s="900">
        <v>488</v>
      </c>
      <c r="H154" s="897" t="s">
        <v>131</v>
      </c>
      <c r="I154" s="901"/>
      <c r="J154" s="899">
        <v>488</v>
      </c>
      <c r="K154" s="1165"/>
    </row>
    <row r="155" spans="1:11" ht="15">
      <c r="A155" s="1171" t="str">
        <f>Таблица301715[[#This Row],[Группа]]&amp;Таблица301715[[#This Row],[Номенклатура]]&amp;Таблица301715[[#This Row],[ЕИ]]</f>
        <v>Детали труб_да ПЭ ПВХ PPRВтулка под фланец ПЭ 100 SDR17 Ø110×6,6 PN10 шт</v>
      </c>
      <c r="B155" s="1165" t="s">
        <v>197</v>
      </c>
      <c r="C155" s="1165"/>
      <c r="D155" s="1172" t="s">
        <v>990</v>
      </c>
      <c r="E155" s="1172"/>
      <c r="F155" s="838" t="s">
        <v>129</v>
      </c>
      <c r="G155" s="900">
        <v>558</v>
      </c>
      <c r="H155" s="897" t="s">
        <v>131</v>
      </c>
      <c r="I155" s="901"/>
      <c r="J155" s="899">
        <v>558</v>
      </c>
      <c r="K155" s="1165"/>
    </row>
    <row r="156" spans="1:11" ht="15">
      <c r="A156" s="1171" t="str">
        <f>Таблица301715[[#This Row],[Группа]]&amp;Таблица301715[[#This Row],[Номенклатура]]&amp;Таблица301715[[#This Row],[ЕИ]]</f>
        <v>Детали труб_да ПЭ ПВХ PPRВтулка под фланец ПЭ 100+ SDR17 Ø110×6,6 PN10 шт</v>
      </c>
      <c r="B156" s="1165" t="s">
        <v>197</v>
      </c>
      <c r="C156" s="1165"/>
      <c r="D156" s="1172" t="s">
        <v>729</v>
      </c>
      <c r="E156" s="1172"/>
      <c r="F156" s="838" t="s">
        <v>129</v>
      </c>
      <c r="G156" s="900">
        <v>2509</v>
      </c>
      <c r="H156" s="897" t="s">
        <v>131</v>
      </c>
      <c r="I156" s="901"/>
      <c r="J156" s="899">
        <v>2509</v>
      </c>
      <c r="K156" s="1165"/>
    </row>
    <row r="157" spans="1:11" ht="15">
      <c r="A157" s="1171" t="str">
        <f>Таблица301715[[#This Row],[Группа]]&amp;Таблица301715[[#This Row],[Номенклатура]]&amp;Таблица301715[[#This Row],[ЕИ]]</f>
        <v>Детали труб_да ПЭ ПВХ PPRВтулка под фланец ПЭ 100 SDR17 Ø160×9,5 PN10 шт</v>
      </c>
      <c r="B157" s="1165" t="s">
        <v>197</v>
      </c>
      <c r="C157" s="1165"/>
      <c r="D157" s="1172" t="s">
        <v>991</v>
      </c>
      <c r="E157" s="1172"/>
      <c r="F157" s="838" t="s">
        <v>129</v>
      </c>
      <c r="G157" s="900">
        <v>1450</v>
      </c>
      <c r="H157" s="897" t="s">
        <v>131</v>
      </c>
      <c r="I157" s="901"/>
      <c r="J157" s="899">
        <v>1450</v>
      </c>
      <c r="K157" s="1165"/>
    </row>
    <row r="158" spans="1:11" ht="15">
      <c r="A158" s="1171" t="str">
        <f>Таблица301715[[#This Row],[Группа]]&amp;Таблица301715[[#This Row],[Номенклатура]]&amp;Таблица301715[[#This Row],[ЕИ]]</f>
        <v>Детали труб_да ПЭ ПВХ PPRВтулка под фланец ПЭ 100+ SDR17 Ø160×9,5 PN10 (для МВК)шт</v>
      </c>
      <c r="B158" s="1165" t="s">
        <v>197</v>
      </c>
      <c r="C158" s="1165"/>
      <c r="D158" s="1172" t="s">
        <v>992</v>
      </c>
      <c r="E158" s="1172"/>
      <c r="F158" s="838" t="s">
        <v>129</v>
      </c>
      <c r="G158" s="900">
        <v>6200</v>
      </c>
      <c r="H158" s="897" t="s">
        <v>131</v>
      </c>
      <c r="I158" s="901"/>
      <c r="J158" s="899">
        <v>6200</v>
      </c>
      <c r="K158" s="1165"/>
    </row>
    <row r="159" spans="1:11" ht="15">
      <c r="A159" s="1171" t="str">
        <f>Таблица301715[[#This Row],[Группа]]&amp;Таблица301715[[#This Row],[Номенклатура]]&amp;Таблица301715[[#This Row],[ЕИ]]</f>
        <v>Детали труб_да ПЭ ПВХ PPRВтулка под фланец ПЭ 100 SDR17 Ø225×13,4 PN10 шт</v>
      </c>
      <c r="B159" s="1165" t="s">
        <v>197</v>
      </c>
      <c r="C159" s="1165"/>
      <c r="D159" s="1172" t="s">
        <v>993</v>
      </c>
      <c r="E159" s="1172"/>
      <c r="F159" s="838" t="s">
        <v>129</v>
      </c>
      <c r="G159" s="900">
        <v>2255</v>
      </c>
      <c r="H159" s="897" t="s">
        <v>131</v>
      </c>
      <c r="I159" s="901"/>
      <c r="J159" s="899">
        <v>2255</v>
      </c>
      <c r="K159" s="1165"/>
    </row>
    <row r="160" spans="1:11" ht="15">
      <c r="A160" s="1171" t="str">
        <f>Таблица301715[[#This Row],[Группа]]&amp;Таблица301715[[#This Row],[Номенклатура]]&amp;Таблица301715[[#This Row],[ЕИ]]</f>
        <v>Детали труб_да ПЭ ПВХ PPRВтулка под фланец ПЭ 100+ SDR17 Ø225×13,4 PN10 (для МВК)шт</v>
      </c>
      <c r="B160" s="1165" t="s">
        <v>197</v>
      </c>
      <c r="C160" s="1165"/>
      <c r="D160" s="1172" t="s">
        <v>994</v>
      </c>
      <c r="E160" s="1172"/>
      <c r="F160" s="838" t="s">
        <v>129</v>
      </c>
      <c r="G160" s="900">
        <v>8632</v>
      </c>
      <c r="H160" s="897" t="s">
        <v>131</v>
      </c>
      <c r="I160" s="901"/>
      <c r="J160" s="899">
        <v>8632</v>
      </c>
      <c r="K160" s="1165"/>
    </row>
    <row r="161" spans="1:11" ht="15">
      <c r="A161" s="1171" t="str">
        <f>Таблица301715[[#This Row],[Группа]]&amp;Таблица301715[[#This Row],[Номенклатура]]&amp;Таблица301715[[#This Row],[ЕИ]]</f>
        <v>Детали труб_да ПЭ ПВХ PPRВтулка под фланец ПЭ 100 SDR17 Ø250×14,8 PN10 шт</v>
      </c>
      <c r="B161" s="1165" t="s">
        <v>197</v>
      </c>
      <c r="C161" s="1165"/>
      <c r="D161" s="1172" t="s">
        <v>710</v>
      </c>
      <c r="E161" s="1172"/>
      <c r="F161" s="838" t="s">
        <v>129</v>
      </c>
      <c r="G161" s="900">
        <v>3925</v>
      </c>
      <c r="H161" s="897" t="s">
        <v>131</v>
      </c>
      <c r="I161" s="901"/>
      <c r="J161" s="899">
        <v>3925</v>
      </c>
      <c r="K161" s="1165"/>
    </row>
    <row r="162" spans="1:11" ht="15">
      <c r="A162" s="1171" t="str">
        <f>Таблица301715[[#This Row],[Группа]]&amp;Таблица301715[[#This Row],[Номенклатура]]&amp;Таблица301715[[#This Row],[ЕИ]]</f>
        <v>Детали труб_да ПЭ ПВХ PPRВтулка под фланец ПЭ 100 SDR17 Ø280×16,6 PN10 шт</v>
      </c>
      <c r="B162" s="1165" t="s">
        <v>197</v>
      </c>
      <c r="C162" s="1165"/>
      <c r="D162" s="1172" t="s">
        <v>995</v>
      </c>
      <c r="E162" s="1172"/>
      <c r="F162" s="838" t="s">
        <v>129</v>
      </c>
      <c r="G162" s="900">
        <v>4502</v>
      </c>
      <c r="H162" s="897" t="s">
        <v>131</v>
      </c>
      <c r="I162" s="901"/>
      <c r="J162" s="899">
        <v>4502</v>
      </c>
      <c r="K162" s="1165"/>
    </row>
    <row r="163" spans="1:11" ht="15">
      <c r="A163" s="1171" t="str">
        <f>Таблица301715[[#This Row],[Группа]]&amp;Таблица301715[[#This Row],[Номенклатура]]&amp;Таблица301715[[#This Row],[ЕИ]]</f>
        <v>Детали труб_да ПЭ ПВХ PPRВтулка под фланец ПЭ 100 SDR17 Ø315×18,7 PN10 шт</v>
      </c>
      <c r="B163" s="1165" t="s">
        <v>197</v>
      </c>
      <c r="C163" s="1165"/>
      <c r="D163" s="1172" t="s">
        <v>996</v>
      </c>
      <c r="E163" s="1172"/>
      <c r="F163" s="838" t="s">
        <v>129</v>
      </c>
      <c r="G163" s="900">
        <v>4980</v>
      </c>
      <c r="H163" s="897" t="s">
        <v>131</v>
      </c>
      <c r="I163" s="901"/>
      <c r="J163" s="899">
        <v>4980</v>
      </c>
      <c r="K163" s="1165"/>
    </row>
    <row r="164" spans="1:11" ht="15">
      <c r="A164" s="1171" t="str">
        <f>Таблица301715[[#This Row],[Группа]]&amp;Таблица301715[[#This Row],[Номенклатура]]&amp;Таблица301715[[#This Row],[ЕИ]]</f>
        <v>Детали труб_да ПЭ ПВХ PPRВтулка под фланец ПЭ 100 SDR17 Ø355×21,1 PN10 шт</v>
      </c>
      <c r="B164" s="1165" t="s">
        <v>197</v>
      </c>
      <c r="C164" s="1165"/>
      <c r="D164" s="1172" t="s">
        <v>997</v>
      </c>
      <c r="E164" s="1172"/>
      <c r="F164" s="838" t="s">
        <v>129</v>
      </c>
      <c r="G164" s="900">
        <v>5200</v>
      </c>
      <c r="H164" s="897" t="s">
        <v>131</v>
      </c>
      <c r="I164" s="901"/>
      <c r="J164" s="899">
        <v>5200</v>
      </c>
      <c r="K164" s="1165"/>
    </row>
    <row r="165" spans="1:11" ht="15">
      <c r="A165" s="1171" t="str">
        <f>Таблица301715[[#This Row],[Группа]]&amp;Таблица301715[[#This Row],[Номенклатура]]&amp;Таблица301715[[#This Row],[ЕИ]]</f>
        <v>Детали труб_да ПЭ ПВХ PPRВтулка под фланец ПЭ 100 SDR17 Ø630×37,4 PN10 шт</v>
      </c>
      <c r="B165" s="1165" t="s">
        <v>197</v>
      </c>
      <c r="C165" s="1165"/>
      <c r="D165" s="1172" t="s">
        <v>998</v>
      </c>
      <c r="E165" s="1172"/>
      <c r="F165" s="838" t="s">
        <v>129</v>
      </c>
      <c r="G165" s="900">
        <v>5150</v>
      </c>
      <c r="H165" s="897" t="s">
        <v>131</v>
      </c>
      <c r="I165" s="901"/>
      <c r="J165" s="899">
        <v>5150</v>
      </c>
      <c r="K165" s="1165"/>
    </row>
    <row r="166" spans="1:11" ht="15">
      <c r="A166" s="1171" t="str">
        <f>Таблица301715[[#This Row],[Группа]]&amp;Таблица301715[[#This Row],[Номенклатура]]&amp;Таблица301715[[#This Row],[ЕИ]]</f>
        <v>Детали труб_да ПЭ ПВХ PPRВтулка под фланец ПЭ 100 SDR17 Ø800×47,4 PN10 шт</v>
      </c>
      <c r="B166" s="1165" t="s">
        <v>197</v>
      </c>
      <c r="C166" s="1165"/>
      <c r="D166" s="1172" t="s">
        <v>999</v>
      </c>
      <c r="E166" s="1172"/>
      <c r="F166" s="838" t="s">
        <v>129</v>
      </c>
      <c r="G166" s="900">
        <v>29460</v>
      </c>
      <c r="H166" s="897" t="s">
        <v>131</v>
      </c>
      <c r="I166" s="901"/>
      <c r="J166" s="899">
        <v>29460</v>
      </c>
      <c r="K166" s="1165"/>
    </row>
    <row r="167" spans="1:11" ht="15">
      <c r="A167" s="1171" t="str">
        <f>Таблица301715[[#This Row],[Группа]]&amp;Таблица301715[[#This Row],[Номенклатура]]&amp;Таблица301715[[#This Row],[ЕИ]]</f>
        <v>Детали труб_да ПЭ ПВХ PPRМуфта редукционная 225/160 ПЭ100 SDR17шт</v>
      </c>
      <c r="B167" s="1165" t="s">
        <v>197</v>
      </c>
      <c r="C167" s="1165"/>
      <c r="D167" s="1172" t="s">
        <v>1000</v>
      </c>
      <c r="E167" s="1172"/>
      <c r="F167" s="838" t="s">
        <v>129</v>
      </c>
      <c r="G167" s="900">
        <v>2800</v>
      </c>
      <c r="H167" s="897" t="s">
        <v>131</v>
      </c>
      <c r="I167" s="901"/>
      <c r="J167" s="899">
        <v>2800</v>
      </c>
      <c r="K167" s="1165"/>
    </row>
    <row r="168" spans="1:11" ht="15">
      <c r="A168" s="1171" t="str">
        <f>Таблица301715[[#This Row],[Группа]]&amp;Таблица301715[[#This Row],[Номенклатура]]&amp;Таблица301715[[#This Row],[ЕИ]]</f>
        <v>Детали труб_да ПЭ ПВХ PPRМуфта редукционная 250/225 ПЭ100 SDR11шт</v>
      </c>
      <c r="B168" s="1165" t="s">
        <v>197</v>
      </c>
      <c r="C168" s="1165"/>
      <c r="D168" s="1172" t="s">
        <v>1001</v>
      </c>
      <c r="E168" s="1172"/>
      <c r="F168" s="838" t="s">
        <v>129</v>
      </c>
      <c r="G168" s="900">
        <v>13500</v>
      </c>
      <c r="H168" s="897" t="s">
        <v>131</v>
      </c>
      <c r="I168" s="901"/>
      <c r="J168" s="899">
        <v>13500</v>
      </c>
      <c r="K168" s="1165"/>
    </row>
    <row r="169" spans="1:11" ht="15">
      <c r="A169" s="1171" t="str">
        <f>Таблица301715[[#This Row],[Группа]]&amp;Таблица301715[[#This Row],[Номенклатура]]&amp;Таблица301715[[#This Row],[ЕИ]]</f>
        <v>Детали труб_да ПЭ ПВХ PPRМуфта редукционная 225/110 ПЭ100 SDR11шт</v>
      </c>
      <c r="B169" s="1165" t="s">
        <v>197</v>
      </c>
      <c r="C169" s="1165"/>
      <c r="D169" s="1172" t="s">
        <v>1002</v>
      </c>
      <c r="E169" s="1172"/>
      <c r="F169" s="838" t="s">
        <v>129</v>
      </c>
      <c r="G169" s="900">
        <v>2690</v>
      </c>
      <c r="H169" s="897" t="s">
        <v>131</v>
      </c>
      <c r="I169" s="901"/>
      <c r="J169" s="899">
        <v>2690</v>
      </c>
      <c r="K169" s="1165"/>
    </row>
    <row r="170" spans="1:11" ht="15">
      <c r="A170" s="1171" t="str">
        <f>Таблица301715[[#This Row],[Группа]]&amp;Таблица301715[[#This Row],[Номенклатура]]&amp;Таблица301715[[#This Row],[ЕИ]]</f>
        <v>Детали труб_да ПЭ ПВХ PPRМуфта редукционная 110/90 ПЭ100 SDR17шт</v>
      </c>
      <c r="B170" s="1165" t="s">
        <v>197</v>
      </c>
      <c r="C170" s="1165"/>
      <c r="D170" s="1172" t="s">
        <v>1003</v>
      </c>
      <c r="E170" s="1172"/>
      <c r="F170" s="838" t="s">
        <v>129</v>
      </c>
      <c r="G170" s="900">
        <v>880</v>
      </c>
      <c r="H170" s="897" t="s">
        <v>131</v>
      </c>
      <c r="I170" s="901"/>
      <c r="J170" s="899">
        <v>880</v>
      </c>
      <c r="K170" s="1165"/>
    </row>
    <row r="171" spans="1:11" ht="15">
      <c r="A171" s="1171" t="str">
        <f>Таблица301715[[#This Row],[Группа]]&amp;Таблица301715[[#This Row],[Номенклатура]]&amp;Таблица301715[[#This Row],[ЕИ]]</f>
        <v>Детали труб_да ПЭ ПВХ PPRОтвод сегментный 90 градусов ПЭ100 SDR17 Ø355×21,1 PN10 шт</v>
      </c>
      <c r="B171" s="1165" t="s">
        <v>197</v>
      </c>
      <c r="C171" s="1165"/>
      <c r="D171" s="1172" t="s">
        <v>1004</v>
      </c>
      <c r="E171" s="1172"/>
      <c r="F171" s="838" t="s">
        <v>129</v>
      </c>
      <c r="G171" s="900">
        <v>7210</v>
      </c>
      <c r="H171" s="897" t="s">
        <v>131</v>
      </c>
      <c r="I171" s="901"/>
      <c r="J171" s="899">
        <v>7210</v>
      </c>
      <c r="K171" s="1165"/>
    </row>
    <row r="172" spans="1:11" ht="15">
      <c r="A172" s="1171" t="str">
        <f>Таблица301715[[#This Row],[Группа]]&amp;Таблица301715[[#This Row],[Номенклатура]]&amp;Таблица301715[[#This Row],[ЕИ]]</f>
        <v>Детали труб_да ПЭ ПВХ PPRОтвод сегментный 90 градусов ПЭ100 SDR17  Ø225×13,4 PN10   шт</v>
      </c>
      <c r="B172" s="1165" t="s">
        <v>197</v>
      </c>
      <c r="C172" s="1165"/>
      <c r="D172" s="1172" t="s">
        <v>1005</v>
      </c>
      <c r="E172" s="1172"/>
      <c r="F172" s="838" t="s">
        <v>129</v>
      </c>
      <c r="G172" s="900">
        <v>4230</v>
      </c>
      <c r="H172" s="897" t="s">
        <v>131</v>
      </c>
      <c r="I172" s="901"/>
      <c r="J172" s="899">
        <v>4230</v>
      </c>
      <c r="K172" s="1165"/>
    </row>
    <row r="173" spans="1:11" ht="15">
      <c r="A173" s="1171" t="str">
        <f>Таблица301715[[#This Row],[Группа]]&amp;Таблица301715[[#This Row],[Номенклатура]]&amp;Таблица301715[[#This Row],[ЕИ]]</f>
        <v>Детали труб_да ПЭ ПВХ PPRОтвод сегментный  90 градусов ПЭ100 SDR17  Ø280×16,6 PN10   шт</v>
      </c>
      <c r="B173" s="1165" t="s">
        <v>197</v>
      </c>
      <c r="C173" s="1165"/>
      <c r="D173" s="1172" t="s">
        <v>1006</v>
      </c>
      <c r="E173" s="1172"/>
      <c r="F173" s="838" t="s">
        <v>129</v>
      </c>
      <c r="G173" s="900">
        <v>4630</v>
      </c>
      <c r="H173" s="897" t="s">
        <v>131</v>
      </c>
      <c r="I173" s="901"/>
      <c r="J173" s="899">
        <v>4630</v>
      </c>
      <c r="K173" s="1165"/>
    </row>
    <row r="174" spans="1:11" ht="15">
      <c r="A174" s="1171" t="str">
        <f>Таблица301715[[#This Row],[Группа]]&amp;Таблица301715[[#This Row],[Номенклатура]]&amp;Таблица301715[[#This Row],[ЕИ]]</f>
        <v>Детали труб_да ПЭ ПВХ PPRОтвод 90 гр. 90 мм ПЭ100 SDR11 литойшт</v>
      </c>
      <c r="B174" s="1165" t="s">
        <v>197</v>
      </c>
      <c r="C174" s="1165"/>
      <c r="D174" s="1172" t="s">
        <v>1007</v>
      </c>
      <c r="E174" s="1172"/>
      <c r="F174" s="838" t="s">
        <v>129</v>
      </c>
      <c r="G174" s="900">
        <v>600</v>
      </c>
      <c r="H174" s="897" t="s">
        <v>131</v>
      </c>
      <c r="I174" s="901"/>
      <c r="J174" s="899">
        <v>600</v>
      </c>
      <c r="K174" s="1165"/>
    </row>
    <row r="175" spans="1:11" ht="15">
      <c r="A175" s="1171" t="str">
        <f>Таблица301715[[#This Row],[Группа]]&amp;Таблица301715[[#This Row],[Номенклатура]]&amp;Таблица301715[[#This Row],[ЕИ]]</f>
        <v>Детали труб_да ПЭ ПВХ PPRОтвод 90 гр. 355 мм ПЭ100 SDR11шт</v>
      </c>
      <c r="B175" s="1165" t="s">
        <v>197</v>
      </c>
      <c r="C175" s="1165"/>
      <c r="D175" s="1172" t="s">
        <v>1008</v>
      </c>
      <c r="E175" s="1172"/>
      <c r="F175" s="838" t="s">
        <v>129</v>
      </c>
      <c r="G175" s="900">
        <v>17520</v>
      </c>
      <c r="H175" s="897" t="s">
        <v>131</v>
      </c>
      <c r="I175" s="901"/>
      <c r="J175" s="899">
        <v>17520</v>
      </c>
      <c r="K175" s="1165"/>
    </row>
    <row r="176" spans="1:11" ht="15">
      <c r="A176" s="1171" t="str">
        <f>Таблица301715[[#This Row],[Группа]]&amp;Таблица301715[[#This Row],[Номенклатура]]&amp;Таблица301715[[#This Row],[ЕИ]]</f>
        <v>Детали труб_да ПЭ ПВХ PPRПереход ПЭ 100 SDR17 DN110/63 шт</v>
      </c>
      <c r="B176" s="1165" t="s">
        <v>197</v>
      </c>
      <c r="C176" s="1165"/>
      <c r="D176" s="1172" t="s">
        <v>1009</v>
      </c>
      <c r="E176" s="1172"/>
      <c r="F176" s="838" t="s">
        <v>129</v>
      </c>
      <c r="G176" s="900">
        <v>450</v>
      </c>
      <c r="H176" s="897" t="s">
        <v>131</v>
      </c>
      <c r="I176" s="901"/>
      <c r="J176" s="899">
        <v>450</v>
      </c>
      <c r="K176" s="1176"/>
    </row>
    <row r="177" spans="1:11" ht="15">
      <c r="A177" s="1171" t="str">
        <f>Таблица301715[[#This Row],[Группа]]&amp;Таблица301715[[#This Row],[Номенклатура]]&amp;Таблица301715[[#This Row],[ЕИ]]</f>
        <v>Детали труб_да ПЭ ПВХ PPRПереход ПЭ 100 SDR17 DN110/75шт</v>
      </c>
      <c r="B177" s="1165" t="s">
        <v>197</v>
      </c>
      <c r="C177" s="1165"/>
      <c r="D177" s="1172" t="s">
        <v>1010</v>
      </c>
      <c r="E177" s="1172"/>
      <c r="F177" s="838" t="s">
        <v>129</v>
      </c>
      <c r="G177" s="900">
        <v>850</v>
      </c>
      <c r="H177" s="897" t="s">
        <v>131</v>
      </c>
      <c r="I177" s="901"/>
      <c r="J177" s="899">
        <v>850</v>
      </c>
      <c r="K177" s="1165"/>
    </row>
    <row r="178" spans="1:11" ht="15">
      <c r="A178" s="1171" t="str">
        <f>Таблица301715[[#This Row],[Группа]]&amp;Таблица301715[[#This Row],[Номенклатура]]&amp;Таблица301715[[#This Row],[ЕИ]]</f>
        <v>Детали труб_да ПЭ ПВХ PPRПереход ПЭ 100 SDR17 DN63/50 шт</v>
      </c>
      <c r="B178" s="1165" t="s">
        <v>197</v>
      </c>
      <c r="C178" s="1165"/>
      <c r="D178" s="1172" t="s">
        <v>1011</v>
      </c>
      <c r="E178" s="1172"/>
      <c r="F178" s="838" t="s">
        <v>129</v>
      </c>
      <c r="G178" s="900">
        <v>850</v>
      </c>
      <c r="H178" s="897" t="s">
        <v>131</v>
      </c>
      <c r="I178" s="901"/>
      <c r="J178" s="899">
        <v>850</v>
      </c>
      <c r="K178" s="1165"/>
    </row>
    <row r="179" spans="1:11" ht="15">
      <c r="A179" s="1171" t="str">
        <f>Таблица301715[[#This Row],[Группа]]&amp;Таблица301715[[#This Row],[Номенклатура]]&amp;Таблица301715[[#This Row],[ЕИ]]</f>
        <v>Детали труб_да ПЭ ПВХ PPRПереход ПЭ 100 SDR17 DN90/DN63шт</v>
      </c>
      <c r="B179" s="1165" t="s">
        <v>197</v>
      </c>
      <c r="C179" s="1165"/>
      <c r="D179" s="1172" t="s">
        <v>1012</v>
      </c>
      <c r="E179" s="1172"/>
      <c r="F179" s="838" t="s">
        <v>129</v>
      </c>
      <c r="G179" s="900">
        <v>452</v>
      </c>
      <c r="H179" s="897" t="s">
        <v>131</v>
      </c>
      <c r="I179" s="901"/>
      <c r="J179" s="899">
        <v>452</v>
      </c>
      <c r="K179" s="1165"/>
    </row>
    <row r="180" spans="1:11" ht="15">
      <c r="A180" s="1171" t="str">
        <f>Таблица301715[[#This Row],[Группа]]&amp;Таблица301715[[#This Row],[Номенклатура]]&amp;Таблица301715[[#This Row],[ЕИ]]</f>
        <v>Детали труб_да ПЭ ПВХ PPRПереход ПЭ 100+ SDR17 DN110/DN75 шт</v>
      </c>
      <c r="B180" s="1165" t="s">
        <v>197</v>
      </c>
      <c r="C180" s="1165"/>
      <c r="D180" s="1172" t="s">
        <v>1927</v>
      </c>
      <c r="E180" s="1172"/>
      <c r="F180" s="838" t="s">
        <v>129</v>
      </c>
      <c r="G180" s="900"/>
      <c r="H180" s="897" t="s">
        <v>131</v>
      </c>
      <c r="I180" s="901"/>
      <c r="J180" s="899"/>
      <c r="K180" s="1165"/>
    </row>
    <row r="181" spans="1:11" ht="15">
      <c r="A181" s="1171" t="str">
        <f>Таблица301715[[#This Row],[Группа]]&amp;Таблица301715[[#This Row],[Номенклатура]]&amp;Таблица301715[[#This Row],[ЕИ]]</f>
        <v>Детали труб_да ПЭ ПВХ PPRПереход ПЭ 100+ SDR17 DN110/DN90 шт</v>
      </c>
      <c r="B181" s="1165" t="s">
        <v>197</v>
      </c>
      <c r="C181" s="1165"/>
      <c r="D181" s="1172" t="s">
        <v>1908</v>
      </c>
      <c r="E181" s="1172"/>
      <c r="F181" s="838" t="s">
        <v>129</v>
      </c>
      <c r="G181" s="900"/>
      <c r="H181" s="897" t="s">
        <v>131</v>
      </c>
      <c r="I181" s="901"/>
      <c r="J181" s="899"/>
      <c r="K181" s="1165"/>
    </row>
    <row r="182" spans="1:11" ht="15">
      <c r="A182" s="1171" t="str">
        <f>Таблица301715[[#This Row],[Группа]]&amp;Таблица301715[[#This Row],[Номенклатура]]&amp;Таблица301715[[#This Row],[ЕИ]]</f>
        <v>Детали труб_да ПЭ ПВХ PPRПереход ПЭ 100 SDR17 DN160/DN90 шт</v>
      </c>
      <c r="B182" s="1165" t="s">
        <v>197</v>
      </c>
      <c r="C182" s="1165"/>
      <c r="D182" s="1172" t="s">
        <v>1013</v>
      </c>
      <c r="E182" s="1172"/>
      <c r="F182" s="838" t="s">
        <v>129</v>
      </c>
      <c r="G182" s="900">
        <v>80</v>
      </c>
      <c r="H182" s="897" t="s">
        <v>131</v>
      </c>
      <c r="I182" s="901"/>
      <c r="J182" s="899">
        <v>80</v>
      </c>
      <c r="K182" s="1165"/>
    </row>
    <row r="183" spans="1:11" ht="15">
      <c r="A183" s="1171" t="str">
        <f>Таблица301715[[#This Row],[Группа]]&amp;Таблица301715[[#This Row],[Номенклатура]]&amp;Таблица301715[[#This Row],[ЕИ]]</f>
        <v>Детали труб_да ПЭ ПВХ PPRПереход ПЭ 100 SDR17 DN160/110шт</v>
      </c>
      <c r="B183" s="1165" t="s">
        <v>197</v>
      </c>
      <c r="C183" s="1165"/>
      <c r="D183" s="1172" t="s">
        <v>730</v>
      </c>
      <c r="E183" s="1172"/>
      <c r="F183" s="838" t="s">
        <v>129</v>
      </c>
      <c r="G183" s="900">
        <v>1270</v>
      </c>
      <c r="H183" s="897" t="s">
        <v>131</v>
      </c>
      <c r="I183" s="901"/>
      <c r="J183" s="899">
        <v>1270</v>
      </c>
      <c r="K183" s="1165"/>
    </row>
    <row r="184" spans="1:11" ht="15">
      <c r="A184" s="1171" t="str">
        <f>Таблица301715[[#This Row],[Группа]]&amp;Таблица301715[[#This Row],[Номенклатура]]&amp;Таблица301715[[#This Row],[ЕИ]]</f>
        <v>Детали труб_да ПЭ ПВХ PPRПереход ПЭ 100 SDR17 DN225/110 шт</v>
      </c>
      <c r="B184" s="1165" t="s">
        <v>197</v>
      </c>
      <c r="C184" s="1165"/>
      <c r="D184" s="1172" t="s">
        <v>1014</v>
      </c>
      <c r="E184" s="1172"/>
      <c r="F184" s="838" t="s">
        <v>129</v>
      </c>
      <c r="G184" s="900">
        <v>2170</v>
      </c>
      <c r="H184" s="897" t="s">
        <v>131</v>
      </c>
      <c r="I184" s="901"/>
      <c r="J184" s="899">
        <v>2170</v>
      </c>
      <c r="K184" s="1165"/>
    </row>
    <row r="185" spans="1:11" ht="15">
      <c r="A185" s="1171" t="str">
        <f>Таблица301715[[#This Row],[Группа]]&amp;Таблица301715[[#This Row],[Номенклатура]]&amp;Таблица301715[[#This Row],[ЕИ]]</f>
        <v>Детали труб_да ПЭ ПВХ PPRПереход ПЭ 100 SDR17 DN225/160шт</v>
      </c>
      <c r="B185" s="1165" t="s">
        <v>197</v>
      </c>
      <c r="C185" s="1165"/>
      <c r="D185" s="1172" t="s">
        <v>1015</v>
      </c>
      <c r="E185" s="1172"/>
      <c r="F185" s="838" t="s">
        <v>129</v>
      </c>
      <c r="G185" s="900">
        <v>2170</v>
      </c>
      <c r="H185" s="897" t="s">
        <v>131</v>
      </c>
      <c r="I185" s="901"/>
      <c r="J185" s="899">
        <v>2170</v>
      </c>
      <c r="K185" s="1165"/>
    </row>
    <row r="186" spans="1:11" ht="15">
      <c r="A186" s="1171" t="str">
        <f>Таблица301715[[#This Row],[Группа]]&amp;Таблица301715[[#This Row],[Номенклатура]]&amp;Таблица301715[[#This Row],[ЕИ]]</f>
        <v>Детали труб_да ПЭ ПВХ PPRПереход ПЭ 100 SDR17 DN225/160шт</v>
      </c>
      <c r="B186" s="1165" t="s">
        <v>197</v>
      </c>
      <c r="C186" s="1165"/>
      <c r="D186" s="1172" t="s">
        <v>1015</v>
      </c>
      <c r="E186" s="1172"/>
      <c r="F186" s="838" t="s">
        <v>129</v>
      </c>
      <c r="G186" s="900">
        <v>9230</v>
      </c>
      <c r="H186" s="897" t="s">
        <v>131</v>
      </c>
      <c r="I186" s="901"/>
      <c r="J186" s="899">
        <v>9230</v>
      </c>
      <c r="K186" s="1165"/>
    </row>
    <row r="187" spans="1:11" ht="15">
      <c r="A187" s="1171" t="str">
        <f>Таблица301715[[#This Row],[Группа]]&amp;Таблица301715[[#This Row],[Номенклатура]]&amp;Таблица301715[[#This Row],[ЕИ]]</f>
        <v>Детали труб_да ПЭ ПВХ PPRПереход ПЭ 100 SDR17 DN250/225 шт</v>
      </c>
      <c r="B187" s="1165" t="s">
        <v>197</v>
      </c>
      <c r="C187" s="1165"/>
      <c r="D187" s="1172" t="s">
        <v>1016</v>
      </c>
      <c r="E187" s="1172"/>
      <c r="F187" s="838" t="s">
        <v>129</v>
      </c>
      <c r="G187" s="900">
        <v>12305</v>
      </c>
      <c r="H187" s="897" t="s">
        <v>131</v>
      </c>
      <c r="I187" s="901"/>
      <c r="J187" s="899">
        <v>12305</v>
      </c>
      <c r="K187" s="1165"/>
    </row>
    <row r="188" spans="1:11" ht="15">
      <c r="A188" s="1171" t="str">
        <f>Таблица301715[[#This Row],[Группа]]&amp;Таблица301715[[#This Row],[Номенклатура]]&amp;Таблица301715[[#This Row],[ЕИ]]</f>
        <v>Детали труб_да ПЭ ПВХ PPRПереход ПЭ100 SDR11 280/225шт</v>
      </c>
      <c r="B188" s="1165" t="s">
        <v>197</v>
      </c>
      <c r="C188" s="1165"/>
      <c r="D188" s="1172" t="s">
        <v>1017</v>
      </c>
      <c r="E188" s="1172"/>
      <c r="F188" s="838" t="s">
        <v>129</v>
      </c>
      <c r="G188" s="900">
        <v>14230</v>
      </c>
      <c r="H188" s="897" t="s">
        <v>131</v>
      </c>
      <c r="I188" s="901"/>
      <c r="J188" s="899">
        <v>14230</v>
      </c>
      <c r="K188" s="1165"/>
    </row>
    <row r="189" spans="1:11" ht="15">
      <c r="A189" s="1171" t="str">
        <f>Таблица301715[[#This Row],[Группа]]&amp;Таблица301715[[#This Row],[Номенклатура]]&amp;Таблица301715[[#This Row],[ЕИ]]</f>
        <v>Детали труб_да ПЭ ПВХ PPRПереход ПЭ 100 SDR17 DN315/225шт</v>
      </c>
      <c r="B189" s="1165" t="s">
        <v>197</v>
      </c>
      <c r="C189" s="1165"/>
      <c r="D189" s="1172" t="s">
        <v>1018</v>
      </c>
      <c r="E189" s="1172"/>
      <c r="F189" s="838" t="s">
        <v>129</v>
      </c>
      <c r="G189" s="900">
        <v>12305</v>
      </c>
      <c r="H189" s="897" t="s">
        <v>131</v>
      </c>
      <c r="I189" s="901"/>
      <c r="J189" s="899">
        <v>12305</v>
      </c>
      <c r="K189" s="1165"/>
    </row>
    <row r="190" spans="1:11" ht="15">
      <c r="A190" s="1171" t="str">
        <f>Таблица301715[[#This Row],[Группа]]&amp;Таблица301715[[#This Row],[Номенклатура]]&amp;Таблица301715[[#This Row],[ЕИ]]</f>
        <v>Детали труб_да ПЭ ПВХ PPRПереход ПЭ 100 SDR17 DN450/280шт</v>
      </c>
      <c r="B190" s="1165" t="s">
        <v>197</v>
      </c>
      <c r="C190" s="1165"/>
      <c r="D190" s="1172" t="s">
        <v>1019</v>
      </c>
      <c r="E190" s="1172"/>
      <c r="F190" s="838" t="s">
        <v>129</v>
      </c>
      <c r="G190" s="900">
        <v>16290</v>
      </c>
      <c r="H190" s="897" t="s">
        <v>131</v>
      </c>
      <c r="I190" s="901"/>
      <c r="J190" s="899">
        <v>16290</v>
      </c>
      <c r="K190" s="1165"/>
    </row>
    <row r="191" spans="1:11" ht="15">
      <c r="A191" s="1171" t="str">
        <f>Таблица301715[[#This Row],[Группа]]&amp;Таблица301715[[#This Row],[Номенклатура]]&amp;Таблица301715[[#This Row],[ЕИ]]</f>
        <v>Детали труб_да ПЭ ПВХ PPRПереход ПЭ 100 SDR17 DN500/355шт</v>
      </c>
      <c r="B191" s="1165" t="s">
        <v>197</v>
      </c>
      <c r="C191" s="1165"/>
      <c r="D191" s="1172" t="s">
        <v>1020</v>
      </c>
      <c r="E191" s="1172"/>
      <c r="F191" s="838" t="s">
        <v>129</v>
      </c>
      <c r="G191" s="900">
        <v>18301</v>
      </c>
      <c r="H191" s="897" t="s">
        <v>131</v>
      </c>
      <c r="I191" s="901"/>
      <c r="J191" s="899">
        <v>18301</v>
      </c>
      <c r="K191" s="1165"/>
    </row>
    <row r="192" spans="1:11" ht="15">
      <c r="A192" s="1171" t="str">
        <f>Таблица301715[[#This Row],[Группа]]&amp;Таблица301715[[#This Row],[Номенклатура]]&amp;Таблица301715[[#This Row],[ЕИ]]</f>
        <v>Детали труб_да ПЭ ПВХ PPRПереход ПЭ 100 SDR11 DN500/355шт</v>
      </c>
      <c r="B192" s="1165" t="s">
        <v>197</v>
      </c>
      <c r="C192" s="1165"/>
      <c r="D192" s="1172" t="s">
        <v>1021</v>
      </c>
      <c r="E192" s="1172"/>
      <c r="F192" s="838" t="s">
        <v>129</v>
      </c>
      <c r="G192" s="900">
        <v>28320</v>
      </c>
      <c r="H192" s="897" t="s">
        <v>131</v>
      </c>
      <c r="I192" s="901"/>
      <c r="J192" s="899">
        <v>28320</v>
      </c>
      <c r="K192" s="1165"/>
    </row>
    <row r="193" spans="1:11" ht="15">
      <c r="A193" s="1171" t="str">
        <f>Таблица301715[[#This Row],[Группа]]&amp;Таблица301715[[#This Row],[Номенклатура]]&amp;Таблица301715[[#This Row],[ЕИ]]</f>
        <v>Детали труб_да ПЭ ПВХ PPRПереход ПЭ 100+ SDR17 DN110/90 ГОСТ 18599-2001шт</v>
      </c>
      <c r="B193" s="1165" t="s">
        <v>197</v>
      </c>
      <c r="C193" s="1165"/>
      <c r="D193" s="1172" t="s">
        <v>1022</v>
      </c>
      <c r="E193" s="1172"/>
      <c r="F193" s="838" t="s">
        <v>129</v>
      </c>
      <c r="G193" s="900">
        <v>4210</v>
      </c>
      <c r="H193" s="897" t="s">
        <v>131</v>
      </c>
      <c r="I193" s="901"/>
      <c r="J193" s="899">
        <v>4210</v>
      </c>
      <c r="K193" s="1165"/>
    </row>
    <row r="194" spans="1:11" ht="15">
      <c r="A194" s="1171" t="str">
        <f>Таблица301715[[#This Row],[Группа]]&amp;Таблица301715[[#This Row],[Номенклатура]]&amp;Таблица301715[[#This Row],[ЕИ]]</f>
        <v>Детали труб_да ПЭ ПВХ PPRПереход ПЭ 100+ SDR17 DN160/110 ГОСТ 18599-2001шт</v>
      </c>
      <c r="B194" s="1165" t="s">
        <v>197</v>
      </c>
      <c r="C194" s="1165"/>
      <c r="D194" s="1172" t="s">
        <v>1023</v>
      </c>
      <c r="E194" s="1172"/>
      <c r="F194" s="838" t="s">
        <v>129</v>
      </c>
      <c r="G194" s="900">
        <v>5201</v>
      </c>
      <c r="H194" s="897" t="s">
        <v>131</v>
      </c>
      <c r="I194" s="901"/>
      <c r="J194" s="899">
        <v>5201</v>
      </c>
      <c r="K194" s="1165"/>
    </row>
    <row r="195" spans="1:11" ht="15">
      <c r="A195" s="1171" t="str">
        <f>Таблица301715[[#This Row],[Группа]]&amp;Таблица301715[[#This Row],[Номенклатура]]&amp;Таблица301715[[#This Row],[ЕИ]]</f>
        <v>Детали труб_да ПЭ ПВХ PPRПереход ПЭ 100+ SDR17 DN225/160 ГОСТ 18599-2001шт</v>
      </c>
      <c r="B195" s="1165" t="s">
        <v>197</v>
      </c>
      <c r="C195" s="1165"/>
      <c r="D195" s="1172" t="s">
        <v>1024</v>
      </c>
      <c r="E195" s="1172"/>
      <c r="F195" s="838" t="s">
        <v>129</v>
      </c>
      <c r="G195" s="900">
        <v>9320</v>
      </c>
      <c r="H195" s="897" t="s">
        <v>131</v>
      </c>
      <c r="I195" s="901"/>
      <c r="J195" s="899">
        <v>9320</v>
      </c>
      <c r="K195" s="1165"/>
    </row>
    <row r="196" spans="1:11" ht="15">
      <c r="A196" s="1171" t="str">
        <f>Таблица301715[[#This Row],[Группа]]&amp;Таблица301715[[#This Row],[Номенклатура]]&amp;Таблица301715[[#This Row],[ЕИ]]</f>
        <v>Детали труб_да ПЭ ПВХ PPRТруба ПЭ 100 SDR17 Ø32×2 PN10 ГОСТ 18599-2001м</v>
      </c>
      <c r="B196" s="1165" t="s">
        <v>197</v>
      </c>
      <c r="C196" s="1165"/>
      <c r="D196" s="1172" t="s">
        <v>1025</v>
      </c>
      <c r="E196" s="1172"/>
      <c r="F196" s="838" t="s">
        <v>163</v>
      </c>
      <c r="G196" s="900">
        <v>281</v>
      </c>
      <c r="H196" s="897" t="s">
        <v>131</v>
      </c>
      <c r="I196" s="901"/>
      <c r="J196" s="899">
        <v>281</v>
      </c>
      <c r="K196" s="1165"/>
    </row>
    <row r="197" spans="1:11" ht="15">
      <c r="A197" s="1171" t="str">
        <f>Таблица301715[[#This Row],[Группа]]&amp;Таблица301715[[#This Row],[Номенклатура]]&amp;Таблица301715[[#This Row],[ЕИ]]</f>
        <v>Детали труб_да ПЭ ПВХ PPRТруба ПЭ 100 SDR17 Ø40×2,4 PN16 ГОСТ 18599-2001 м</v>
      </c>
      <c r="B197" s="1165" t="s">
        <v>197</v>
      </c>
      <c r="C197" s="1165"/>
      <c r="D197" s="1172" t="s">
        <v>1026</v>
      </c>
      <c r="E197" s="1172"/>
      <c r="F197" s="838" t="s">
        <v>163</v>
      </c>
      <c r="G197" s="900">
        <v>287</v>
      </c>
      <c r="H197" s="897" t="s">
        <v>131</v>
      </c>
      <c r="I197" s="901"/>
      <c r="J197" s="899">
        <v>287</v>
      </c>
      <c r="K197" s="1165"/>
    </row>
    <row r="198" spans="1:11" ht="15">
      <c r="A198" s="1171" t="str">
        <f>Таблица301715[[#This Row],[Группа]]&amp;Таблица301715[[#This Row],[Номенклатура]]&amp;Таблица301715[[#This Row],[ЕИ]]</f>
        <v>Детали труб_да ПЭ ПВХ PPRТруба ПЭ 100 SDR17 Ø63×3,8 PN10 ГОСТ 18599-2001м</v>
      </c>
      <c r="B198" s="1165" t="s">
        <v>197</v>
      </c>
      <c r="C198" s="1165"/>
      <c r="D198" s="1172" t="s">
        <v>599</v>
      </c>
      <c r="E198" s="1172"/>
      <c r="F198" s="838" t="s">
        <v>163</v>
      </c>
      <c r="G198" s="900">
        <v>438</v>
      </c>
      <c r="H198" s="897" t="s">
        <v>131</v>
      </c>
      <c r="I198" s="901"/>
      <c r="J198" s="899">
        <v>438</v>
      </c>
      <c r="K198" s="1165"/>
    </row>
    <row r="199" spans="1:11" ht="15">
      <c r="A199" s="1171" t="str">
        <f>Таблица301715[[#This Row],[Группа]]&amp;Таблица301715[[#This Row],[Номенклатура]]&amp;Таблица301715[[#This Row],[ЕИ]]</f>
        <v>Детали труб_да ПЭ ПВХ PPRТруба ПЭ 100 SDR17 Ø63×3,8 PN16 ГОСТ 18599-2001 м</v>
      </c>
      <c r="B199" s="1165" t="s">
        <v>197</v>
      </c>
      <c r="C199" s="1165"/>
      <c r="D199" s="1172" t="s">
        <v>1027</v>
      </c>
      <c r="E199" s="1172"/>
      <c r="F199" s="838" t="s">
        <v>163</v>
      </c>
      <c r="G199" s="900">
        <v>438</v>
      </c>
      <c r="H199" s="897" t="s">
        <v>131</v>
      </c>
      <c r="I199" s="901"/>
      <c r="J199" s="899">
        <v>438</v>
      </c>
      <c r="K199" s="1165"/>
    </row>
    <row r="200" spans="1:11" ht="15">
      <c r="A200" s="1171" t="str">
        <f>Таблица301715[[#This Row],[Группа]]&amp;Таблица301715[[#This Row],[Номенклатура]]&amp;Таблица301715[[#This Row],[ЕИ]]</f>
        <v>Детали труб_да ПЭ ПВХ PPRТруба ПЭ 100+ SDR17 Ø63×3,8 PN16 ГОСТ 18599-2001 м</v>
      </c>
      <c r="B200" s="1165" t="s">
        <v>197</v>
      </c>
      <c r="C200" s="1165"/>
      <c r="D200" s="1172" t="s">
        <v>1028</v>
      </c>
      <c r="E200" s="1172"/>
      <c r="F200" s="838" t="s">
        <v>163</v>
      </c>
      <c r="G200" s="900">
        <v>326</v>
      </c>
      <c r="H200" s="897" t="s">
        <v>131</v>
      </c>
      <c r="I200" s="901"/>
      <c r="J200" s="899">
        <v>326</v>
      </c>
      <c r="K200" s="1165"/>
    </row>
    <row r="201" spans="1:11" ht="15">
      <c r="A201" s="1171" t="str">
        <f>Таблица301715[[#This Row],[Группа]]&amp;Таблица301715[[#This Row],[Номенклатура]]&amp;Таблица301715[[#This Row],[ЕИ]]</f>
        <v>Детали труб_да ПЭ ПВХ PPRТруба ПЭ 100 SDR17 Ø75×4,5 PN10 ГОСТ 18599-2001м</v>
      </c>
      <c r="B201" s="1165" t="s">
        <v>197</v>
      </c>
      <c r="C201" s="1165"/>
      <c r="D201" s="1172" t="s">
        <v>1029</v>
      </c>
      <c r="E201" s="1172"/>
      <c r="F201" s="838" t="s">
        <v>163</v>
      </c>
      <c r="G201" s="900">
        <v>590</v>
      </c>
      <c r="H201" s="897" t="s">
        <v>131</v>
      </c>
      <c r="I201" s="901"/>
      <c r="J201" s="899">
        <v>590</v>
      </c>
      <c r="K201" s="1165"/>
    </row>
    <row r="202" spans="1:11" ht="15">
      <c r="A202" s="1171" t="str">
        <f>Таблица301715[[#This Row],[Группа]]&amp;Таблица301715[[#This Row],[Номенклатура]]&amp;Таблица301715[[#This Row],[ЕИ]]</f>
        <v>Детали труб_да ПЭ ПВХ PPRТруба ПЭ 100 SDR11 Ø90×8,2 PN16 ГОСТ 18599-2001м</v>
      </c>
      <c r="B202" s="1165" t="s">
        <v>197</v>
      </c>
      <c r="C202" s="1165"/>
      <c r="D202" s="1172" t="s">
        <v>1030</v>
      </c>
      <c r="E202" s="1172"/>
      <c r="F202" s="838" t="s">
        <v>163</v>
      </c>
      <c r="G202" s="900">
        <v>1102</v>
      </c>
      <c r="H202" s="897" t="s">
        <v>131</v>
      </c>
      <c r="I202" s="901"/>
      <c r="J202" s="899">
        <v>1102</v>
      </c>
      <c r="K202" s="1165"/>
    </row>
    <row r="203" spans="1:11" ht="15">
      <c r="A203" s="1171" t="str">
        <f>Таблица301715[[#This Row],[Группа]]&amp;Таблица301715[[#This Row],[Номенклатура]]&amp;Таблица301715[[#This Row],[ЕИ]]</f>
        <v>Детали труб_да ПЭ ПВХ PPRТруба ПЭ 100 SDR17 Ø90×5,4 PN10 ГОСТ 18599-2001м</v>
      </c>
      <c r="B203" s="1165" t="s">
        <v>197</v>
      </c>
      <c r="C203" s="1165"/>
      <c r="D203" s="1172" t="s">
        <v>1031</v>
      </c>
      <c r="E203" s="1172"/>
      <c r="F203" s="838" t="s">
        <v>163</v>
      </c>
      <c r="G203" s="900">
        <v>682</v>
      </c>
      <c r="H203" s="897" t="s">
        <v>131</v>
      </c>
      <c r="I203" s="901"/>
      <c r="J203" s="899">
        <v>682</v>
      </c>
      <c r="K203" s="1165"/>
    </row>
    <row r="204" spans="1:11" ht="15">
      <c r="A204" s="1171" t="str">
        <f>Таблица301715[[#This Row],[Группа]]&amp;Таблица301715[[#This Row],[Номенклатура]]&amp;Таблица301715[[#This Row],[ЕИ]]</f>
        <v>Детали труб_да ПЭ ПВХ PPRТруба ПЭ 100+ SDR17 Ø90×5,4 PN10 ГОСТ 18599-2001м</v>
      </c>
      <c r="B204" s="1165" t="s">
        <v>197</v>
      </c>
      <c r="C204" s="1165"/>
      <c r="D204" s="1172" t="s">
        <v>1032</v>
      </c>
      <c r="E204" s="1172"/>
      <c r="F204" s="838" t="s">
        <v>163</v>
      </c>
      <c r="G204" s="900">
        <v>720</v>
      </c>
      <c r="H204" s="897" t="s">
        <v>131</v>
      </c>
      <c r="I204" s="901"/>
      <c r="J204" s="899">
        <v>720</v>
      </c>
      <c r="K204" s="1165"/>
    </row>
    <row r="205" spans="1:11" ht="15">
      <c r="A205" s="1171" t="str">
        <f>Таблица301715[[#This Row],[Группа]]&amp;Таблица301715[[#This Row],[Номенклатура]]&amp;Таблица301715[[#This Row],[ЕИ]]</f>
        <v>Детали труб_да ПЭ ПВХ PPRТруба ПВХ Ду110 оранжевая (наружная)м</v>
      </c>
      <c r="B205" s="1165" t="s">
        <v>197</v>
      </c>
      <c r="C205" s="1165"/>
      <c r="D205" s="1172" t="s">
        <v>473</v>
      </c>
      <c r="E205" s="1172"/>
      <c r="F205" s="838" t="s">
        <v>163</v>
      </c>
      <c r="G205" s="900">
        <v>920</v>
      </c>
      <c r="H205" s="897" t="s">
        <v>131</v>
      </c>
      <c r="I205" s="901"/>
      <c r="J205" s="899">
        <v>920</v>
      </c>
      <c r="K205" s="1165"/>
    </row>
    <row r="206" spans="1:11" ht="15">
      <c r="A206" s="1171" t="str">
        <f>Таблица301715[[#This Row],[Группа]]&amp;Таблица301715[[#This Row],[Номенклатура]]&amp;Таблица301715[[#This Row],[ЕИ]]</f>
        <v>Детали труб_да ПЭ ПВХ PPRТруба ПВХ Ду160 оранжевая (наружная)м</v>
      </c>
      <c r="B206" s="1165" t="s">
        <v>197</v>
      </c>
      <c r="C206" s="1165"/>
      <c r="D206" s="1172" t="s">
        <v>347</v>
      </c>
      <c r="E206" s="1172"/>
      <c r="F206" s="838" t="s">
        <v>163</v>
      </c>
      <c r="G206" s="900">
        <v>2901</v>
      </c>
      <c r="H206" s="897" t="s">
        <v>131</v>
      </c>
      <c r="I206" s="901"/>
      <c r="J206" s="899">
        <v>2901</v>
      </c>
      <c r="K206" s="1165"/>
    </row>
    <row r="207" spans="1:11" ht="15">
      <c r="A207" s="1171" t="str">
        <f>Таблица301715[[#This Row],[Группа]]&amp;Таблица301715[[#This Row],[Номенклатура]]&amp;Таблица301715[[#This Row],[ЕИ]]</f>
        <v>Детали труб_да ПЭ ПВХ PPRТруба ПВХ Ду200 оранжевая (наружная)м</v>
      </c>
      <c r="B207" s="1165" t="s">
        <v>197</v>
      </c>
      <c r="C207" s="1165"/>
      <c r="D207" s="1172" t="s">
        <v>1033</v>
      </c>
      <c r="E207" s="1172"/>
      <c r="F207" s="838" t="s">
        <v>163</v>
      </c>
      <c r="G207" s="900">
        <v>2901</v>
      </c>
      <c r="H207" s="897" t="s">
        <v>131</v>
      </c>
      <c r="I207" s="901"/>
      <c r="J207" s="899">
        <v>2901</v>
      </c>
      <c r="K207" s="1165"/>
    </row>
    <row r="208" spans="1:11" ht="15">
      <c r="A208" s="1171" t="str">
        <f>Таблица301715[[#This Row],[Группа]]&amp;Таблица301715[[#This Row],[Номенклатура]]&amp;Таблица301715[[#This Row],[ЕИ]]</f>
        <v>Детали труб_да ПЭ ПВХ PPRТруба ПВХ Ду250 оранжевая (наружная)м</v>
      </c>
      <c r="B208" s="1165" t="s">
        <v>197</v>
      </c>
      <c r="C208" s="1165"/>
      <c r="D208" s="1172" t="s">
        <v>1034</v>
      </c>
      <c r="E208" s="1172"/>
      <c r="F208" s="838" t="s">
        <v>163</v>
      </c>
      <c r="G208" s="900">
        <v>6002</v>
      </c>
      <c r="H208" s="897" t="s">
        <v>131</v>
      </c>
      <c r="I208" s="901"/>
      <c r="J208" s="899">
        <v>6002</v>
      </c>
      <c r="K208" s="1165"/>
    </row>
    <row r="209" spans="1:11" ht="15">
      <c r="A209" s="1171" t="str">
        <f>Таблица301715[[#This Row],[Группа]]&amp;Таблица301715[[#This Row],[Номенклатура]]&amp;Таблица301715[[#This Row],[ЕИ]]</f>
        <v>Детали труб_да ПЭ ПВХ PPRТруба НПВХ Ду 50 серая (внутренняя)м</v>
      </c>
      <c r="B209" s="1165" t="s">
        <v>197</v>
      </c>
      <c r="C209" s="1165"/>
      <c r="D209" s="1172" t="s">
        <v>1035</v>
      </c>
      <c r="E209" s="1172"/>
      <c r="F209" s="838" t="s">
        <v>163</v>
      </c>
      <c r="G209" s="900">
        <v>614</v>
      </c>
      <c r="H209" s="897" t="s">
        <v>131</v>
      </c>
      <c r="I209" s="901"/>
      <c r="J209" s="899">
        <v>614</v>
      </c>
      <c r="K209" s="1165"/>
    </row>
    <row r="210" spans="1:11" ht="15">
      <c r="A210" s="1171" t="str">
        <f>Таблица301715[[#This Row],[Группа]]&amp;Таблица301715[[#This Row],[Номенклатура]]&amp;Таблица301715[[#This Row],[ЕИ]]</f>
        <v>Детали труб_да ПЭ ПВХ PPRТруба НПВХ Ду 110 серая (внутренняя)м</v>
      </c>
      <c r="B210" s="1165" t="s">
        <v>197</v>
      </c>
      <c r="C210" s="1165"/>
      <c r="D210" s="1172" t="s">
        <v>1036</v>
      </c>
      <c r="E210" s="1172"/>
      <c r="F210" s="838" t="s">
        <v>163</v>
      </c>
      <c r="G210" s="900">
        <v>1201</v>
      </c>
      <c r="H210" s="897" t="s">
        <v>131</v>
      </c>
      <c r="I210" s="901"/>
      <c r="J210" s="899">
        <v>1201</v>
      </c>
      <c r="K210" s="1165"/>
    </row>
    <row r="211" spans="1:11" ht="15">
      <c r="A211" s="1171" t="str">
        <f>Таблица301715[[#This Row],[Группа]]&amp;Таблица301715[[#This Row],[Номенклатура]]&amp;Таблица301715[[#This Row],[ЕИ]]</f>
        <v>Детали труб_да ПЭ ПВХ PPRТруба НПВХ Ду 160х4 серая (внутренняя)м</v>
      </c>
      <c r="B211" s="1165" t="s">
        <v>197</v>
      </c>
      <c r="C211" s="1165"/>
      <c r="D211" s="1172" t="s">
        <v>1037</v>
      </c>
      <c r="E211" s="1172"/>
      <c r="F211" s="838" t="s">
        <v>163</v>
      </c>
      <c r="G211" s="900">
        <v>1930</v>
      </c>
      <c r="H211" s="897" t="s">
        <v>131</v>
      </c>
      <c r="I211" s="901"/>
      <c r="J211" s="899">
        <v>1930</v>
      </c>
      <c r="K211" s="1165"/>
    </row>
    <row r="212" spans="1:11" ht="15">
      <c r="A212" s="1171" t="str">
        <f>Таблица301715[[#This Row],[Группа]]&amp;Таблица301715[[#This Row],[Номенклатура]]&amp;Таблица301715[[#This Row],[ЕИ]]</f>
        <v>Детали труб_да ПЭ ПВХ PPRТруба ПЭ 100 SDR17 Ø110×6,6 PN10 ГОСТ 18599-2001м</v>
      </c>
      <c r="B212" s="1165" t="s">
        <v>197</v>
      </c>
      <c r="C212" s="1165"/>
      <c r="D212" s="1172" t="s">
        <v>748</v>
      </c>
      <c r="E212" s="1172"/>
      <c r="F212" s="838" t="s">
        <v>163</v>
      </c>
      <c r="G212" s="900">
        <v>1201</v>
      </c>
      <c r="H212" s="897" t="s">
        <v>131</v>
      </c>
      <c r="I212" s="901"/>
      <c r="J212" s="899">
        <v>1201</v>
      </c>
      <c r="K212" s="1165"/>
    </row>
    <row r="213" spans="1:11" ht="15">
      <c r="A213" s="1171" t="str">
        <f>Таблица301715[[#This Row],[Группа]]&amp;Таблица301715[[#This Row],[Номенклатура]]&amp;Таблица301715[[#This Row],[ЕИ]]</f>
        <v>Детали труб_да ПЭ ПВХ PPRТруба ПЭ 100+ SDR17 Ø110×6,6 PN10 ГОСТ 18599-2001 (для МВК)м</v>
      </c>
      <c r="B213" s="1165" t="s">
        <v>197</v>
      </c>
      <c r="C213" s="1165"/>
      <c r="D213" s="1172" t="s">
        <v>731</v>
      </c>
      <c r="E213" s="1172"/>
      <c r="F213" s="838" t="s">
        <v>163</v>
      </c>
      <c r="G213" s="900">
        <v>1007</v>
      </c>
      <c r="H213" s="897" t="s">
        <v>131</v>
      </c>
      <c r="I213" s="901"/>
      <c r="J213" s="899">
        <v>1007</v>
      </c>
      <c r="K213" s="1165"/>
    </row>
    <row r="214" spans="1:11" ht="15">
      <c r="A214" s="1171" t="str">
        <f>Таблица301715[[#This Row],[Группа]]&amp;Таблица301715[[#This Row],[Номенклатура]]&amp;Таблица301715[[#This Row],[ЕИ]]</f>
        <v>Детали труб_да ПЭ ПВХ PPRТруба ПЭ 100 SDR17 Ø160×9,5 PN10 ГОСТ 18599-2001м</v>
      </c>
      <c r="B214" s="1165" t="s">
        <v>197</v>
      </c>
      <c r="C214" s="1165"/>
      <c r="D214" s="1172" t="s">
        <v>1038</v>
      </c>
      <c r="E214" s="1172"/>
      <c r="F214" s="838" t="s">
        <v>163</v>
      </c>
      <c r="G214" s="900">
        <v>2120</v>
      </c>
      <c r="H214" s="897" t="s">
        <v>131</v>
      </c>
      <c r="I214" s="901"/>
      <c r="J214" s="899">
        <v>2120</v>
      </c>
      <c r="K214" s="1165"/>
    </row>
    <row r="215" spans="1:11" ht="15">
      <c r="A215" s="1171" t="str">
        <f>Таблица301715[[#This Row],[Группа]]&amp;Таблица301715[[#This Row],[Номенклатура]]&amp;Таблица301715[[#This Row],[ЕИ]]</f>
        <v>Детали труб_да ПЭ ПВХ PPRТруба ПЭ 100+ SDR17 Ø160×9,5 PN10 ГОСТ 18599-2001 (для МВК)м</v>
      </c>
      <c r="B215" s="1165" t="s">
        <v>197</v>
      </c>
      <c r="C215" s="1165"/>
      <c r="D215" s="1172" t="s">
        <v>1039</v>
      </c>
      <c r="E215" s="1172"/>
      <c r="F215" s="838" t="s">
        <v>163</v>
      </c>
      <c r="G215" s="900">
        <v>2903</v>
      </c>
      <c r="H215" s="897" t="s">
        <v>131</v>
      </c>
      <c r="I215" s="901"/>
      <c r="J215" s="899">
        <v>2903</v>
      </c>
      <c r="K215" s="1165"/>
    </row>
    <row r="216" spans="1:11" ht="15">
      <c r="A216" s="1171" t="str">
        <f>Таблица301715[[#This Row],[Группа]]&amp;Таблица301715[[#This Row],[Номенклатура]]&amp;Таблица301715[[#This Row],[ЕИ]]</f>
        <v>Детали труб_да ПЭ ПВХ PPRТруба ПЭ 100 SDR17 Ø225×13,4 PN10 ГОСТ 18599-2001м</v>
      </c>
      <c r="B216" s="1165" t="s">
        <v>197</v>
      </c>
      <c r="C216" s="1165"/>
      <c r="D216" s="1172" t="s">
        <v>1040</v>
      </c>
      <c r="E216" s="1172"/>
      <c r="F216" s="838" t="s">
        <v>163</v>
      </c>
      <c r="G216" s="900">
        <v>3922</v>
      </c>
      <c r="H216" s="897" t="s">
        <v>131</v>
      </c>
      <c r="I216" s="901"/>
      <c r="J216" s="899">
        <v>3922</v>
      </c>
      <c r="K216" s="1165"/>
    </row>
    <row r="217" spans="1:11" ht="15">
      <c r="A217" s="1171" t="str">
        <f>Таблица301715[[#This Row],[Группа]]&amp;Таблица301715[[#This Row],[Номенклатура]]&amp;Таблица301715[[#This Row],[ЕИ]]</f>
        <v>Детали труб_да ПЭ ПВХ PPRТруба ПЭ 100+ SDR17 Ø225×13,4 PN10 ГОСТ 18599-2001 (для МВК)м</v>
      </c>
      <c r="B217" s="1165" t="s">
        <v>197</v>
      </c>
      <c r="C217" s="1165"/>
      <c r="D217" s="1172" t="s">
        <v>1041</v>
      </c>
      <c r="E217" s="1172"/>
      <c r="F217" s="838" t="s">
        <v>163</v>
      </c>
      <c r="G217" s="900">
        <v>3120</v>
      </c>
      <c r="H217" s="897" t="s">
        <v>131</v>
      </c>
      <c r="I217" s="901"/>
      <c r="J217" s="899">
        <v>3120</v>
      </c>
      <c r="K217" s="1165"/>
    </row>
    <row r="218" spans="1:11" ht="15">
      <c r="A218" s="1171" t="str">
        <f>Таблица301715[[#This Row],[Группа]]&amp;Таблица301715[[#This Row],[Номенклатура]]&amp;Таблица301715[[#This Row],[ЕИ]]</f>
        <v>Детали труб_да ПЭ ПВХ PPRТруба ПЭ 100 SDR17 Ø250×14,8 PN10 ГОСТ 18599-2001м</v>
      </c>
      <c r="B218" s="1165" t="s">
        <v>197</v>
      </c>
      <c r="C218" s="1165"/>
      <c r="D218" s="1172" t="s">
        <v>1042</v>
      </c>
      <c r="E218" s="1172"/>
      <c r="F218" s="838" t="s">
        <v>163</v>
      </c>
      <c r="G218" s="900">
        <v>4890</v>
      </c>
      <c r="H218" s="897" t="s">
        <v>131</v>
      </c>
      <c r="I218" s="901"/>
      <c r="J218" s="899">
        <v>4890</v>
      </c>
      <c r="K218" s="1165"/>
    </row>
    <row r="219" spans="1:11" ht="15">
      <c r="A219" s="1171" t="str">
        <f>Таблица301715[[#This Row],[Группа]]&amp;Таблица301715[[#This Row],[Номенклатура]]&amp;Таблица301715[[#This Row],[ЕИ]]</f>
        <v>Детали труб_да ПЭ ПВХ PPRТруба ПЭ 100+ SDR17 Ø250×14,8 PN10 ГОСТ 18599-2001м</v>
      </c>
      <c r="B219" s="1165" t="s">
        <v>197</v>
      </c>
      <c r="C219" s="1165"/>
      <c r="D219" s="1172" t="s">
        <v>709</v>
      </c>
      <c r="E219" s="1172"/>
      <c r="F219" s="838" t="s">
        <v>163</v>
      </c>
      <c r="G219" s="900">
        <v>3702</v>
      </c>
      <c r="H219" s="897" t="s">
        <v>131</v>
      </c>
      <c r="I219" s="901"/>
      <c r="J219" s="899">
        <v>3702</v>
      </c>
      <c r="K219" s="1165"/>
    </row>
    <row r="220" spans="1:11" ht="15">
      <c r="A220" s="1171" t="str">
        <f>Таблица301715[[#This Row],[Группа]]&amp;Таблица301715[[#This Row],[Номенклатура]]&amp;Таблица301715[[#This Row],[ЕИ]]</f>
        <v>Детали труб_да ПЭ ПВХ PPRТруба ПЭ 100 SDR17 Ø280×16,6 PN10 ГОСТ 18599-2001м</v>
      </c>
      <c r="B220" s="1165" t="s">
        <v>197</v>
      </c>
      <c r="C220" s="1165"/>
      <c r="D220" s="1172" t="s">
        <v>1043</v>
      </c>
      <c r="E220" s="1172"/>
      <c r="F220" s="838" t="s">
        <v>163</v>
      </c>
      <c r="G220" s="900">
        <v>6201</v>
      </c>
      <c r="H220" s="897" t="s">
        <v>131</v>
      </c>
      <c r="I220" s="901"/>
      <c r="J220" s="899">
        <v>6201</v>
      </c>
      <c r="K220" s="1165"/>
    </row>
    <row r="221" spans="1:11" ht="15">
      <c r="A221" s="1171" t="str">
        <f>Таблица301715[[#This Row],[Группа]]&amp;Таблица301715[[#This Row],[Номенклатура]]&amp;Таблица301715[[#This Row],[ЕИ]]</f>
        <v>Детали труб_да ПЭ ПВХ PPRТруба ПЭ 100 SDR17 Ø315×18,7 PN10 ГОСТ 18599-2001м</v>
      </c>
      <c r="B221" s="1165" t="s">
        <v>197</v>
      </c>
      <c r="C221" s="1165"/>
      <c r="D221" s="1172" t="s">
        <v>1044</v>
      </c>
      <c r="E221" s="1172"/>
      <c r="F221" s="838" t="s">
        <v>163</v>
      </c>
      <c r="G221" s="900">
        <v>7019</v>
      </c>
      <c r="H221" s="897" t="s">
        <v>131</v>
      </c>
      <c r="I221" s="901"/>
      <c r="J221" s="899">
        <v>7019</v>
      </c>
      <c r="K221" s="1165"/>
    </row>
    <row r="222" spans="1:11" ht="15">
      <c r="A222" s="1171" t="str">
        <f>Таблица301715[[#This Row],[Группа]]&amp;Таблица301715[[#This Row],[Номенклатура]]&amp;Таблица301715[[#This Row],[ЕИ]]</f>
        <v>Детали труб_да ПЭ ПВХ PPRТруба ПЭ 100 SDR17 Ø355×21,1 PN10 ГОСТ 18599-2001м</v>
      </c>
      <c r="B222" s="1165" t="s">
        <v>197</v>
      </c>
      <c r="C222" s="1165"/>
      <c r="D222" s="1172" t="s">
        <v>1045</v>
      </c>
      <c r="E222" s="1172"/>
      <c r="F222" s="838" t="s">
        <v>163</v>
      </c>
      <c r="G222" s="900">
        <v>8900</v>
      </c>
      <c r="H222" s="897" t="s">
        <v>131</v>
      </c>
      <c r="I222" s="901"/>
      <c r="J222" s="899">
        <v>8900</v>
      </c>
      <c r="K222" s="1165"/>
    </row>
    <row r="223" spans="1:11" ht="15">
      <c r="A223" s="1171" t="str">
        <f>Таблица301715[[#This Row],[Группа]]&amp;Таблица301715[[#This Row],[Номенклатура]]&amp;Таблица301715[[#This Row],[ЕИ]]</f>
        <v>Детали труб_да ПЭ ПВХ PPRТруба ПЭ 100 SDR17 Ø400×23,7 PN10 ГОСТ 18599-2001м</v>
      </c>
      <c r="B223" s="1165" t="s">
        <v>197</v>
      </c>
      <c r="C223" s="1165"/>
      <c r="D223" s="1172" t="s">
        <v>1046</v>
      </c>
      <c r="E223" s="1172"/>
      <c r="F223" s="838" t="s">
        <v>163</v>
      </c>
      <c r="G223" s="900">
        <v>11302</v>
      </c>
      <c r="H223" s="897" t="s">
        <v>131</v>
      </c>
      <c r="I223" s="901"/>
      <c r="J223" s="899">
        <v>11302</v>
      </c>
      <c r="K223" s="1165"/>
    </row>
    <row r="224" spans="1:11" ht="15">
      <c r="A224" s="1171" t="str">
        <f>Таблица301715[[#This Row],[Группа]]&amp;Таблица301715[[#This Row],[Номенклатура]]&amp;Таблица301715[[#This Row],[ЕИ]]</f>
        <v>Детали труб_да ПЭ ПВХ PPRТруба ПЭ 100 SDR17 Ø450×26,7 PN10 ГОСТ 18599-2001м</v>
      </c>
      <c r="B224" s="1165" t="s">
        <v>197</v>
      </c>
      <c r="C224" s="1165"/>
      <c r="D224" s="1172" t="s">
        <v>1047</v>
      </c>
      <c r="E224" s="1172"/>
      <c r="F224" s="838" t="s">
        <v>163</v>
      </c>
      <c r="G224" s="900">
        <v>15203</v>
      </c>
      <c r="H224" s="897" t="s">
        <v>131</v>
      </c>
      <c r="I224" s="901"/>
      <c r="J224" s="899">
        <v>15203</v>
      </c>
      <c r="K224" s="1165"/>
    </row>
    <row r="225" spans="1:11" ht="15">
      <c r="A225" s="1171" t="str">
        <f>Таблица301715[[#This Row],[Группа]]&amp;Таблица301715[[#This Row],[Номенклатура]]&amp;Таблица301715[[#This Row],[ЕИ]]</f>
        <v>Детали труб_да ПЭ ПВХ PPRТруба ПЭ 100 SDR17 Ø500×29,7 PN10 ГОСТ 18599-2001м</v>
      </c>
      <c r="B225" s="1165" t="s">
        <v>197</v>
      </c>
      <c r="C225" s="1165"/>
      <c r="D225" s="1172" t="s">
        <v>1048</v>
      </c>
      <c r="E225" s="1172"/>
      <c r="F225" s="838" t="s">
        <v>163</v>
      </c>
      <c r="G225" s="900">
        <v>17203</v>
      </c>
      <c r="H225" s="897" t="s">
        <v>131</v>
      </c>
      <c r="I225" s="901"/>
      <c r="J225" s="899">
        <v>17203</v>
      </c>
      <c r="K225" s="1165"/>
    </row>
    <row r="226" spans="1:11" ht="15">
      <c r="A226" s="1171" t="str">
        <f>Таблица301715[[#This Row],[Группа]]&amp;Таблица301715[[#This Row],[Номенклатура]]&amp;Таблица301715[[#This Row],[ЕИ]]</f>
        <v>Детали труб_да ПЭ ПВХ PPRТруба ПЭ 100 SDR17 Ø630×37,4 PN10 ГОСТ 18599-2001м</v>
      </c>
      <c r="B226" s="1165" t="s">
        <v>197</v>
      </c>
      <c r="C226" s="1165"/>
      <c r="D226" s="1172" t="s">
        <v>1049</v>
      </c>
      <c r="E226" s="1172"/>
      <c r="F226" s="838" t="s">
        <v>163</v>
      </c>
      <c r="G226" s="900">
        <v>28930</v>
      </c>
      <c r="H226" s="897" t="s">
        <v>131</v>
      </c>
      <c r="I226" s="901"/>
      <c r="J226" s="899">
        <v>28930</v>
      </c>
      <c r="K226" s="1165"/>
    </row>
    <row r="227" spans="1:11" ht="15">
      <c r="A227" s="1171" t="str">
        <f>Таблица301715[[#This Row],[Группа]]&amp;Таблица301715[[#This Row],[Номенклатура]]&amp;Таблица301715[[#This Row],[ЕИ]]</f>
        <v>Детали труб_да ПЭ ПВХ PPRТруба ПЭ 100 SDR17 Ø800×37,4 PN10 ГОСТ 18599-2001м</v>
      </c>
      <c r="B227" s="1165" t="s">
        <v>197</v>
      </c>
      <c r="C227" s="1165"/>
      <c r="D227" s="1172" t="s">
        <v>1050</v>
      </c>
      <c r="E227" s="1172"/>
      <c r="F227" s="838" t="s">
        <v>163</v>
      </c>
      <c r="G227" s="900">
        <v>41203</v>
      </c>
      <c r="H227" s="897" t="s">
        <v>131</v>
      </c>
      <c r="I227" s="901"/>
      <c r="J227" s="899">
        <v>41203</v>
      </c>
      <c r="K227" s="1165"/>
    </row>
    <row r="228" spans="1:11" ht="15">
      <c r="A228" s="1171" t="str">
        <f>Таблица301715[[#This Row],[Группа]]&amp;Таблица301715[[#This Row],[Номенклатура]]&amp;Таблица301715[[#This Row],[ЕИ]]</f>
        <v>Детали труб_да ПЭ ПВХ PPRТруба ПЭ100 SDR11 - 0090х8,2 питьеваям</v>
      </c>
      <c r="B228" s="1165" t="s">
        <v>197</v>
      </c>
      <c r="C228" s="1165"/>
      <c r="D228" s="1172" t="s">
        <v>1051</v>
      </c>
      <c r="E228" s="1172"/>
      <c r="F228" s="838" t="s">
        <v>163</v>
      </c>
      <c r="G228" s="900">
        <v>1203</v>
      </c>
      <c r="H228" s="897" t="s">
        <v>131</v>
      </c>
      <c r="I228" s="901"/>
      <c r="J228" s="899">
        <v>1203</v>
      </c>
      <c r="K228" s="1165"/>
    </row>
    <row r="229" spans="1:11" ht="15">
      <c r="A229" s="1171" t="str">
        <f>Таблица301715[[#This Row],[Группа]]&amp;Таблица301715[[#This Row],[Номенклатура]]&amp;Таблица301715[[#This Row],[ЕИ]]</f>
        <v>Детали труб_да ПЭ ПВХ PPRТруба ПЭ100 SDR11 - 0355х32,2 питьеваям</v>
      </c>
      <c r="B229" s="1165" t="s">
        <v>197</v>
      </c>
      <c r="C229" s="1165"/>
      <c r="D229" s="1172" t="s">
        <v>1052</v>
      </c>
      <c r="E229" s="1172"/>
      <c r="F229" s="838" t="s">
        <v>163</v>
      </c>
      <c r="G229" s="900">
        <v>15023</v>
      </c>
      <c r="H229" s="897" t="s">
        <v>131</v>
      </c>
      <c r="I229" s="901"/>
      <c r="J229" s="899">
        <v>15023</v>
      </c>
      <c r="K229" s="1165"/>
    </row>
    <row r="230" spans="1:11" ht="15">
      <c r="A230" s="1171" t="str">
        <f>Таблица301715[[#This Row],[Группа]]&amp;Таблица301715[[#This Row],[Номенклатура]]&amp;Таблица301715[[#This Row],[ЕИ]]</f>
        <v>Детали труб_да ПЭ ПВХ PPRТруба ПЭ100 SDR11 - 0500х45,4 питьеваям</v>
      </c>
      <c r="B230" s="1165" t="s">
        <v>197</v>
      </c>
      <c r="C230" s="1165"/>
      <c r="D230" s="1172" t="s">
        <v>1053</v>
      </c>
      <c r="E230" s="1172"/>
      <c r="F230" s="838" t="s">
        <v>163</v>
      </c>
      <c r="G230" s="900">
        <v>28130</v>
      </c>
      <c r="H230" s="897" t="s">
        <v>131</v>
      </c>
      <c r="I230" s="901"/>
      <c r="J230" s="899">
        <v>28130</v>
      </c>
      <c r="K230" s="1165"/>
    </row>
    <row r="231" spans="1:11" ht="15">
      <c r="A231" s="1171" t="str">
        <f>Таблица301715[[#This Row],[Группа]]&amp;Таблица301715[[#This Row],[Номенклатура]]&amp;Таблица301715[[#This Row],[ЕИ]]</f>
        <v>Детали труб_да ПЭ ПВХ PPRТруба PP-R 50 БЕЛАЯ РУ10 SDR11 м</v>
      </c>
      <c r="B231" s="1165" t="s">
        <v>197</v>
      </c>
      <c r="C231" s="1165"/>
      <c r="D231" s="1172" t="s">
        <v>1054</v>
      </c>
      <c r="E231" s="1172"/>
      <c r="F231" s="838" t="s">
        <v>163</v>
      </c>
      <c r="G231" s="900">
        <v>1102</v>
      </c>
      <c r="H231" s="897" t="s">
        <v>131</v>
      </c>
      <c r="I231" s="901"/>
      <c r="J231" s="899">
        <v>1102</v>
      </c>
      <c r="K231" s="1165"/>
    </row>
    <row r="232" spans="1:11" ht="15">
      <c r="A232" s="1171" t="str">
        <f>Таблица301715[[#This Row],[Группа]]&amp;Таблица301715[[#This Row],[Номенклатура]]&amp;Таблица301715[[#This Row],[ЕИ]]</f>
        <v>Детали труб_да ПЭ ПВХ PPRТруба PP-R 63 БЕЛАЯ РУ10 SDR11 м</v>
      </c>
      <c r="B232" s="1165" t="s">
        <v>197</v>
      </c>
      <c r="C232" s="1165"/>
      <c r="D232" s="1172" t="s">
        <v>1055</v>
      </c>
      <c r="E232" s="1172"/>
      <c r="F232" s="838" t="s">
        <v>163</v>
      </c>
      <c r="G232" s="900">
        <v>1601</v>
      </c>
      <c r="H232" s="897" t="s">
        <v>131</v>
      </c>
      <c r="I232" s="901"/>
      <c r="J232" s="899">
        <v>1601</v>
      </c>
      <c r="K232" s="1165"/>
    </row>
    <row r="233" spans="1:11" ht="15">
      <c r="A233" s="1171" t="str">
        <f>Таблица301715[[#This Row],[Группа]]&amp;Таблица301715[[#This Row],[Номенклатура]]&amp;Таблица301715[[#This Row],[ЕИ]]</f>
        <v>Детали труб_да ПЭ ПВХ PPRТруба PP-R 75 БЕЛАЯ РУ10 SDR11 м</v>
      </c>
      <c r="B233" s="1165" t="s">
        <v>197</v>
      </c>
      <c r="C233" s="1165"/>
      <c r="D233" s="1172" t="s">
        <v>1056</v>
      </c>
      <c r="E233" s="1172"/>
      <c r="F233" s="838" t="s">
        <v>163</v>
      </c>
      <c r="G233" s="900">
        <v>1930</v>
      </c>
      <c r="H233" s="897" t="s">
        <v>131</v>
      </c>
      <c r="I233" s="901"/>
      <c r="J233" s="899">
        <v>1930</v>
      </c>
      <c r="K233" s="1165"/>
    </row>
    <row r="234" spans="1:11" ht="15">
      <c r="A234" s="1171" t="str">
        <f>Таблица301715[[#This Row],[Группа]]&amp;Таблица301715[[#This Row],[Номенклатура]]&amp;Таблица301715[[#This Row],[ЕИ]]</f>
        <v>Детали труб_да ПЭ ПВХ PPRТруба PP-R 90 БЕЛАЯ РУ10 SDR11 м</v>
      </c>
      <c r="B234" s="1165" t="s">
        <v>197</v>
      </c>
      <c r="C234" s="1165"/>
      <c r="D234" s="1172" t="s">
        <v>1057</v>
      </c>
      <c r="E234" s="1172"/>
      <c r="F234" s="838" t="s">
        <v>163</v>
      </c>
      <c r="G234" s="900">
        <v>2201</v>
      </c>
      <c r="H234" s="897" t="s">
        <v>131</v>
      </c>
      <c r="I234" s="901"/>
      <c r="J234" s="899">
        <v>2201</v>
      </c>
      <c r="K234" s="1165"/>
    </row>
    <row r="235" spans="1:11" ht="15">
      <c r="A235" s="1171" t="str">
        <f>Таблица301715[[#This Row],[Группа]]&amp;Таблица301715[[#This Row],[Номенклатура]]&amp;Таблица301715[[#This Row],[ЕИ]]</f>
        <v>Детали труб_да ПЭ ПВХ PPRТруба PP-R 110 БЕЛАЯ РУ10 SDR11 м</v>
      </c>
      <c r="B235" s="1165" t="s">
        <v>197</v>
      </c>
      <c r="C235" s="1165"/>
      <c r="D235" s="1172" t="s">
        <v>1058</v>
      </c>
      <c r="E235" s="1172"/>
      <c r="F235" s="838" t="s">
        <v>163</v>
      </c>
      <c r="G235" s="900">
        <v>2446.4</v>
      </c>
      <c r="H235" s="897" t="s">
        <v>131</v>
      </c>
      <c r="I235" s="901"/>
      <c r="J235" s="899">
        <v>2446.4</v>
      </c>
      <c r="K235" s="1165"/>
    </row>
    <row r="236" spans="1:11" ht="15">
      <c r="A236" s="1171" t="str">
        <f>Таблица301715[[#This Row],[Группа]]&amp;Таблица301715[[#This Row],[Номенклатура]]&amp;Таблица301715[[#This Row],[ЕИ]]</f>
        <v>Детали труб_да ПЭ ПВХ PPRСварка 1 стыка деталей из ПЭ 100 DN50 в сторонней организациишт</v>
      </c>
      <c r="B236" s="1165" t="s">
        <v>197</v>
      </c>
      <c r="C236" s="1165"/>
      <c r="D236" s="1172" t="s">
        <v>605</v>
      </c>
      <c r="E236" s="1172"/>
      <c r="F236" s="838" t="s">
        <v>129</v>
      </c>
      <c r="G236" s="900">
        <v>1820</v>
      </c>
      <c r="H236" s="897" t="s">
        <v>131</v>
      </c>
      <c r="I236" s="901"/>
      <c r="J236" s="899">
        <v>1820</v>
      </c>
      <c r="K236" s="1165"/>
    </row>
    <row r="237" spans="1:11" ht="15">
      <c r="A237" s="1171" t="str">
        <f>Таблица301715[[#This Row],[Группа]]&amp;Таблица301715[[#This Row],[Номенклатура]]&amp;Таблица301715[[#This Row],[ЕИ]]</f>
        <v>Детали труб_да ПЭ ПВХ PPRСварка 1 стыка деталей из ПЭ 100 DN63 в сторонней организациишт</v>
      </c>
      <c r="B237" s="1165" t="s">
        <v>197</v>
      </c>
      <c r="C237" s="1165"/>
      <c r="D237" s="1172" t="s">
        <v>1059</v>
      </c>
      <c r="E237" s="1172"/>
      <c r="F237" s="838" t="s">
        <v>129</v>
      </c>
      <c r="G237" s="900">
        <v>1560</v>
      </c>
      <c r="H237" s="897" t="s">
        <v>131</v>
      </c>
      <c r="I237" s="901"/>
      <c r="J237" s="899">
        <v>1560</v>
      </c>
      <c r="K237" s="1165"/>
    </row>
    <row r="238" spans="1:11" ht="15">
      <c r="A238" s="1171" t="str">
        <f>Таблица301715[[#This Row],[Группа]]&amp;Таблица301715[[#This Row],[Номенклатура]]&amp;Таблица301715[[#This Row],[ЕИ]]</f>
        <v>Детали труб_да ПЭ ПВХ PPRСварка 1 стыка деталей из ПЭ 100 DN75  в сторонней организациишт</v>
      </c>
      <c r="B238" s="1165" t="s">
        <v>197</v>
      </c>
      <c r="C238" s="1165"/>
      <c r="D238" s="1172" t="s">
        <v>1928</v>
      </c>
      <c r="E238" s="1172"/>
      <c r="F238" s="838" t="s">
        <v>129</v>
      </c>
      <c r="G238" s="900">
        <v>1560</v>
      </c>
      <c r="H238" s="897" t="s">
        <v>131</v>
      </c>
      <c r="I238" s="901"/>
      <c r="J238" s="899">
        <v>1560</v>
      </c>
      <c r="K238" s="1165"/>
    </row>
    <row r="239" spans="1:11" ht="15">
      <c r="A239" s="1171" t="str">
        <f>Таблица301715[[#This Row],[Группа]]&amp;Таблица301715[[#This Row],[Номенклатура]]&amp;Таблица301715[[#This Row],[ЕИ]]</f>
        <v>Детали труб_да ПЭ ПВХ PPRСварка 1 стыка деталей из ПЭ 100 DN90  в сторонней организациишт</v>
      </c>
      <c r="B239" s="1165" t="s">
        <v>197</v>
      </c>
      <c r="C239" s="1165"/>
      <c r="D239" s="1172" t="s">
        <v>1060</v>
      </c>
      <c r="E239" s="1172"/>
      <c r="F239" s="838" t="s">
        <v>129</v>
      </c>
      <c r="G239" s="900">
        <v>1560</v>
      </c>
      <c r="H239" s="897" t="s">
        <v>131</v>
      </c>
      <c r="I239" s="901"/>
      <c r="J239" s="899">
        <v>1560</v>
      </c>
      <c r="K239" s="1165"/>
    </row>
    <row r="240" spans="1:11" ht="15">
      <c r="A240" s="1171" t="str">
        <f>Таблица301715[[#This Row],[Группа]]&amp;Таблица301715[[#This Row],[Номенклатура]]&amp;Таблица301715[[#This Row],[ЕИ]]</f>
        <v>Детали труб_да ПЭ ПВХ PPRСварка 1 стыка деталей из ПЭ 100 DN110 в сторонней организациишт</v>
      </c>
      <c r="B240" s="1165" t="s">
        <v>197</v>
      </c>
      <c r="C240" s="1165"/>
      <c r="D240" s="1172" t="s">
        <v>1061</v>
      </c>
      <c r="E240" s="1172"/>
      <c r="F240" s="838" t="s">
        <v>129</v>
      </c>
      <c r="G240" s="900">
        <v>1890</v>
      </c>
      <c r="H240" s="897" t="s">
        <v>131</v>
      </c>
      <c r="I240" s="901"/>
      <c r="J240" s="899">
        <v>1890</v>
      </c>
      <c r="K240" s="1165"/>
    </row>
    <row r="241" spans="1:11" ht="15">
      <c r="A241" s="1171" t="str">
        <f>Таблица301715[[#This Row],[Группа]]&amp;Таблица301715[[#This Row],[Номенклатура]]&amp;Таблица301715[[#This Row],[ЕИ]]</f>
        <v>Детали труб_да ПЭ ПВХ PPRСварка 1 стыка деталей из ПЭ 100 DN160 в сторонней организациишт</v>
      </c>
      <c r="B241" s="1165" t="s">
        <v>197</v>
      </c>
      <c r="C241" s="1165"/>
      <c r="D241" s="1172" t="s">
        <v>733</v>
      </c>
      <c r="E241" s="1172"/>
      <c r="F241" s="838" t="s">
        <v>129</v>
      </c>
      <c r="G241" s="900">
        <v>2180</v>
      </c>
      <c r="H241" s="897" t="s">
        <v>131</v>
      </c>
      <c r="I241" s="901"/>
      <c r="J241" s="899">
        <v>2180</v>
      </c>
      <c r="K241" s="1165"/>
    </row>
    <row r="242" spans="1:11" ht="15">
      <c r="A242" s="1171" t="str">
        <f>Таблица301715[[#This Row],[Группа]]&amp;Таблица301715[[#This Row],[Номенклатура]]&amp;Таблица301715[[#This Row],[ЕИ]]</f>
        <v>Детали труб_да ПЭ ПВХ PPRСварка 1 стыка деталей из ПЭ 100 DN225 в сторонней организациишт</v>
      </c>
      <c r="B242" s="1165" t="s">
        <v>197</v>
      </c>
      <c r="C242" s="1165"/>
      <c r="D242" s="1172" t="s">
        <v>1062</v>
      </c>
      <c r="E242" s="1172"/>
      <c r="F242" s="838" t="s">
        <v>129</v>
      </c>
      <c r="G242" s="900">
        <v>2980</v>
      </c>
      <c r="H242" s="897" t="s">
        <v>131</v>
      </c>
      <c r="I242" s="901"/>
      <c r="J242" s="899">
        <v>2980</v>
      </c>
      <c r="K242" s="1165"/>
    </row>
    <row r="243" spans="1:11" ht="15">
      <c r="A243" s="1171" t="str">
        <f>Таблица301715[[#This Row],[Группа]]&amp;Таблица301715[[#This Row],[Номенклатура]]&amp;Таблица301715[[#This Row],[ЕИ]]</f>
        <v>Детали труб_да ПЭ ПВХ PPRСварка 1 стыка деталей из ПЭ 100 DN250 в сторонней организациишт</v>
      </c>
      <c r="B243" s="1165" t="s">
        <v>197</v>
      </c>
      <c r="C243" s="1165"/>
      <c r="D243" s="1172" t="s">
        <v>732</v>
      </c>
      <c r="E243" s="1172"/>
      <c r="F243" s="838" t="s">
        <v>129</v>
      </c>
      <c r="G243" s="900">
        <v>3490</v>
      </c>
      <c r="H243" s="897" t="s">
        <v>131</v>
      </c>
      <c r="I243" s="901"/>
      <c r="J243" s="899">
        <v>3490</v>
      </c>
      <c r="K243" s="1165"/>
    </row>
    <row r="244" spans="1:11" ht="17.25" customHeight="1">
      <c r="A244" s="1171" t="str">
        <f>Таблица301715[[#This Row],[Группа]]&amp;Таблица301715[[#This Row],[Номенклатура]]&amp;Таблица301715[[#This Row],[ЕИ]]</f>
        <v>Детали труб_да ПЭ ПВХ PPRСварка 1 стыка деталей из ПЭ 100 DN280 в сторонней организациишт</v>
      </c>
      <c r="B244" s="1165" t="s">
        <v>197</v>
      </c>
      <c r="C244" s="1165"/>
      <c r="D244" s="1172" t="s">
        <v>1063</v>
      </c>
      <c r="E244" s="1172"/>
      <c r="F244" s="838" t="s">
        <v>129</v>
      </c>
      <c r="G244" s="900">
        <v>3568</v>
      </c>
      <c r="H244" s="897" t="s">
        <v>131</v>
      </c>
      <c r="I244" s="901"/>
      <c r="J244" s="899">
        <v>3568</v>
      </c>
      <c r="K244" s="1165"/>
    </row>
    <row r="245" spans="1:11" ht="15">
      <c r="A245" s="1171" t="str">
        <f>Таблица301715[[#This Row],[Группа]]&amp;Таблица301715[[#This Row],[Номенклатура]]&amp;Таблица301715[[#This Row],[ЕИ]]</f>
        <v>Детали труб_да ПЭ ПВХ PPRСварка 1 стыка деталей из ПЭ 100 DN315 в сторонней организациишт</v>
      </c>
      <c r="B245" s="1165" t="s">
        <v>197</v>
      </c>
      <c r="C245" s="1165"/>
      <c r="D245" s="1172" t="s">
        <v>1064</v>
      </c>
      <c r="E245" s="1172"/>
      <c r="F245" s="842" t="s">
        <v>129</v>
      </c>
      <c r="G245" s="902">
        <v>4000</v>
      </c>
      <c r="H245" s="897" t="s">
        <v>131</v>
      </c>
      <c r="I245" s="903"/>
      <c r="J245" s="899">
        <v>4000</v>
      </c>
    </row>
    <row r="246" spans="1:11" ht="15">
      <c r="A246" s="1171" t="str">
        <f>Таблица301715[[#This Row],[Группа]]&amp;Таблица301715[[#This Row],[Номенклатура]]&amp;Таблица301715[[#This Row],[ЕИ]]</f>
        <v>Детали труб_да ПЭ ПВХ PPRСварка 1 стыка деталей из ПЭ 100 DN355 в сторонней организациишт</v>
      </c>
      <c r="B246" s="1165" t="s">
        <v>197</v>
      </c>
      <c r="C246" s="1165"/>
      <c r="D246" s="1172" t="s">
        <v>1065</v>
      </c>
      <c r="E246" s="1172"/>
      <c r="F246" s="842" t="s">
        <v>129</v>
      </c>
      <c r="G246" s="902">
        <v>4000</v>
      </c>
      <c r="H246" s="897" t="s">
        <v>131</v>
      </c>
      <c r="I246" s="903"/>
      <c r="J246" s="899">
        <v>4000</v>
      </c>
    </row>
    <row r="247" spans="1:11" ht="15">
      <c r="A247" s="1171" t="str">
        <f>Таблица301715[[#This Row],[Группа]]&amp;Таблица301715[[#This Row],[Номенклатура]]&amp;Таблица301715[[#This Row],[ЕИ]]</f>
        <v>Детали труб_да ПЭ ПВХ PPRСварка 1 стыка деталей из ПЭ 100 DN450 в сторонней организациишт</v>
      </c>
      <c r="B247" s="1165" t="s">
        <v>197</v>
      </c>
      <c r="C247" s="1165"/>
      <c r="D247" s="1172" t="s">
        <v>1066</v>
      </c>
      <c r="E247" s="1172"/>
      <c r="F247" s="842" t="s">
        <v>129</v>
      </c>
      <c r="G247" s="902">
        <v>5500</v>
      </c>
      <c r="H247" s="897" t="s">
        <v>131</v>
      </c>
      <c r="I247" s="903"/>
      <c r="J247" s="899">
        <v>5500</v>
      </c>
      <c r="K247" s="1165"/>
    </row>
    <row r="248" spans="1:11" ht="15">
      <c r="A248" s="1171" t="str">
        <f>Таблица301715[[#This Row],[Группа]]&amp;Таблица301715[[#This Row],[Номенклатура]]&amp;Таблица301715[[#This Row],[ЕИ]]</f>
        <v>Детали труб_да ПЭ ПВХ PPRСварка 1 стыка деталей из ПЭ 100 DN630 в сторонней организациишт</v>
      </c>
      <c r="B248" s="1165" t="s">
        <v>197</v>
      </c>
      <c r="C248" s="1165"/>
      <c r="D248" s="1172" t="s">
        <v>1067</v>
      </c>
      <c r="E248" s="1172"/>
      <c r="F248" s="842" t="s">
        <v>129</v>
      </c>
      <c r="G248" s="902">
        <v>7650</v>
      </c>
      <c r="H248" s="897" t="s">
        <v>131</v>
      </c>
      <c r="I248" s="903"/>
      <c r="J248" s="899">
        <v>7650</v>
      </c>
      <c r="K248" s="1165"/>
    </row>
    <row r="249" spans="1:11" ht="15">
      <c r="A249" s="1171" t="str">
        <f>Таблица301715[[#This Row],[Группа]]&amp;Таблица301715[[#This Row],[Номенклатура]]&amp;Таблица301715[[#This Row],[ЕИ]]</f>
        <v>Детали труб_да ПЭ ПВХ PPRСварка 1 стыка деталей из ПЭ 100 DN800 в сторонней организациишт</v>
      </c>
      <c r="B249" s="1165" t="s">
        <v>197</v>
      </c>
      <c r="C249" s="1165"/>
      <c r="D249" s="1172" t="s">
        <v>1068</v>
      </c>
      <c r="E249" s="1172"/>
      <c r="F249" s="842" t="s">
        <v>129</v>
      </c>
      <c r="G249" s="902">
        <v>14690</v>
      </c>
      <c r="H249" s="897" t="s">
        <v>131</v>
      </c>
      <c r="I249" s="903"/>
      <c r="J249" s="899">
        <v>14690</v>
      </c>
    </row>
    <row r="250" spans="1:11" ht="15">
      <c r="A250" s="1171" t="str">
        <f>Таблица301715[[#This Row],[Группа]]&amp;Таблица301715[[#This Row],[Номенклатура]]&amp;Таблица301715[[#This Row],[ЕИ]]</f>
        <v>Детали трубопровода стальФланец 50-10-01-1-В-12Х18Н10Т-1 ГОСТ 33259-2015 шт</v>
      </c>
      <c r="B250" s="1165" t="s">
        <v>66</v>
      </c>
      <c r="C250" s="1165"/>
      <c r="D250" s="1172" t="s">
        <v>1069</v>
      </c>
      <c r="E250" s="1172"/>
      <c r="F250" s="842" t="s">
        <v>129</v>
      </c>
      <c r="G250" s="902">
        <v>3500</v>
      </c>
      <c r="H250" s="897" t="s">
        <v>131</v>
      </c>
      <c r="I250" s="903"/>
      <c r="J250" s="899">
        <v>3500</v>
      </c>
    </row>
    <row r="251" spans="1:11" ht="15">
      <c r="A251" s="1171" t="str">
        <f>Таблица301715[[#This Row],[Группа]]&amp;Таблица301715[[#This Row],[Номенклатура]]&amp;Таблица301715[[#This Row],[ЕИ]]</f>
        <v>Детали трубопровода стальФланец 50 свободный DN 50/60,3 AISI 304 PN10  (8 отверстий)шт</v>
      </c>
      <c r="B251" s="1165" t="s">
        <v>66</v>
      </c>
      <c r="C251" s="1165"/>
      <c r="D251" s="1172" t="s">
        <v>725</v>
      </c>
      <c r="E251" s="1172"/>
      <c r="F251" s="842" t="s">
        <v>129</v>
      </c>
      <c r="G251" s="902">
        <v>2500</v>
      </c>
      <c r="H251" s="897" t="s">
        <v>131</v>
      </c>
      <c r="I251" s="903"/>
      <c r="J251" s="899">
        <v>2500</v>
      </c>
      <c r="K251" s="1165"/>
    </row>
    <row r="252" spans="1:11" ht="15">
      <c r="A252" s="1171" t="str">
        <f>Таблица301715[[#This Row],[Группа]]&amp;Таблица301715[[#This Row],[Номенклатура]]&amp;Таблица301715[[#This Row],[ЕИ]]</f>
        <v>Детали трубопровода стальФланец 50 свободный DN 50/60,3 AISI 304 PN6  (8 отверстий)шт</v>
      </c>
      <c r="B252" s="1165" t="s">
        <v>66</v>
      </c>
      <c r="C252" s="1165"/>
      <c r="D252" s="1172" t="s">
        <v>1070</v>
      </c>
      <c r="E252" s="1172"/>
      <c r="F252" s="842" t="s">
        <v>129</v>
      </c>
      <c r="G252" s="902">
        <v>1500</v>
      </c>
      <c r="H252" s="897" t="s">
        <v>131</v>
      </c>
      <c r="I252" s="903"/>
      <c r="J252" s="899">
        <v>1500</v>
      </c>
      <c r="K252" s="1165"/>
    </row>
    <row r="253" spans="1:11" ht="15">
      <c r="A253" s="1171" t="str">
        <f>Таблица301715[[#This Row],[Группа]]&amp;Таблица301715[[#This Row],[Номенклатура]]&amp;Таблица301715[[#This Row],[ЕИ]]</f>
        <v>Детали трубопровода стальБорт шайба DN 50 (57х3,0) AISI 304шт</v>
      </c>
      <c r="B253" s="1165" t="s">
        <v>66</v>
      </c>
      <c r="C253" s="1165"/>
      <c r="D253" s="1172" t="s">
        <v>726</v>
      </c>
      <c r="E253" s="1172"/>
      <c r="F253" s="842" t="s">
        <v>129</v>
      </c>
      <c r="G253" s="902">
        <v>200</v>
      </c>
      <c r="H253" s="897" t="s">
        <v>131</v>
      </c>
      <c r="I253" s="903"/>
      <c r="J253" s="899">
        <v>200</v>
      </c>
    </row>
    <row r="254" spans="1:11" ht="15">
      <c r="A254" s="1171" t="str">
        <f>Таблица301715[[#This Row],[Группа]]&amp;Таблица301715[[#This Row],[Номенклатура]]&amp;Таблица301715[[#This Row],[ЕИ]]</f>
        <v>Детали трубопровода стальФланец 50-10-01-1-В-12Х18Н10Т-1 ГОСТ 33259-2015 с расточкой до 75 ммшт</v>
      </c>
      <c r="B254" s="1165" t="s">
        <v>66</v>
      </c>
      <c r="C254" s="1165"/>
      <c r="D254" s="1172" t="s">
        <v>1071</v>
      </c>
      <c r="E254" s="1172"/>
      <c r="F254" s="842" t="s">
        <v>129</v>
      </c>
      <c r="G254" s="902">
        <v>4000</v>
      </c>
      <c r="H254" s="897" t="s">
        <v>131</v>
      </c>
      <c r="I254" s="903"/>
      <c r="J254" s="899">
        <v>4000</v>
      </c>
    </row>
    <row r="255" spans="1:11" ht="15">
      <c r="A255" s="1171" t="str">
        <f>Таблица301715[[#This Row],[Группа]]&amp;Таблица301715[[#This Row],[Номенклатура]]&amp;Таблица301715[[#This Row],[ЕИ]]</f>
        <v>Детали трубопровода стальФланец 65 свободный DN 65/76,1 PN 10 AISI 304 (8 отверстий)шт</v>
      </c>
      <c r="B255" s="1165" t="s">
        <v>66</v>
      </c>
      <c r="C255" s="1165"/>
      <c r="D255" s="1172" t="s">
        <v>1072</v>
      </c>
      <c r="E255" s="1172"/>
      <c r="F255" s="842" t="s">
        <v>129</v>
      </c>
      <c r="G255" s="902">
        <v>3400</v>
      </c>
      <c r="H255" s="897" t="s">
        <v>131</v>
      </c>
      <c r="I255" s="903"/>
      <c r="J255" s="899">
        <v>3400</v>
      </c>
    </row>
    <row r="256" spans="1:11" ht="15">
      <c r="A256" s="1171" t="str">
        <f>Таблица301715[[#This Row],[Группа]]&amp;Таблица301715[[#This Row],[Номенклатура]]&amp;Таблица301715[[#This Row],[ЕИ]]</f>
        <v>Детали трубопровода стальФланец 65 свободный DN 65/76,1 PN 6   AISI 304 (8 отверстий)шт</v>
      </c>
      <c r="B256" s="1165" t="s">
        <v>66</v>
      </c>
      <c r="C256" s="1165"/>
      <c r="D256" s="1172" t="s">
        <v>1073</v>
      </c>
      <c r="E256" s="1172"/>
      <c r="F256" s="842" t="s">
        <v>129</v>
      </c>
      <c r="G256" s="902">
        <v>2500</v>
      </c>
      <c r="H256" s="897" t="s">
        <v>131</v>
      </c>
      <c r="I256" s="903"/>
      <c r="J256" s="899">
        <v>2500</v>
      </c>
    </row>
    <row r="257" spans="1:11" ht="15">
      <c r="A257" s="1171" t="str">
        <f>Таблица301715[[#This Row],[Группа]]&amp;Таблица301715[[#This Row],[Номенклатура]]&amp;Таблица301715[[#This Row],[ЕИ]]</f>
        <v>Детали трубопровода стальБорт шайба DN 65 (76,1х3,0) AISI 304шт</v>
      </c>
      <c r="B257" s="1165" t="s">
        <v>66</v>
      </c>
      <c r="C257" s="1165"/>
      <c r="D257" s="1172" t="s">
        <v>1074</v>
      </c>
      <c r="E257" s="1172"/>
      <c r="F257" s="842" t="s">
        <v>129</v>
      </c>
      <c r="G257" s="902">
        <v>200</v>
      </c>
      <c r="H257" s="897" t="s">
        <v>131</v>
      </c>
      <c r="I257" s="903"/>
      <c r="J257" s="899">
        <v>200</v>
      </c>
    </row>
    <row r="258" spans="1:11" ht="15">
      <c r="A258" s="1171" t="str">
        <f>Таблица301715[[#This Row],[Группа]]&amp;Таблица301715[[#This Row],[Номенклатура]]&amp;Таблица301715[[#This Row],[ЕИ]]</f>
        <v>Детали трубопровода стальФланец 65-10-01-1-В-12Х18Н10Т-1 ГОСТ 33259-2015 с расточкой до 94 ммшт</v>
      </c>
      <c r="B258" s="1165" t="s">
        <v>66</v>
      </c>
      <c r="C258" s="1165"/>
      <c r="D258" s="1172" t="s">
        <v>1075</v>
      </c>
      <c r="E258" s="1172"/>
      <c r="F258" s="842" t="s">
        <v>129</v>
      </c>
      <c r="G258" s="902">
        <v>4200</v>
      </c>
      <c r="H258" s="897" t="s">
        <v>131</v>
      </c>
      <c r="I258" s="903"/>
      <c r="J258" s="899">
        <v>4200</v>
      </c>
      <c r="K258" s="1165"/>
    </row>
    <row r="259" spans="1:11" ht="15">
      <c r="A259" s="1171" t="str">
        <f>Таблица301715[[#This Row],[Группа]]&amp;Таблица301715[[#This Row],[Номенклатура]]&amp;Таблица301715[[#This Row],[ЕИ]]</f>
        <v>Детали трубопровода стальФланец 65-10-01-1-В-12Х18Н10Т-1 ГОСТ 33259-2015 шт</v>
      </c>
      <c r="B259" s="1165" t="s">
        <v>66</v>
      </c>
      <c r="C259" s="1165"/>
      <c r="D259" s="1172" t="s">
        <v>1076</v>
      </c>
      <c r="E259" s="1172"/>
      <c r="F259" s="842" t="s">
        <v>129</v>
      </c>
      <c r="G259" s="902">
        <v>4000</v>
      </c>
      <c r="H259" s="897" t="s">
        <v>131</v>
      </c>
      <c r="I259" s="903"/>
      <c r="J259" s="899">
        <v>4000</v>
      </c>
      <c r="K259" s="1165"/>
    </row>
    <row r="260" spans="1:11" ht="15">
      <c r="A260" s="1171" t="str">
        <f>Таблица301715[[#This Row],[Группа]]&amp;Таблица301715[[#This Row],[Номенклатура]]&amp;Таблица301715[[#This Row],[ЕИ]]</f>
        <v>Детали трубопровода стальФланец 80-10-01-1-В-12Х18Н10Т-1 ГОСТ 33259-2015 шт</v>
      </c>
      <c r="B260" s="1165" t="s">
        <v>66</v>
      </c>
      <c r="C260" s="1165"/>
      <c r="D260" s="1172" t="s">
        <v>1077</v>
      </c>
      <c r="E260" s="1172"/>
      <c r="F260" s="842" t="s">
        <v>129</v>
      </c>
      <c r="G260" s="902">
        <v>4500</v>
      </c>
      <c r="H260" s="897" t="s">
        <v>131</v>
      </c>
      <c r="I260" s="903"/>
      <c r="J260" s="899">
        <v>4500</v>
      </c>
    </row>
    <row r="261" spans="1:11" ht="15">
      <c r="A261" s="1171" t="str">
        <f>Таблица301715[[#This Row],[Группа]]&amp;Таблица301715[[#This Row],[Номенклатура]]&amp;Таблица301715[[#This Row],[ЕИ]]</f>
        <v>Детали трубопровода стальФланец 80-10-01-1-В-12Х18Н10Т-1 ГОСТ 33259-2015 с расточкой до 105 ммшт</v>
      </c>
      <c r="B261" s="1165" t="s">
        <v>66</v>
      </c>
      <c r="C261" s="1165"/>
      <c r="D261" s="1172" t="s">
        <v>1078</v>
      </c>
      <c r="E261" s="1172"/>
      <c r="F261" s="842" t="s">
        <v>129</v>
      </c>
      <c r="G261" s="902">
        <v>4800</v>
      </c>
      <c r="H261" s="897" t="s">
        <v>131</v>
      </c>
      <c r="I261" s="903"/>
      <c r="J261" s="899">
        <v>4800</v>
      </c>
    </row>
    <row r="262" spans="1:11" ht="15">
      <c r="A262" s="1171" t="str">
        <f>Таблица301715[[#This Row],[Группа]]&amp;Таблица301715[[#This Row],[Номенклатура]]&amp;Таблица301715[[#This Row],[ЕИ]]</f>
        <v>Детали трубопровода стальФланец свободный DN 80/88,9 AISI 304 PN 10 (8 отверстий)шт</v>
      </c>
      <c r="B262" s="1165" t="s">
        <v>66</v>
      </c>
      <c r="C262" s="1165"/>
      <c r="D262" s="1172" t="s">
        <v>1079</v>
      </c>
      <c r="E262" s="1172"/>
      <c r="F262" s="842" t="s">
        <v>129</v>
      </c>
      <c r="G262" s="902">
        <v>3500</v>
      </c>
      <c r="H262" s="897" t="s">
        <v>131</v>
      </c>
      <c r="I262" s="903"/>
      <c r="J262" s="899">
        <v>3500</v>
      </c>
    </row>
    <row r="263" spans="1:11" ht="15">
      <c r="A263" s="1171" t="str">
        <f>Таблица301715[[#This Row],[Группа]]&amp;Таблица301715[[#This Row],[Номенклатура]]&amp;Таблица301715[[#This Row],[ЕИ]]</f>
        <v>Детали трубопровода стальФланец свободный DN 80/88,9 AISI 304 PN 06 (8 отверстий)шт</v>
      </c>
      <c r="B263" s="1165" t="s">
        <v>66</v>
      </c>
      <c r="C263" s="1165"/>
      <c r="D263" s="1172" t="s">
        <v>1080</v>
      </c>
      <c r="E263" s="1172"/>
      <c r="F263" s="842" t="s">
        <v>129</v>
      </c>
      <c r="G263" s="902">
        <v>2400</v>
      </c>
      <c r="H263" s="897" t="s">
        <v>131</v>
      </c>
      <c r="I263" s="903"/>
      <c r="J263" s="899">
        <v>2400</v>
      </c>
      <c r="K263" s="1165"/>
    </row>
    <row r="264" spans="1:11" ht="15">
      <c r="A264" s="1171" t="str">
        <f>Таблица301715[[#This Row],[Группа]]&amp;Таблица301715[[#This Row],[Номенклатура]]&amp;Таблица301715[[#This Row],[ЕИ]]</f>
        <v>Детали трубопровода стальБорт шайба DN 80 (88,9х2,0) AISI 304шт</v>
      </c>
      <c r="B264" s="1165" t="s">
        <v>66</v>
      </c>
      <c r="C264" s="1165"/>
      <c r="D264" s="1172" t="s">
        <v>1081</v>
      </c>
      <c r="E264" s="1172"/>
      <c r="F264" s="842" t="s">
        <v>129</v>
      </c>
      <c r="G264" s="902">
        <v>290</v>
      </c>
      <c r="H264" s="897" t="s">
        <v>131</v>
      </c>
      <c r="I264" s="903"/>
      <c r="J264" s="899">
        <v>290</v>
      </c>
    </row>
    <row r="265" spans="1:11" ht="15">
      <c r="A265" s="1171" t="str">
        <f>Таблица301715[[#This Row],[Группа]]&amp;Таблица301715[[#This Row],[Номенклатура]]&amp;Таблица301715[[#This Row],[ЕИ]]</f>
        <v>Детали трубопровода стальФланец 100-10-01-1-В-12Х18Н10Т-1 ГОСТ 33259-2015 с расточкой до 125шт</v>
      </c>
      <c r="B265" s="1165" t="s">
        <v>66</v>
      </c>
      <c r="C265" s="1165"/>
      <c r="D265" s="1172" t="s">
        <v>1082</v>
      </c>
      <c r="E265" s="1172"/>
      <c r="F265" s="842" t="s">
        <v>129</v>
      </c>
      <c r="G265" s="902">
        <v>6500</v>
      </c>
      <c r="H265" s="897" t="s">
        <v>131</v>
      </c>
      <c r="I265" s="903"/>
      <c r="J265" s="899">
        <v>6500</v>
      </c>
    </row>
    <row r="266" spans="1:11" ht="15">
      <c r="A266" s="1171" t="str">
        <f>Таблица301715[[#This Row],[Группа]]&amp;Таблица301715[[#This Row],[Номенклатура]]&amp;Таблица301715[[#This Row],[ЕИ]]</f>
        <v>Детали трубопровода стальФланец свободный DN 100/108 AISI 304 PN 10 (8 отверстий)шт</v>
      </c>
      <c r="B266" s="1165" t="s">
        <v>66</v>
      </c>
      <c r="C266" s="1165"/>
      <c r="D266" s="1172" t="s">
        <v>716</v>
      </c>
      <c r="E266" s="1172"/>
      <c r="F266" s="842" t="s">
        <v>129</v>
      </c>
      <c r="G266" s="902">
        <v>5800</v>
      </c>
      <c r="H266" s="897" t="s">
        <v>131</v>
      </c>
      <c r="I266" s="903"/>
      <c r="J266" s="899">
        <v>5800</v>
      </c>
    </row>
    <row r="267" spans="1:11" ht="15">
      <c r="A267" s="1171" t="str">
        <f>Таблица301715[[#This Row],[Группа]]&amp;Таблица301715[[#This Row],[Номенклатура]]&amp;Таблица301715[[#This Row],[ЕИ]]</f>
        <v>Детали трубопровода стальФланец свободный DN 100/108 AISI 304 PN 06 (8 отверстий)шт</v>
      </c>
      <c r="B267" s="1165" t="s">
        <v>66</v>
      </c>
      <c r="C267" s="1165"/>
      <c r="D267" s="1172" t="s">
        <v>1083</v>
      </c>
      <c r="E267" s="1172"/>
      <c r="F267" s="842" t="s">
        <v>129</v>
      </c>
      <c r="G267" s="902">
        <v>2900</v>
      </c>
      <c r="H267" s="897" t="s">
        <v>131</v>
      </c>
      <c r="I267" s="903"/>
      <c r="J267" s="899">
        <v>2900</v>
      </c>
    </row>
    <row r="268" spans="1:11" ht="15">
      <c r="A268" s="1171" t="str">
        <f>Таблица301715[[#This Row],[Группа]]&amp;Таблица301715[[#This Row],[Номенклатура]]&amp;Таблица301715[[#This Row],[ЕИ]]</f>
        <v>Детали трубопровода стальБорт шайба DN 100 (108х2,0) AISI 304шт</v>
      </c>
      <c r="B268" s="1165" t="s">
        <v>66</v>
      </c>
      <c r="C268" s="1165"/>
      <c r="D268" s="1172" t="s">
        <v>717</v>
      </c>
      <c r="E268" s="1172"/>
      <c r="F268" s="842" t="s">
        <v>129</v>
      </c>
      <c r="G268" s="902">
        <v>400</v>
      </c>
      <c r="H268" s="897" t="s">
        <v>131</v>
      </c>
      <c r="I268" s="904"/>
      <c r="J268" s="899">
        <v>400</v>
      </c>
    </row>
    <row r="269" spans="1:11" ht="15">
      <c r="A269" s="1171" t="str">
        <f>Таблица301715[[#This Row],[Группа]]&amp;Таблица301715[[#This Row],[Номенклатура]]&amp;Таблица301715[[#This Row],[ЕИ]]</f>
        <v>Детали трубопровода стальФланец 100-10-01-1-В-12Х18Н10Т-1 ГОСТ 33259-2015шт</v>
      </c>
      <c r="B269" s="1165" t="s">
        <v>66</v>
      </c>
      <c r="C269" s="1165"/>
      <c r="D269" s="1172" t="s">
        <v>714</v>
      </c>
      <c r="E269" s="1172"/>
      <c r="F269" s="842" t="s">
        <v>129</v>
      </c>
      <c r="G269" s="902">
        <v>6000</v>
      </c>
      <c r="H269" s="897" t="s">
        <v>131</v>
      </c>
      <c r="I269" s="904"/>
      <c r="J269" s="899">
        <v>6000</v>
      </c>
      <c r="K269" s="1165"/>
    </row>
    <row r="270" spans="1:11" ht="15">
      <c r="A270" s="1171" t="str">
        <f>Таблица301715[[#This Row],[Группа]]&amp;Таблица301715[[#This Row],[Номенклатура]]&amp;Таблица301715[[#This Row],[ЕИ]]</f>
        <v>Детали трубопровода стальФланец 150-10-01-1-В-12Х18Н10Т-1 ГОСТ 33259-2015 шт</v>
      </c>
      <c r="B270" s="1165" t="s">
        <v>66</v>
      </c>
      <c r="C270" s="1165"/>
      <c r="D270" s="1172" t="s">
        <v>1084</v>
      </c>
      <c r="E270" s="1172"/>
      <c r="F270" s="842" t="s">
        <v>129</v>
      </c>
      <c r="G270" s="902">
        <v>8000</v>
      </c>
      <c r="H270" s="897" t="s">
        <v>131</v>
      </c>
      <c r="I270" s="903"/>
      <c r="J270" s="899">
        <v>8000</v>
      </c>
    </row>
    <row r="271" spans="1:11" ht="15">
      <c r="A271" s="1171" t="str">
        <f>Таблица301715[[#This Row],[Группа]]&amp;Таблица301715[[#This Row],[Номенклатура]]&amp;Таблица301715[[#This Row],[ЕИ]]</f>
        <v>Детали трубопровода стальФланец 150-10-01-1-В-12Х18Н10Т-1 ГОСТ 33259-2015 с расточкой до 175 ммшт</v>
      </c>
      <c r="B271" s="1165" t="s">
        <v>66</v>
      </c>
      <c r="C271" s="1165"/>
      <c r="D271" s="1172" t="s">
        <v>1085</v>
      </c>
      <c r="E271" s="1172"/>
      <c r="F271" s="842" t="s">
        <v>129</v>
      </c>
      <c r="G271" s="902">
        <v>8500</v>
      </c>
      <c r="H271" s="897" t="s">
        <v>131</v>
      </c>
      <c r="I271" s="903"/>
      <c r="J271" s="899">
        <v>8500</v>
      </c>
    </row>
    <row r="272" spans="1:11" ht="15">
      <c r="A272" s="1171" t="str">
        <f>Таблица301715[[#This Row],[Группа]]&amp;Таблица301715[[#This Row],[Номенклатура]]&amp;Таблица301715[[#This Row],[ЕИ]]</f>
        <v>Детали трубопровода стальФланец свободный DN 150/159 AISI 304 PN 10 (8 отверстий)шт</v>
      </c>
      <c r="B272" s="1165" t="s">
        <v>66</v>
      </c>
      <c r="C272" s="1165"/>
      <c r="D272" s="1172" t="s">
        <v>721</v>
      </c>
      <c r="E272" s="1172"/>
      <c r="F272" s="842" t="s">
        <v>129</v>
      </c>
      <c r="G272" s="902">
        <v>7900</v>
      </c>
      <c r="H272" s="897" t="s">
        <v>131</v>
      </c>
      <c r="I272" s="903"/>
      <c r="J272" s="899">
        <v>7900</v>
      </c>
    </row>
    <row r="273" spans="1:11" ht="15">
      <c r="A273" s="1171" t="str">
        <f>Таблица301715[[#This Row],[Группа]]&amp;Таблица301715[[#This Row],[Номенклатура]]&amp;Таблица301715[[#This Row],[ЕИ]]</f>
        <v>Детали трубопровода стальФланец свободный DN 150/159 AISI 304 PN 06 (8 отверстий)шт</v>
      </c>
      <c r="B273" s="1165" t="s">
        <v>66</v>
      </c>
      <c r="C273" s="1165"/>
      <c r="D273" s="1172" t="s">
        <v>1086</v>
      </c>
      <c r="E273" s="1172"/>
      <c r="F273" s="842" t="s">
        <v>129</v>
      </c>
      <c r="G273" s="902">
        <v>6200</v>
      </c>
      <c r="H273" s="897" t="s">
        <v>131</v>
      </c>
      <c r="I273" s="903"/>
      <c r="J273" s="899">
        <v>6200</v>
      </c>
    </row>
    <row r="274" spans="1:11" ht="15">
      <c r="A274" s="1171" t="str">
        <f>Таблица301715[[#This Row],[Группа]]&amp;Таблица301715[[#This Row],[Номенклатура]]&amp;Таблица301715[[#This Row],[ЕИ]]</f>
        <v>Детали трубопровода стальБорт шайба DN 150 (159х2,0) AISI 304шт</v>
      </c>
      <c r="B274" s="1165" t="s">
        <v>66</v>
      </c>
      <c r="C274" s="1165"/>
      <c r="D274" s="1172" t="s">
        <v>722</v>
      </c>
      <c r="E274" s="1172"/>
      <c r="F274" s="842" t="s">
        <v>129</v>
      </c>
      <c r="G274" s="902">
        <v>550</v>
      </c>
      <c r="H274" s="897" t="s">
        <v>131</v>
      </c>
      <c r="I274" s="903"/>
      <c r="J274" s="899">
        <v>550</v>
      </c>
      <c r="K274" s="1165"/>
    </row>
    <row r="275" spans="1:11" ht="15">
      <c r="A275" s="1171" t="str">
        <f>Таблица301715[[#This Row],[Группа]]&amp;Таблица301715[[#This Row],[Номенклатура]]&amp;Таблица301715[[#This Row],[ЕИ]]</f>
        <v>Детали трубопровода стальФланец 200-10-01-1-В-12Х18Н10Т-1 ГОСТ 33259-2015 шт</v>
      </c>
      <c r="B275" s="1165" t="s">
        <v>66</v>
      </c>
      <c r="C275" s="1165"/>
      <c r="D275" s="1172" t="s">
        <v>1087</v>
      </c>
      <c r="E275" s="1172"/>
      <c r="F275" s="842" t="s">
        <v>129</v>
      </c>
      <c r="G275" s="902">
        <v>9500</v>
      </c>
      <c r="H275" s="897" t="s">
        <v>131</v>
      </c>
      <c r="I275" s="903"/>
      <c r="J275" s="899">
        <v>9500</v>
      </c>
    </row>
    <row r="276" spans="1:11" ht="15">
      <c r="A276" s="1171" t="str">
        <f>Таблица301715[[#This Row],[Группа]]&amp;Таблица301715[[#This Row],[Номенклатура]]&amp;Таблица301715[[#This Row],[ЕИ]]</f>
        <v>Детали трубопровода стальФланец 200-10-01-1-В-12Х18Н10Т-1 ГОСТ 33259-2015 с расточкой до 235 ммшт</v>
      </c>
      <c r="B276" s="1165" t="s">
        <v>66</v>
      </c>
      <c r="C276" s="1165"/>
      <c r="D276" s="1172" t="s">
        <v>1088</v>
      </c>
      <c r="E276" s="1172"/>
      <c r="F276" s="842" t="s">
        <v>129</v>
      </c>
      <c r="G276" s="902">
        <v>1000</v>
      </c>
      <c r="H276" s="897" t="s">
        <v>131</v>
      </c>
      <c r="I276" s="903"/>
      <c r="J276" s="899">
        <v>1000</v>
      </c>
    </row>
    <row r="277" spans="1:11" ht="15">
      <c r="A277" s="1171" t="str">
        <f>Таблица301715[[#This Row],[Группа]]&amp;Таблица301715[[#This Row],[Номенклатура]]&amp;Таблица301715[[#This Row],[ЕИ]]</f>
        <v>Детали трубопровода стальФланец свободный DN 200/219,1 AISI 304 PN 10 (8 отверстий)шт</v>
      </c>
      <c r="B277" s="1165" t="s">
        <v>66</v>
      </c>
      <c r="C277" s="1165"/>
      <c r="D277" s="1172" t="s">
        <v>1089</v>
      </c>
      <c r="E277" s="1172"/>
      <c r="F277" s="842" t="s">
        <v>129</v>
      </c>
      <c r="G277" s="902">
        <v>8900</v>
      </c>
      <c r="H277" s="897" t="s">
        <v>131</v>
      </c>
      <c r="I277" s="903"/>
      <c r="J277" s="899">
        <v>8900</v>
      </c>
    </row>
    <row r="278" spans="1:11" ht="15">
      <c r="A278" s="1171" t="str">
        <f>Таблица301715[[#This Row],[Группа]]&amp;Таблица301715[[#This Row],[Номенклатура]]&amp;Таблица301715[[#This Row],[ЕИ]]</f>
        <v>Детали трубопровода стальФланец свободный DN 200/219,1 AISI 304 PN 6 (8 отверстий)шт</v>
      </c>
      <c r="B278" s="1165" t="s">
        <v>66</v>
      </c>
      <c r="C278" s="1165"/>
      <c r="D278" s="1172" t="s">
        <v>1090</v>
      </c>
      <c r="E278" s="1172"/>
      <c r="F278" s="842" t="s">
        <v>129</v>
      </c>
      <c r="G278" s="902">
        <v>7200</v>
      </c>
      <c r="H278" s="897" t="s">
        <v>131</v>
      </c>
      <c r="I278" s="903"/>
      <c r="J278" s="899">
        <v>7200</v>
      </c>
    </row>
    <row r="279" spans="1:11" ht="15">
      <c r="A279" s="1171" t="str">
        <f>Таблица301715[[#This Row],[Группа]]&amp;Таблица301715[[#This Row],[Номенклатура]]&amp;Таблица301715[[#This Row],[ЕИ]]</f>
        <v>Детали трубопровода стальБорт шайба DN 200 (219,1х2,0) AISI 304шт</v>
      </c>
      <c r="B279" s="1165" t="s">
        <v>66</v>
      </c>
      <c r="C279" s="1165"/>
      <c r="D279" s="1172" t="s">
        <v>1091</v>
      </c>
      <c r="E279" s="1172"/>
      <c r="F279" s="842" t="s">
        <v>129</v>
      </c>
      <c r="G279" s="902">
        <v>1050</v>
      </c>
      <c r="H279" s="897" t="s">
        <v>131</v>
      </c>
      <c r="I279" s="903"/>
      <c r="J279" s="899">
        <v>1050</v>
      </c>
    </row>
    <row r="280" spans="1:11" ht="15">
      <c r="A280" s="1171" t="str">
        <f>Таблица301715[[#This Row],[Группа]]&amp;Таблица301715[[#This Row],[Номенклатура]]&amp;Таблица301715[[#This Row],[ЕИ]]</f>
        <v>Детали трубопровода стальФланец 250-10-01-1-В-12Х18Н10Т-1 ГОСТ 33259-2015 шт</v>
      </c>
      <c r="B280" s="1165" t="s">
        <v>66</v>
      </c>
      <c r="C280" s="1165"/>
      <c r="D280" s="1172" t="s">
        <v>1092</v>
      </c>
      <c r="E280" s="1172"/>
      <c r="F280" s="842" t="s">
        <v>129</v>
      </c>
      <c r="G280" s="902">
        <v>21803.599999999999</v>
      </c>
      <c r="H280" s="897" t="s">
        <v>131</v>
      </c>
      <c r="I280" s="903"/>
      <c r="J280" s="899">
        <v>21803.599999999999</v>
      </c>
    </row>
    <row r="281" spans="1:11" ht="15">
      <c r="A281" s="1171" t="str">
        <f>Таблица301715[[#This Row],[Группа]]&amp;Таблица301715[[#This Row],[Номенклатура]]&amp;Таблица301715[[#This Row],[ЕИ]]</f>
        <v>Детали трубопровода стальФланец 250-10-02-1-В-12Х18Н10Т-1 ГОСТ 33259-2015 шт</v>
      </c>
      <c r="B281" s="1165" t="s">
        <v>66</v>
      </c>
      <c r="C281" s="1165"/>
      <c r="D281" s="1172" t="s">
        <v>1093</v>
      </c>
      <c r="E281" s="1172"/>
      <c r="F281" s="842" t="s">
        <v>129</v>
      </c>
      <c r="G281" s="902">
        <v>77350</v>
      </c>
      <c r="H281" s="897" t="s">
        <v>131</v>
      </c>
      <c r="I281" s="903"/>
      <c r="J281" s="899">
        <v>77350</v>
      </c>
    </row>
    <row r="282" spans="1:11" ht="15">
      <c r="A282" s="1171" t="str">
        <f>Таблица301715[[#This Row],[Группа]]&amp;Таблица301715[[#This Row],[Номенклатура]]&amp;Таблица301715[[#This Row],[ЕИ]]</f>
        <v>Детали трубопровода стальФланец 250-10-02-1-В-12Х18Н10Т-1 ГОСТ 33259-2015 с расточкой до 285 ммшт</v>
      </c>
      <c r="B282" s="1165" t="s">
        <v>66</v>
      </c>
      <c r="C282" s="1165"/>
      <c r="D282" s="1172" t="s">
        <v>1094</v>
      </c>
      <c r="E282" s="1172"/>
      <c r="F282" s="842" t="s">
        <v>129</v>
      </c>
      <c r="G282" s="902">
        <v>77350</v>
      </c>
      <c r="H282" s="897" t="s">
        <v>131</v>
      </c>
      <c r="I282" s="903"/>
      <c r="J282" s="899">
        <v>77350</v>
      </c>
    </row>
    <row r="283" spans="1:11" ht="15">
      <c r="A283" s="1171" t="str">
        <f>Таблица301715[[#This Row],[Группа]]&amp;Таблица301715[[#This Row],[Номенклатура]]&amp;Таблица301715[[#This Row],[ЕИ]]</f>
        <v>Детали трубопровода стальФланец 250-10-01-1-В-12Х18Н10Т-1 ГОСТ 33259-2015 с расточкой до 291 ммшт</v>
      </c>
      <c r="B283" s="1165" t="s">
        <v>66</v>
      </c>
      <c r="C283" s="1165"/>
      <c r="D283" s="1172" t="s">
        <v>711</v>
      </c>
      <c r="E283" s="1172"/>
      <c r="F283" s="842" t="s">
        <v>129</v>
      </c>
      <c r="G283" s="902">
        <v>23983.4</v>
      </c>
      <c r="H283" s="897" t="s">
        <v>131</v>
      </c>
      <c r="I283" s="903"/>
      <c r="J283" s="899">
        <v>23983.4</v>
      </c>
      <c r="K283" s="1165"/>
    </row>
    <row r="284" spans="1:11" ht="15">
      <c r="A284" s="1171" t="str">
        <f>Таблица301715[[#This Row],[Группа]]&amp;Таблица301715[[#This Row],[Номенклатура]]&amp;Таблица301715[[#This Row],[ЕИ]]</f>
        <v>Детали трубопровода стальФланец 250-16-01-1-В-12Х18Н10Т-1 ГОСТ 33259-2015шт</v>
      </c>
      <c r="B284" s="1165" t="s">
        <v>66</v>
      </c>
      <c r="C284" s="1165"/>
      <c r="D284" s="1172" t="s">
        <v>1095</v>
      </c>
      <c r="E284" s="1172"/>
      <c r="F284" s="842" t="s">
        <v>129</v>
      </c>
      <c r="G284" s="902">
        <v>31318</v>
      </c>
      <c r="H284" s="897" t="s">
        <v>131</v>
      </c>
      <c r="I284" s="903"/>
      <c r="J284" s="899">
        <v>31318</v>
      </c>
    </row>
    <row r="285" spans="1:11" ht="15">
      <c r="A285" s="1171" t="str">
        <f>Таблица301715[[#This Row],[Группа]]&amp;Таблица301715[[#This Row],[Номенклатура]]&amp;Таблица301715[[#This Row],[ЕИ]]</f>
        <v>Детали трубопровода стальФланец 300-10-01-1-В-12Х18Н10Т-1 ГОСТ 33259-2015шт</v>
      </c>
      <c r="B285" s="1165" t="s">
        <v>66</v>
      </c>
      <c r="C285" s="1165"/>
      <c r="D285" s="1172" t="s">
        <v>1096</v>
      </c>
      <c r="E285" s="1172"/>
      <c r="F285" s="842" t="s">
        <v>129</v>
      </c>
      <c r="G285" s="902">
        <v>26412.400000000001</v>
      </c>
      <c r="H285" s="897" t="s">
        <v>131</v>
      </c>
      <c r="I285" s="903"/>
      <c r="J285" s="899">
        <v>26412.400000000001</v>
      </c>
    </row>
    <row r="286" spans="1:11" ht="15">
      <c r="A286" s="1171" t="str">
        <f>Таблица301715[[#This Row],[Группа]]&amp;Таблица301715[[#This Row],[Номенклатура]]&amp;Таблица301715[[#This Row],[ЕИ]]</f>
        <v>Детали трубопровода стальФланец 300-10-02-1-В-12Х18Н10Т-1 ГОСТ 33259-2015шт</v>
      </c>
      <c r="B286" s="1165" t="s">
        <v>66</v>
      </c>
      <c r="C286" s="1165"/>
      <c r="D286" s="1172" t="s">
        <v>1097</v>
      </c>
      <c r="E286" s="1172"/>
      <c r="F286" s="842" t="s">
        <v>129</v>
      </c>
      <c r="G286" s="902">
        <v>96866</v>
      </c>
      <c r="H286" s="897" t="s">
        <v>131</v>
      </c>
      <c r="I286" s="903"/>
      <c r="J286" s="899">
        <v>96866</v>
      </c>
    </row>
    <row r="287" spans="1:11" ht="15">
      <c r="A287" s="1171" t="str">
        <f>Таблица301715[[#This Row],[Группа]]&amp;Таблица301715[[#This Row],[Номенклатура]]&amp;Таблица301715[[#This Row],[ЕИ]]</f>
        <v>Детали трубопровода стальФланец 300-10-02-1-В-12Х18Н10Т-1 ГОСТ 33259-2015 с расточкой до 335 ммшт</v>
      </c>
      <c r="B287" s="1165" t="s">
        <v>66</v>
      </c>
      <c r="C287" s="1165"/>
      <c r="D287" s="1172" t="s">
        <v>1098</v>
      </c>
      <c r="E287" s="1172"/>
      <c r="F287" s="842" t="s">
        <v>129</v>
      </c>
      <c r="G287" s="902">
        <v>96866</v>
      </c>
      <c r="H287" s="897" t="s">
        <v>131</v>
      </c>
      <c r="I287" s="903"/>
      <c r="J287" s="899">
        <v>96866</v>
      </c>
    </row>
    <row r="288" spans="1:11" ht="15">
      <c r="A288" s="1171" t="str">
        <f>Таблица301715[[#This Row],[Группа]]&amp;Таблица301715[[#This Row],[Номенклатура]]&amp;Таблица301715[[#This Row],[ЕИ]]</f>
        <v>Детали трубопровода стальФланец 300-10-02-1-В-12Х18Н10Т-1 ГОСТ 33259-2015 с расточкой до 338 ммшт</v>
      </c>
      <c r="B288" s="1165" t="s">
        <v>66</v>
      </c>
      <c r="C288" s="1165"/>
      <c r="D288" s="1172" t="s">
        <v>1099</v>
      </c>
      <c r="E288" s="1172"/>
      <c r="F288" s="842" t="s">
        <v>129</v>
      </c>
      <c r="G288" s="902"/>
      <c r="H288" s="897" t="s">
        <v>131</v>
      </c>
      <c r="I288" s="903"/>
      <c r="J288" s="899"/>
    </row>
    <row r="289" spans="1:10" ht="15">
      <c r="A289" s="1171" t="str">
        <f>Таблица301715[[#This Row],[Группа]]&amp;Таблица301715[[#This Row],[Номенклатура]]&amp;Таблица301715[[#This Row],[ЕИ]]</f>
        <v>Детали трубопровода стальФланец 300-16-01-1-В-12Х18Н10Т-1 ГОСТ 33259-2015шт</v>
      </c>
      <c r="B289" s="1165" t="s">
        <v>66</v>
      </c>
      <c r="C289" s="1165"/>
      <c r="D289" s="1172" t="s">
        <v>1100</v>
      </c>
      <c r="E289" s="1172"/>
      <c r="F289" s="842" t="s">
        <v>129</v>
      </c>
      <c r="G289" s="902">
        <v>36355.199999999997</v>
      </c>
      <c r="H289" s="897" t="s">
        <v>131</v>
      </c>
      <c r="I289" s="903"/>
      <c r="J289" s="899">
        <v>36355.199999999997</v>
      </c>
    </row>
    <row r="290" spans="1:10" ht="15">
      <c r="A290" s="1171" t="str">
        <f>Таблица301715[[#This Row],[Группа]]&amp;Таблица301715[[#This Row],[Номенклатура]]&amp;Таблица301715[[#This Row],[ЕИ]]</f>
        <v>Детали трубопровода стальФланец 350-10-01-1-В-12Х18Н10Т-1 ГОСТ 33259-2015шт</v>
      </c>
      <c r="B290" s="1165" t="s">
        <v>66</v>
      </c>
      <c r="C290" s="1165"/>
      <c r="D290" s="1172" t="s">
        <v>1101</v>
      </c>
      <c r="E290" s="1172"/>
      <c r="F290" s="842" t="s">
        <v>129</v>
      </c>
      <c r="G290" s="902">
        <v>32407.200000000001</v>
      </c>
      <c r="H290" s="897" t="s">
        <v>131</v>
      </c>
      <c r="I290" s="903"/>
      <c r="J290" s="899">
        <v>32407.200000000001</v>
      </c>
    </row>
    <row r="291" spans="1:10" ht="15">
      <c r="A291" s="1171" t="str">
        <f>Таблица301715[[#This Row],[Группа]]&amp;Таблица301715[[#This Row],[Номенклатура]]&amp;Таблица301715[[#This Row],[ЕИ]]</f>
        <v>Детали трубопровода стальФланец 350-10-02-1-В-12Х18Н10Т-1 ГОСТ 33259-2015шт</v>
      </c>
      <c r="B291" s="1165" t="s">
        <v>66</v>
      </c>
      <c r="C291" s="1165"/>
      <c r="D291" s="1172" t="s">
        <v>1102</v>
      </c>
      <c r="E291" s="1172"/>
      <c r="F291" s="842" t="s">
        <v>129</v>
      </c>
      <c r="G291" s="902">
        <v>147812</v>
      </c>
      <c r="H291" s="897" t="s">
        <v>131</v>
      </c>
      <c r="I291" s="903"/>
      <c r="J291" s="899">
        <v>147812</v>
      </c>
    </row>
    <row r="292" spans="1:10" ht="15">
      <c r="A292" s="1171" t="str">
        <f>Таблица301715[[#This Row],[Группа]]&amp;Таблица301715[[#This Row],[Номенклатура]]&amp;Таблица301715[[#This Row],[ЕИ]]</f>
        <v>Детали трубопровода стальФланец 350-10-02-1-В-12Х18Н10Т-1 ГОСТ 33259-2015 с расточкой до 394 ммшт</v>
      </c>
      <c r="B292" s="1165" t="s">
        <v>66</v>
      </c>
      <c r="C292" s="1165"/>
      <c r="D292" s="1172" t="s">
        <v>1103</v>
      </c>
      <c r="E292" s="1172"/>
      <c r="F292" s="842" t="s">
        <v>129</v>
      </c>
      <c r="G292" s="902">
        <v>147812</v>
      </c>
      <c r="H292" s="897" t="s">
        <v>131</v>
      </c>
      <c r="I292" s="903"/>
      <c r="J292" s="899">
        <v>147812</v>
      </c>
    </row>
    <row r="293" spans="1:10" ht="15">
      <c r="A293" s="1171" t="str">
        <f>Таблица301715[[#This Row],[Группа]]&amp;Таблица301715[[#This Row],[Номенклатура]]&amp;Таблица301715[[#This Row],[ЕИ]]</f>
        <v>Детали трубопровода стальФланец 350-16-01-1-В-12Х18Н10Т-1 ГОСТ 33259-2015шт</v>
      </c>
      <c r="B293" s="1165" t="s">
        <v>66</v>
      </c>
      <c r="C293" s="1165"/>
      <c r="D293" s="1172" t="s">
        <v>1104</v>
      </c>
      <c r="E293" s="1172"/>
      <c r="F293" s="842" t="s">
        <v>129</v>
      </c>
      <c r="G293" s="902">
        <v>46786.6</v>
      </c>
      <c r="H293" s="897" t="s">
        <v>131</v>
      </c>
      <c r="I293" s="903"/>
      <c r="J293" s="899">
        <v>46786.6</v>
      </c>
    </row>
    <row r="294" spans="1:10" ht="15">
      <c r="A294" s="1171" t="str">
        <f>Таблица301715[[#This Row],[Группа]]&amp;Таблица301715[[#This Row],[Номенклатура]]&amp;Таблица301715[[#This Row],[ЕИ]]</f>
        <v>Детали трубопровода стальФланец 350-16-01-1-В-12Х18Н10Т-1 ГОСТ 33259-2015 с расточкой до 394 ммшт</v>
      </c>
      <c r="B294" s="1165" t="s">
        <v>66</v>
      </c>
      <c r="C294" s="1165"/>
      <c r="D294" s="1172" t="s">
        <v>1105</v>
      </c>
      <c r="E294" s="1172"/>
      <c r="F294" s="842" t="s">
        <v>129</v>
      </c>
      <c r="G294" s="902">
        <v>51465.4</v>
      </c>
      <c r="H294" s="897" t="s">
        <v>131</v>
      </c>
      <c r="I294" s="903"/>
      <c r="J294" s="899">
        <v>51465.4</v>
      </c>
    </row>
    <row r="295" spans="1:10" ht="15">
      <c r="A295" s="1171" t="str">
        <f>Таблица301715[[#This Row],[Группа]]&amp;Таблица301715[[#This Row],[Номенклатура]]&amp;Таблица301715[[#This Row],[ЕИ]]</f>
        <v>Детали трубопровода стальФланец 400-10-01-1-В-12Х18Н10Т-1 ГОСТ 33259-2015шт</v>
      </c>
      <c r="B295" s="1165" t="s">
        <v>66</v>
      </c>
      <c r="C295" s="1165"/>
      <c r="D295" s="1172" t="s">
        <v>1106</v>
      </c>
      <c r="E295" s="1172"/>
      <c r="F295" s="842" t="s">
        <v>129</v>
      </c>
      <c r="G295" s="902">
        <v>44080.4</v>
      </c>
      <c r="H295" s="897" t="s">
        <v>131</v>
      </c>
      <c r="I295" s="903"/>
      <c r="J295" s="899">
        <v>44080.4</v>
      </c>
    </row>
    <row r="296" spans="1:10" ht="15">
      <c r="A296" s="1171" t="str">
        <f>Таблица301715[[#This Row],[Группа]]&amp;Таблица301715[[#This Row],[Номенклатура]]&amp;Таблица301715[[#This Row],[ЕИ]]</f>
        <v>Детали трубопровода стальФланец 400-16-01-1-В-12Х18Н10Т-1 ГОСТ 33259-2015шт</v>
      </c>
      <c r="B296" s="1165" t="s">
        <v>66</v>
      </c>
      <c r="C296" s="1165"/>
      <c r="D296" s="1172" t="s">
        <v>1107</v>
      </c>
      <c r="E296" s="1172"/>
      <c r="F296" s="842" t="s">
        <v>129</v>
      </c>
      <c r="G296" s="902">
        <v>63407.4</v>
      </c>
      <c r="H296" s="897" t="s">
        <v>131</v>
      </c>
      <c r="I296" s="903"/>
      <c r="J296" s="899">
        <v>63407.4</v>
      </c>
    </row>
    <row r="297" spans="1:10" ht="15">
      <c r="A297" s="1171" t="str">
        <f>Таблица301715[[#This Row],[Группа]]&amp;Таблица301715[[#This Row],[Номенклатура]]&amp;Таблица301715[[#This Row],[ЕИ]]</f>
        <v>Детали трубопровода стальФланец 400-10-02-1-В-12Х18Н10Т-1 ГОСТ 33259-2015шт</v>
      </c>
      <c r="B297" s="1165" t="s">
        <v>66</v>
      </c>
      <c r="C297" s="1165"/>
      <c r="D297" s="1172" t="s">
        <v>1108</v>
      </c>
      <c r="E297" s="1172"/>
      <c r="F297" s="842" t="s">
        <v>129</v>
      </c>
      <c r="G297" s="902">
        <v>186284</v>
      </c>
      <c r="H297" s="897" t="s">
        <v>131</v>
      </c>
      <c r="I297" s="903"/>
      <c r="J297" s="899">
        <v>186284</v>
      </c>
    </row>
    <row r="298" spans="1:10" ht="15">
      <c r="A298" s="1171" t="str">
        <f>Таблица301715[[#This Row],[Группа]]&amp;Таблица301715[[#This Row],[Номенклатура]]&amp;Таблица301715[[#This Row],[ЕИ]]</f>
        <v>Детали трубопровода стальФланец 500-10-01-1-В-12Х18Н10Т-1 ГОСТ 33259-2015шт</v>
      </c>
      <c r="B298" s="1165" t="s">
        <v>66</v>
      </c>
      <c r="C298" s="1165"/>
      <c r="D298" s="1172" t="s">
        <v>1109</v>
      </c>
      <c r="E298" s="1172"/>
      <c r="F298" s="842" t="s">
        <v>129</v>
      </c>
      <c r="G298" s="902">
        <v>56644</v>
      </c>
      <c r="H298" s="897" t="s">
        <v>131</v>
      </c>
      <c r="I298" s="903"/>
      <c r="J298" s="899">
        <v>56644</v>
      </c>
    </row>
    <row r="299" spans="1:10" ht="15">
      <c r="A299" s="1171" t="str">
        <f>Таблица301715[[#This Row],[Группа]]&amp;Таблица301715[[#This Row],[Номенклатура]]&amp;Таблица301715[[#This Row],[ЕИ]]</f>
        <v>Детали трубопровода стальФланец 500-10-02-1-В-12Х18Н10Т-1 ГОСТ 33259-2015шт</v>
      </c>
      <c r="B299" s="1165" t="s">
        <v>66</v>
      </c>
      <c r="C299" s="1165"/>
      <c r="D299" s="1172" t="s">
        <v>1110</v>
      </c>
      <c r="E299" s="1172"/>
      <c r="F299" s="842" t="s">
        <v>129</v>
      </c>
      <c r="G299" s="902">
        <v>286489</v>
      </c>
      <c r="H299" s="897" t="s">
        <v>131</v>
      </c>
      <c r="I299" s="903"/>
      <c r="J299" s="899">
        <v>286489</v>
      </c>
    </row>
    <row r="300" spans="1:10" ht="15">
      <c r="A300" s="1171" t="str">
        <f>Таблица301715[[#This Row],[Группа]]&amp;Таблица301715[[#This Row],[Номенклатура]]&amp;Таблица301715[[#This Row],[ЕИ]]</f>
        <v>Детали трубопровода стальФланец 500-16-01-1-В-12Х18Н10Т-1 ГОСТ 33259-2015шт</v>
      </c>
      <c r="B300" s="1165" t="s">
        <v>66</v>
      </c>
      <c r="C300" s="1165"/>
      <c r="D300" s="1172" t="s">
        <v>1111</v>
      </c>
      <c r="E300" s="1172"/>
      <c r="F300" s="842" t="s">
        <v>129</v>
      </c>
      <c r="G300" s="902">
        <v>116699.8</v>
      </c>
      <c r="H300" s="897" t="s">
        <v>131</v>
      </c>
      <c r="I300" s="903"/>
      <c r="J300" s="899">
        <v>116699.8</v>
      </c>
    </row>
    <row r="301" spans="1:10" ht="15">
      <c r="A301" s="1171" t="str">
        <f>Таблица301715[[#This Row],[Группа]]&amp;Таблица301715[[#This Row],[Номенклатура]]&amp;Таблица301715[[#This Row],[ЕИ]]</f>
        <v>Детали трубопровода стальФланец 600-10-01-1-В-12Х18Н10Т-1 ГОСТ 33259-2015шт</v>
      </c>
      <c r="B301" s="1165" t="s">
        <v>66</v>
      </c>
      <c r="C301" s="1165"/>
      <c r="D301" s="1172" t="s">
        <v>1112</v>
      </c>
      <c r="E301" s="1172"/>
      <c r="F301" s="842" t="s">
        <v>129</v>
      </c>
      <c r="G301" s="902">
        <v>82373.2</v>
      </c>
      <c r="H301" s="897" t="s">
        <v>131</v>
      </c>
      <c r="I301" s="903"/>
      <c r="J301" s="899">
        <v>82373.2</v>
      </c>
    </row>
    <row r="302" spans="1:10" ht="15">
      <c r="A302" s="1171" t="str">
        <f>Таблица301715[[#This Row],[Группа]]&amp;Таблица301715[[#This Row],[Номенклатура]]&amp;Таблица301715[[#This Row],[ЕИ]]</f>
        <v>Детали трубопровода стальФланец 600-16-01-1-В-12Х18Н10Т-1 ГОСТ 33259-2015 шт</v>
      </c>
      <c r="B302" s="1165" t="s">
        <v>66</v>
      </c>
      <c r="C302" s="1165"/>
      <c r="D302" s="1172" t="s">
        <v>1113</v>
      </c>
      <c r="E302" s="1172"/>
      <c r="F302" s="842" t="s">
        <v>129</v>
      </c>
      <c r="G302" s="902">
        <v>167477.79999999999</v>
      </c>
      <c r="H302" s="897" t="s">
        <v>131</v>
      </c>
      <c r="I302" s="903"/>
      <c r="J302" s="899">
        <v>167477.79999999999</v>
      </c>
    </row>
    <row r="303" spans="1:10" ht="15">
      <c r="A303" s="1171" t="str">
        <f>Таблица301715[[#This Row],[Группа]]&amp;Таблица301715[[#This Row],[Номенклатура]]&amp;Таблица301715[[#This Row],[ЕИ]]</f>
        <v>Детали трубопровода стальФланец 700-10-01-1-В-12Х18Н10Т-1 ГОСТ 33259-2015 шт</v>
      </c>
      <c r="B303" s="1165" t="s">
        <v>66</v>
      </c>
      <c r="C303" s="1165"/>
      <c r="D303" s="1172" t="s">
        <v>1114</v>
      </c>
      <c r="E303" s="1172"/>
      <c r="F303" s="842" t="s">
        <v>129</v>
      </c>
      <c r="G303" s="902">
        <v>124595.8</v>
      </c>
      <c r="H303" s="897" t="s">
        <v>131</v>
      </c>
      <c r="I303" s="903"/>
      <c r="J303" s="899">
        <v>124595.8</v>
      </c>
    </row>
    <row r="304" spans="1:10" ht="15">
      <c r="A304" s="1171" t="str">
        <f>Таблица301715[[#This Row],[Группа]]&amp;Таблица301715[[#This Row],[Номенклатура]]&amp;Таблица301715[[#This Row],[ЕИ]]</f>
        <v>Детали трубопровода стальФланец 700-10-01-1-В-12Х18Н10Т-1 ГОСТ 33259-2015 шт</v>
      </c>
      <c r="B304" s="1165" t="s">
        <v>66</v>
      </c>
      <c r="C304" s="1165"/>
      <c r="D304" s="1177" t="s">
        <v>1114</v>
      </c>
      <c r="E304" s="1172"/>
      <c r="F304" s="842" t="s">
        <v>129</v>
      </c>
      <c r="G304" s="902">
        <v>124595.8</v>
      </c>
      <c r="H304" s="897" t="s">
        <v>131</v>
      </c>
      <c r="I304" s="903"/>
      <c r="J304" s="899">
        <v>124595.8</v>
      </c>
    </row>
    <row r="305" spans="1:10" ht="15">
      <c r="A305" s="1171" t="str">
        <f>Таблица301715[[#This Row],[Группа]]&amp;Таблица301715[[#This Row],[Номенклатура]]&amp;Таблица301715[[#This Row],[ЕИ]]</f>
        <v>Детали трубопровода стальФланец 800-10-01-1-В-12Х18Н10Т-1 ГОСТ 33259-2015 шт</v>
      </c>
      <c r="B305" s="1165" t="s">
        <v>66</v>
      </c>
      <c r="C305" s="1165"/>
      <c r="D305" s="1177" t="s">
        <v>1115</v>
      </c>
      <c r="E305" s="1172"/>
      <c r="F305" s="842" t="s">
        <v>129</v>
      </c>
      <c r="G305" s="902">
        <v>167690.6</v>
      </c>
      <c r="H305" s="897" t="s">
        <v>131</v>
      </c>
      <c r="I305" s="903"/>
      <c r="J305" s="899">
        <v>167690.6</v>
      </c>
    </row>
    <row r="306" spans="1:10" ht="15">
      <c r="A306" s="1171" t="str">
        <f>Таблица301715[[#This Row],[Группа]]&amp;Таблица301715[[#This Row],[Номенклатура]]&amp;Таблица301715[[#This Row],[ЕИ]]</f>
        <v>Детали трубопровода стальФланец 800-16-01-1-В-12Х18Н10Т-1 ГОСТ 33259-2015 шт</v>
      </c>
      <c r="B306" s="1165" t="s">
        <v>66</v>
      </c>
      <c r="C306" s="1165"/>
      <c r="D306" s="1177" t="s">
        <v>1116</v>
      </c>
      <c r="E306" s="1172"/>
      <c r="F306" s="842" t="s">
        <v>129</v>
      </c>
      <c r="G306" s="902">
        <v>219812.6</v>
      </c>
      <c r="H306" s="897" t="s">
        <v>131</v>
      </c>
      <c r="I306" s="903"/>
      <c r="J306" s="899">
        <v>219812.6</v>
      </c>
    </row>
    <row r="307" spans="1:10" ht="15">
      <c r="A307" s="1171" t="str">
        <f>Таблица301715[[#This Row],[Группа]]&amp;Таблица301715[[#This Row],[Номенклатура]]&amp;Таблица301715[[#This Row],[ЕИ]]</f>
        <v>Детали трубопровода стальФланец 900-10-01-1-В-12Х18Н9Т-1 ГОСТ 33259-2015шт</v>
      </c>
      <c r="B307" s="1165" t="s">
        <v>66</v>
      </c>
      <c r="C307" s="1165"/>
      <c r="D307" s="1177" t="s">
        <v>1117</v>
      </c>
      <c r="E307" s="1172"/>
      <c r="F307" s="842" t="s">
        <v>129</v>
      </c>
      <c r="G307" s="902">
        <v>178290</v>
      </c>
      <c r="H307" s="897" t="s">
        <v>131</v>
      </c>
      <c r="I307" s="903"/>
      <c r="J307" s="899">
        <v>178290</v>
      </c>
    </row>
    <row r="308" spans="1:10" ht="15">
      <c r="A308" s="1171" t="str">
        <f>Таблица301715[[#This Row],[Группа]]&amp;Таблица301715[[#This Row],[Номенклатура]]&amp;Таблица301715[[#This Row],[ЕИ]]</f>
        <v>Детали трубопровода стальФланец 1000-10-01-1-В-12Х18Н10Т-1 ГОСТ 33259-2015 шт</v>
      </c>
      <c r="B308" s="1165" t="s">
        <v>66</v>
      </c>
      <c r="C308" s="1165"/>
      <c r="D308" s="1177" t="s">
        <v>1118</v>
      </c>
      <c r="E308" s="1172"/>
      <c r="F308" s="842" t="s">
        <v>129</v>
      </c>
      <c r="G308" s="902">
        <v>292712</v>
      </c>
      <c r="H308" s="897" t="s">
        <v>131</v>
      </c>
      <c r="I308" s="903"/>
      <c r="J308" s="899">
        <v>292712</v>
      </c>
    </row>
    <row r="309" spans="1:10" ht="15">
      <c r="A309" s="1171" t="str">
        <f>Таблица301715[[#This Row],[Группа]]&amp;Таблица301715[[#This Row],[Номенклатура]]&amp;Таблица301715[[#This Row],[ЕИ]]</f>
        <v>Детали трубопровода стальФланец 50-06-01-1-В-Ст20 ГОСТ 33259-2015 (ГОСТ 12820-80)шт</v>
      </c>
      <c r="B309" s="1165" t="s">
        <v>66</v>
      </c>
      <c r="C309" s="1165"/>
      <c r="D309" s="1177" t="s">
        <v>1119</v>
      </c>
      <c r="E309" s="1172"/>
      <c r="F309" s="842" t="s">
        <v>129</v>
      </c>
      <c r="G309" s="902">
        <v>809.2</v>
      </c>
      <c r="H309" s="897" t="s">
        <v>131</v>
      </c>
      <c r="I309" s="903"/>
      <c r="J309" s="899">
        <v>809.2</v>
      </c>
    </row>
    <row r="310" spans="1:10" ht="15">
      <c r="A310" s="1171" t="str">
        <f>Таблица301715[[#This Row],[Группа]]&amp;Таблица301715[[#This Row],[Номенклатура]]&amp;Таблица301715[[#This Row],[ЕИ]]</f>
        <v>Детали трубопровода стальФланец 50-10-01-1-В-Ст20 ГОСТ 33259-2015 (ГОСТ 12820-80)шт</v>
      </c>
      <c r="B310" s="1165" t="s">
        <v>66</v>
      </c>
      <c r="C310" s="1165"/>
      <c r="D310" s="1177" t="s">
        <v>1120</v>
      </c>
      <c r="E310" s="1172"/>
      <c r="F310" s="842" t="s">
        <v>129</v>
      </c>
      <c r="G310" s="902">
        <v>1244.5999999999999</v>
      </c>
      <c r="H310" s="897" t="s">
        <v>131</v>
      </c>
      <c r="I310" s="903"/>
      <c r="J310" s="899">
        <v>1244.5999999999999</v>
      </c>
    </row>
    <row r="311" spans="1:10" ht="15">
      <c r="A311" s="1171" t="str">
        <f>Таблица301715[[#This Row],[Группа]]&amp;Таблица301715[[#This Row],[Номенклатура]]&amp;Таблица301715[[#This Row],[ЕИ]]</f>
        <v>Детали трубопровода стальФланец 50-16-01-1-В-Ст20 ГОСТ 33259-2015 (ГОСТ 12820-80)шт</v>
      </c>
      <c r="B311" s="1165" t="s">
        <v>66</v>
      </c>
      <c r="C311" s="1165"/>
      <c r="D311" s="1177" t="s">
        <v>1121</v>
      </c>
      <c r="E311" s="1172"/>
      <c r="F311" s="842" t="s">
        <v>129</v>
      </c>
      <c r="G311" s="902">
        <v>1556.8</v>
      </c>
      <c r="H311" s="897" t="s">
        <v>131</v>
      </c>
      <c r="I311" s="903"/>
      <c r="J311" s="899">
        <v>1556.8</v>
      </c>
    </row>
    <row r="312" spans="1:10" ht="15">
      <c r="A312" s="1171" t="str">
        <f>Таблица301715[[#This Row],[Группа]]&amp;Таблица301715[[#This Row],[Номенклатура]]&amp;Таблица301715[[#This Row],[ЕИ]]</f>
        <v>Детали трубопровода стальФланец 65-06-01-1-В-Ст20 ГОСТ 33259-2015 (ГОСТ 12820-80)шт</v>
      </c>
      <c r="B312" s="1165" t="s">
        <v>66</v>
      </c>
      <c r="C312" s="1165"/>
      <c r="D312" s="1177" t="s">
        <v>1122</v>
      </c>
      <c r="E312" s="1172"/>
      <c r="F312" s="842" t="s">
        <v>129</v>
      </c>
      <c r="G312" s="902">
        <v>995.4</v>
      </c>
      <c r="H312" s="897" t="s">
        <v>131</v>
      </c>
      <c r="I312" s="903"/>
      <c r="J312" s="899">
        <v>995.4</v>
      </c>
    </row>
    <row r="313" spans="1:10" ht="15">
      <c r="A313" s="1171" t="str">
        <f>Таблица301715[[#This Row],[Группа]]&amp;Таблица301715[[#This Row],[Номенклатура]]&amp;Таблица301715[[#This Row],[ЕИ]]</f>
        <v>Детали трубопровода стальФланец 65-10-01-1-В-Ст20 ГОСТ 33259-2015 (ГОСТ 12820-80)шт</v>
      </c>
      <c r="B313" s="1165" t="s">
        <v>66</v>
      </c>
      <c r="C313" s="1165"/>
      <c r="D313" s="1177" t="s">
        <v>1123</v>
      </c>
      <c r="E313" s="1172"/>
      <c r="F313" s="842" t="s">
        <v>129</v>
      </c>
      <c r="G313" s="902">
        <v>1503.6</v>
      </c>
      <c r="H313" s="897" t="s">
        <v>131</v>
      </c>
      <c r="I313" s="903"/>
      <c r="J313" s="899">
        <v>1503.6</v>
      </c>
    </row>
    <row r="314" spans="1:10" ht="15">
      <c r="A314" s="1171" t="str">
        <f>Таблица301715[[#This Row],[Группа]]&amp;Таблица301715[[#This Row],[Номенклатура]]&amp;Таблица301715[[#This Row],[ЕИ]]</f>
        <v>Детали трубопровода стальФланец 65-16-01-1-В-Ст20 ГОСТ 33259-2015 (ГОСТ 12820-80)шт</v>
      </c>
      <c r="B314" s="1165" t="s">
        <v>66</v>
      </c>
      <c r="C314" s="1165"/>
      <c r="D314" s="1177" t="s">
        <v>1124</v>
      </c>
      <c r="E314" s="1172"/>
      <c r="F314" s="842" t="s">
        <v>129</v>
      </c>
      <c r="G314" s="902">
        <v>1892.8</v>
      </c>
      <c r="H314" s="897" t="s">
        <v>131</v>
      </c>
      <c r="I314" s="903"/>
      <c r="J314" s="899">
        <v>1892.8</v>
      </c>
    </row>
    <row r="315" spans="1:10" ht="15">
      <c r="A315" s="1171" t="str">
        <f>Таблица301715[[#This Row],[Группа]]&amp;Таблица301715[[#This Row],[Номенклатура]]&amp;Таблица301715[[#This Row],[ЕИ]]</f>
        <v>Детали трубопровода стальФланец 80-06-01-1-В-Ст20 ГОСТ 33259-2015 (ГОСТ 12820-80)шт</v>
      </c>
      <c r="B315" s="1165" t="s">
        <v>66</v>
      </c>
      <c r="C315" s="1165"/>
      <c r="D315" s="1177" t="s">
        <v>1125</v>
      </c>
      <c r="E315" s="1172"/>
      <c r="F315" s="842" t="s">
        <v>129</v>
      </c>
      <c r="G315" s="902">
        <v>1493.8</v>
      </c>
      <c r="H315" s="897" t="s">
        <v>131</v>
      </c>
      <c r="I315" s="903"/>
      <c r="J315" s="899">
        <v>1493.8</v>
      </c>
    </row>
    <row r="316" spans="1:10" ht="15">
      <c r="A316" s="1171" t="str">
        <f>Таблица301715[[#This Row],[Группа]]&amp;Таблица301715[[#This Row],[Номенклатура]]&amp;Таблица301715[[#This Row],[ЕИ]]</f>
        <v>Детали трубопровода стальФланец 80-10-01-1-В-Ст20 ГОСТ 33259-2015 (ГОСТ 12820-80)шт</v>
      </c>
      <c r="B316" s="1165" t="s">
        <v>66</v>
      </c>
      <c r="C316" s="1165"/>
      <c r="D316" s="1177" t="s">
        <v>1126</v>
      </c>
      <c r="E316" s="1172"/>
      <c r="F316" s="842" t="s">
        <v>129</v>
      </c>
      <c r="G316" s="902">
        <v>1789.2</v>
      </c>
      <c r="H316" s="897" t="s">
        <v>131</v>
      </c>
      <c r="I316" s="903"/>
      <c r="J316" s="899">
        <v>1789.2</v>
      </c>
    </row>
    <row r="317" spans="1:10" ht="15">
      <c r="A317" s="1171" t="str">
        <f>Таблица301715[[#This Row],[Группа]]&amp;Таблица301715[[#This Row],[Номенклатура]]&amp;Таблица301715[[#This Row],[ЕИ]]</f>
        <v>Детали трубопровода стальФланец 80-16-01-1-В-Ст20 ГОСТ 33259-2015 (ГОСТ 12820-80)шт</v>
      </c>
      <c r="B317" s="1165" t="s">
        <v>66</v>
      </c>
      <c r="C317" s="1165"/>
      <c r="D317" s="1177" t="s">
        <v>1127</v>
      </c>
      <c r="E317" s="1172"/>
      <c r="F317" s="842" t="s">
        <v>129</v>
      </c>
      <c r="G317" s="902">
        <v>2049.6</v>
      </c>
      <c r="H317" s="897" t="s">
        <v>131</v>
      </c>
      <c r="I317" s="903"/>
      <c r="J317" s="899">
        <v>2049.6</v>
      </c>
    </row>
    <row r="318" spans="1:10" ht="15">
      <c r="A318" s="1171" t="str">
        <f>Таблица301715[[#This Row],[Группа]]&amp;Таблица301715[[#This Row],[Номенклатура]]&amp;Таблица301715[[#This Row],[ЕИ]]</f>
        <v>Детали трубопровода стальФланец 100-06-01-1-В-Ст20 ГОСТ 33259-2015 (ГОСТ 12820-80)шт</v>
      </c>
      <c r="B318" s="1165" t="s">
        <v>66</v>
      </c>
      <c r="C318" s="1165"/>
      <c r="D318" s="1177" t="s">
        <v>1128</v>
      </c>
      <c r="E318" s="1172"/>
      <c r="F318" s="842" t="s">
        <v>129</v>
      </c>
      <c r="G318" s="902">
        <v>1918</v>
      </c>
      <c r="H318" s="897" t="s">
        <v>131</v>
      </c>
      <c r="I318" s="903"/>
      <c r="J318" s="899">
        <v>1918</v>
      </c>
    </row>
    <row r="319" spans="1:10" ht="15">
      <c r="A319" s="1171" t="str">
        <f>Таблица301715[[#This Row],[Группа]]&amp;Таблица301715[[#This Row],[Номенклатура]]&amp;Таблица301715[[#This Row],[ЕИ]]</f>
        <v>Детали трубопровода стальФланец 100-10-01-1-В-Ст20 ГОСТ 33259-2015 (ГОСТ 12820-80)шт</v>
      </c>
      <c r="B319" s="1165" t="s">
        <v>66</v>
      </c>
      <c r="C319" s="1165"/>
      <c r="D319" s="1177" t="s">
        <v>1129</v>
      </c>
      <c r="E319" s="1172"/>
      <c r="F319" s="842" t="s">
        <v>129</v>
      </c>
      <c r="G319" s="902">
        <v>2203.6</v>
      </c>
      <c r="H319" s="897" t="s">
        <v>131</v>
      </c>
      <c r="I319" s="903"/>
      <c r="J319" s="899">
        <v>2203.6</v>
      </c>
    </row>
    <row r="320" spans="1:10" ht="15">
      <c r="A320" s="1171" t="str">
        <f>Таблица301715[[#This Row],[Группа]]&amp;Таблица301715[[#This Row],[Номенклатура]]&amp;Таблица301715[[#This Row],[ЕИ]]</f>
        <v>Детали трубопровода стальФланец 100-16-01-1-В-Ст20 ГОСТ 33259-2015 (ГОСТ 12820-80)шт</v>
      </c>
      <c r="B320" s="1165" t="s">
        <v>66</v>
      </c>
      <c r="C320" s="1165"/>
      <c r="D320" s="1177" t="s">
        <v>1130</v>
      </c>
      <c r="E320" s="1172"/>
      <c r="F320" s="842" t="s">
        <v>129</v>
      </c>
      <c r="G320" s="902">
        <v>2583</v>
      </c>
      <c r="H320" s="897" t="s">
        <v>131</v>
      </c>
      <c r="I320" s="903"/>
      <c r="J320" s="899">
        <v>2583</v>
      </c>
    </row>
    <row r="321" spans="1:10" ht="15">
      <c r="A321" s="1171" t="str">
        <f>Таблица301715[[#This Row],[Группа]]&amp;Таблица301715[[#This Row],[Номенклатура]]&amp;Таблица301715[[#This Row],[ЕИ]]</f>
        <v>Детали трубопровода стальФланец 125-06-01-1-В-Ст20 ГОСТ 33259-2015 (ГОСТ 12820-80)шт</v>
      </c>
      <c r="B321" s="1165" t="s">
        <v>66</v>
      </c>
      <c r="C321" s="1165"/>
      <c r="D321" s="1177" t="s">
        <v>1131</v>
      </c>
      <c r="E321" s="1172"/>
      <c r="F321" s="842" t="s">
        <v>129</v>
      </c>
      <c r="G321" s="902">
        <v>2178.4</v>
      </c>
      <c r="H321" s="897" t="s">
        <v>131</v>
      </c>
      <c r="I321" s="903"/>
      <c r="J321" s="899">
        <v>2178.4</v>
      </c>
    </row>
    <row r="322" spans="1:10" ht="15">
      <c r="A322" s="1171" t="str">
        <f>Таблица301715[[#This Row],[Группа]]&amp;Таблица301715[[#This Row],[Номенклатура]]&amp;Таблица301715[[#This Row],[ЕИ]]</f>
        <v>Детали трубопровода стальФланец 125-10-01-1-В-Ст20 ГОСТ 33259-2015 (ГОСТ 12820-80)шт</v>
      </c>
      <c r="B322" s="1165" t="s">
        <v>66</v>
      </c>
      <c r="C322" s="1165"/>
      <c r="D322" s="1177" t="s">
        <v>1132</v>
      </c>
      <c r="E322" s="1172"/>
      <c r="F322" s="842" t="s">
        <v>129</v>
      </c>
      <c r="G322" s="902">
        <v>3008.6</v>
      </c>
      <c r="H322" s="897" t="s">
        <v>131</v>
      </c>
      <c r="I322" s="903"/>
      <c r="J322" s="899">
        <v>3008.6</v>
      </c>
    </row>
    <row r="323" spans="1:10" ht="15">
      <c r="A323" s="1171" t="str">
        <f>Таблица301715[[#This Row],[Группа]]&amp;Таблица301715[[#This Row],[Номенклатура]]&amp;Таблица301715[[#This Row],[ЕИ]]</f>
        <v>Детали трубопровода стальФланец 125-16-01-1-В-Ст20 ГОСТ 33259-2015 (ГОСТ 12820-80)шт</v>
      </c>
      <c r="B323" s="1165" t="s">
        <v>66</v>
      </c>
      <c r="C323" s="1165"/>
      <c r="D323" s="1177" t="s">
        <v>1133</v>
      </c>
      <c r="E323" s="1172"/>
      <c r="F323" s="842" t="s">
        <v>129</v>
      </c>
      <c r="G323" s="902">
        <v>3578.4</v>
      </c>
      <c r="H323" s="897" t="s">
        <v>131</v>
      </c>
      <c r="I323" s="903"/>
      <c r="J323" s="899">
        <v>3578.4</v>
      </c>
    </row>
    <row r="324" spans="1:10" ht="15">
      <c r="A324" s="1171" t="str">
        <f>Таблица301715[[#This Row],[Группа]]&amp;Таблица301715[[#This Row],[Номенклатура]]&amp;Таблица301715[[#This Row],[ЕИ]]</f>
        <v>Детали трубопровода стальФланец 150-06-01-1-В-Ст20 ГОСТ 33259-2015 (ГОСТ 12820-80)шт</v>
      </c>
      <c r="B324" s="1165" t="s">
        <v>66</v>
      </c>
      <c r="C324" s="1165"/>
      <c r="D324" s="1177" t="s">
        <v>1134</v>
      </c>
      <c r="E324" s="1172"/>
      <c r="F324" s="842" t="s">
        <v>129</v>
      </c>
      <c r="G324" s="902">
        <v>2464</v>
      </c>
      <c r="H324" s="897" t="s">
        <v>131</v>
      </c>
      <c r="I324" s="903"/>
      <c r="J324" s="899">
        <v>2464</v>
      </c>
    </row>
    <row r="325" spans="1:10" ht="15">
      <c r="A325" s="1171" t="str">
        <f>Таблица301715[[#This Row],[Группа]]&amp;Таблица301715[[#This Row],[Номенклатура]]&amp;Таблица301715[[#This Row],[ЕИ]]</f>
        <v>Детали трубопровода стальФланец 150-10-01-1-В-Ст20 ГОСТ 33259-2015 (ГОСТ 12820-80)шт</v>
      </c>
      <c r="B325" s="1165" t="s">
        <v>66</v>
      </c>
      <c r="C325" s="1165"/>
      <c r="D325" s="1177" t="s">
        <v>1135</v>
      </c>
      <c r="E325" s="1172"/>
      <c r="F325" s="842" t="s">
        <v>129</v>
      </c>
      <c r="G325" s="902">
        <v>3682</v>
      </c>
      <c r="H325" s="897" t="s">
        <v>131</v>
      </c>
      <c r="I325" s="903"/>
      <c r="J325" s="899">
        <v>3682</v>
      </c>
    </row>
    <row r="326" spans="1:10" ht="15">
      <c r="A326" s="1171" t="str">
        <f>Таблица301715[[#This Row],[Группа]]&amp;Таблица301715[[#This Row],[Номенклатура]]&amp;Таблица301715[[#This Row],[ЕИ]]</f>
        <v>Детали трубопровода стальФланец 150-16-01-1-В-Ст20 ГОСТ 33259-2015 (ГОСТ 12820-80)шт</v>
      </c>
      <c r="B326" s="1165" t="s">
        <v>66</v>
      </c>
      <c r="C326" s="1165"/>
      <c r="D326" s="1177" t="s">
        <v>1136</v>
      </c>
      <c r="E326" s="1172"/>
      <c r="F326" s="842" t="s">
        <v>129</v>
      </c>
      <c r="G326" s="902">
        <v>4096.3999999999996</v>
      </c>
      <c r="H326" s="897" t="s">
        <v>131</v>
      </c>
      <c r="I326" s="903"/>
      <c r="J326" s="899">
        <v>4096.3999999999996</v>
      </c>
    </row>
    <row r="327" spans="1:10" ht="15">
      <c r="A327" s="1171" t="str">
        <f>Таблица301715[[#This Row],[Группа]]&amp;Таблица301715[[#This Row],[Номенклатура]]&amp;Таблица301715[[#This Row],[ЕИ]]</f>
        <v>Детали трубопровода стальФланец 200-06-01-1-В-Ст20 ГОСТ 33259-2015 (ГОСТ 12820-80)шт</v>
      </c>
      <c r="B327" s="1165" t="s">
        <v>66</v>
      </c>
      <c r="C327" s="1165"/>
      <c r="D327" s="1177" t="s">
        <v>1137</v>
      </c>
      <c r="E327" s="1172"/>
      <c r="F327" s="842" t="s">
        <v>129</v>
      </c>
      <c r="G327" s="902">
        <v>3215.8</v>
      </c>
      <c r="H327" s="897" t="s">
        <v>131</v>
      </c>
      <c r="I327" s="903"/>
      <c r="J327" s="899">
        <v>3215.8</v>
      </c>
    </row>
    <row r="328" spans="1:10" ht="15">
      <c r="A328" s="1171" t="str">
        <f>Таблица301715[[#This Row],[Группа]]&amp;Таблица301715[[#This Row],[Номенклатура]]&amp;Таблица301715[[#This Row],[ЕИ]]</f>
        <v>Детали трубопровода стальФланец 200-10-01-1-В-Ст20 ГОСТ 33259-2015 (ГОСТ 12820-80)шт</v>
      </c>
      <c r="B328" s="1165" t="s">
        <v>66</v>
      </c>
      <c r="C328" s="1165"/>
      <c r="D328" s="1177" t="s">
        <v>1138</v>
      </c>
      <c r="E328" s="1172"/>
      <c r="F328" s="842" t="s">
        <v>129</v>
      </c>
      <c r="G328" s="902">
        <v>4460.3999999999996</v>
      </c>
      <c r="H328" s="897" t="s">
        <v>131</v>
      </c>
      <c r="I328" s="903"/>
      <c r="J328" s="899">
        <v>4460.3999999999996</v>
      </c>
    </row>
    <row r="329" spans="1:10" ht="15">
      <c r="A329" s="1171" t="str">
        <f>Таблица301715[[#This Row],[Группа]]&amp;Таблица301715[[#This Row],[Номенклатура]]&amp;Таблица301715[[#This Row],[ЕИ]]</f>
        <v>Детали трубопровода стальФланец 200-16-01-1-В-Ст20 ГОСТ 33259-2015 (ГОСТ 12820-80)шт</v>
      </c>
      <c r="B329" s="1165" t="s">
        <v>66</v>
      </c>
      <c r="C329" s="1165"/>
      <c r="D329" s="1177" t="s">
        <v>1139</v>
      </c>
      <c r="E329" s="1172"/>
      <c r="F329" s="842" t="s">
        <v>129</v>
      </c>
      <c r="G329" s="902">
        <v>5446</v>
      </c>
      <c r="H329" s="897" t="s">
        <v>131</v>
      </c>
      <c r="I329" s="903"/>
      <c r="J329" s="899">
        <v>5446</v>
      </c>
    </row>
    <row r="330" spans="1:10" ht="15">
      <c r="A330" s="1171" t="str">
        <f>Таблица301715[[#This Row],[Группа]]&amp;Таблица301715[[#This Row],[Номенклатура]]&amp;Таблица301715[[#This Row],[ЕИ]]</f>
        <v>Детали трубопровода стальФланец 250-06-01-1-В-Ст20 ГОСТ 33259-2015 (ГОСТ 12820-80)шт</v>
      </c>
      <c r="B330" s="1165" t="s">
        <v>66</v>
      </c>
      <c r="C330" s="1165"/>
      <c r="D330" s="1177" t="s">
        <v>1140</v>
      </c>
      <c r="E330" s="1172"/>
      <c r="F330" s="842" t="s">
        <v>129</v>
      </c>
      <c r="G330" s="902">
        <v>4253.2</v>
      </c>
      <c r="H330" s="897" t="s">
        <v>131</v>
      </c>
      <c r="I330" s="903"/>
      <c r="J330" s="899">
        <v>4253.2</v>
      </c>
    </row>
    <row r="331" spans="1:10" ht="15">
      <c r="A331" s="1171" t="str">
        <f>Таблица301715[[#This Row],[Группа]]&amp;Таблица301715[[#This Row],[Номенклатура]]&amp;Таблица301715[[#This Row],[ЕИ]]</f>
        <v>Детали трубопровода стальФланец 250-10-01-1-В-Ст20 ГОСТ 33259-2015 (ГОСТ 12820-80)шт</v>
      </c>
      <c r="B331" s="1165" t="s">
        <v>66</v>
      </c>
      <c r="C331" s="1165"/>
      <c r="D331" s="1177" t="s">
        <v>1141</v>
      </c>
      <c r="E331" s="1172"/>
      <c r="F331" s="842" t="s">
        <v>129</v>
      </c>
      <c r="G331" s="902">
        <v>5964</v>
      </c>
      <c r="H331" s="897" t="s">
        <v>131</v>
      </c>
      <c r="I331" s="903"/>
      <c r="J331" s="899">
        <v>5964</v>
      </c>
    </row>
    <row r="332" spans="1:10" ht="15">
      <c r="A332" s="1171" t="str">
        <f>Таблица301715[[#This Row],[Группа]]&amp;Таблица301715[[#This Row],[Номенклатура]]&amp;Таблица301715[[#This Row],[ЕИ]]</f>
        <v>Детали трубопровода стальФланец 250-16-01-1-В-Ст20 ГОСТ 33259-2015 (ГОСТ 12820-80)шт</v>
      </c>
      <c r="B332" s="1165" t="s">
        <v>66</v>
      </c>
      <c r="C332" s="1165"/>
      <c r="D332" s="1177" t="s">
        <v>1142</v>
      </c>
      <c r="E332" s="1172"/>
      <c r="F332" s="842" t="s">
        <v>129</v>
      </c>
      <c r="G332" s="902">
        <v>8038.8</v>
      </c>
      <c r="H332" s="897" t="s">
        <v>131</v>
      </c>
      <c r="I332" s="903"/>
      <c r="J332" s="899">
        <v>8038.8</v>
      </c>
    </row>
    <row r="333" spans="1:10" ht="15">
      <c r="A333" s="1171" t="str">
        <f>Таблица301715[[#This Row],[Группа]]&amp;Таблица301715[[#This Row],[Номенклатура]]&amp;Таблица301715[[#This Row],[ЕИ]]</f>
        <v>Детали трубопровода стальФланец 300-06-01-1-В-Ст20 ГОСТ 33259-2015 (ГОСТ 12820-80)шт</v>
      </c>
      <c r="B333" s="1165" t="s">
        <v>66</v>
      </c>
      <c r="C333" s="1165"/>
      <c r="D333" s="1177" t="s">
        <v>1143</v>
      </c>
      <c r="E333" s="1172"/>
      <c r="F333" s="842" t="s">
        <v>129</v>
      </c>
      <c r="G333" s="902">
        <v>6410.6</v>
      </c>
      <c r="H333" s="897" t="s">
        <v>131</v>
      </c>
      <c r="I333" s="903"/>
      <c r="J333" s="899">
        <v>6410.6</v>
      </c>
    </row>
    <row r="334" spans="1:10" ht="15">
      <c r="A334" s="1171" t="str">
        <f>Таблица301715[[#This Row],[Группа]]&amp;Таблица301715[[#This Row],[Номенклатура]]&amp;Таблица301715[[#This Row],[ЕИ]]</f>
        <v>Детали трубопровода стальФланец 300-10-01-1-В-Ст20 ГОСТ 33259-2015 (ГОСТ 12820-80)шт</v>
      </c>
      <c r="B334" s="1165" t="s">
        <v>66</v>
      </c>
      <c r="C334" s="1165"/>
      <c r="D334" s="1177" t="s">
        <v>1144</v>
      </c>
      <c r="E334" s="1172"/>
      <c r="F334" s="842" t="s">
        <v>129</v>
      </c>
      <c r="G334" s="902">
        <v>7208.6</v>
      </c>
      <c r="H334" s="897" t="s">
        <v>131</v>
      </c>
      <c r="I334" s="903"/>
      <c r="J334" s="899">
        <v>7208.6</v>
      </c>
    </row>
    <row r="335" spans="1:10" ht="15">
      <c r="A335" s="1171" t="str">
        <f>Таблица301715[[#This Row],[Группа]]&amp;Таблица301715[[#This Row],[Номенклатура]]&amp;Таблица301715[[#This Row],[ЕИ]]</f>
        <v>Детали трубопровода стальФланец 300-16-01-1-В-Ст20 ГОСТ 33259-2015 (ГОСТ 12820-80)шт</v>
      </c>
      <c r="B335" s="1165" t="s">
        <v>66</v>
      </c>
      <c r="C335" s="1165"/>
      <c r="D335" s="1177" t="s">
        <v>1145</v>
      </c>
      <c r="E335" s="1172"/>
      <c r="F335" s="842" t="s">
        <v>129</v>
      </c>
      <c r="G335" s="902">
        <v>9853.2000000000007</v>
      </c>
      <c r="H335" s="897" t="s">
        <v>131</v>
      </c>
      <c r="I335" s="903"/>
      <c r="J335" s="899">
        <v>9853.2000000000007</v>
      </c>
    </row>
    <row r="336" spans="1:10" ht="15">
      <c r="A336" s="1171" t="str">
        <f>Таблица301715[[#This Row],[Группа]]&amp;Таблица301715[[#This Row],[Номенклатура]]&amp;Таблица301715[[#This Row],[ЕИ]]</f>
        <v>Детали трубопровода стальФланец 350-06-01-1-В-Ст20 ГОСТ 33259-2015 (ГОСТ 12820-80)шт</v>
      </c>
      <c r="B336" s="1165" t="s">
        <v>66</v>
      </c>
      <c r="C336" s="1165"/>
      <c r="D336" s="1177" t="s">
        <v>1146</v>
      </c>
      <c r="E336" s="1172"/>
      <c r="F336" s="842" t="s">
        <v>129</v>
      </c>
      <c r="G336" s="902">
        <v>7208.6</v>
      </c>
      <c r="H336" s="897" t="s">
        <v>131</v>
      </c>
      <c r="I336" s="903"/>
      <c r="J336" s="899">
        <v>7208.6</v>
      </c>
    </row>
    <row r="337" spans="1:10" ht="15">
      <c r="A337" s="1171" t="str">
        <f>Таблица301715[[#This Row],[Группа]]&amp;Таблица301715[[#This Row],[Номенклатура]]&amp;Таблица301715[[#This Row],[ЕИ]]</f>
        <v>Детали трубопровода стальФланец 350-10-01-1-В-Ст20 ГОСТ 33259-2015 (ГОСТ 12820-80)шт</v>
      </c>
      <c r="B337" s="1165" t="s">
        <v>66</v>
      </c>
      <c r="C337" s="1165"/>
      <c r="D337" s="1177" t="s">
        <v>1147</v>
      </c>
      <c r="E337" s="1172"/>
      <c r="F337" s="842" t="s">
        <v>129</v>
      </c>
      <c r="G337" s="902">
        <v>9595.6</v>
      </c>
      <c r="H337" s="897" t="s">
        <v>131</v>
      </c>
      <c r="I337" s="903"/>
      <c r="J337" s="899">
        <v>9595.6</v>
      </c>
    </row>
    <row r="338" spans="1:10" ht="15">
      <c r="A338" s="1171" t="str">
        <f>Таблица301715[[#This Row],[Группа]]&amp;Таблица301715[[#This Row],[Номенклатура]]&amp;Таблица301715[[#This Row],[ЕИ]]</f>
        <v>Детали трубопровода стальФланец 350-16-01-1-В-Ст20 ГОСТ 33259-2015 (ГОСТ 12820-80)шт</v>
      </c>
      <c r="B338" s="1165" t="s">
        <v>66</v>
      </c>
      <c r="C338" s="1165"/>
      <c r="D338" s="1177" t="s">
        <v>1148</v>
      </c>
      <c r="E338" s="1172"/>
      <c r="F338" s="842" t="s">
        <v>129</v>
      </c>
      <c r="G338" s="902">
        <v>13431.6</v>
      </c>
      <c r="H338" s="897" t="s">
        <v>131</v>
      </c>
      <c r="I338" s="903"/>
      <c r="J338" s="899">
        <v>13431.6</v>
      </c>
    </row>
    <row r="339" spans="1:10" ht="15">
      <c r="A339" s="1171" t="str">
        <f>Таблица301715[[#This Row],[Группа]]&amp;Таблица301715[[#This Row],[Номенклатура]]&amp;Таблица301715[[#This Row],[ЕИ]]</f>
        <v>Детали трубопровода стальФланец 400-06-01-1-В-Ст20 ГОСТ 33259-2015 (ГОСТ 12820-80)шт</v>
      </c>
      <c r="B339" s="1165" t="s">
        <v>66</v>
      </c>
      <c r="C339" s="1165"/>
      <c r="D339" s="1177" t="s">
        <v>1149</v>
      </c>
      <c r="E339" s="1172"/>
      <c r="F339" s="842" t="s">
        <v>129</v>
      </c>
      <c r="G339" s="902">
        <v>8765.4</v>
      </c>
      <c r="H339" s="897" t="s">
        <v>131</v>
      </c>
      <c r="I339" s="903"/>
      <c r="J339" s="899">
        <v>8765.4</v>
      </c>
    </row>
    <row r="340" spans="1:10" ht="15">
      <c r="A340" s="1171" t="str">
        <f>Таблица301715[[#This Row],[Группа]]&amp;Таблица301715[[#This Row],[Номенклатура]]&amp;Таблица301715[[#This Row],[ЕИ]]</f>
        <v>Детали трубопровода стальФланец 400-10-01-1-В-Ст20 ГОСТ 33259-2015 (ГОСТ 12820-80)шт</v>
      </c>
      <c r="B340" s="1165" t="s">
        <v>66</v>
      </c>
      <c r="C340" s="1165"/>
      <c r="D340" s="1177" t="s">
        <v>1150</v>
      </c>
      <c r="E340" s="1172"/>
      <c r="F340" s="842" t="s">
        <v>129</v>
      </c>
      <c r="G340" s="902">
        <v>12705</v>
      </c>
      <c r="H340" s="897" t="s">
        <v>131</v>
      </c>
      <c r="I340" s="903"/>
      <c r="J340" s="899">
        <v>12705</v>
      </c>
    </row>
    <row r="341" spans="1:10" ht="15">
      <c r="A341" s="1171" t="str">
        <f>Таблица301715[[#This Row],[Группа]]&amp;Таблица301715[[#This Row],[Номенклатура]]&amp;Таблица301715[[#This Row],[ЕИ]]</f>
        <v>Детали трубопровода стальФланец 400-16-01-1-В-Ст20 ГОСТ 33259-2015 (ГОСТ 12820-80)шт</v>
      </c>
      <c r="B341" s="1165" t="s">
        <v>66</v>
      </c>
      <c r="C341" s="1165"/>
      <c r="D341" s="1177" t="s">
        <v>1151</v>
      </c>
      <c r="E341" s="1172"/>
      <c r="F341" s="842" t="s">
        <v>129</v>
      </c>
      <c r="G341" s="902">
        <v>18151</v>
      </c>
      <c r="H341" s="897" t="s">
        <v>131</v>
      </c>
      <c r="I341" s="903"/>
      <c r="J341" s="899">
        <v>18151</v>
      </c>
    </row>
    <row r="342" spans="1:10" ht="15">
      <c r="A342" s="1171" t="str">
        <f>Таблица301715[[#This Row],[Группа]]&amp;Таблица301715[[#This Row],[Номенклатура]]&amp;Таблица301715[[#This Row],[ЕИ]]</f>
        <v>Детали трубопровода стальФланец 450-10-01-1-В-Ст20 ГОСТ 33259-2015 (ГОСТ 12820-80)шт</v>
      </c>
      <c r="B342" s="1165" t="s">
        <v>66</v>
      </c>
      <c r="C342" s="1165"/>
      <c r="D342" s="1177" t="s">
        <v>1152</v>
      </c>
      <c r="E342" s="1172"/>
      <c r="F342" s="842" t="s">
        <v>129</v>
      </c>
      <c r="G342" s="902">
        <v>14189</v>
      </c>
      <c r="H342" s="897" t="s">
        <v>131</v>
      </c>
      <c r="I342" s="903"/>
      <c r="J342" s="899">
        <v>14189</v>
      </c>
    </row>
    <row r="343" spans="1:10" ht="15">
      <c r="A343" s="1171" t="str">
        <f>Таблица301715[[#This Row],[Группа]]&amp;Таблица301715[[#This Row],[Номенклатура]]&amp;Таблица301715[[#This Row],[ЕИ]]</f>
        <v>Детали трубопровода стальФланец 450-16-01-1-В-Ст20 ГОСТ 33259-2015 (ГОСТ 12820-80)шт</v>
      </c>
      <c r="B343" s="1165" t="s">
        <v>66</v>
      </c>
      <c r="C343" s="1165"/>
      <c r="D343" s="1177" t="s">
        <v>1153</v>
      </c>
      <c r="E343" s="1172"/>
      <c r="F343" s="842" t="s">
        <v>129</v>
      </c>
      <c r="G343" s="902">
        <v>24738</v>
      </c>
      <c r="H343" s="897" t="s">
        <v>131</v>
      </c>
      <c r="I343" s="903"/>
      <c r="J343" s="899">
        <v>24738</v>
      </c>
    </row>
    <row r="344" spans="1:10" ht="15">
      <c r="A344" s="1171" t="str">
        <f>Таблица301715[[#This Row],[Группа]]&amp;Таблица301715[[#This Row],[Номенклатура]]&amp;Таблица301715[[#This Row],[ЕИ]]</f>
        <v>Детали трубопровода стальФланец 500-06-01-1-В-Ст20 ГОСТ 33259-2015 (ГОСТ 12820-80)шт</v>
      </c>
      <c r="B344" s="1165" t="s">
        <v>66</v>
      </c>
      <c r="C344" s="1165"/>
      <c r="D344" s="1177" t="s">
        <v>1154</v>
      </c>
      <c r="E344" s="1172"/>
      <c r="F344" s="842" t="s">
        <v>129</v>
      </c>
      <c r="G344" s="902">
        <v>11461.8</v>
      </c>
      <c r="H344" s="897" t="s">
        <v>131</v>
      </c>
      <c r="I344" s="903"/>
      <c r="J344" s="899">
        <v>11461.8</v>
      </c>
    </row>
    <row r="345" spans="1:10" ht="15">
      <c r="A345" s="1171" t="str">
        <f>Таблица301715[[#This Row],[Группа]]&amp;Таблица301715[[#This Row],[Номенклатура]]&amp;Таблица301715[[#This Row],[ЕИ]]</f>
        <v>Детали трубопровода стальФланец 500-10-01-1-В-Ст20 ГОСТ 33259-2015 (ГОСТ 12820-80)шт</v>
      </c>
      <c r="B345" s="1165" t="s">
        <v>66</v>
      </c>
      <c r="C345" s="1165"/>
      <c r="D345" s="1177" t="s">
        <v>1155</v>
      </c>
      <c r="E345" s="1172"/>
      <c r="F345" s="842" t="s">
        <v>129</v>
      </c>
      <c r="G345" s="902">
        <v>16336.6</v>
      </c>
      <c r="H345" s="897" t="s">
        <v>131</v>
      </c>
      <c r="I345" s="903"/>
      <c r="J345" s="899">
        <v>16336.6</v>
      </c>
    </row>
    <row r="346" spans="1:10" ht="15">
      <c r="A346" s="1171" t="str">
        <f>Таблица301715[[#This Row],[Группа]]&amp;Таблица301715[[#This Row],[Номенклатура]]&amp;Таблица301715[[#This Row],[ЕИ]]</f>
        <v>Детали трубопровода стальФланец 500-16-01-1-В-Ст20 ГОСТ 33259-2015 (ГОСТ 12820-80)шт</v>
      </c>
      <c r="B346" s="1165" t="s">
        <v>66</v>
      </c>
      <c r="C346" s="1165"/>
      <c r="D346" s="1177" t="s">
        <v>1156</v>
      </c>
      <c r="E346" s="1172"/>
      <c r="F346" s="842" t="s">
        <v>129</v>
      </c>
      <c r="G346" s="902">
        <v>29561</v>
      </c>
      <c r="H346" s="897" t="s">
        <v>131</v>
      </c>
      <c r="I346" s="903"/>
      <c r="J346" s="899">
        <v>29561</v>
      </c>
    </row>
    <row r="347" spans="1:10" ht="15">
      <c r="A347" s="1171" t="str">
        <f>Таблица301715[[#This Row],[Группа]]&amp;Таблица301715[[#This Row],[Номенклатура]]&amp;Таблица301715[[#This Row],[ЕИ]]</f>
        <v>Детали трубопровода стальФланец 600-06-01-1-В-Ст20 ГОСТ 33259-2015 (ГОСТ 12820-80)шт</v>
      </c>
      <c r="B347" s="1165" t="s">
        <v>66</v>
      </c>
      <c r="C347" s="1165"/>
      <c r="D347" s="1177" t="s">
        <v>1157</v>
      </c>
      <c r="E347" s="1172"/>
      <c r="F347" s="842" t="s">
        <v>129</v>
      </c>
      <c r="G347" s="902">
        <v>16367.4</v>
      </c>
      <c r="H347" s="897" t="s">
        <v>131</v>
      </c>
      <c r="I347" s="903"/>
      <c r="J347" s="899">
        <v>16367.4</v>
      </c>
    </row>
    <row r="348" spans="1:10" ht="15">
      <c r="A348" s="1171" t="str">
        <f>Таблица301715[[#This Row],[Группа]]&amp;Таблица301715[[#This Row],[Номенклатура]]&amp;Таблица301715[[#This Row],[ЕИ]]</f>
        <v>Детали трубопровода стальФланец 600-10-01-1-В-Ст20 ГОСТ 33259-2015 (ГОСТ 12820-80)шт</v>
      </c>
      <c r="B348" s="1165" t="s">
        <v>66</v>
      </c>
      <c r="C348" s="1165"/>
      <c r="D348" s="1177" t="s">
        <v>1158</v>
      </c>
      <c r="E348" s="1172"/>
      <c r="F348" s="842" t="s">
        <v>129</v>
      </c>
      <c r="G348" s="902">
        <v>24634.400000000001</v>
      </c>
      <c r="H348" s="897" t="s">
        <v>131</v>
      </c>
      <c r="I348" s="903"/>
      <c r="J348" s="899">
        <v>24634.400000000001</v>
      </c>
    </row>
    <row r="349" spans="1:10" ht="15">
      <c r="A349" s="1171" t="str">
        <f>Таблица301715[[#This Row],[Группа]]&amp;Таблица301715[[#This Row],[Номенклатура]]&amp;Таблица301715[[#This Row],[ЕИ]]</f>
        <v>Детали трубопровода стальФланец 600-16-01-1-В-Ст20 ГОСТ 33259-2015 (ГОСТ 12820-80)шт</v>
      </c>
      <c r="B349" s="1165" t="s">
        <v>66</v>
      </c>
      <c r="C349" s="1165"/>
      <c r="D349" s="1177" t="s">
        <v>1159</v>
      </c>
      <c r="E349" s="1172"/>
      <c r="F349" s="842" t="s">
        <v>129</v>
      </c>
      <c r="G349" s="902">
        <v>44080.4</v>
      </c>
      <c r="H349" s="897" t="s">
        <v>131</v>
      </c>
      <c r="I349" s="903"/>
      <c r="J349" s="899">
        <v>44080.4</v>
      </c>
    </row>
    <row r="350" spans="1:10" ht="15">
      <c r="A350" s="1171" t="str">
        <f>Таблица301715[[#This Row],[Группа]]&amp;Таблица301715[[#This Row],[Номенклатура]]&amp;Таблица301715[[#This Row],[ЕИ]]</f>
        <v>Детали трубопровода стальФланец 700-06-01-1-В-Ст20 ГОСТ 33259-2015 (ГОСТ 12820-80)шт</v>
      </c>
      <c r="B350" s="1165" t="s">
        <v>66</v>
      </c>
      <c r="C350" s="1165"/>
      <c r="D350" s="1177" t="s">
        <v>1160</v>
      </c>
      <c r="E350" s="1172"/>
      <c r="F350" s="842" t="s">
        <v>129</v>
      </c>
      <c r="G350" s="902">
        <v>23077.599999999999</v>
      </c>
      <c r="H350" s="897" t="s">
        <v>131</v>
      </c>
      <c r="I350" s="903"/>
      <c r="J350" s="899">
        <v>23077.599999999999</v>
      </c>
    </row>
    <row r="351" spans="1:10" ht="15">
      <c r="A351" s="1171" t="str">
        <f>Таблица301715[[#This Row],[Группа]]&amp;Таблица301715[[#This Row],[Номенклатура]]&amp;Таблица301715[[#This Row],[ЕИ]]</f>
        <v>Детали трубопровода стальФланец 700-10-01-1-В-Ст20 ГОСТ 33259-2015 (ГОСТ 12820-80)шт</v>
      </c>
      <c r="B351" s="1165" t="s">
        <v>66</v>
      </c>
      <c r="C351" s="1165"/>
      <c r="D351" s="1177" t="s">
        <v>1161</v>
      </c>
      <c r="E351" s="1172"/>
      <c r="F351" s="842" t="s">
        <v>129</v>
      </c>
      <c r="G351" s="902">
        <v>34228.6</v>
      </c>
      <c r="H351" s="897" t="s">
        <v>131</v>
      </c>
      <c r="I351" s="903"/>
      <c r="J351" s="899">
        <v>34228.6</v>
      </c>
    </row>
    <row r="352" spans="1:10" ht="15">
      <c r="A352" s="1171" t="str">
        <f>Таблица301715[[#This Row],[Группа]]&amp;Таблица301715[[#This Row],[Номенклатура]]&amp;Таблица301715[[#This Row],[ЕИ]]</f>
        <v>Детали трубопровода стальФланец 700-16-01-1-В-Ст20 ГОСТ 33259-2015 (ГОСТ 12820-80)шт</v>
      </c>
      <c r="B352" s="1165" t="s">
        <v>66</v>
      </c>
      <c r="C352" s="1165"/>
      <c r="D352" s="1177" t="s">
        <v>1162</v>
      </c>
      <c r="E352" s="1172"/>
      <c r="F352" s="842" t="s">
        <v>129</v>
      </c>
      <c r="G352" s="902">
        <v>46676</v>
      </c>
      <c r="H352" s="897" t="s">
        <v>131</v>
      </c>
      <c r="I352" s="903"/>
      <c r="J352" s="899">
        <v>46676</v>
      </c>
    </row>
    <row r="353" spans="1:11" ht="15">
      <c r="A353" s="1171" t="str">
        <f>Таблица301715[[#This Row],[Группа]]&amp;Таблица301715[[#This Row],[Номенклатура]]&amp;Таблица301715[[#This Row],[ЕИ]]</f>
        <v>Детали трубопровода стальФланец 800-06-01-1-В-Ст20 ГОСТ 33259-2015 (ГОСТ 12820-80)шт</v>
      </c>
      <c r="B353" s="1165" t="s">
        <v>66</v>
      </c>
      <c r="C353" s="1165"/>
      <c r="D353" s="1177" t="s">
        <v>1163</v>
      </c>
      <c r="E353" s="1172"/>
      <c r="F353" s="842" t="s">
        <v>129</v>
      </c>
      <c r="G353" s="902">
        <v>27487.599999999999</v>
      </c>
      <c r="H353" s="897" t="s">
        <v>131</v>
      </c>
      <c r="I353" s="903"/>
      <c r="J353" s="899">
        <v>27487.599999999999</v>
      </c>
    </row>
    <row r="354" spans="1:11" ht="15">
      <c r="A354" s="1171" t="str">
        <f>Таблица301715[[#This Row],[Группа]]&amp;Таблица301715[[#This Row],[Номенклатура]]&amp;Таблица301715[[#This Row],[ЕИ]]</f>
        <v>Детали трубопровода стальФланец 800-10-01-1-В-Ст20 ГОСТ 33259-2015 (ГОСТ 12820-80)шт</v>
      </c>
      <c r="B354" s="1165" t="s">
        <v>66</v>
      </c>
      <c r="C354" s="1165"/>
      <c r="D354" s="1177" t="s">
        <v>1164</v>
      </c>
      <c r="E354" s="1172"/>
      <c r="F354" s="842" t="s">
        <v>129</v>
      </c>
      <c r="G354" s="902">
        <v>44081.8</v>
      </c>
      <c r="H354" s="897" t="s">
        <v>131</v>
      </c>
      <c r="I354" s="903"/>
      <c r="J354" s="899">
        <v>44081.8</v>
      </c>
    </row>
    <row r="355" spans="1:11" ht="15">
      <c r="A355" s="1171" t="str">
        <f>Таблица301715[[#This Row],[Группа]]&amp;Таблица301715[[#This Row],[Номенклатура]]&amp;Таблица301715[[#This Row],[ЕИ]]</f>
        <v>Детали трубопровода стальФланец 800-16-01-1-В-Ст20 ГОСТ 33259-2015 (ГОСТ 12820-80)шт</v>
      </c>
      <c r="B355" s="1165" t="s">
        <v>66</v>
      </c>
      <c r="C355" s="1165"/>
      <c r="D355" s="1177" t="s">
        <v>1165</v>
      </c>
      <c r="E355" s="1172"/>
      <c r="F355" s="842" t="s">
        <v>129</v>
      </c>
      <c r="G355" s="902">
        <v>60678.8</v>
      </c>
      <c r="H355" s="897" t="s">
        <v>131</v>
      </c>
      <c r="I355" s="903"/>
      <c r="J355" s="899">
        <v>60678.8</v>
      </c>
    </row>
    <row r="356" spans="1:11" ht="15">
      <c r="A356" s="1171" t="str">
        <f>Таблица301715[[#This Row],[Группа]]&amp;Таблица301715[[#This Row],[Номенклатура]]&amp;Таблица301715[[#This Row],[ЕИ]]</f>
        <v>Детали трубопровода стальФланец 900-06-01-1-В-Ст20 ГОСТ 33259-2015 (ГОСТ 12820-80)шт</v>
      </c>
      <c r="B356" s="1165" t="s">
        <v>66</v>
      </c>
      <c r="C356" s="1165"/>
      <c r="D356" s="1177" t="s">
        <v>1166</v>
      </c>
      <c r="E356" s="1178"/>
      <c r="F356" s="905" t="s">
        <v>129</v>
      </c>
      <c r="G356" s="906">
        <v>33710.6</v>
      </c>
      <c r="H356" s="897" t="s">
        <v>131</v>
      </c>
      <c r="I356" s="903"/>
      <c r="J356" s="899">
        <v>33710.6</v>
      </c>
    </row>
    <row r="357" spans="1:11" ht="15">
      <c r="A357" s="1171" t="str">
        <f>Таблица301715[[#This Row],[Группа]]&amp;Таблица301715[[#This Row],[Номенклатура]]&amp;Таблица301715[[#This Row],[ЕИ]]</f>
        <v>Детали трубопровода стальФланец 900-10-01-1-В-Ст20 ГОСТ 33259-2015 (ГОСТ 12820-80)шт</v>
      </c>
      <c r="B357" s="1165" t="s">
        <v>66</v>
      </c>
      <c r="C357" s="1165"/>
      <c r="D357" s="1177" t="s">
        <v>1167</v>
      </c>
      <c r="E357" s="1178"/>
      <c r="F357" s="907" t="s">
        <v>129</v>
      </c>
      <c r="G357" s="908">
        <v>54454.400000000001</v>
      </c>
      <c r="H357" s="897" t="s">
        <v>131</v>
      </c>
      <c r="I357" s="903"/>
      <c r="J357" s="899">
        <v>54454.400000000001</v>
      </c>
    </row>
    <row r="358" spans="1:11" ht="15">
      <c r="A358" s="1171" t="str">
        <f>Таблица301715[[#This Row],[Группа]]&amp;Таблица301715[[#This Row],[Номенклатура]]&amp;Таблица301715[[#This Row],[ЕИ]]</f>
        <v>Детали трубопровода стальФланец 900-16-01-1-В-Ст20 ГОСТ 33259-2015 (ГОСТ 12820-80)шт</v>
      </c>
      <c r="B358" s="1165" t="s">
        <v>66</v>
      </c>
      <c r="C358" s="1165"/>
      <c r="D358" s="1177" t="s">
        <v>1168</v>
      </c>
      <c r="E358" s="1177"/>
      <c r="F358" s="909" t="s">
        <v>129</v>
      </c>
      <c r="G358" s="910">
        <v>87808</v>
      </c>
      <c r="H358" s="897" t="s">
        <v>131</v>
      </c>
      <c r="I358" s="903"/>
      <c r="J358" s="899">
        <v>87808</v>
      </c>
    </row>
    <row r="359" spans="1:11" ht="15">
      <c r="A359" s="1171" t="str">
        <f>Таблица301715[[#This Row],[Группа]]&amp;Таблица301715[[#This Row],[Номенклатура]]&amp;Таблица301715[[#This Row],[ЕИ]]</f>
        <v>Детали трубопровода стальФланец 1000-06-01-1-В-Ст20 ГОСТ 33259-2015 (ГОСТ 12820-80)шт</v>
      </c>
      <c r="B359" s="1165" t="s">
        <v>66</v>
      </c>
      <c r="C359" s="1165"/>
      <c r="D359" s="1177" t="s">
        <v>1169</v>
      </c>
      <c r="E359" s="1177"/>
      <c r="F359" s="909" t="s">
        <v>129</v>
      </c>
      <c r="G359" s="910">
        <v>39415.599999999999</v>
      </c>
      <c r="H359" s="897" t="s">
        <v>131</v>
      </c>
      <c r="I359" s="903"/>
      <c r="J359" s="899">
        <v>39415.599999999999</v>
      </c>
    </row>
    <row r="360" spans="1:11" ht="15">
      <c r="A360" s="1171" t="str">
        <f>Таблица301715[[#This Row],[Группа]]&amp;Таблица301715[[#This Row],[Номенклатура]]&amp;Таблица301715[[#This Row],[ЕИ]]</f>
        <v>Детали трубопровода стальФланец 1000-10-01-1-В-Ст20 ГОСТ 33259-2015 (ГОСТ 12820-80)шт</v>
      </c>
      <c r="B360" s="1165" t="s">
        <v>66</v>
      </c>
      <c r="C360" s="1165"/>
      <c r="D360" s="1177" t="s">
        <v>1170</v>
      </c>
      <c r="E360" s="1177"/>
      <c r="F360" s="909" t="s">
        <v>129</v>
      </c>
      <c r="G360" s="910">
        <v>70014</v>
      </c>
      <c r="H360" s="897" t="s">
        <v>131</v>
      </c>
      <c r="I360" s="903"/>
      <c r="J360" s="899">
        <v>70014</v>
      </c>
    </row>
    <row r="361" spans="1:11" ht="15">
      <c r="A361" s="1171" t="str">
        <f>Таблица301715[[#This Row],[Группа]]&amp;Таблица301715[[#This Row],[Номенклатура]]&amp;Таблица301715[[#This Row],[ЕИ]]</f>
        <v>Детали трубопровода стальФланец 1000-16-01-1-В-Ст20 ГОСТ 33259-2015 (ГОСТ 12820-80)шт</v>
      </c>
      <c r="B361" s="1165" t="s">
        <v>66</v>
      </c>
      <c r="C361" s="1165"/>
      <c r="D361" s="1177" t="s">
        <v>1171</v>
      </c>
      <c r="E361" s="1177"/>
      <c r="F361" s="909" t="s">
        <v>129</v>
      </c>
      <c r="G361" s="910">
        <v>106835.4</v>
      </c>
      <c r="H361" s="897" t="s">
        <v>131</v>
      </c>
      <c r="I361" s="903"/>
      <c r="J361" s="899">
        <v>106835.4</v>
      </c>
    </row>
    <row r="362" spans="1:11" ht="15">
      <c r="A362" s="1171" t="str">
        <f>Таблица301715[[#This Row],[Группа]]&amp;Таблица301715[[#This Row],[Номенклатура]]&amp;Таблица301715[[#This Row],[ЕИ]]</f>
        <v>Детали трубопровода стальФланец 1200-06-01-1-В-Ст20 ГОСТ 33259-2015 (ГОСТ 12820-80)шт</v>
      </c>
      <c r="B362" s="1165" t="s">
        <v>66</v>
      </c>
      <c r="C362" s="1165"/>
      <c r="D362" s="1177" t="s">
        <v>1172</v>
      </c>
      <c r="E362" s="1177"/>
      <c r="F362" s="909" t="s">
        <v>129</v>
      </c>
      <c r="G362" s="910">
        <v>62753.599999999999</v>
      </c>
      <c r="H362" s="897" t="s">
        <v>131</v>
      </c>
      <c r="I362" s="903"/>
      <c r="J362" s="899">
        <v>62753.599999999999</v>
      </c>
    </row>
    <row r="363" spans="1:11" ht="15">
      <c r="A363" s="1171" t="str">
        <f>Таблица301715[[#This Row],[Группа]]&amp;Таблица301715[[#This Row],[Номенклатура]]&amp;Таблица301715[[#This Row],[ЕИ]]</f>
        <v>Детали трубопровода стальФланец 1200-10-01-1-В-Ст20 ГОСТ 33259-2015 (ГОСТ 12820-80)шт</v>
      </c>
      <c r="B363" s="1165" t="s">
        <v>66</v>
      </c>
      <c r="C363" s="1165"/>
      <c r="D363" s="1177" t="s">
        <v>1173</v>
      </c>
      <c r="E363" s="1177"/>
      <c r="F363" s="909" t="s">
        <v>129</v>
      </c>
      <c r="G363" s="910">
        <v>119282.8</v>
      </c>
      <c r="H363" s="897" t="s">
        <v>131</v>
      </c>
      <c r="I363" s="903"/>
      <c r="J363" s="899">
        <v>119282.8</v>
      </c>
    </row>
    <row r="364" spans="1:11" ht="15">
      <c r="A364" s="1171" t="str">
        <f>Таблица301715[[#This Row],[Группа]]&amp;Таблица301715[[#This Row],[Номенклатура]]&amp;Таблица301715[[#This Row],[ЕИ]]</f>
        <v>Детали трубопровода стальФланец 1200-16-01-1-В-Ст20 ГОСТ 33259-2015 (ГОСТ 12820-80)шт</v>
      </c>
      <c r="B364" s="1165" t="s">
        <v>66</v>
      </c>
      <c r="C364" s="1165"/>
      <c r="D364" s="1178" t="s">
        <v>1174</v>
      </c>
      <c r="E364" s="1178"/>
      <c r="F364" s="907" t="s">
        <v>129</v>
      </c>
      <c r="G364" s="908">
        <v>177368.8</v>
      </c>
      <c r="H364" s="897" t="s">
        <v>131</v>
      </c>
      <c r="I364" s="903"/>
      <c r="J364" s="899">
        <v>177368.8</v>
      </c>
      <c r="K364" s="1165"/>
    </row>
    <row r="365" spans="1:11" ht="15">
      <c r="A365" s="1171" t="str">
        <f>Таблица301715[[#This Row],[Группа]]&amp;Таблица301715[[#This Row],[Номенклатура]]&amp;Таблица301715[[#This Row],[ЕИ]]</f>
        <v>Детали трубопровода стальФланец 1400-06-01-1-В-Ст20 ГОСТ 33259-2015 (ГОСТ 12820-80)шт</v>
      </c>
      <c r="B365" s="1165" t="s">
        <v>66</v>
      </c>
      <c r="C365" s="1165"/>
      <c r="D365" s="1178" t="s">
        <v>1175</v>
      </c>
      <c r="E365" s="1178"/>
      <c r="F365" s="907" t="s">
        <v>129</v>
      </c>
      <c r="G365" s="908">
        <v>101130.4</v>
      </c>
      <c r="H365" s="897" t="s">
        <v>131</v>
      </c>
      <c r="I365" s="903"/>
      <c r="J365" s="899">
        <v>101130.4</v>
      </c>
      <c r="K365" s="1165"/>
    </row>
    <row r="366" spans="1:11" ht="15">
      <c r="A366" s="1171" t="str">
        <f>Таблица301715[[#This Row],[Группа]]&amp;Таблица301715[[#This Row],[Номенклатура]]&amp;Таблица301715[[#This Row],[ЕИ]]</f>
        <v>Детали трубопровода стальФланец 1400-10-01-1-В-Ст20 ГОСТ 33259-2015 (ГОСТ 12820-80)шт</v>
      </c>
      <c r="B366" s="1165" t="s">
        <v>66</v>
      </c>
      <c r="C366" s="1165"/>
      <c r="D366" s="1177" t="s">
        <v>1176</v>
      </c>
      <c r="E366" s="1177"/>
      <c r="F366" s="909" t="s">
        <v>129</v>
      </c>
      <c r="G366" s="910">
        <v>176330</v>
      </c>
      <c r="H366" s="897" t="s">
        <v>131</v>
      </c>
      <c r="I366" s="903"/>
      <c r="J366" s="899">
        <v>176330</v>
      </c>
      <c r="K366" s="1165"/>
    </row>
    <row r="367" spans="1:11" ht="15">
      <c r="A367" s="1171" t="str">
        <f>Таблица301715[[#This Row],[Группа]]&amp;Таблица301715[[#This Row],[Номенклатура]]&amp;Таблица301715[[#This Row],[ЕИ]]</f>
        <v>Детали трубопровода стальФланец 1600-06-01-1-В-Ст20 ГОСТ 33259-2015 (ГОСТ 12820-80)шт</v>
      </c>
      <c r="B367" s="1165" t="s">
        <v>66</v>
      </c>
      <c r="C367" s="1165"/>
      <c r="D367" s="1178" t="s">
        <v>1177</v>
      </c>
      <c r="E367" s="1178"/>
      <c r="F367" s="907" t="s">
        <v>129</v>
      </c>
      <c r="G367" s="908">
        <v>124468.4</v>
      </c>
      <c r="H367" s="897" t="s">
        <v>131</v>
      </c>
      <c r="I367" s="903"/>
      <c r="J367" s="899">
        <v>124468.4</v>
      </c>
      <c r="K367" s="1165"/>
    </row>
    <row r="368" spans="1:11" ht="15">
      <c r="A368" s="1171" t="str">
        <f>Таблица301715[[#This Row],[Группа]]&amp;Таблица301715[[#This Row],[Номенклатура]]&amp;Таблица301715[[#This Row],[ЕИ]]</f>
        <v>Детали трубопровода стальФланец 1600-10-01-1-В-Ст20 ГОСТ 33259-2015 (ГОСТ 12820-80)шт</v>
      </c>
      <c r="B368" s="1165" t="s">
        <v>66</v>
      </c>
      <c r="C368" s="1165"/>
      <c r="D368" s="1178" t="s">
        <v>1178</v>
      </c>
      <c r="E368" s="1178"/>
      <c r="F368" s="907" t="s">
        <v>129</v>
      </c>
      <c r="G368" s="908">
        <v>343001.4</v>
      </c>
      <c r="H368" s="897" t="s">
        <v>131</v>
      </c>
      <c r="I368" s="903"/>
      <c r="J368" s="899">
        <v>343001.4</v>
      </c>
      <c r="K368" s="1165"/>
    </row>
    <row r="369" spans="1:11" ht="15">
      <c r="A369" s="1171" t="str">
        <f>Таблица301715[[#This Row],[Группа]]&amp;Таблица301715[[#This Row],[Номенклатура]]&amp;Таблица301715[[#This Row],[ЕИ]]</f>
        <v>Детали трубопровода стальОтвод 45-25х2,0-12Х18Н10Т ГОСТ 17375-2001шт</v>
      </c>
      <c r="B369" s="1165" t="s">
        <v>66</v>
      </c>
      <c r="C369" s="1165"/>
      <c r="D369" s="1178" t="s">
        <v>1179</v>
      </c>
      <c r="E369" s="1178"/>
      <c r="F369" s="907" t="s">
        <v>129</v>
      </c>
      <c r="G369" s="908">
        <v>1092</v>
      </c>
      <c r="H369" s="897" t="s">
        <v>131</v>
      </c>
      <c r="I369" s="903"/>
      <c r="J369" s="899">
        <v>1092</v>
      </c>
    </row>
    <row r="370" spans="1:11" ht="15">
      <c r="A370" s="1171" t="str">
        <f>Таблица301715[[#This Row],[Группа]]&amp;Таблица301715[[#This Row],[Номенклатура]]&amp;Таблица301715[[#This Row],[ЕИ]]</f>
        <v>Детали трубопровода стальОтвод 45-32х3,0-12х18н10т ГОСТ 17375-2001шт</v>
      </c>
      <c r="B370" s="1165" t="s">
        <v>66</v>
      </c>
      <c r="C370" s="1165"/>
      <c r="D370" s="1178" t="s">
        <v>1180</v>
      </c>
      <c r="E370" s="1178"/>
      <c r="F370" s="907" t="s">
        <v>129</v>
      </c>
      <c r="G370" s="908">
        <v>1226.4000000000001</v>
      </c>
      <c r="H370" s="897" t="s">
        <v>131</v>
      </c>
      <c r="I370" s="903"/>
      <c r="J370" s="899">
        <v>1226.4000000000001</v>
      </c>
    </row>
    <row r="371" spans="1:11" ht="15">
      <c r="A371" s="1171" t="str">
        <f>Таблица301715[[#This Row],[Группа]]&amp;Таблица301715[[#This Row],[Номенклатура]]&amp;Таблица301715[[#This Row],[ЕИ]]</f>
        <v>Детали трубопровода стальОтвод 45-45х2,5-12Х18Н10Т ГОСТ 17375-2001шт</v>
      </c>
      <c r="B371" s="1165" t="s">
        <v>66</v>
      </c>
      <c r="C371" s="1165"/>
      <c r="D371" s="1178" t="s">
        <v>1181</v>
      </c>
      <c r="E371" s="1178"/>
      <c r="F371" s="907" t="s">
        <v>129</v>
      </c>
      <c r="G371" s="908">
        <v>1014.72</v>
      </c>
      <c r="H371" s="897" t="s">
        <v>131</v>
      </c>
      <c r="I371" s="903"/>
      <c r="J371" s="899">
        <v>1014.72</v>
      </c>
      <c r="K371" s="1165"/>
    </row>
    <row r="372" spans="1:11" ht="15">
      <c r="A372" s="1171" t="str">
        <f>Таблица301715[[#This Row],[Группа]]&amp;Таблица301715[[#This Row],[Номенклатура]]&amp;Таблица301715[[#This Row],[ЕИ]]</f>
        <v>Детали трубопровода стальОтвод 45-57х3,0-12Х18Н10Т ГОСТ 17375-2001шт</v>
      </c>
      <c r="B372" s="1165" t="s">
        <v>66</v>
      </c>
      <c r="C372" s="1165"/>
      <c r="D372" s="1178" t="s">
        <v>1182</v>
      </c>
      <c r="E372" s="1178"/>
      <c r="F372" s="907" t="s">
        <v>129</v>
      </c>
      <c r="G372" s="908">
        <v>1285.2</v>
      </c>
      <c r="H372" s="897" t="s">
        <v>131</v>
      </c>
      <c r="I372" s="903"/>
      <c r="J372" s="899">
        <v>1285.2</v>
      </c>
      <c r="K372" s="1176"/>
    </row>
    <row r="373" spans="1:11" ht="15">
      <c r="A373" s="1171" t="str">
        <f>Таблица301715[[#This Row],[Группа]]&amp;Таблица301715[[#This Row],[Номенклатура]]&amp;Таблица301715[[#This Row],[ЕИ]]</f>
        <v>Детали трубопровода стальОтвод 45-89х4,0-12Х18Н10Т ГОСТ 17375-2001шт</v>
      </c>
      <c r="B373" s="1165" t="s">
        <v>66</v>
      </c>
      <c r="C373" s="1165"/>
      <c r="D373" s="1178" t="s">
        <v>1183</v>
      </c>
      <c r="E373" s="1178"/>
      <c r="F373" s="907" t="s">
        <v>129</v>
      </c>
      <c r="G373" s="908">
        <v>4000.08</v>
      </c>
      <c r="H373" s="897" t="s">
        <v>131</v>
      </c>
      <c r="I373" s="903"/>
      <c r="J373" s="899">
        <v>4000.08</v>
      </c>
    </row>
    <row r="374" spans="1:11" ht="15">
      <c r="A374" s="1171" t="str">
        <f>Таблица301715[[#This Row],[Группа]]&amp;Таблица301715[[#This Row],[Номенклатура]]&amp;Таблица301715[[#This Row],[ЕИ]]</f>
        <v>Детали трубопровода стальОтвод 45-108х4,0-12х18н10т ГОСТ 17375шт</v>
      </c>
      <c r="B374" s="1165" t="s">
        <v>66</v>
      </c>
      <c r="C374" s="1165"/>
      <c r="D374" s="1178" t="s">
        <v>1184</v>
      </c>
      <c r="E374" s="1178"/>
      <c r="F374" s="907" t="s">
        <v>129</v>
      </c>
      <c r="G374" s="908">
        <v>7709.52</v>
      </c>
      <c r="H374" s="897" t="s">
        <v>131</v>
      </c>
      <c r="I374" s="903"/>
      <c r="J374" s="899">
        <v>7709.52</v>
      </c>
    </row>
    <row r="375" spans="1:11" ht="15">
      <c r="A375" s="1171" t="str">
        <f>Таблица301715[[#This Row],[Группа]]&amp;Таблица301715[[#This Row],[Номенклатура]]&amp;Таблица301715[[#This Row],[ЕИ]]</f>
        <v>Детали трубопровода стальОтвод 45-159х4,5-12Х18Н10Т ГОСТ 17375-2001шт</v>
      </c>
      <c r="B375" s="1165" t="s">
        <v>66</v>
      </c>
      <c r="C375" s="1165"/>
      <c r="D375" s="1178" t="s">
        <v>1185</v>
      </c>
      <c r="E375" s="1178"/>
      <c r="F375" s="907" t="s">
        <v>129</v>
      </c>
      <c r="G375" s="908">
        <v>16398.48</v>
      </c>
      <c r="H375" s="897" t="s">
        <v>131</v>
      </c>
      <c r="I375" s="903"/>
      <c r="J375" s="899">
        <v>16398.48</v>
      </c>
      <c r="K375" s="1165"/>
    </row>
    <row r="376" spans="1:11" ht="15">
      <c r="A376" s="1171" t="str">
        <f>Таблица301715[[#This Row],[Группа]]&amp;Таблица301715[[#This Row],[Номенклатура]]&amp;Таблица301715[[#This Row],[ЕИ]]</f>
        <v>Детали трубопровода стальОтвод 90-32х2-12Х18Н10Т ГОСТ 17375-2001шт</v>
      </c>
      <c r="B376" s="1165" t="s">
        <v>66</v>
      </c>
      <c r="C376" s="1165"/>
      <c r="D376" s="1178" t="s">
        <v>1920</v>
      </c>
      <c r="E376" s="1178"/>
      <c r="F376" s="907" t="s">
        <v>129</v>
      </c>
      <c r="G376" s="908"/>
      <c r="H376" s="897" t="s">
        <v>131</v>
      </c>
      <c r="I376" s="903"/>
      <c r="J376" s="899"/>
    </row>
    <row r="377" spans="1:11" ht="15">
      <c r="A377" s="1171" t="str">
        <f>Таблица301715[[#This Row],[Группа]]&amp;Таблица301715[[#This Row],[Номенклатура]]&amp;Таблица301715[[#This Row],[ЕИ]]</f>
        <v>Детали трубопровода стальОтвод 90-33.7х2.3-12Х18Н10Т ГОСТ 17375-2001шт</v>
      </c>
      <c r="B377" s="1165" t="s">
        <v>66</v>
      </c>
      <c r="C377" s="1165"/>
      <c r="D377" s="1178" t="s">
        <v>1910</v>
      </c>
      <c r="E377" s="1178"/>
      <c r="F377" s="907" t="s">
        <v>129</v>
      </c>
      <c r="G377" s="908"/>
      <c r="H377" s="897" t="s">
        <v>131</v>
      </c>
      <c r="I377" s="903"/>
      <c r="J377" s="899"/>
    </row>
    <row r="378" spans="1:11" ht="15">
      <c r="A378" s="1171" t="str">
        <f>Таблица301715[[#This Row],[Группа]]&amp;Таблица301715[[#This Row],[Номенклатура]]&amp;Таблица301715[[#This Row],[ЕИ]]</f>
        <v>Детали трубопровода стальОтвод 90-57х3-12Х18Н10Т ГОСТ 17375-2001шт</v>
      </c>
      <c r="B378" s="1165" t="s">
        <v>66</v>
      </c>
      <c r="C378" s="1165"/>
      <c r="D378" s="1178" t="s">
        <v>1186</v>
      </c>
      <c r="E378" s="1178"/>
      <c r="F378" s="907" t="s">
        <v>129</v>
      </c>
      <c r="G378" s="908">
        <v>1285.2</v>
      </c>
      <c r="H378" s="897" t="s">
        <v>131</v>
      </c>
      <c r="I378" s="903"/>
      <c r="J378" s="899">
        <v>1285.2</v>
      </c>
    </row>
    <row r="379" spans="1:11" ht="15">
      <c r="A379" s="1171" t="str">
        <f>Таблица301715[[#This Row],[Группа]]&amp;Таблица301715[[#This Row],[Номенклатура]]&amp;Таблица301715[[#This Row],[ЕИ]]</f>
        <v>Детали трубопровода стальОтвод 90-57х5-12Х18Н10Т ГОСТ 17375-2001шт</v>
      </c>
      <c r="B379" s="1165" t="s">
        <v>66</v>
      </c>
      <c r="C379" s="1165"/>
      <c r="D379" s="1178" t="s">
        <v>1187</v>
      </c>
      <c r="E379" s="1178"/>
      <c r="F379" s="907" t="s">
        <v>129</v>
      </c>
      <c r="G379" s="908">
        <v>1963.92</v>
      </c>
      <c r="H379" s="897" t="s">
        <v>131</v>
      </c>
      <c r="I379" s="903"/>
      <c r="J379" s="899">
        <v>1963.92</v>
      </c>
    </row>
    <row r="380" spans="1:11" ht="15">
      <c r="A380" s="1171" t="str">
        <f>Таблица301715[[#This Row],[Группа]]&amp;Таблица301715[[#This Row],[Номенклатура]]&amp;Таблица301715[[#This Row],[ЕИ]]</f>
        <v>Детали трубопровода стальОтвод 90-60.3х2.9-12Х18Н10Т ГОСТ 17375-2001шт</v>
      </c>
      <c r="B380" s="1165" t="s">
        <v>66</v>
      </c>
      <c r="C380" s="1165"/>
      <c r="D380" s="1178" t="s">
        <v>1917</v>
      </c>
      <c r="E380" s="1178"/>
      <c r="F380" s="907" t="s">
        <v>129</v>
      </c>
      <c r="G380" s="908"/>
      <c r="H380" s="897" t="s">
        <v>131</v>
      </c>
      <c r="I380" s="903"/>
      <c r="J380" s="899"/>
    </row>
    <row r="381" spans="1:11" ht="15">
      <c r="A381" s="1171" t="str">
        <f>Таблица301715[[#This Row],[Группа]]&amp;Таблица301715[[#This Row],[Номенклатура]]&amp;Таблица301715[[#This Row],[ЕИ]]</f>
        <v>Детали трубопровода стальОтвод 90-76х3-12Х18Н10Т ГОСТ 17375-2001шт</v>
      </c>
      <c r="B381" s="1165" t="s">
        <v>66</v>
      </c>
      <c r="C381" s="1165"/>
      <c r="D381" s="1178" t="s">
        <v>1188</v>
      </c>
      <c r="E381" s="1178"/>
      <c r="F381" s="907" t="s">
        <v>129</v>
      </c>
      <c r="G381" s="908">
        <v>2651.04</v>
      </c>
      <c r="H381" s="897" t="s">
        <v>131</v>
      </c>
      <c r="I381" s="903"/>
      <c r="J381" s="899">
        <v>2651.04</v>
      </c>
    </row>
    <row r="382" spans="1:11" ht="15">
      <c r="A382" s="1171" t="str">
        <f>Таблица301715[[#This Row],[Группа]]&amp;Таблица301715[[#This Row],[Номенклатура]]&amp;Таблица301715[[#This Row],[ЕИ]]</f>
        <v>Детали трубопровода стальОтвод 90-76х5-12Х18Н10Т ГОСТ 17375-2001шт</v>
      </c>
      <c r="B382" s="1165" t="s">
        <v>66</v>
      </c>
      <c r="C382" s="1165"/>
      <c r="D382" s="1178" t="s">
        <v>1189</v>
      </c>
      <c r="E382" s="1178"/>
      <c r="F382" s="907" t="s">
        <v>129</v>
      </c>
      <c r="G382" s="908">
        <v>3709.44</v>
      </c>
      <c r="H382" s="897" t="s">
        <v>131</v>
      </c>
      <c r="I382" s="903"/>
      <c r="J382" s="899">
        <v>3709.44</v>
      </c>
    </row>
    <row r="383" spans="1:11" ht="15">
      <c r="A383" s="1171" t="str">
        <f>Таблица301715[[#This Row],[Группа]]&amp;Таблица301715[[#This Row],[Номенклатура]]&amp;Таблица301715[[#This Row],[ЕИ]]</f>
        <v>Детали трубопровода стальОтвод 90-89х3,5-12Х18Н10Т ГОСТ 17375-2001шт</v>
      </c>
      <c r="B383" s="1165" t="s">
        <v>66</v>
      </c>
      <c r="C383" s="1165"/>
      <c r="D383" s="1178" t="s">
        <v>1190</v>
      </c>
      <c r="E383" s="1178"/>
      <c r="F383" s="907" t="s">
        <v>129</v>
      </c>
      <c r="G383" s="908">
        <v>4000.08</v>
      </c>
      <c r="H383" s="897" t="s">
        <v>131</v>
      </c>
      <c r="I383" s="903"/>
      <c r="J383" s="899">
        <v>4000.08</v>
      </c>
    </row>
    <row r="384" spans="1:11" ht="15">
      <c r="A384" s="1171" t="str">
        <f>Таблица301715[[#This Row],[Группа]]&amp;Таблица301715[[#This Row],[Номенклатура]]&amp;Таблица301715[[#This Row],[ЕИ]]</f>
        <v>Детали трубопровода стальОтвод 90-89х5-12Х18Н10Т ГОСТ 17375-2001шт</v>
      </c>
      <c r="B384" s="1165" t="s">
        <v>66</v>
      </c>
      <c r="C384" s="1165"/>
      <c r="D384" s="1178" t="s">
        <v>1191</v>
      </c>
      <c r="E384" s="1178"/>
      <c r="F384" s="907" t="s">
        <v>129</v>
      </c>
      <c r="G384" s="908">
        <v>5745.6</v>
      </c>
      <c r="H384" s="897" t="s">
        <v>131</v>
      </c>
      <c r="I384" s="903"/>
      <c r="J384" s="899">
        <v>5745.6</v>
      </c>
    </row>
    <row r="385" spans="1:10" ht="15">
      <c r="A385" s="1171" t="str">
        <f>Таблица301715[[#This Row],[Группа]]&amp;Таблица301715[[#This Row],[Номенклатура]]&amp;Таблица301715[[#This Row],[ЕИ]]</f>
        <v>Детали трубопровода стальОтвод 90-108х3-12Х18Н10Т ГОСТ 17375-2001шт</v>
      </c>
      <c r="B385" s="1165" t="s">
        <v>66</v>
      </c>
      <c r="C385" s="1165"/>
      <c r="D385" s="1178" t="s">
        <v>603</v>
      </c>
      <c r="E385" s="1178"/>
      <c r="F385" s="907" t="s">
        <v>129</v>
      </c>
      <c r="G385" s="908">
        <v>6182.4</v>
      </c>
      <c r="H385" s="897" t="s">
        <v>131</v>
      </c>
      <c r="I385" s="903"/>
      <c r="J385" s="899">
        <v>6182.4</v>
      </c>
    </row>
    <row r="386" spans="1:10" ht="15">
      <c r="A386" s="1171" t="str">
        <f>Таблица301715[[#This Row],[Группа]]&amp;Таблица301715[[#This Row],[Номенклатура]]&amp;Таблица301715[[#This Row],[ЕИ]]</f>
        <v>Детали трубопровода стальОтвод 90-108х5-12Х18Н10Т ГОСТ 17375-2001шт</v>
      </c>
      <c r="B386" s="1165" t="s">
        <v>66</v>
      </c>
      <c r="C386" s="1165"/>
      <c r="D386" s="1178" t="s">
        <v>1192</v>
      </c>
      <c r="E386" s="1178"/>
      <c r="F386" s="907" t="s">
        <v>129</v>
      </c>
      <c r="G386" s="908">
        <v>8946</v>
      </c>
      <c r="H386" s="897" t="s">
        <v>131</v>
      </c>
      <c r="I386" s="903"/>
      <c r="J386" s="899">
        <v>8946</v>
      </c>
    </row>
    <row r="387" spans="1:10" ht="15">
      <c r="A387" s="1171" t="str">
        <f>Таблица301715[[#This Row],[Группа]]&amp;Таблица301715[[#This Row],[Номенклатура]]&amp;Таблица301715[[#This Row],[ЕИ]]</f>
        <v>Детали трубопровода стальОтвод 90-159х3-12Х18Н10Т ГОСТ 17375-2001шт</v>
      </c>
      <c r="B387" s="1165" t="s">
        <v>66</v>
      </c>
      <c r="C387" s="1165"/>
      <c r="D387" s="1178" t="s">
        <v>720</v>
      </c>
      <c r="E387" s="1178"/>
      <c r="F387" s="907" t="s">
        <v>129</v>
      </c>
      <c r="G387" s="908">
        <v>20581.68</v>
      </c>
      <c r="H387" s="897" t="s">
        <v>131</v>
      </c>
      <c r="I387" s="903"/>
      <c r="J387" s="899">
        <v>20581.68</v>
      </c>
    </row>
    <row r="388" spans="1:10" ht="15">
      <c r="A388" s="1171" t="str">
        <f>Таблица301715[[#This Row],[Группа]]&amp;Таблица301715[[#This Row],[Номенклатура]]&amp;Таблица301715[[#This Row],[ЕИ]]</f>
        <v>Детали трубопровода стальОтвод 90-159х5-12Х18Н10Т ГОСТ 17375-2001шт</v>
      </c>
      <c r="B388" s="1165" t="s">
        <v>66</v>
      </c>
      <c r="C388" s="1165"/>
      <c r="D388" s="1178" t="s">
        <v>1193</v>
      </c>
      <c r="E388" s="1178"/>
      <c r="F388" s="907" t="s">
        <v>129</v>
      </c>
      <c r="G388" s="908">
        <v>27039.599999999999</v>
      </c>
      <c r="H388" s="897" t="s">
        <v>131</v>
      </c>
      <c r="I388" s="903"/>
      <c r="J388" s="899">
        <v>27039.599999999999</v>
      </c>
    </row>
    <row r="389" spans="1:10" ht="15">
      <c r="A389" s="1171" t="str">
        <f>Таблица301715[[#This Row],[Группа]]&amp;Таблица301715[[#This Row],[Номенклатура]]&amp;Таблица301715[[#This Row],[ЕИ]]</f>
        <v>Детали трубопровода стальОтвод 90-219х3-12Х18Н10Т ГОСТ 17375-2001шт</v>
      </c>
      <c r="B389" s="1165" t="s">
        <v>66</v>
      </c>
      <c r="C389" s="1165"/>
      <c r="D389" s="1178" t="s">
        <v>1194</v>
      </c>
      <c r="E389" s="1178"/>
      <c r="F389" s="907" t="s">
        <v>129</v>
      </c>
      <c r="G389" s="908">
        <v>36872.639999999999</v>
      </c>
      <c r="H389" s="897" t="s">
        <v>131</v>
      </c>
      <c r="I389" s="903"/>
      <c r="J389" s="899">
        <v>36872.639999999999</v>
      </c>
    </row>
    <row r="390" spans="1:10" ht="15">
      <c r="A390" s="1171" t="str">
        <f>Таблица301715[[#This Row],[Группа]]&amp;Таблица301715[[#This Row],[Номенклатура]]&amp;Таблица301715[[#This Row],[ЕИ]]</f>
        <v>Детали трубопровода стальОтвод 90-219х6-12Х18Н10Т ГОСТ 17375-2001шт</v>
      </c>
      <c r="B390" s="1165" t="s">
        <v>66</v>
      </c>
      <c r="C390" s="1165"/>
      <c r="D390" s="1178" t="s">
        <v>1195</v>
      </c>
      <c r="E390" s="1178"/>
      <c r="F390" s="907" t="s">
        <v>129</v>
      </c>
      <c r="G390" s="908">
        <v>47927.040000000001</v>
      </c>
      <c r="H390" s="897" t="s">
        <v>131</v>
      </c>
      <c r="I390" s="903"/>
      <c r="J390" s="899">
        <v>47927.040000000001</v>
      </c>
    </row>
    <row r="391" spans="1:10" ht="15">
      <c r="A391" s="1171" t="str">
        <f>Таблица301715[[#This Row],[Группа]]&amp;Таблица301715[[#This Row],[Номенклатура]]&amp;Таблица301715[[#This Row],[ЕИ]]</f>
        <v>Детали трубопровода стальОтвод 90-273х6-12Х18Н10Т ГОСТ 17375-2001шт</v>
      </c>
      <c r="B391" s="1165" t="s">
        <v>66</v>
      </c>
      <c r="C391" s="1165"/>
      <c r="D391" s="1178" t="s">
        <v>1196</v>
      </c>
      <c r="E391" s="1178"/>
      <c r="F391" s="907" t="s">
        <v>129</v>
      </c>
      <c r="G391" s="908">
        <v>63272.160000000003</v>
      </c>
      <c r="H391" s="897" t="s">
        <v>131</v>
      </c>
      <c r="I391" s="903"/>
      <c r="J391" s="899">
        <v>63272.160000000003</v>
      </c>
    </row>
    <row r="392" spans="1:10" ht="15">
      <c r="A392" s="1171" t="str">
        <f>Таблица301715[[#This Row],[Группа]]&amp;Таблица301715[[#This Row],[Номенклатура]]&amp;Таблица301715[[#This Row],[ЕИ]]</f>
        <v>Детали трубопровода стальОтвод 90-273х8-12Х18Н10Т ГОСТ 17375-2001шт</v>
      </c>
      <c r="B392" s="1165" t="s">
        <v>66</v>
      </c>
      <c r="C392" s="1165"/>
      <c r="D392" s="1178" t="s">
        <v>1197</v>
      </c>
      <c r="E392" s="1178"/>
      <c r="F392" s="907" t="s">
        <v>129</v>
      </c>
      <c r="G392" s="908">
        <v>77740.320000000007</v>
      </c>
      <c r="H392" s="897" t="s">
        <v>131</v>
      </c>
      <c r="I392" s="903"/>
      <c r="J392" s="899">
        <v>77740.320000000007</v>
      </c>
    </row>
    <row r="393" spans="1:10" ht="15">
      <c r="A393" s="1171" t="str">
        <f>Таблица301715[[#This Row],[Группа]]&amp;Таблица301715[[#This Row],[Номенклатура]]&amp;Таблица301715[[#This Row],[ЕИ]]</f>
        <v>Детали трубопровода стальПереход К-25х3-18х3-12х18н10т ГОСТ 17378-2001шт</v>
      </c>
      <c r="B393" s="1165" t="s">
        <v>66</v>
      </c>
      <c r="C393" s="1165"/>
      <c r="D393" s="1178" t="s">
        <v>1198</v>
      </c>
      <c r="E393" s="1178"/>
      <c r="F393" s="907" t="s">
        <v>129</v>
      </c>
      <c r="G393" s="908">
        <v>752.64</v>
      </c>
      <c r="H393" s="897" t="s">
        <v>131</v>
      </c>
      <c r="I393" s="903"/>
      <c r="J393" s="899">
        <v>752.64</v>
      </c>
    </row>
    <row r="394" spans="1:10" ht="15">
      <c r="A394" s="1171" t="str">
        <f>Таблица301715[[#This Row],[Группа]]&amp;Таблица301715[[#This Row],[Номенклатура]]&amp;Таблица301715[[#This Row],[ЕИ]]</f>
        <v>Детали трубопровода стальПереход К-32х3-18х3-12х18н10т ГОСТ 17378-2001шт</v>
      </c>
      <c r="B394" s="1165" t="s">
        <v>66</v>
      </c>
      <c r="C394" s="1165"/>
      <c r="D394" s="1178" t="s">
        <v>1199</v>
      </c>
      <c r="E394" s="1178"/>
      <c r="F394" s="907" t="s">
        <v>129</v>
      </c>
      <c r="G394" s="908">
        <v>752.64</v>
      </c>
      <c r="H394" s="897" t="s">
        <v>131</v>
      </c>
      <c r="I394" s="903"/>
      <c r="J394" s="899">
        <v>752.64</v>
      </c>
    </row>
    <row r="395" spans="1:10" ht="15">
      <c r="A395" s="1171" t="str">
        <f>Таблица301715[[#This Row],[Группа]]&amp;Таблица301715[[#This Row],[Номенклатура]]&amp;Таблица301715[[#This Row],[ЕИ]]</f>
        <v>Детали трубопровода стальПереход К-32х3-25х3-12х18н10т ГОСТ 17378-2001шт</v>
      </c>
      <c r="B395" s="1165" t="s">
        <v>66</v>
      </c>
      <c r="C395" s="1165"/>
      <c r="D395" s="1178" t="s">
        <v>1200</v>
      </c>
      <c r="E395" s="1178"/>
      <c r="F395" s="907" t="s">
        <v>129</v>
      </c>
      <c r="G395" s="908">
        <v>752.64</v>
      </c>
      <c r="H395" s="897" t="s">
        <v>131</v>
      </c>
      <c r="I395" s="903"/>
      <c r="J395" s="899">
        <v>752.64</v>
      </c>
    </row>
    <row r="396" spans="1:10" ht="15">
      <c r="A396" s="1171" t="str">
        <f>Таблица301715[[#This Row],[Группа]]&amp;Таблица301715[[#This Row],[Номенклатура]]&amp;Таблица301715[[#This Row],[ЕИ]]</f>
        <v>Детали трубопровода стальПереход К-38х3-25х3-12х18н10т ГОСТ 17378-2001шт</v>
      </c>
      <c r="B396" s="1165" t="s">
        <v>66</v>
      </c>
      <c r="C396" s="1165"/>
      <c r="D396" s="1178" t="s">
        <v>1201</v>
      </c>
      <c r="E396" s="1178"/>
      <c r="F396" s="907" t="s">
        <v>129</v>
      </c>
      <c r="G396" s="908">
        <v>829.92</v>
      </c>
      <c r="H396" s="897" t="s">
        <v>131</v>
      </c>
      <c r="I396" s="903"/>
      <c r="J396" s="899">
        <v>829.92</v>
      </c>
    </row>
    <row r="397" spans="1:10" ht="15">
      <c r="A397" s="1171" t="str">
        <f>Таблица301715[[#This Row],[Группа]]&amp;Таблица301715[[#This Row],[Номенклатура]]&amp;Таблица301715[[#This Row],[ЕИ]]</f>
        <v>Детали трубопровода стальПереход К-38х3-32х3-12х18н10т ГОСТ 17378-2001шт</v>
      </c>
      <c r="B397" s="1165" t="s">
        <v>66</v>
      </c>
      <c r="C397" s="1165"/>
      <c r="D397" s="1178" t="s">
        <v>1202</v>
      </c>
      <c r="E397" s="1178"/>
      <c r="F397" s="907" t="s">
        <v>129</v>
      </c>
      <c r="G397" s="908">
        <v>792.96</v>
      </c>
      <c r="H397" s="897" t="s">
        <v>131</v>
      </c>
      <c r="I397" s="903"/>
      <c r="J397" s="899">
        <v>792.96</v>
      </c>
    </row>
    <row r="398" spans="1:10" ht="15">
      <c r="A398" s="1171" t="str">
        <f>Таблица301715[[#This Row],[Группа]]&amp;Таблица301715[[#This Row],[Номенклатура]]&amp;Таблица301715[[#This Row],[ЕИ]]</f>
        <v>Детали трубопровода стальПереход К-42,4х2,6-21,3х2,6-12х18н10т ГОСТ 17378-2001шт</v>
      </c>
      <c r="B398" s="1165" t="s">
        <v>66</v>
      </c>
      <c r="C398" s="1165"/>
      <c r="D398" s="1178" t="s">
        <v>1203</v>
      </c>
      <c r="E398" s="1178"/>
      <c r="F398" s="907" t="s">
        <v>129</v>
      </c>
      <c r="G398" s="908">
        <v>834.96</v>
      </c>
      <c r="H398" s="897" t="s">
        <v>131</v>
      </c>
      <c r="I398" s="903"/>
      <c r="J398" s="899">
        <v>834.96</v>
      </c>
    </row>
    <row r="399" spans="1:10" ht="15">
      <c r="A399" s="1171" t="str">
        <f>Таблица301715[[#This Row],[Группа]]&amp;Таблица301715[[#This Row],[Номенклатура]]&amp;Таблица301715[[#This Row],[ЕИ]]</f>
        <v>Детали трубопровода стальПереход К-45х3-25х3-12х18н10т ГОСТ 17378-2001шт</v>
      </c>
      <c r="B399" s="1165" t="s">
        <v>66</v>
      </c>
      <c r="C399" s="1165"/>
      <c r="D399" s="1178" t="s">
        <v>1204</v>
      </c>
      <c r="E399" s="1178"/>
      <c r="F399" s="907" t="s">
        <v>129</v>
      </c>
      <c r="G399" s="908">
        <v>829.92</v>
      </c>
      <c r="H399" s="897" t="s">
        <v>131</v>
      </c>
      <c r="I399" s="903"/>
      <c r="J399" s="899">
        <v>829.92</v>
      </c>
    </row>
    <row r="400" spans="1:10" ht="15">
      <c r="A400" s="1171" t="str">
        <f>Таблица301715[[#This Row],[Группа]]&amp;Таблица301715[[#This Row],[Номенклатура]]&amp;Таблица301715[[#This Row],[ЕИ]]</f>
        <v>Детали трубопровода стальПереход К-45х3-32х3-12х18н10т ГОСТ 17378-2001шт</v>
      </c>
      <c r="B400" s="1165" t="s">
        <v>66</v>
      </c>
      <c r="C400" s="1165"/>
      <c r="D400" s="1178" t="s">
        <v>1205</v>
      </c>
      <c r="E400" s="1178"/>
      <c r="F400" s="907" t="s">
        <v>129</v>
      </c>
      <c r="G400" s="908">
        <v>752.64</v>
      </c>
      <c r="H400" s="897" t="s">
        <v>131</v>
      </c>
      <c r="I400" s="903"/>
      <c r="J400" s="899">
        <v>752.64</v>
      </c>
    </row>
    <row r="401" spans="1:10" ht="15">
      <c r="A401" s="1171" t="str">
        <f>Таблица301715[[#This Row],[Группа]]&amp;Таблица301715[[#This Row],[Номенклатура]]&amp;Таблица301715[[#This Row],[ЕИ]]</f>
        <v>Детали трубопровода стальПереход К-45х3-38х3-12х18н10т ГОСТ 17378-2001шт</v>
      </c>
      <c r="B401" s="1165" t="s">
        <v>66</v>
      </c>
      <c r="C401" s="1165"/>
      <c r="D401" s="1178" t="s">
        <v>1206</v>
      </c>
      <c r="E401" s="1178"/>
      <c r="F401" s="907" t="s">
        <v>129</v>
      </c>
      <c r="G401" s="908">
        <v>752.64</v>
      </c>
      <c r="H401" s="897" t="s">
        <v>131</v>
      </c>
      <c r="I401" s="903"/>
      <c r="J401" s="899">
        <v>752.64</v>
      </c>
    </row>
    <row r="402" spans="1:10" ht="15">
      <c r="A402" s="1171" t="str">
        <f>Таблица301715[[#This Row],[Группа]]&amp;Таблица301715[[#This Row],[Номенклатура]]&amp;Таблица301715[[#This Row],[ЕИ]]</f>
        <v>Детали трубопровода стальПереход К-57х3,5-25х3-12х18н10т ГОСТ 17378-2001шт</v>
      </c>
      <c r="B402" s="1165" t="s">
        <v>66</v>
      </c>
      <c r="C402" s="1165"/>
      <c r="D402" s="1178" t="s">
        <v>1207</v>
      </c>
      <c r="E402" s="1178"/>
      <c r="F402" s="907" t="s">
        <v>129</v>
      </c>
      <c r="G402" s="908">
        <v>1236.48</v>
      </c>
      <c r="H402" s="897" t="s">
        <v>131</v>
      </c>
      <c r="I402" s="903"/>
      <c r="J402" s="899">
        <v>1236.48</v>
      </c>
    </row>
    <row r="403" spans="1:10" ht="15">
      <c r="A403" s="1171" t="str">
        <f>Таблица301715[[#This Row],[Группа]]&amp;Таблица301715[[#This Row],[Номенклатура]]&amp;Таблица301715[[#This Row],[ЕИ]]</f>
        <v>Детали трубопровода стальПереход К-57х3,5-32х3-12х18н10т ГОСТ 17378-2001шт</v>
      </c>
      <c r="B403" s="1165" t="s">
        <v>66</v>
      </c>
      <c r="C403" s="1165"/>
      <c r="D403" s="1178" t="s">
        <v>1208</v>
      </c>
      <c r="E403" s="1178"/>
      <c r="F403" s="907" t="s">
        <v>129</v>
      </c>
      <c r="G403" s="908">
        <v>1236.48</v>
      </c>
      <c r="H403" s="897" t="s">
        <v>131</v>
      </c>
      <c r="I403" s="903"/>
      <c r="J403" s="899">
        <v>1236.48</v>
      </c>
    </row>
    <row r="404" spans="1:10" ht="15">
      <c r="A404" s="1171" t="str">
        <f>Таблица301715[[#This Row],[Группа]]&amp;Таблица301715[[#This Row],[Номенклатура]]&amp;Таблица301715[[#This Row],[ЕИ]]</f>
        <v>Детали трубопровода стальПереход К-57х3,5-38х3-12х18н10т ГОСТ 17378-2001шт</v>
      </c>
      <c r="B404" s="1165" t="s">
        <v>66</v>
      </c>
      <c r="C404" s="1165"/>
      <c r="D404" s="1178" t="s">
        <v>1209</v>
      </c>
      <c r="E404" s="1178"/>
      <c r="F404" s="907" t="s">
        <v>129</v>
      </c>
      <c r="G404" s="908">
        <v>967.68</v>
      </c>
      <c r="H404" s="897" t="s">
        <v>131</v>
      </c>
      <c r="I404" s="903"/>
      <c r="J404" s="899">
        <v>967.68</v>
      </c>
    </row>
    <row r="405" spans="1:10" ht="15">
      <c r="A405" s="1171" t="str">
        <f>Таблица301715[[#This Row],[Группа]]&amp;Таблица301715[[#This Row],[Номенклатура]]&amp;Таблица301715[[#This Row],[ЕИ]]</f>
        <v>Детали трубопровода стальПереход К-57х3,5-45х3-12х18н10т ГОСТ 17378-2001шт</v>
      </c>
      <c r="B405" s="1165" t="s">
        <v>66</v>
      </c>
      <c r="C405" s="1165"/>
      <c r="D405" s="1178" t="s">
        <v>1210</v>
      </c>
      <c r="E405" s="1178"/>
      <c r="F405" s="907" t="s">
        <v>129</v>
      </c>
      <c r="G405" s="908">
        <v>887.04</v>
      </c>
      <c r="H405" s="897" t="s">
        <v>131</v>
      </c>
      <c r="I405" s="903"/>
      <c r="J405" s="899">
        <v>887.04</v>
      </c>
    </row>
    <row r="406" spans="1:10" ht="15">
      <c r="A406" s="1171" t="str">
        <f>Таблица301715[[#This Row],[Группа]]&amp;Таблица301715[[#This Row],[Номенклатура]]&amp;Таблица301715[[#This Row],[ЕИ]]</f>
        <v>Детали трубопровода стальПереход К-57х5-25х3-12х18н10т ГОСТ 17378-2001шт</v>
      </c>
      <c r="B406" s="1165" t="s">
        <v>66</v>
      </c>
      <c r="C406" s="1165"/>
      <c r="D406" s="1178" t="s">
        <v>1211</v>
      </c>
      <c r="E406" s="1178"/>
      <c r="F406" s="907" t="s">
        <v>129</v>
      </c>
      <c r="G406" s="908">
        <v>1236.48</v>
      </c>
      <c r="H406" s="897" t="s">
        <v>131</v>
      </c>
      <c r="I406" s="903"/>
      <c r="J406" s="899">
        <v>1236.48</v>
      </c>
    </row>
    <row r="407" spans="1:10" ht="15">
      <c r="A407" s="1171" t="str">
        <f>Таблица301715[[#This Row],[Группа]]&amp;Таблица301715[[#This Row],[Номенклатура]]&amp;Таблица301715[[#This Row],[ЕИ]]</f>
        <v>Детали трубопровода стальПереход К-57х5-32х3-12х18н10т ГОСТ 17378-2001шт</v>
      </c>
      <c r="B407" s="1165" t="s">
        <v>66</v>
      </c>
      <c r="C407" s="1165"/>
      <c r="D407" s="1178" t="s">
        <v>1212</v>
      </c>
      <c r="E407" s="1178"/>
      <c r="F407" s="907" t="s">
        <v>129</v>
      </c>
      <c r="G407" s="908">
        <v>1236.48</v>
      </c>
      <c r="H407" s="897" t="s">
        <v>131</v>
      </c>
      <c r="I407" s="903"/>
      <c r="J407" s="899">
        <v>1236.48</v>
      </c>
    </row>
    <row r="408" spans="1:10" ht="15">
      <c r="A408" s="1171" t="str">
        <f>Таблица301715[[#This Row],[Группа]]&amp;Таблица301715[[#This Row],[Номенклатура]]&amp;Таблица301715[[#This Row],[ЕИ]]</f>
        <v>Детали трубопровода стальПереход К-57х5-38х4-12х18н10т ГОСТ 17378-2001шт</v>
      </c>
      <c r="B408" s="1165" t="s">
        <v>66</v>
      </c>
      <c r="C408" s="1165"/>
      <c r="D408" s="1178" t="s">
        <v>1213</v>
      </c>
      <c r="E408" s="1178"/>
      <c r="F408" s="907" t="s">
        <v>129</v>
      </c>
      <c r="G408" s="908">
        <v>967.68</v>
      </c>
      <c r="H408" s="897" t="s">
        <v>131</v>
      </c>
      <c r="I408" s="903"/>
      <c r="J408" s="899">
        <v>967.68</v>
      </c>
    </row>
    <row r="409" spans="1:10" ht="15">
      <c r="A409" s="1171" t="str">
        <f>Таблица301715[[#This Row],[Группа]]&amp;Таблица301715[[#This Row],[Номенклатура]]&amp;Таблица301715[[#This Row],[ЕИ]]</f>
        <v>Детали трубопровода стальПереход К-57х5-45х4-12х18н10т ГОСТ 17378-2001шт</v>
      </c>
      <c r="B409" s="1165" t="s">
        <v>66</v>
      </c>
      <c r="C409" s="1165"/>
      <c r="D409" s="1178" t="s">
        <v>1214</v>
      </c>
      <c r="E409" s="1178"/>
      <c r="F409" s="907" t="s">
        <v>129</v>
      </c>
      <c r="G409" s="908">
        <v>887.04</v>
      </c>
      <c r="H409" s="897" t="s">
        <v>131</v>
      </c>
      <c r="I409" s="903"/>
      <c r="J409" s="899">
        <v>887.04</v>
      </c>
    </row>
    <row r="410" spans="1:10" ht="15">
      <c r="A410" s="1171" t="str">
        <f>Таблица301715[[#This Row],[Группа]]&amp;Таблица301715[[#This Row],[Номенклатура]]&amp;Таблица301715[[#This Row],[ЕИ]]</f>
        <v>Детали трубопровода стальПереход К-76х4-38х3-12х18н10т ГОСТ 17378-2001шт</v>
      </c>
      <c r="B410" s="1165" t="s">
        <v>66</v>
      </c>
      <c r="C410" s="1165"/>
      <c r="D410" s="1178" t="s">
        <v>1215</v>
      </c>
      <c r="E410" s="1178"/>
      <c r="F410" s="907" t="s">
        <v>129</v>
      </c>
      <c r="G410" s="908">
        <v>1424.64</v>
      </c>
      <c r="H410" s="897" t="s">
        <v>131</v>
      </c>
      <c r="I410" s="903"/>
      <c r="J410" s="899">
        <v>1424.64</v>
      </c>
    </row>
    <row r="411" spans="1:10" ht="15">
      <c r="A411" s="1171" t="str">
        <f>Таблица301715[[#This Row],[Группа]]&amp;Таблица301715[[#This Row],[Номенклатура]]&amp;Таблица301715[[#This Row],[ЕИ]]</f>
        <v>Детали трубопровода стальПереход К-76х4-45х3-12х18н10т ГОСТ 17378-2001шт</v>
      </c>
      <c r="B411" s="1165" t="s">
        <v>66</v>
      </c>
      <c r="C411" s="1165"/>
      <c r="D411" s="1178" t="s">
        <v>1216</v>
      </c>
      <c r="E411" s="1178"/>
      <c r="F411" s="907" t="s">
        <v>129</v>
      </c>
      <c r="G411" s="908">
        <v>1424.64</v>
      </c>
      <c r="H411" s="897" t="s">
        <v>131</v>
      </c>
      <c r="I411" s="903"/>
      <c r="J411" s="899">
        <v>1424.64</v>
      </c>
    </row>
    <row r="412" spans="1:10" ht="15">
      <c r="A412" s="1171" t="str">
        <f>Таблица301715[[#This Row],[Группа]]&amp;Таблица301715[[#This Row],[Номенклатура]]&amp;Таблица301715[[#This Row],[ЕИ]]</f>
        <v>Детали трубопровода стальПереход К-76х4-57х3,5-12х18н10т ГОСТ 17378-2001шт</v>
      </c>
      <c r="B412" s="1165" t="s">
        <v>66</v>
      </c>
      <c r="C412" s="1165"/>
      <c r="D412" s="1178" t="s">
        <v>1217</v>
      </c>
      <c r="E412" s="1178"/>
      <c r="F412" s="907" t="s">
        <v>129</v>
      </c>
      <c r="G412" s="908">
        <v>1253.28</v>
      </c>
      <c r="H412" s="897" t="s">
        <v>131</v>
      </c>
      <c r="I412" s="903"/>
      <c r="J412" s="899">
        <v>1253.28</v>
      </c>
    </row>
    <row r="413" spans="1:10" ht="15">
      <c r="A413" s="1171" t="str">
        <f>Таблица301715[[#This Row],[Группа]]&amp;Таблица301715[[#This Row],[Номенклатура]]&amp;Таблица301715[[#This Row],[ЕИ]]</f>
        <v>Детали трубопровода стальПереход К-89х4-45х3-12х18н10т ГОСТ 17378-2001шт</v>
      </c>
      <c r="B413" s="1165" t="s">
        <v>66</v>
      </c>
      <c r="C413" s="1165"/>
      <c r="D413" s="1178" t="s">
        <v>1218</v>
      </c>
      <c r="E413" s="1178"/>
      <c r="F413" s="907" t="s">
        <v>129</v>
      </c>
      <c r="G413" s="908">
        <v>1795.92</v>
      </c>
      <c r="H413" s="897" t="s">
        <v>131</v>
      </c>
      <c r="I413" s="903"/>
      <c r="J413" s="899">
        <v>1795.92</v>
      </c>
    </row>
    <row r="414" spans="1:10" ht="15">
      <c r="A414" s="1171" t="str">
        <f>Таблица301715[[#This Row],[Группа]]&amp;Таблица301715[[#This Row],[Номенклатура]]&amp;Таблица301715[[#This Row],[ЕИ]]</f>
        <v>Детали трубопровода стальПереход К-89х4-57х3,5-12х18н10т ГОСТ 17378-2001шт</v>
      </c>
      <c r="B414" s="1165" t="s">
        <v>66</v>
      </c>
      <c r="C414" s="1165"/>
      <c r="D414" s="1178" t="s">
        <v>1219</v>
      </c>
      <c r="E414" s="1178"/>
      <c r="F414" s="907" t="s">
        <v>129</v>
      </c>
      <c r="G414" s="908">
        <v>1602.72</v>
      </c>
      <c r="H414" s="897" t="s">
        <v>131</v>
      </c>
      <c r="I414" s="903"/>
      <c r="J414" s="899">
        <v>1602.72</v>
      </c>
    </row>
    <row r="415" spans="1:10" ht="15">
      <c r="A415" s="1171" t="str">
        <f>Таблица301715[[#This Row],[Группа]]&amp;Таблица301715[[#This Row],[Номенклатура]]&amp;Таблица301715[[#This Row],[ЕИ]]</f>
        <v>Детали трубопровода стальПереход К-89х4-76х3,5-12х18н10т ГОСТ 17378-2001шт</v>
      </c>
      <c r="B415" s="1165" t="s">
        <v>66</v>
      </c>
      <c r="C415" s="1165"/>
      <c r="D415" s="1178" t="s">
        <v>1220</v>
      </c>
      <c r="E415" s="1178"/>
      <c r="F415" s="907" t="s">
        <v>129</v>
      </c>
      <c r="G415" s="908">
        <v>1683.36</v>
      </c>
      <c r="H415" s="897" t="s">
        <v>131</v>
      </c>
      <c r="I415" s="903"/>
      <c r="J415" s="899">
        <v>1683.36</v>
      </c>
    </row>
    <row r="416" spans="1:10" ht="15">
      <c r="A416" s="1171" t="str">
        <f>Таблица301715[[#This Row],[Группа]]&amp;Таблица301715[[#This Row],[Номенклатура]]&amp;Таблица301715[[#This Row],[ЕИ]]</f>
        <v>Детали трубопровода стальПереход К-89х6-45х4-12х18н10т ГОСТ 17378-2001шт</v>
      </c>
      <c r="B416" s="1165" t="s">
        <v>66</v>
      </c>
      <c r="C416" s="1165"/>
      <c r="D416" s="1178" t="s">
        <v>1221</v>
      </c>
      <c r="E416" s="1178"/>
      <c r="F416" s="907" t="s">
        <v>129</v>
      </c>
      <c r="G416" s="908">
        <v>2123.52</v>
      </c>
      <c r="H416" s="897" t="s">
        <v>131</v>
      </c>
      <c r="I416" s="903"/>
      <c r="J416" s="899">
        <v>2123.52</v>
      </c>
    </row>
    <row r="417" spans="1:10" ht="15">
      <c r="A417" s="1171" t="str">
        <f>Таблица301715[[#This Row],[Группа]]&amp;Таблица301715[[#This Row],[Номенклатура]]&amp;Таблица301715[[#This Row],[ЕИ]]</f>
        <v>Детали трубопровода стальПереход К-89х6-57х5-12х18н10т ГОСТ 17378-2001шт</v>
      </c>
      <c r="B417" s="1165" t="s">
        <v>66</v>
      </c>
      <c r="C417" s="1165"/>
      <c r="D417" s="1178" t="s">
        <v>1222</v>
      </c>
      <c r="E417" s="1178"/>
      <c r="F417" s="907" t="s">
        <v>129</v>
      </c>
      <c r="G417" s="908">
        <v>2016</v>
      </c>
      <c r="H417" s="897" t="s">
        <v>131</v>
      </c>
      <c r="I417" s="903"/>
      <c r="J417" s="899">
        <v>2016</v>
      </c>
    </row>
    <row r="418" spans="1:10" ht="15">
      <c r="A418" s="1171" t="str">
        <f>Таблица301715[[#This Row],[Группа]]&amp;Таблица301715[[#This Row],[Номенклатура]]&amp;Таблица301715[[#This Row],[ЕИ]]</f>
        <v>Детали трубопровода стальПереход К-89х6-76х5-12х18н10т ГОСТ 17378-2001шт</v>
      </c>
      <c r="B418" s="1165" t="s">
        <v>66</v>
      </c>
      <c r="C418" s="1165"/>
      <c r="D418" s="1178" t="s">
        <v>1223</v>
      </c>
      <c r="E418" s="1178"/>
      <c r="F418" s="907" t="s">
        <v>129</v>
      </c>
      <c r="G418" s="908">
        <v>2100</v>
      </c>
      <c r="H418" s="897" t="s">
        <v>131</v>
      </c>
      <c r="I418" s="903"/>
      <c r="J418" s="899">
        <v>2100</v>
      </c>
    </row>
    <row r="419" spans="1:10" ht="15">
      <c r="A419" s="1171" t="str">
        <f>Таблица301715[[#This Row],[Группа]]&amp;Таблица301715[[#This Row],[Номенклатура]]&amp;Таблица301715[[#This Row],[ЕИ]]</f>
        <v>Детали трубопровода стальПереход К-108х4-57х3,5-12х18н10т ГОСТ 17378-2001шт</v>
      </c>
      <c r="B419" s="1165" t="s">
        <v>66</v>
      </c>
      <c r="C419" s="1165"/>
      <c r="D419" s="1178" t="s">
        <v>723</v>
      </c>
      <c r="E419" s="1178"/>
      <c r="F419" s="907" t="s">
        <v>129</v>
      </c>
      <c r="G419" s="908">
        <v>2728.32</v>
      </c>
      <c r="H419" s="897" t="s">
        <v>131</v>
      </c>
      <c r="I419" s="903"/>
      <c r="J419" s="899">
        <v>2728.32</v>
      </c>
    </row>
    <row r="420" spans="1:10" ht="15">
      <c r="A420" s="1171" t="str">
        <f>Таблица301715[[#This Row],[Группа]]&amp;Таблица301715[[#This Row],[Номенклатура]]&amp;Таблица301715[[#This Row],[ЕИ]]</f>
        <v>Детали трубопровода стальПереход К-108х4-76х3,5-12х18н10т ГОСТ 17378-2001шт</v>
      </c>
      <c r="B420" s="1165" t="s">
        <v>66</v>
      </c>
      <c r="C420" s="1165"/>
      <c r="D420" s="1178" t="s">
        <v>1224</v>
      </c>
      <c r="E420" s="1178"/>
      <c r="F420" s="907" t="s">
        <v>129</v>
      </c>
      <c r="G420" s="908">
        <v>2520</v>
      </c>
      <c r="H420" s="897" t="s">
        <v>131</v>
      </c>
      <c r="I420" s="903"/>
      <c r="J420" s="899">
        <v>2520</v>
      </c>
    </row>
    <row r="421" spans="1:10" ht="15">
      <c r="A421" s="1171" t="str">
        <f>Таблица301715[[#This Row],[Группа]]&amp;Таблица301715[[#This Row],[Номенклатура]]&amp;Таблица301715[[#This Row],[ЕИ]]</f>
        <v>Детали трубопровода стальПереход К-108х4-89х3,5-12х18н10т ГОСТ 17378-2001шт</v>
      </c>
      <c r="B421" s="1165" t="s">
        <v>66</v>
      </c>
      <c r="C421" s="1165"/>
      <c r="D421" s="1178" t="s">
        <v>1225</v>
      </c>
      <c r="E421" s="1178"/>
      <c r="F421" s="907" t="s">
        <v>129</v>
      </c>
      <c r="G421" s="908">
        <v>2688</v>
      </c>
      <c r="H421" s="897" t="s">
        <v>131</v>
      </c>
      <c r="I421" s="903"/>
      <c r="J421" s="899">
        <v>2688</v>
      </c>
    </row>
    <row r="422" spans="1:10" ht="15">
      <c r="A422" s="1171" t="str">
        <f>Таблица301715[[#This Row],[Группа]]&amp;Таблица301715[[#This Row],[Номенклатура]]&amp;Таблица301715[[#This Row],[ЕИ]]</f>
        <v>Детали трубопровода стальПереход К-108х5-76х5-12х18н10т ГОСТ 17378-2001шт</v>
      </c>
      <c r="B422" s="1165" t="s">
        <v>66</v>
      </c>
      <c r="C422" s="1165"/>
      <c r="D422" s="1178" t="s">
        <v>1226</v>
      </c>
      <c r="E422" s="1178"/>
      <c r="F422" s="907" t="s">
        <v>129</v>
      </c>
      <c r="G422" s="908">
        <v>3601.92</v>
      </c>
      <c r="H422" s="897" t="s">
        <v>131</v>
      </c>
      <c r="I422" s="903"/>
      <c r="J422" s="899">
        <v>3601.92</v>
      </c>
    </row>
    <row r="423" spans="1:10" ht="15">
      <c r="A423" s="1171" t="str">
        <f>Таблица301715[[#This Row],[Группа]]&amp;Таблица301715[[#This Row],[Номенклатура]]&amp;Таблица301715[[#This Row],[ЕИ]]</f>
        <v>Детали трубопровода стальПереход К-108х6-57х5-12х18н10т ГОСТ 17378-2001шт</v>
      </c>
      <c r="B423" s="1165" t="s">
        <v>66</v>
      </c>
      <c r="C423" s="1165"/>
      <c r="D423" s="1178" t="s">
        <v>1227</v>
      </c>
      <c r="E423" s="1178"/>
      <c r="F423" s="907" t="s">
        <v>129</v>
      </c>
      <c r="G423" s="908">
        <v>4359.6000000000004</v>
      </c>
      <c r="H423" s="897" t="s">
        <v>131</v>
      </c>
      <c r="I423" s="903"/>
      <c r="J423" s="899">
        <v>4359.6000000000004</v>
      </c>
    </row>
    <row r="424" spans="1:10" ht="15">
      <c r="A424" s="1171" t="str">
        <f>Таблица301715[[#This Row],[Группа]]&amp;Таблица301715[[#This Row],[Номенклатура]]&amp;Таблица301715[[#This Row],[ЕИ]]</f>
        <v>Детали трубопровода стальПереход К-108х6-76х5-12х18н10т ГОСТ 17378-2001шт</v>
      </c>
      <c r="B424" s="1165" t="s">
        <v>66</v>
      </c>
      <c r="C424" s="1165"/>
      <c r="D424" s="1178" t="s">
        <v>1228</v>
      </c>
      <c r="E424" s="1178"/>
      <c r="F424" s="907" t="s">
        <v>129</v>
      </c>
      <c r="G424" s="908">
        <v>3601.92</v>
      </c>
      <c r="H424" s="897" t="s">
        <v>131</v>
      </c>
      <c r="I424" s="903"/>
      <c r="J424" s="899">
        <v>3601.92</v>
      </c>
    </row>
    <row r="425" spans="1:10" ht="15">
      <c r="A425" s="1171" t="str">
        <f>Таблица301715[[#This Row],[Группа]]&amp;Таблица301715[[#This Row],[Номенклатура]]&amp;Таблица301715[[#This Row],[ЕИ]]</f>
        <v>Детали трубопровода стальПереход К-108х6-89х6-12х18н10т ГОСТ 17378-2001шт</v>
      </c>
      <c r="B425" s="1165" t="s">
        <v>66</v>
      </c>
      <c r="C425" s="1165"/>
      <c r="D425" s="1178" t="s">
        <v>1229</v>
      </c>
      <c r="E425" s="1178"/>
      <c r="F425" s="907" t="s">
        <v>129</v>
      </c>
      <c r="G425" s="908">
        <v>3714.48</v>
      </c>
      <c r="H425" s="897" t="s">
        <v>131</v>
      </c>
      <c r="I425" s="903"/>
      <c r="J425" s="899">
        <v>3714.48</v>
      </c>
    </row>
    <row r="426" spans="1:10" ht="15">
      <c r="A426" s="1171" t="str">
        <f>Таблица301715[[#This Row],[Группа]]&amp;Таблица301715[[#This Row],[Номенклатура]]&amp;Таблица301715[[#This Row],[ЕИ]]</f>
        <v>Детали трубопровода стальПереход К-114х4,5-76х4-12х18н10т ГОСТ 17378-2001шт</v>
      </c>
      <c r="B426" s="1165" t="s">
        <v>66</v>
      </c>
      <c r="C426" s="1165"/>
      <c r="D426" s="1178" t="s">
        <v>1230</v>
      </c>
      <c r="E426" s="1178"/>
      <c r="F426" s="907" t="s">
        <v>129</v>
      </c>
      <c r="G426" s="908">
        <v>3900.96</v>
      </c>
      <c r="H426" s="897" t="s">
        <v>131</v>
      </c>
      <c r="I426" s="903"/>
      <c r="J426" s="899">
        <v>3900.96</v>
      </c>
    </row>
    <row r="427" spans="1:10" ht="15">
      <c r="A427" s="1171" t="str">
        <f>Таблица301715[[#This Row],[Группа]]&amp;Таблица301715[[#This Row],[Номенклатура]]&amp;Таблица301715[[#This Row],[ЕИ]]</f>
        <v>Детали трубопровода стальПереход К-114х4,5-89х4-12х18н10т ГОСТ 17378-2001шт</v>
      </c>
      <c r="B427" s="1165" t="s">
        <v>66</v>
      </c>
      <c r="C427" s="1165"/>
      <c r="D427" s="1178" t="s">
        <v>1231</v>
      </c>
      <c r="E427" s="1178"/>
      <c r="F427" s="907" t="s">
        <v>129</v>
      </c>
      <c r="G427" s="908">
        <v>3900.96</v>
      </c>
      <c r="H427" s="897" t="s">
        <v>131</v>
      </c>
      <c r="I427" s="903"/>
      <c r="J427" s="899">
        <v>3900.96</v>
      </c>
    </row>
    <row r="428" spans="1:10" ht="15">
      <c r="A428" s="1171" t="str">
        <f>Таблица301715[[#This Row],[Группа]]&amp;Таблица301715[[#This Row],[Номенклатура]]&amp;Таблица301715[[#This Row],[ЕИ]]</f>
        <v>Детали трубопровода стальПереход К-133х4,5-76х4-12х18н10т ГОСТ 17378-2001шт</v>
      </c>
      <c r="B428" s="1165" t="s">
        <v>66</v>
      </c>
      <c r="C428" s="1165"/>
      <c r="D428" s="1178" t="s">
        <v>1232</v>
      </c>
      <c r="E428" s="1178"/>
      <c r="F428" s="907" t="s">
        <v>129</v>
      </c>
      <c r="G428" s="908">
        <v>4329</v>
      </c>
      <c r="H428" s="897" t="s">
        <v>131</v>
      </c>
      <c r="I428" s="903"/>
      <c r="J428" s="899">
        <v>4329</v>
      </c>
    </row>
    <row r="429" spans="1:10" ht="15">
      <c r="A429" s="1171" t="str">
        <f>Таблица301715[[#This Row],[Группа]]&amp;Таблица301715[[#This Row],[Номенклатура]]&amp;Таблица301715[[#This Row],[ЕИ]]</f>
        <v>Детали трубопровода стальПереход К-133х4,5-89х4-12х18н10т ГОСТ 17378-2001шт</v>
      </c>
      <c r="B429" s="1165" t="s">
        <v>66</v>
      </c>
      <c r="C429" s="1165"/>
      <c r="D429" s="1178" t="s">
        <v>1233</v>
      </c>
      <c r="E429" s="1178"/>
      <c r="F429" s="907" t="s">
        <v>129</v>
      </c>
      <c r="G429" s="908">
        <v>4284</v>
      </c>
      <c r="H429" s="897" t="s">
        <v>131</v>
      </c>
      <c r="I429" s="903"/>
      <c r="J429" s="899">
        <v>4284</v>
      </c>
    </row>
    <row r="430" spans="1:10" ht="15">
      <c r="A430" s="1171" t="str">
        <f>Таблица301715[[#This Row],[Группа]]&amp;Таблица301715[[#This Row],[Номенклатура]]&amp;Таблица301715[[#This Row],[ЕИ]]</f>
        <v>Детали трубопровода стальПереход К-133х4,5-108х4-12х18н10т ГОСТ 17378-2001шт</v>
      </c>
      <c r="B430" s="1165" t="s">
        <v>66</v>
      </c>
      <c r="C430" s="1165"/>
      <c r="D430" s="1178" t="s">
        <v>1234</v>
      </c>
      <c r="E430" s="1178"/>
      <c r="F430" s="907" t="s">
        <v>129</v>
      </c>
      <c r="G430" s="908">
        <v>4956</v>
      </c>
      <c r="H430" s="897" t="s">
        <v>131</v>
      </c>
      <c r="I430" s="903"/>
      <c r="J430" s="899">
        <v>4956</v>
      </c>
    </row>
    <row r="431" spans="1:10" ht="15">
      <c r="A431" s="1171" t="str">
        <f>Таблица301715[[#This Row],[Группа]]&amp;Таблица301715[[#This Row],[Номенклатура]]&amp;Таблица301715[[#This Row],[ЕИ]]</f>
        <v>Детали трубопровода стальПереход К-159х4-273х4,5-12х18н10т ГОСТ 17378-2001шт</v>
      </c>
      <c r="B431" s="1165" t="s">
        <v>66</v>
      </c>
      <c r="C431" s="1165"/>
      <c r="D431" s="1178" t="s">
        <v>1235</v>
      </c>
      <c r="E431" s="1178"/>
      <c r="F431" s="907" t="s">
        <v>129</v>
      </c>
      <c r="G431" s="908">
        <v>17820</v>
      </c>
      <c r="H431" s="897" t="s">
        <v>131</v>
      </c>
      <c r="I431" s="903"/>
      <c r="J431" s="899">
        <v>17820</v>
      </c>
    </row>
    <row r="432" spans="1:10" ht="15">
      <c r="A432" s="1171" t="str">
        <f>Таблица301715[[#This Row],[Группа]]&amp;Таблица301715[[#This Row],[Номенклатура]]&amp;Таблица301715[[#This Row],[ЕИ]]</f>
        <v>Детали трубопровода стальПереход К-159х4,5-108х4-12х18н10т ГОСТ 17378-2001шт</v>
      </c>
      <c r="B432" s="1165" t="s">
        <v>66</v>
      </c>
      <c r="C432" s="1165"/>
      <c r="D432" s="1178" t="s">
        <v>602</v>
      </c>
      <c r="E432" s="1178"/>
      <c r="F432" s="907" t="s">
        <v>129</v>
      </c>
      <c r="G432" s="908">
        <v>6572.16</v>
      </c>
      <c r="H432" s="897" t="s">
        <v>131</v>
      </c>
      <c r="I432" s="903"/>
      <c r="J432" s="899">
        <v>6572.16</v>
      </c>
    </row>
    <row r="433" spans="1:10" ht="15">
      <c r="A433" s="1171" t="str">
        <f>Таблица301715[[#This Row],[Группа]]&amp;Таблица301715[[#This Row],[Номенклатура]]&amp;Таблица301715[[#This Row],[ЕИ]]</f>
        <v>Детали трубопровода стальПереход К-159х4,5-133х4-12х18н10т ГОСТ 17378-2001шт</v>
      </c>
      <c r="B433" s="1165" t="s">
        <v>66</v>
      </c>
      <c r="C433" s="1165"/>
      <c r="D433" s="1178" t="s">
        <v>1236</v>
      </c>
      <c r="E433" s="1178"/>
      <c r="F433" s="907" t="s">
        <v>129</v>
      </c>
      <c r="G433" s="908">
        <v>6644.4</v>
      </c>
      <c r="H433" s="897" t="s">
        <v>131</v>
      </c>
      <c r="I433" s="903"/>
      <c r="J433" s="899">
        <v>6644.4</v>
      </c>
    </row>
    <row r="434" spans="1:10" ht="15">
      <c r="A434" s="1171" t="str">
        <f>Таблица301715[[#This Row],[Группа]]&amp;Таблица301715[[#This Row],[Номенклатура]]&amp;Таблица301715[[#This Row],[ЕИ]]</f>
        <v>Детали трубопровода стальПереход К-159х4,5-89х4-12х18н10т ГОСТ 17378-2001шт</v>
      </c>
      <c r="B434" s="1165" t="s">
        <v>66</v>
      </c>
      <c r="C434" s="1165"/>
      <c r="D434" s="1178" t="s">
        <v>1237</v>
      </c>
      <c r="E434" s="1178"/>
      <c r="F434" s="907" t="s">
        <v>129</v>
      </c>
      <c r="G434" s="908">
        <v>6804</v>
      </c>
      <c r="H434" s="897" t="s">
        <v>131</v>
      </c>
      <c r="I434" s="903"/>
      <c r="J434" s="899">
        <v>6804</v>
      </c>
    </row>
    <row r="435" spans="1:10" ht="15">
      <c r="A435" s="1171" t="str">
        <f>Таблица301715[[#This Row],[Группа]]&amp;Таблица301715[[#This Row],[Номенклатура]]&amp;Таблица301715[[#This Row],[ЕИ]]</f>
        <v>Детали трубопровода стальПереход К-159х5-57х4-12х18н10т ГОСТ 17378-2001шт</v>
      </c>
      <c r="B435" s="1165" t="s">
        <v>66</v>
      </c>
      <c r="C435" s="1165"/>
      <c r="D435" s="1178" t="s">
        <v>1238</v>
      </c>
      <c r="E435" s="1178"/>
      <c r="F435" s="907" t="s">
        <v>129</v>
      </c>
      <c r="G435" s="908">
        <v>6804</v>
      </c>
      <c r="H435" s="897" t="s">
        <v>131</v>
      </c>
      <c r="I435" s="903"/>
      <c r="J435" s="899">
        <v>6804</v>
      </c>
    </row>
    <row r="436" spans="1:10" ht="15">
      <c r="A436" s="1171" t="str">
        <f>Таблица301715[[#This Row],[Группа]]&amp;Таблица301715[[#This Row],[Номенклатура]]&amp;Таблица301715[[#This Row],[ЕИ]]</f>
        <v>Детали трубопровода стальПереход К-159х5-76х4-12х18н10т ГОСТ 17378-2001шт</v>
      </c>
      <c r="B436" s="1165" t="s">
        <v>66</v>
      </c>
      <c r="C436" s="1165"/>
      <c r="D436" s="1178" t="s">
        <v>1239</v>
      </c>
      <c r="E436" s="1178"/>
      <c r="F436" s="907" t="s">
        <v>129</v>
      </c>
      <c r="G436" s="908">
        <v>6390</v>
      </c>
      <c r="H436" s="897" t="s">
        <v>131</v>
      </c>
      <c r="I436" s="903"/>
      <c r="J436" s="899">
        <v>6390</v>
      </c>
    </row>
    <row r="437" spans="1:10" ht="15">
      <c r="A437" s="1171" t="str">
        <f>Таблица301715[[#This Row],[Группа]]&amp;Таблица301715[[#This Row],[Номенклатура]]&amp;Таблица301715[[#This Row],[ЕИ]]</f>
        <v>Детали трубопровода стальПереход К-159х6-89х5-12х18н10т ГОСТ 17378-2001шт</v>
      </c>
      <c r="B437" s="1165" t="s">
        <v>66</v>
      </c>
      <c r="C437" s="1165"/>
      <c r="D437" s="1178" t="s">
        <v>1240</v>
      </c>
      <c r="E437" s="1178"/>
      <c r="F437" s="907" t="s">
        <v>129</v>
      </c>
      <c r="G437" s="908">
        <v>10948.56</v>
      </c>
      <c r="H437" s="897" t="s">
        <v>131</v>
      </c>
      <c r="I437" s="903"/>
      <c r="J437" s="899">
        <v>10948.56</v>
      </c>
    </row>
    <row r="438" spans="1:10" ht="15">
      <c r="A438" s="1171" t="str">
        <f>Таблица301715[[#This Row],[Группа]]&amp;Таблица301715[[#This Row],[Номенклатура]]&amp;Таблица301715[[#This Row],[ЕИ]]</f>
        <v>Детали трубопровода стальПереход К-159х6-108х4-12х18н10т ГОСТ 17378-2001шт</v>
      </c>
      <c r="B438" s="1165" t="s">
        <v>66</v>
      </c>
      <c r="C438" s="1165"/>
      <c r="D438" s="1178" t="s">
        <v>1241</v>
      </c>
      <c r="E438" s="1178"/>
      <c r="F438" s="907" t="s">
        <v>129</v>
      </c>
      <c r="G438" s="908">
        <v>10526.88</v>
      </c>
      <c r="H438" s="897" t="s">
        <v>131</v>
      </c>
      <c r="I438" s="903"/>
      <c r="J438" s="899">
        <v>10526.88</v>
      </c>
    </row>
    <row r="439" spans="1:10" ht="15">
      <c r="A439" s="1171" t="str">
        <f>Таблица301715[[#This Row],[Группа]]&amp;Таблица301715[[#This Row],[Номенклатура]]&amp;Таблица301715[[#This Row],[ЕИ]]</f>
        <v>Детали трубопровода стальПереход К-168х4,5-108х4-12х18н10т ГОСТ 17378-2001шт</v>
      </c>
      <c r="B439" s="1165" t="s">
        <v>66</v>
      </c>
      <c r="C439" s="1165"/>
      <c r="D439" s="1178" t="s">
        <v>1242</v>
      </c>
      <c r="E439" s="1178"/>
      <c r="F439" s="907" t="s">
        <v>129</v>
      </c>
      <c r="G439" s="908">
        <v>10526.88</v>
      </c>
      <c r="H439" s="897" t="s">
        <v>131</v>
      </c>
      <c r="I439" s="903"/>
      <c r="J439" s="899">
        <v>10526.88</v>
      </c>
    </row>
    <row r="440" spans="1:10" ht="15">
      <c r="A440" s="1171" t="str">
        <f>Таблица301715[[#This Row],[Группа]]&amp;Таблица301715[[#This Row],[Номенклатура]]&amp;Таблица301715[[#This Row],[ЕИ]]</f>
        <v>Детали трубопровода стальПереход К-168х6-108х4-12х18н10т ГОСТ 17378-2001шт</v>
      </c>
      <c r="B440" s="1165" t="s">
        <v>66</v>
      </c>
      <c r="C440" s="1165"/>
      <c r="D440" s="1178" t="s">
        <v>1243</v>
      </c>
      <c r="E440" s="1178"/>
      <c r="F440" s="907" t="s">
        <v>129</v>
      </c>
      <c r="G440" s="908">
        <v>10526.88</v>
      </c>
      <c r="H440" s="897" t="s">
        <v>131</v>
      </c>
      <c r="I440" s="903"/>
      <c r="J440" s="899">
        <v>10526.88</v>
      </c>
    </row>
    <row r="441" spans="1:10" ht="15">
      <c r="A441" s="1171" t="str">
        <f>Таблица301715[[#This Row],[Группа]]&amp;Таблица301715[[#This Row],[Номенклатура]]&amp;Таблица301715[[#This Row],[ЕИ]]</f>
        <v>Детали трубопровода стальПереход К-168х6-114х4,5-12х18н10т ГОСТ 17378-2001шт</v>
      </c>
      <c r="B441" s="1165" t="s">
        <v>66</v>
      </c>
      <c r="C441" s="1165"/>
      <c r="D441" s="1178" t="s">
        <v>1244</v>
      </c>
      <c r="E441" s="1178"/>
      <c r="F441" s="907" t="s">
        <v>129</v>
      </c>
      <c r="G441" s="908">
        <v>10526.88</v>
      </c>
      <c r="H441" s="897" t="s">
        <v>131</v>
      </c>
      <c r="I441" s="903"/>
      <c r="J441" s="899">
        <v>10526.88</v>
      </c>
    </row>
    <row r="442" spans="1:10" ht="15">
      <c r="A442" s="1171" t="str">
        <f>Таблица301715[[#This Row],[Группа]]&amp;Таблица301715[[#This Row],[Номенклатура]]&amp;Таблица301715[[#This Row],[ЕИ]]</f>
        <v>Детали трубопровода стальПереход К-219х6-57х3-12х18н10т ГОСТ 17378-2001шт</v>
      </c>
      <c r="B442" s="1165" t="s">
        <v>66</v>
      </c>
      <c r="C442" s="1165"/>
      <c r="D442" s="1178" t="s">
        <v>1245</v>
      </c>
      <c r="E442" s="1178"/>
      <c r="F442" s="907" t="s">
        <v>129</v>
      </c>
      <c r="G442" s="908">
        <v>14532</v>
      </c>
      <c r="H442" s="897" t="s">
        <v>131</v>
      </c>
      <c r="I442" s="903"/>
      <c r="J442" s="899">
        <v>14532</v>
      </c>
    </row>
    <row r="443" spans="1:10" ht="15">
      <c r="A443" s="1171" t="str">
        <f>Таблица301715[[#This Row],[Группа]]&amp;Таблица301715[[#This Row],[Номенклатура]]&amp;Таблица301715[[#This Row],[ЕИ]]</f>
        <v>Детали трубопровода стальПереход К-219х6-76х3,5-12х18н10т ГОСТ 17378-2001шт</v>
      </c>
      <c r="B443" s="1165" t="s">
        <v>66</v>
      </c>
      <c r="C443" s="1165"/>
      <c r="D443" s="1178" t="s">
        <v>1246</v>
      </c>
      <c r="E443" s="1178"/>
      <c r="F443" s="907" t="s">
        <v>129</v>
      </c>
      <c r="G443" s="908">
        <v>12392</v>
      </c>
      <c r="H443" s="897" t="s">
        <v>131</v>
      </c>
      <c r="I443" s="903"/>
      <c r="J443" s="899">
        <v>12392</v>
      </c>
    </row>
    <row r="444" spans="1:10" ht="15">
      <c r="A444" s="1171" t="str">
        <f>Таблица301715[[#This Row],[Группа]]&amp;Таблица301715[[#This Row],[Номенклатура]]&amp;Таблица301715[[#This Row],[ЕИ]]</f>
        <v>Детали трубопровода стальПереход К-219х6-89х3,5-12х18н10т ГОСТ 17378-2001шт</v>
      </c>
      <c r="B444" s="1165" t="s">
        <v>66</v>
      </c>
      <c r="C444" s="1165"/>
      <c r="D444" s="1178" t="s">
        <v>1247</v>
      </c>
      <c r="E444" s="1178"/>
      <c r="F444" s="907" t="s">
        <v>129</v>
      </c>
      <c r="G444" s="908">
        <v>12948</v>
      </c>
      <c r="H444" s="897" t="s">
        <v>131</v>
      </c>
      <c r="I444" s="903"/>
      <c r="J444" s="899">
        <v>12948</v>
      </c>
    </row>
    <row r="445" spans="1:10" ht="15">
      <c r="A445" s="1171" t="str">
        <f>Таблица301715[[#This Row],[Группа]]&amp;Таблица301715[[#This Row],[Номенклатура]]&amp;Таблица301715[[#This Row],[ЕИ]]</f>
        <v>Детали трубопровода стальПереход К-219х6-89х4-12х18н10т ГОСТ 17378-2001шт</v>
      </c>
      <c r="B445" s="1165" t="s">
        <v>66</v>
      </c>
      <c r="C445" s="1165"/>
      <c r="D445" s="1178" t="s">
        <v>1248</v>
      </c>
      <c r="E445" s="1178"/>
      <c r="F445" s="907" t="s">
        <v>129</v>
      </c>
      <c r="G445" s="908">
        <v>14302</v>
      </c>
      <c r="H445" s="897" t="s">
        <v>131</v>
      </c>
      <c r="I445" s="903"/>
      <c r="J445" s="899">
        <v>14302</v>
      </c>
    </row>
    <row r="446" spans="1:10" ht="15">
      <c r="A446" s="1171" t="str">
        <f>Таблица301715[[#This Row],[Группа]]&amp;Таблица301715[[#This Row],[Номенклатура]]&amp;Таблица301715[[#This Row],[ЕИ]]</f>
        <v>Детали трубопровода стальПереход К-219х6-108х4,5-12х18н10т ГОСТ 17378-2001шт</v>
      </c>
      <c r="B446" s="1165" t="s">
        <v>66</v>
      </c>
      <c r="C446" s="1165"/>
      <c r="D446" s="1178" t="s">
        <v>1249</v>
      </c>
      <c r="E446" s="1178"/>
      <c r="F446" s="907" t="s">
        <v>129</v>
      </c>
      <c r="G446" s="911">
        <v>14532</v>
      </c>
      <c r="H446" s="897" t="s">
        <v>131</v>
      </c>
      <c r="I446" s="903"/>
      <c r="J446" s="899">
        <v>14532</v>
      </c>
    </row>
    <row r="447" spans="1:10" ht="15">
      <c r="A447" s="1171" t="str">
        <f>Таблица301715[[#This Row],[Группа]]&amp;Таблица301715[[#This Row],[Номенклатура]]&amp;Таблица301715[[#This Row],[ЕИ]]</f>
        <v>Детали трубопровода стальПереход К-219х6-114х4,5-12х18н10т ГОСТ 17378-2001шт</v>
      </c>
      <c r="B447" s="1165" t="s">
        <v>66</v>
      </c>
      <c r="C447" s="1165"/>
      <c r="D447" s="1178" t="s">
        <v>1250</v>
      </c>
      <c r="E447" s="1178"/>
      <c r="F447" s="907" t="s">
        <v>129</v>
      </c>
      <c r="G447" s="911">
        <v>14532</v>
      </c>
      <c r="H447" s="897" t="s">
        <v>131</v>
      </c>
      <c r="I447" s="903"/>
      <c r="J447" s="899">
        <v>14532</v>
      </c>
    </row>
    <row r="448" spans="1:10" ht="15">
      <c r="A448" s="1171" t="str">
        <f>Таблица301715[[#This Row],[Группа]]&amp;Таблица301715[[#This Row],[Номенклатура]]&amp;Таблица301715[[#This Row],[ЕИ]]</f>
        <v>Детали трубопровода стальПереход К-219х6-133х4,5-12х18н10т ГОСТ 17378-2001шт</v>
      </c>
      <c r="B448" s="1165" t="s">
        <v>66</v>
      </c>
      <c r="C448" s="1165"/>
      <c r="D448" s="1178" t="s">
        <v>1251</v>
      </c>
      <c r="E448" s="1178"/>
      <c r="F448" s="907" t="s">
        <v>129</v>
      </c>
      <c r="G448" s="908">
        <v>15288</v>
      </c>
      <c r="H448" s="897" t="s">
        <v>131</v>
      </c>
      <c r="I448" s="903"/>
      <c r="J448" s="899">
        <v>15288</v>
      </c>
    </row>
    <row r="449" spans="1:10" ht="15">
      <c r="A449" s="1171" t="str">
        <f>Таблица301715[[#This Row],[Группа]]&amp;Таблица301715[[#This Row],[Номенклатура]]&amp;Таблица301715[[#This Row],[ЕИ]]</f>
        <v>Детали трубопровода стальПереход К-219х6-159х4,5-12х18н10т ГОСТ 17378-2001шт</v>
      </c>
      <c r="B449" s="1165" t="s">
        <v>66</v>
      </c>
      <c r="C449" s="1165"/>
      <c r="D449" s="1178" t="s">
        <v>1252</v>
      </c>
      <c r="E449" s="1178"/>
      <c r="F449" s="907" t="s">
        <v>129</v>
      </c>
      <c r="G449" s="908">
        <v>12751.2</v>
      </c>
      <c r="H449" s="897" t="s">
        <v>131</v>
      </c>
      <c r="I449" s="903"/>
      <c r="J449" s="899">
        <v>12751.2</v>
      </c>
    </row>
    <row r="450" spans="1:10" ht="15">
      <c r="A450" s="1171" t="str">
        <f>Таблица301715[[#This Row],[Группа]]&amp;Таблица301715[[#This Row],[Номенклатура]]&amp;Таблица301715[[#This Row],[ЕИ]]</f>
        <v>Детали трубопровода стальПереход К-219х6-168х4,5-12х18н10т ГОСТ 17378-2001шт</v>
      </c>
      <c r="B450" s="1165" t="s">
        <v>66</v>
      </c>
      <c r="C450" s="1165"/>
      <c r="D450" s="1178" t="s">
        <v>1253</v>
      </c>
      <c r="E450" s="1178"/>
      <c r="F450" s="907" t="s">
        <v>129</v>
      </c>
      <c r="G450" s="908">
        <v>12829</v>
      </c>
      <c r="H450" s="897" t="s">
        <v>131</v>
      </c>
      <c r="I450" s="903"/>
      <c r="J450" s="899">
        <v>12829</v>
      </c>
    </row>
    <row r="451" spans="1:10" ht="15">
      <c r="A451" s="1171" t="str">
        <f>Таблица301715[[#This Row],[Группа]]&amp;Таблица301715[[#This Row],[Номенклатура]]&amp;Таблица301715[[#This Row],[ЕИ]]</f>
        <v>Детали трубопровода стальПереход К-273х4,5-159х4,0-12х18н10т ГОСТ 17378-2001шт</v>
      </c>
      <c r="B451" s="1165" t="s">
        <v>66</v>
      </c>
      <c r="C451" s="1165"/>
      <c r="D451" s="1178" t="s">
        <v>1254</v>
      </c>
      <c r="E451" s="1178"/>
      <c r="F451" s="907" t="s">
        <v>129</v>
      </c>
      <c r="G451" s="908">
        <v>16289</v>
      </c>
      <c r="H451" s="897" t="s">
        <v>131</v>
      </c>
      <c r="I451" s="903"/>
      <c r="J451" s="899">
        <v>16289</v>
      </c>
    </row>
    <row r="452" spans="1:10" ht="15">
      <c r="A452" s="1171" t="str">
        <f>Таблица301715[[#This Row],[Группа]]&amp;Таблица301715[[#This Row],[Номенклатура]]&amp;Таблица301715[[#This Row],[ЕИ]]</f>
        <v>Детали трубопровода стальПереход К-273х4,5-219х4,0-12х18н10т ГОСТ 17378-2001шт</v>
      </c>
      <c r="B452" s="1165" t="s">
        <v>66</v>
      </c>
      <c r="C452" s="1165"/>
      <c r="D452" s="1178" t="s">
        <v>1255</v>
      </c>
      <c r="E452" s="1178"/>
      <c r="F452" s="907" t="s">
        <v>129</v>
      </c>
      <c r="G452" s="908">
        <v>32920</v>
      </c>
      <c r="H452" s="897" t="s">
        <v>131</v>
      </c>
      <c r="I452" s="903"/>
      <c r="J452" s="899">
        <v>32920</v>
      </c>
    </row>
    <row r="453" spans="1:10" ht="15">
      <c r="A453" s="1171" t="str">
        <f>Таблица301715[[#This Row],[Группа]]&amp;Таблица301715[[#This Row],[Номенклатура]]&amp;Таблица301715[[#This Row],[ЕИ]]</f>
        <v>Детали трубопровода стальПереход К-273х7-159х4,5-12х18н10т ГОСТ 17378-2001шт</v>
      </c>
      <c r="B453" s="1165" t="s">
        <v>66</v>
      </c>
      <c r="C453" s="1165"/>
      <c r="D453" s="1178" t="s">
        <v>1256</v>
      </c>
      <c r="E453" s="1178"/>
      <c r="F453" s="907" t="s">
        <v>129</v>
      </c>
      <c r="G453" s="908">
        <v>35868</v>
      </c>
      <c r="H453" s="897" t="s">
        <v>131</v>
      </c>
      <c r="I453" s="903"/>
      <c r="J453" s="899">
        <v>35868</v>
      </c>
    </row>
    <row r="454" spans="1:10" ht="15">
      <c r="A454" s="1171" t="str">
        <f>Таблица301715[[#This Row],[Группа]]&amp;Таблица301715[[#This Row],[Номенклатура]]&amp;Таблица301715[[#This Row],[ЕИ]]</f>
        <v>Детали трубопровода стальПереход К-273х8-159х6-12х18н10т ГОСТ 17378-2001шт</v>
      </c>
      <c r="B454" s="1165" t="s">
        <v>66</v>
      </c>
      <c r="C454" s="1165"/>
      <c r="D454" s="1178" t="s">
        <v>1257</v>
      </c>
      <c r="E454" s="1178"/>
      <c r="F454" s="907" t="s">
        <v>129</v>
      </c>
      <c r="G454" s="908">
        <v>35868</v>
      </c>
      <c r="H454" s="897" t="s">
        <v>131</v>
      </c>
      <c r="I454" s="903"/>
      <c r="J454" s="899">
        <v>35868</v>
      </c>
    </row>
    <row r="455" spans="1:10" ht="15">
      <c r="A455" s="1171" t="str">
        <f>Таблица301715[[#This Row],[Группа]]&amp;Таблица301715[[#This Row],[Номенклатура]]&amp;Таблица301715[[#This Row],[ЕИ]]</f>
        <v>Детали трубопровода стальПереход К-273х8-159х7-12х18н10т ГОСТ 17378-2001шт</v>
      </c>
      <c r="B455" s="1165" t="s">
        <v>66</v>
      </c>
      <c r="C455" s="1165"/>
      <c r="D455" s="1178" t="s">
        <v>1258</v>
      </c>
      <c r="E455" s="1178"/>
      <c r="F455" s="907" t="s">
        <v>129</v>
      </c>
      <c r="G455" s="908">
        <v>35868</v>
      </c>
      <c r="H455" s="897" t="s">
        <v>131</v>
      </c>
      <c r="I455" s="903"/>
      <c r="J455" s="899">
        <v>35868</v>
      </c>
    </row>
    <row r="456" spans="1:10" ht="15">
      <c r="A456" s="1171" t="str">
        <f>Таблица301715[[#This Row],[Группа]]&amp;Таблица301715[[#This Row],[Номенклатура]]&amp;Таблица301715[[#This Row],[ЕИ]]</f>
        <v>Детали трубопровода стальПереход К-273х8-219х6-12х18н10т ГОСТ 17378-2001шт</v>
      </c>
      <c r="B456" s="1165" t="s">
        <v>66</v>
      </c>
      <c r="C456" s="1165"/>
      <c r="D456" s="1178" t="s">
        <v>1259</v>
      </c>
      <c r="E456" s="1178"/>
      <c r="F456" s="907" t="s">
        <v>129</v>
      </c>
      <c r="G456" s="908">
        <v>39117.120000000003</v>
      </c>
      <c r="H456" s="897" t="s">
        <v>131</v>
      </c>
      <c r="I456" s="903"/>
      <c r="J456" s="899">
        <v>39117.120000000003</v>
      </c>
    </row>
    <row r="457" spans="1:10" ht="15">
      <c r="A457" s="1171" t="str">
        <f>Таблица301715[[#This Row],[Группа]]&amp;Таблица301715[[#This Row],[Номенклатура]]&amp;Таблица301715[[#This Row],[ЕИ]]</f>
        <v>Детали трубопровода стальПереход К-273х8-219х7-12х18н10т ГОСТ 17378-2001шт</v>
      </c>
      <c r="B457" s="1165" t="s">
        <v>66</v>
      </c>
      <c r="C457" s="1165"/>
      <c r="D457" s="1178" t="s">
        <v>1260</v>
      </c>
      <c r="E457" s="1178"/>
      <c r="F457" s="907" t="s">
        <v>129</v>
      </c>
      <c r="G457" s="908">
        <v>39117.120000000003</v>
      </c>
      <c r="H457" s="897" t="s">
        <v>131</v>
      </c>
      <c r="I457" s="903"/>
      <c r="J457" s="899">
        <v>39117.120000000003</v>
      </c>
    </row>
    <row r="458" spans="1:10" ht="15">
      <c r="A458" s="1171" t="str">
        <f>Таблица301715[[#This Row],[Группа]]&amp;Таблица301715[[#This Row],[Номенклатура]]&amp;Таблица301715[[#This Row],[ЕИ]]</f>
        <v>Детали трубопровода стальПереход К-273х10-219х10-12х18н10т ГОСТ 17378-2001шт</v>
      </c>
      <c r="B458" s="1165" t="s">
        <v>66</v>
      </c>
      <c r="C458" s="1165"/>
      <c r="D458" s="1178" t="s">
        <v>1261</v>
      </c>
      <c r="E458" s="1178"/>
      <c r="F458" s="907" t="s">
        <v>129</v>
      </c>
      <c r="G458" s="908">
        <v>39117.120000000003</v>
      </c>
      <c r="H458" s="897" t="s">
        <v>131</v>
      </c>
      <c r="I458" s="903"/>
      <c r="J458" s="899">
        <v>39117.120000000003</v>
      </c>
    </row>
    <row r="459" spans="1:10" ht="15">
      <c r="A459" s="1171" t="str">
        <f>Таблица301715[[#This Row],[Группа]]&amp;Таблица301715[[#This Row],[Номенклатура]]&amp;Таблица301715[[#This Row],[ЕИ]]</f>
        <v>Детали трубопровода стальПереход К-325х5-219х4,5-12х18н10т ГОСТ 17378-2001шт</v>
      </c>
      <c r="B459" s="1165" t="s">
        <v>66</v>
      </c>
      <c r="C459" s="1165"/>
      <c r="D459" s="1178" t="s">
        <v>1262</v>
      </c>
      <c r="E459" s="1178"/>
      <c r="F459" s="907" t="s">
        <v>129</v>
      </c>
      <c r="G459" s="908">
        <v>43260</v>
      </c>
      <c r="H459" s="897" t="s">
        <v>131</v>
      </c>
      <c r="I459" s="903"/>
      <c r="J459" s="899">
        <v>43260</v>
      </c>
    </row>
    <row r="460" spans="1:10" ht="15">
      <c r="A460" s="1171" t="str">
        <f>Таблица301715[[#This Row],[Группа]]&amp;Таблица301715[[#This Row],[Номенклатура]]&amp;Таблица301715[[#This Row],[ЕИ]]</f>
        <v>Детали трубопровода стальПереход К-325х8-219х6-12х18н10т ГОСТ 17378-2001шт</v>
      </c>
      <c r="B460" s="1165" t="s">
        <v>66</v>
      </c>
      <c r="C460" s="1165"/>
      <c r="D460" s="1178" t="s">
        <v>1263</v>
      </c>
      <c r="E460" s="1178"/>
      <c r="F460" s="907" t="s">
        <v>129</v>
      </c>
      <c r="G460" s="908">
        <v>43260</v>
      </c>
      <c r="H460" s="897" t="s">
        <v>131</v>
      </c>
      <c r="I460" s="903"/>
      <c r="J460" s="899">
        <v>43260</v>
      </c>
    </row>
    <row r="461" spans="1:10" ht="15">
      <c r="A461" s="1171" t="str">
        <f>Таблица301715[[#This Row],[Группа]]&amp;Таблица301715[[#This Row],[Номенклатура]]&amp;Таблица301715[[#This Row],[ЕИ]]</f>
        <v>Детали трубопровода стальПереход К-325х8-219х8-12х18н10т ГОСТ 17378-2001шт</v>
      </c>
      <c r="B461" s="1165" t="s">
        <v>66</v>
      </c>
      <c r="C461" s="1165"/>
      <c r="D461" s="1178" t="s">
        <v>1264</v>
      </c>
      <c r="E461" s="1178"/>
      <c r="F461" s="907" t="s">
        <v>129</v>
      </c>
      <c r="G461" s="908">
        <v>42672</v>
      </c>
      <c r="H461" s="897" t="s">
        <v>131</v>
      </c>
      <c r="I461" s="903"/>
      <c r="J461" s="899">
        <v>42672</v>
      </c>
    </row>
    <row r="462" spans="1:10" ht="15">
      <c r="A462" s="1171" t="str">
        <f>Таблица301715[[#This Row],[Группа]]&amp;Таблица301715[[#This Row],[Номенклатура]]&amp;Таблица301715[[#This Row],[ЕИ]]</f>
        <v>Детали трубопровода стальПереход К-325х8-273х6-12х18н10т ГОСТ 17378-2001шт</v>
      </c>
      <c r="B462" s="1165" t="s">
        <v>66</v>
      </c>
      <c r="C462" s="1165"/>
      <c r="D462" s="1178" t="s">
        <v>1265</v>
      </c>
      <c r="E462" s="1178"/>
      <c r="F462" s="907" t="s">
        <v>129</v>
      </c>
      <c r="G462" s="908">
        <v>42672</v>
      </c>
      <c r="H462" s="897" t="s">
        <v>131</v>
      </c>
      <c r="I462" s="903"/>
      <c r="J462" s="899">
        <v>42672</v>
      </c>
    </row>
    <row r="463" spans="1:10" ht="15">
      <c r="A463" s="1171" t="str">
        <f>Таблица301715[[#This Row],[Группа]]&amp;Таблица301715[[#This Row],[Номенклатура]]&amp;Таблица301715[[#This Row],[ЕИ]]</f>
        <v>Детали трубопровода стальПереход К-325х8-273х7-12х18н10т ГОСТ 17378-2001шт</v>
      </c>
      <c r="B463" s="1165" t="s">
        <v>66</v>
      </c>
      <c r="C463" s="1165"/>
      <c r="D463" s="1178" t="s">
        <v>1266</v>
      </c>
      <c r="E463" s="1178"/>
      <c r="F463" s="907" t="s">
        <v>129</v>
      </c>
      <c r="G463" s="908">
        <v>42672</v>
      </c>
      <c r="H463" s="897" t="s">
        <v>131</v>
      </c>
      <c r="I463" s="903"/>
      <c r="J463" s="899">
        <v>42672</v>
      </c>
    </row>
    <row r="464" spans="1:10" ht="15">
      <c r="A464" s="1171" t="str">
        <f>Таблица301715[[#This Row],[Группа]]&amp;Таблица301715[[#This Row],[Номенклатура]]&amp;Таблица301715[[#This Row],[ЕИ]]</f>
        <v>Детали трубопровода стальПереход К-325х10-219х8-12х18н10т ГОСТ 17378-2001шт</v>
      </c>
      <c r="B464" s="1165" t="s">
        <v>66</v>
      </c>
      <c r="C464" s="1165"/>
      <c r="D464" s="1178" t="s">
        <v>1267</v>
      </c>
      <c r="E464" s="1178"/>
      <c r="F464" s="907" t="s">
        <v>129</v>
      </c>
      <c r="G464" s="908">
        <v>42672</v>
      </c>
      <c r="H464" s="897" t="s">
        <v>131</v>
      </c>
      <c r="I464" s="903"/>
      <c r="J464" s="899">
        <v>42672</v>
      </c>
    </row>
    <row r="465" spans="1:10" ht="15">
      <c r="A465" s="1171" t="str">
        <f>Таблица301715[[#This Row],[Группа]]&amp;Таблица301715[[#This Row],[Номенклатура]]&amp;Таблица301715[[#This Row],[ЕИ]]</f>
        <v>Детали трубопровода стальПереход К-325х10-273х10-12х18н10т ГОСТ 17378-2001шт</v>
      </c>
      <c r="B465" s="1165" t="s">
        <v>66</v>
      </c>
      <c r="C465" s="1165"/>
      <c r="D465" s="1178" t="s">
        <v>1268</v>
      </c>
      <c r="E465" s="1178"/>
      <c r="F465" s="907" t="s">
        <v>129</v>
      </c>
      <c r="G465" s="908">
        <v>43827</v>
      </c>
      <c r="H465" s="897" t="s">
        <v>131</v>
      </c>
      <c r="I465" s="903"/>
      <c r="J465" s="899">
        <v>43827</v>
      </c>
    </row>
    <row r="466" spans="1:10" ht="15">
      <c r="A466" s="1171" t="str">
        <f>Таблица301715[[#This Row],[Группа]]&amp;Таблица301715[[#This Row],[Номенклатура]]&amp;Таблица301715[[#This Row],[ЕИ]]</f>
        <v>Детали трубопровода стальПереход К-377х10-325х8-12х18н10т ГОСТ 17378-2001шт</v>
      </c>
      <c r="B466" s="1165" t="s">
        <v>66</v>
      </c>
      <c r="C466" s="1165"/>
      <c r="D466" s="1178" t="s">
        <v>1269</v>
      </c>
      <c r="E466" s="1178"/>
      <c r="F466" s="907" t="s">
        <v>129</v>
      </c>
      <c r="G466" s="908">
        <v>58111.199999999997</v>
      </c>
      <c r="H466" s="897" t="s">
        <v>131</v>
      </c>
      <c r="I466" s="903"/>
      <c r="J466" s="899">
        <v>58111.199999999997</v>
      </c>
    </row>
    <row r="467" spans="1:10" ht="15">
      <c r="A467" s="1171" t="str">
        <f>Таблица301715[[#This Row],[Группа]]&amp;Таблица301715[[#This Row],[Номенклатура]]&amp;Таблица301715[[#This Row],[ЕИ]]</f>
        <v>Детали трубопровода стальПереход К-426х10-325х10-12х18н10т ГОСТ 17378-2001шт</v>
      </c>
      <c r="B467" s="1165" t="s">
        <v>66</v>
      </c>
      <c r="C467" s="1165"/>
      <c r="D467" s="1178" t="s">
        <v>1270</v>
      </c>
      <c r="E467" s="1178"/>
      <c r="F467" s="907" t="s">
        <v>129</v>
      </c>
      <c r="G467" s="908">
        <v>69313.440000000002</v>
      </c>
      <c r="H467" s="897" t="s">
        <v>131</v>
      </c>
      <c r="I467" s="903"/>
      <c r="J467" s="899">
        <v>69313.440000000002</v>
      </c>
    </row>
    <row r="468" spans="1:10" ht="15">
      <c r="A468" s="1171" t="str">
        <f>Таблица301715[[#This Row],[Группа]]&amp;Таблица301715[[#This Row],[Номенклатура]]&amp;Таблица301715[[#This Row],[ЕИ]]</f>
        <v>Детали трубопровода стальПереход К-426х10-377х10-12х18н10т ГОСТ 17378-2001шт</v>
      </c>
      <c r="B468" s="1165" t="s">
        <v>66</v>
      </c>
      <c r="C468" s="1165"/>
      <c r="D468" s="1178" t="s">
        <v>1271</v>
      </c>
      <c r="E468" s="1178"/>
      <c r="F468" s="907" t="s">
        <v>129</v>
      </c>
      <c r="G468" s="908">
        <v>101209.92</v>
      </c>
      <c r="H468" s="897" t="s">
        <v>131</v>
      </c>
      <c r="I468" s="903"/>
      <c r="J468" s="899">
        <v>101209.92</v>
      </c>
    </row>
    <row r="469" spans="1:10" ht="15">
      <c r="A469" s="1171" t="str">
        <f>Таблица301715[[#This Row],[Группа]]&amp;Таблица301715[[#This Row],[Номенклатура]]&amp;Таблица301715[[#This Row],[ЕИ]]</f>
        <v>Детали трубопровода стальПереход К-530х10-377х10-12х18н10т ГОСТ 17378-2001шт</v>
      </c>
      <c r="B469" s="1165" t="s">
        <v>66</v>
      </c>
      <c r="C469" s="1165"/>
      <c r="D469" s="1178" t="s">
        <v>1272</v>
      </c>
      <c r="E469" s="1178"/>
      <c r="F469" s="907" t="s">
        <v>129</v>
      </c>
      <c r="G469" s="908">
        <v>189230</v>
      </c>
      <c r="H469" s="897" t="s">
        <v>131</v>
      </c>
      <c r="I469" s="903"/>
      <c r="J469" s="899">
        <v>189230</v>
      </c>
    </row>
    <row r="470" spans="1:10" ht="15">
      <c r="A470" s="1171" t="str">
        <f>Таблица301715[[#This Row],[Группа]]&amp;Таблица301715[[#This Row],[Номенклатура]]&amp;Таблица301715[[#This Row],[ЕИ]]</f>
        <v>Детали трубопровода стальПереход К-530х10-426х10-12х18н10т ГОСТ 17378-2001шт</v>
      </c>
      <c r="B470" s="1165" t="s">
        <v>66</v>
      </c>
      <c r="C470" s="1165"/>
      <c r="D470" s="1178" t="s">
        <v>1273</v>
      </c>
      <c r="E470" s="1178"/>
      <c r="F470" s="907" t="s">
        <v>129</v>
      </c>
      <c r="G470" s="908">
        <v>189574</v>
      </c>
      <c r="H470" s="897" t="s">
        <v>131</v>
      </c>
      <c r="I470" s="903"/>
      <c r="J470" s="899">
        <v>189574</v>
      </c>
    </row>
    <row r="471" spans="1:10" ht="15">
      <c r="A471" s="1171" t="str">
        <f>Таблица301715[[#This Row],[Группа]]&amp;Таблица301715[[#This Row],[Номенклатура]]&amp;Таблица301715[[#This Row],[ЕИ]]</f>
        <v>Детали трубопровода стальТройник 10х2-12х18н10т ГОСТ 17376-2001 сварнойшт</v>
      </c>
      <c r="B471" s="1165" t="s">
        <v>66</v>
      </c>
      <c r="C471" s="1165"/>
      <c r="D471" s="1178" t="s">
        <v>1274</v>
      </c>
      <c r="E471" s="1178"/>
      <c r="F471" s="907" t="s">
        <v>129</v>
      </c>
      <c r="G471" s="908">
        <v>1466.64</v>
      </c>
      <c r="H471" s="897" t="s">
        <v>131</v>
      </c>
      <c r="I471" s="903"/>
      <c r="J471" s="899">
        <v>1466.64</v>
      </c>
    </row>
    <row r="472" spans="1:10" ht="15">
      <c r="A472" s="1171" t="str">
        <f>Таблица301715[[#This Row],[Группа]]&amp;Таблица301715[[#This Row],[Номенклатура]]&amp;Таблица301715[[#This Row],[ЕИ]]</f>
        <v>Детали трубопровода стальТройник 14х2-12х18н10т ГОСТ 17376-2001 сварнойшт</v>
      </c>
      <c r="B472" s="1165" t="s">
        <v>66</v>
      </c>
      <c r="C472" s="1165"/>
      <c r="D472" s="1178" t="s">
        <v>1275</v>
      </c>
      <c r="E472" s="1178"/>
      <c r="F472" s="907" t="s">
        <v>129</v>
      </c>
      <c r="G472" s="908">
        <v>1466.64</v>
      </c>
      <c r="H472" s="897" t="s">
        <v>131</v>
      </c>
      <c r="I472" s="903"/>
      <c r="J472" s="899">
        <v>1466.64</v>
      </c>
    </row>
    <row r="473" spans="1:10" ht="15">
      <c r="A473" s="1171" t="str">
        <f>Таблица301715[[#This Row],[Группа]]&amp;Таблица301715[[#This Row],[Номенклатура]]&amp;Таблица301715[[#This Row],[ЕИ]]</f>
        <v>Детали трубопровода стальТройник 18х3-12х18н10т ГОСТ 17376-2001 сварнойшт</v>
      </c>
      <c r="B473" s="1165" t="s">
        <v>66</v>
      </c>
      <c r="C473" s="1165"/>
      <c r="D473" s="1178" t="s">
        <v>1276</v>
      </c>
      <c r="E473" s="1178"/>
      <c r="F473" s="907" t="s">
        <v>129</v>
      </c>
      <c r="G473" s="908">
        <v>1466.64</v>
      </c>
      <c r="H473" s="897" t="s">
        <v>131</v>
      </c>
      <c r="I473" s="903"/>
      <c r="J473" s="899">
        <v>1466.64</v>
      </c>
    </row>
    <row r="474" spans="1:10" ht="15">
      <c r="A474" s="1171" t="str">
        <f>Таблица301715[[#This Row],[Группа]]&amp;Таблица301715[[#This Row],[Номенклатура]]&amp;Таблица301715[[#This Row],[ЕИ]]</f>
        <v>Детали трубопровода стальТройник 25х3-12х18н10т ГОСТ 17376-2001 сварнойшт</v>
      </c>
      <c r="B474" s="1165" t="s">
        <v>66</v>
      </c>
      <c r="C474" s="1165"/>
      <c r="D474" s="1178" t="s">
        <v>1277</v>
      </c>
      <c r="E474" s="1178"/>
      <c r="F474" s="907" t="s">
        <v>129</v>
      </c>
      <c r="G474" s="908">
        <v>1466.64</v>
      </c>
      <c r="H474" s="897" t="s">
        <v>131</v>
      </c>
      <c r="I474" s="903"/>
      <c r="J474" s="899">
        <v>1466.64</v>
      </c>
    </row>
    <row r="475" spans="1:10" ht="15">
      <c r="A475" s="1171" t="str">
        <f>Таблица301715[[#This Row],[Группа]]&amp;Таблица301715[[#This Row],[Номенклатура]]&amp;Таблица301715[[#This Row],[ЕИ]]</f>
        <v>Детали трубопровода стальТройник 25х3-18х2,5-12х18н10т ГОСТ 17376-2001 сварнойшт</v>
      </c>
      <c r="B475" s="1165" t="s">
        <v>66</v>
      </c>
      <c r="C475" s="1165"/>
      <c r="D475" s="1178" t="s">
        <v>1278</v>
      </c>
      <c r="E475" s="1178"/>
      <c r="F475" s="907" t="s">
        <v>129</v>
      </c>
      <c r="G475" s="908">
        <v>1466.64</v>
      </c>
      <c r="H475" s="897" t="s">
        <v>131</v>
      </c>
      <c r="I475" s="903"/>
      <c r="J475" s="899">
        <v>1466.64</v>
      </c>
    </row>
    <row r="476" spans="1:10" ht="15">
      <c r="A476" s="1171" t="str">
        <f>Таблица301715[[#This Row],[Группа]]&amp;Таблица301715[[#This Row],[Номенклатура]]&amp;Таблица301715[[#This Row],[ЕИ]]</f>
        <v>Детали трубопровода стальТройник 32х3-12х18н10т ГОСТ 17376-2001 сварнойшт</v>
      </c>
      <c r="B476" s="1165" t="s">
        <v>66</v>
      </c>
      <c r="C476" s="1165"/>
      <c r="D476" s="1178" t="s">
        <v>1279</v>
      </c>
      <c r="E476" s="1178"/>
      <c r="F476" s="907" t="s">
        <v>129</v>
      </c>
      <c r="G476" s="908">
        <v>1493.52</v>
      </c>
      <c r="H476" s="897" t="s">
        <v>131</v>
      </c>
      <c r="I476" s="903"/>
      <c r="J476" s="899">
        <v>1493.52</v>
      </c>
    </row>
    <row r="477" spans="1:10" ht="15">
      <c r="A477" s="1171" t="str">
        <f>Таблица301715[[#This Row],[Группа]]&amp;Таблица301715[[#This Row],[Номенклатура]]&amp;Таблица301715[[#This Row],[ЕИ]]</f>
        <v>Детали трубопровода стальТройник 32х3-25х3-12х18н10т ГОСТ 17376-2001 сварнойшт</v>
      </c>
      <c r="B477" s="1165" t="s">
        <v>66</v>
      </c>
      <c r="C477" s="1165"/>
      <c r="D477" s="1178" t="s">
        <v>1280</v>
      </c>
      <c r="E477" s="1178"/>
      <c r="F477" s="907" t="s">
        <v>129</v>
      </c>
      <c r="G477" s="908">
        <v>1493.52</v>
      </c>
      <c r="H477" s="897" t="s">
        <v>131</v>
      </c>
      <c r="I477" s="903"/>
      <c r="J477" s="899">
        <v>1493.52</v>
      </c>
    </row>
    <row r="478" spans="1:10" ht="15">
      <c r="A478" s="1171" t="str">
        <f>Таблица301715[[#This Row],[Группа]]&amp;Таблица301715[[#This Row],[Номенклатура]]&amp;Таблица301715[[#This Row],[ЕИ]]</f>
        <v>Детали трубопровода стальТройник 38х3-12х18н10т ГОСТ 17376-2001 сварнойшт</v>
      </c>
      <c r="B478" s="1165" t="s">
        <v>66</v>
      </c>
      <c r="C478" s="1165"/>
      <c r="D478" s="1178" t="s">
        <v>1281</v>
      </c>
      <c r="E478" s="1178"/>
      <c r="F478" s="907" t="s">
        <v>129</v>
      </c>
      <c r="G478" s="908">
        <v>2052.96</v>
      </c>
      <c r="H478" s="897" t="s">
        <v>131</v>
      </c>
      <c r="I478" s="903"/>
      <c r="J478" s="899">
        <v>2052.96</v>
      </c>
    </row>
    <row r="479" spans="1:10" ht="15">
      <c r="A479" s="1171" t="str">
        <f>Таблица301715[[#This Row],[Группа]]&amp;Таблица301715[[#This Row],[Номенклатура]]&amp;Таблица301715[[#This Row],[ЕИ]]</f>
        <v>Детали трубопровода стальТройник 38х3-25х3-12х18н10т ГОСТ 17376-2001 сварнойшт</v>
      </c>
      <c r="B479" s="1165" t="s">
        <v>66</v>
      </c>
      <c r="C479" s="1165"/>
      <c r="D479" s="1178" t="s">
        <v>1282</v>
      </c>
      <c r="E479" s="1178"/>
      <c r="F479" s="907" t="s">
        <v>129</v>
      </c>
      <c r="G479" s="908">
        <v>2052.96</v>
      </c>
      <c r="H479" s="897" t="s">
        <v>131</v>
      </c>
      <c r="I479" s="903"/>
      <c r="J479" s="899">
        <v>2052.96</v>
      </c>
    </row>
    <row r="480" spans="1:10" ht="15">
      <c r="A480" s="1171" t="str">
        <f>Таблица301715[[#This Row],[Группа]]&amp;Таблица301715[[#This Row],[Номенклатура]]&amp;Таблица301715[[#This Row],[ЕИ]]</f>
        <v>Детали трубопровода стальТройник 38х3-32х3-12х18н10т ГОСТ 17376-2001 сварнойшт</v>
      </c>
      <c r="B480" s="1165" t="s">
        <v>66</v>
      </c>
      <c r="C480" s="1165"/>
      <c r="D480" s="1178" t="s">
        <v>1283</v>
      </c>
      <c r="E480" s="1178"/>
      <c r="F480" s="907" t="s">
        <v>129</v>
      </c>
      <c r="G480" s="908">
        <v>2052.96</v>
      </c>
      <c r="H480" s="897" t="s">
        <v>131</v>
      </c>
      <c r="I480" s="903"/>
      <c r="J480" s="899">
        <v>2052.96</v>
      </c>
    </row>
    <row r="481" spans="1:11" ht="15">
      <c r="A481" s="1171" t="str">
        <f>Таблица301715[[#This Row],[Группа]]&amp;Таблица301715[[#This Row],[Номенклатура]]&amp;Таблица301715[[#This Row],[ЕИ]]</f>
        <v>Детали трубопровода стальТройник 45х3-12х18н10т ГОСТ 17376-2001 сварнойшт</v>
      </c>
      <c r="B481" s="1165" t="s">
        <v>66</v>
      </c>
      <c r="C481" s="1165"/>
      <c r="D481" s="1178" t="s">
        <v>1284</v>
      </c>
      <c r="E481" s="1178"/>
      <c r="F481" s="907" t="s">
        <v>129</v>
      </c>
      <c r="G481" s="908">
        <v>1864.8</v>
      </c>
      <c r="H481" s="897" t="s">
        <v>131</v>
      </c>
      <c r="I481" s="903"/>
      <c r="J481" s="899">
        <v>1864.8</v>
      </c>
    </row>
    <row r="482" spans="1:11" ht="15">
      <c r="A482" s="1171" t="str">
        <f>Таблица301715[[#This Row],[Группа]]&amp;Таблица301715[[#This Row],[Номенклатура]]&amp;Таблица301715[[#This Row],[ЕИ]]</f>
        <v>Детали трубопровода стальТройник 45х3-25х3-12х18н10т ГОСТ 17376-2001 сварнойшт</v>
      </c>
      <c r="B482" s="1165" t="s">
        <v>66</v>
      </c>
      <c r="C482" s="1165"/>
      <c r="D482" s="1178" t="s">
        <v>1285</v>
      </c>
      <c r="E482" s="1178"/>
      <c r="F482" s="907" t="s">
        <v>129</v>
      </c>
      <c r="G482" s="908">
        <v>1864.8</v>
      </c>
      <c r="H482" s="897" t="s">
        <v>131</v>
      </c>
      <c r="I482" s="903"/>
      <c r="J482" s="899">
        <v>1864.8</v>
      </c>
    </row>
    <row r="483" spans="1:11" ht="15">
      <c r="A483" s="1171" t="str">
        <f>Таблица301715[[#This Row],[Группа]]&amp;Таблица301715[[#This Row],[Номенклатура]]&amp;Таблица301715[[#This Row],[ЕИ]]</f>
        <v>Детали трубопровода стальТройник 45х3-32х3-12х18н10т ГОСТ 17376-2001 сварнойшт</v>
      </c>
      <c r="B483" s="1165" t="s">
        <v>66</v>
      </c>
      <c r="C483" s="1165"/>
      <c r="D483" s="1178" t="s">
        <v>1286</v>
      </c>
      <c r="E483" s="1178"/>
      <c r="F483" s="907" t="s">
        <v>129</v>
      </c>
      <c r="G483" s="908">
        <v>1864.8</v>
      </c>
      <c r="H483" s="897" t="s">
        <v>131</v>
      </c>
      <c r="I483" s="903"/>
      <c r="J483" s="899">
        <v>1864.8</v>
      </c>
    </row>
    <row r="484" spans="1:11" ht="15">
      <c r="A484" s="1171" t="str">
        <f>Таблица301715[[#This Row],[Группа]]&amp;Таблица301715[[#This Row],[Номенклатура]]&amp;Таблица301715[[#This Row],[ЕИ]]</f>
        <v>Детали трубопровода стальТройник 45х3-38х3-12х18н10т ГОСТ 17376-2001 сварнойшт</v>
      </c>
      <c r="B484" s="1165" t="s">
        <v>66</v>
      </c>
      <c r="C484" s="1165"/>
      <c r="D484" s="1178" t="s">
        <v>1287</v>
      </c>
      <c r="E484" s="1178"/>
      <c r="F484" s="907" t="s">
        <v>129</v>
      </c>
      <c r="G484" s="908">
        <v>1864.8</v>
      </c>
      <c r="H484" s="897" t="s">
        <v>131</v>
      </c>
      <c r="I484" s="903"/>
      <c r="J484" s="899">
        <v>1864.8</v>
      </c>
    </row>
    <row r="485" spans="1:11" ht="15">
      <c r="A485" s="1171" t="str">
        <f>Таблица301715[[#This Row],[Группа]]&amp;Таблица301715[[#This Row],[Номенклатура]]&amp;Таблица301715[[#This Row],[ЕИ]]</f>
        <v>Детали трубопровода стальТройник 57х3-12х18н10т ГОСТ 17376-2001 сварнойшт</v>
      </c>
      <c r="B485" s="1165" t="s">
        <v>66</v>
      </c>
      <c r="C485" s="1165"/>
      <c r="D485" s="1178" t="s">
        <v>1288</v>
      </c>
      <c r="E485" s="1178"/>
      <c r="F485" s="907" t="s">
        <v>129</v>
      </c>
      <c r="G485" s="908">
        <v>1945.44</v>
      </c>
      <c r="H485" s="897" t="s">
        <v>131</v>
      </c>
      <c r="I485" s="903"/>
      <c r="J485" s="899">
        <v>1945.44</v>
      </c>
    </row>
    <row r="486" spans="1:11" ht="15">
      <c r="A486" s="1171" t="str">
        <f>Таблица301715[[#This Row],[Группа]]&amp;Таблица301715[[#This Row],[Номенклатура]]&amp;Таблица301715[[#This Row],[ЕИ]]</f>
        <v>Детали трубопровода стальТройник 57х3-32х2,5-12х18н10т ГОСТ 17376-2001 сварнойшт</v>
      </c>
      <c r="B486" s="1165" t="s">
        <v>66</v>
      </c>
      <c r="C486" s="1165"/>
      <c r="D486" s="1178" t="s">
        <v>1289</v>
      </c>
      <c r="E486" s="1178"/>
      <c r="F486" s="907" t="s">
        <v>129</v>
      </c>
      <c r="G486" s="908">
        <v>1945.44</v>
      </c>
      <c r="H486" s="897" t="s">
        <v>131</v>
      </c>
      <c r="I486" s="903"/>
      <c r="J486" s="899">
        <v>1945.44</v>
      </c>
    </row>
    <row r="487" spans="1:11" ht="15">
      <c r="A487" s="1171" t="str">
        <f>Таблица301715[[#This Row],[Группа]]&amp;Таблица301715[[#This Row],[Номенклатура]]&amp;Таблица301715[[#This Row],[ЕИ]]</f>
        <v>Детали трубопровода стальТройник 57х3-38х2,5-12х18н10т ГОСТ 17376-2001 сварнойшт</v>
      </c>
      <c r="B487" s="1165" t="s">
        <v>66</v>
      </c>
      <c r="C487" s="1165"/>
      <c r="D487" s="1178" t="s">
        <v>1290</v>
      </c>
      <c r="E487" s="1178"/>
      <c r="F487" s="907" t="s">
        <v>129</v>
      </c>
      <c r="G487" s="908">
        <v>1945.44</v>
      </c>
      <c r="H487" s="897" t="s">
        <v>131</v>
      </c>
      <c r="I487" s="903"/>
      <c r="J487" s="899">
        <v>1945.44</v>
      </c>
    </row>
    <row r="488" spans="1:11" ht="15">
      <c r="A488" s="1171" t="str">
        <f>Таблица301715[[#This Row],[Группа]]&amp;Таблица301715[[#This Row],[Номенклатура]]&amp;Таблица301715[[#This Row],[ЕИ]]</f>
        <v>Детали трубопровода стальТройник 57х3,5-12х18н10т ГОСТ 17376-2001 сварнойшт</v>
      </c>
      <c r="B488" s="1165" t="s">
        <v>66</v>
      </c>
      <c r="C488" s="1165"/>
      <c r="D488" s="1178" t="s">
        <v>1291</v>
      </c>
      <c r="E488" s="1178"/>
      <c r="F488" s="907" t="s">
        <v>129</v>
      </c>
      <c r="G488" s="908">
        <v>1945.44</v>
      </c>
      <c r="H488" s="897" t="s">
        <v>131</v>
      </c>
      <c r="I488" s="903"/>
      <c r="J488" s="899">
        <v>1945.44</v>
      </c>
    </row>
    <row r="489" spans="1:11" ht="15">
      <c r="A489" s="1171" t="str">
        <f>Таблица301715[[#This Row],[Группа]]&amp;Таблица301715[[#This Row],[Номенклатура]]&amp;Таблица301715[[#This Row],[ЕИ]]</f>
        <v>Детали трубопровода стальТройник 57х3,5-25х3-12х18н10т ГОСТ 17376-2001 сварнойшт</v>
      </c>
      <c r="B489" s="1165" t="s">
        <v>66</v>
      </c>
      <c r="C489" s="1165"/>
      <c r="D489" s="1178" t="s">
        <v>1292</v>
      </c>
      <c r="E489" s="1178"/>
      <c r="F489" s="907" t="s">
        <v>129</v>
      </c>
      <c r="G489" s="908">
        <v>1945.44</v>
      </c>
      <c r="H489" s="897" t="s">
        <v>131</v>
      </c>
      <c r="I489" s="903"/>
      <c r="J489" s="899">
        <v>1945.44</v>
      </c>
    </row>
    <row r="490" spans="1:11" ht="15">
      <c r="A490" s="1171" t="str">
        <f>Таблица301715[[#This Row],[Группа]]&amp;Таблица301715[[#This Row],[Номенклатура]]&amp;Таблица301715[[#This Row],[ЕИ]]</f>
        <v>Детали трубопровода стальТройник 57х3,5-32х3-12х18н10т ГОСТ 17376-2001 сварнойшт</v>
      </c>
      <c r="B490" s="1165" t="s">
        <v>66</v>
      </c>
      <c r="C490" s="1165"/>
      <c r="D490" s="1178" t="s">
        <v>1293</v>
      </c>
      <c r="E490" s="1178"/>
      <c r="F490" s="907" t="s">
        <v>129</v>
      </c>
      <c r="G490" s="908">
        <v>1945.44</v>
      </c>
      <c r="H490" s="897" t="s">
        <v>131</v>
      </c>
      <c r="I490" s="959"/>
      <c r="J490" s="899">
        <v>1945.44</v>
      </c>
      <c r="K490" s="1165"/>
    </row>
    <row r="491" spans="1:11" ht="15">
      <c r="A491" s="1171" t="str">
        <f>Таблица301715[[#This Row],[Группа]]&amp;Таблица301715[[#This Row],[Номенклатура]]&amp;Таблица301715[[#This Row],[ЕИ]]</f>
        <v>Детали трубопровода стальТройник 57х3,5-38х3-12х18н10т ГОСТ 17376-2001 сварнойшт</v>
      </c>
      <c r="B491" s="1165" t="s">
        <v>66</v>
      </c>
      <c r="C491" s="1165"/>
      <c r="D491" s="1178" t="s">
        <v>1294</v>
      </c>
      <c r="E491" s="1178"/>
      <c r="F491" s="907" t="s">
        <v>129</v>
      </c>
      <c r="G491" s="908">
        <v>1945.44</v>
      </c>
      <c r="H491" s="897" t="s">
        <v>131</v>
      </c>
      <c r="I491" s="903"/>
      <c r="J491" s="899">
        <v>1945.44</v>
      </c>
    </row>
    <row r="492" spans="1:11" ht="15">
      <c r="A492" s="1171" t="str">
        <f>Таблица301715[[#This Row],[Группа]]&amp;Таблица301715[[#This Row],[Номенклатура]]&amp;Таблица301715[[#This Row],[ЕИ]]</f>
        <v>Детали трубопровода стальТройник 57х3,5-45х3-12х18н10т ГОСТ 17376-2001 сварнойшт</v>
      </c>
      <c r="B492" s="1165" t="s">
        <v>66</v>
      </c>
      <c r="C492" s="1165"/>
      <c r="D492" s="1178" t="s">
        <v>1295</v>
      </c>
      <c r="E492" s="1178"/>
      <c r="F492" s="907" t="s">
        <v>129</v>
      </c>
      <c r="G492" s="908">
        <v>1945.44</v>
      </c>
      <c r="H492" s="897" t="s">
        <v>131</v>
      </c>
      <c r="I492" s="903"/>
      <c r="J492" s="899">
        <v>1945.44</v>
      </c>
    </row>
    <row r="493" spans="1:11" ht="15">
      <c r="A493" s="1171" t="str">
        <f>Таблица301715[[#This Row],[Группа]]&amp;Таблица301715[[#This Row],[Номенклатура]]&amp;Таблица301715[[#This Row],[ЕИ]]</f>
        <v>Детали трубопровода стальТройник 57х4-12х18н10т ГОСТ 17376-2001 сварнойшт</v>
      </c>
      <c r="B493" s="1165" t="s">
        <v>66</v>
      </c>
      <c r="C493" s="1165"/>
      <c r="D493" s="1178" t="s">
        <v>1296</v>
      </c>
      <c r="E493" s="1178"/>
      <c r="F493" s="907" t="s">
        <v>129</v>
      </c>
      <c r="G493" s="908">
        <v>1945.44</v>
      </c>
      <c r="H493" s="897" t="s">
        <v>131</v>
      </c>
      <c r="I493" s="903"/>
      <c r="J493" s="899">
        <v>1945.44</v>
      </c>
    </row>
    <row r="494" spans="1:11" ht="15">
      <c r="A494" s="1171" t="str">
        <f>Таблица301715[[#This Row],[Группа]]&amp;Таблица301715[[#This Row],[Номенклатура]]&amp;Таблица301715[[#This Row],[ЕИ]]</f>
        <v>Детали трубопровода стальТройник 57х5-12х18н10т ГОСТ 17376-2001 сварнойшт</v>
      </c>
      <c r="B494" s="1165" t="s">
        <v>66</v>
      </c>
      <c r="C494" s="1165"/>
      <c r="D494" s="1178" t="s">
        <v>1297</v>
      </c>
      <c r="E494" s="1178"/>
      <c r="F494" s="907" t="s">
        <v>129</v>
      </c>
      <c r="G494" s="908">
        <v>1945.44</v>
      </c>
      <c r="H494" s="897" t="s">
        <v>131</v>
      </c>
      <c r="I494" s="903"/>
      <c r="J494" s="899">
        <v>1945.44</v>
      </c>
    </row>
    <row r="495" spans="1:11" ht="15">
      <c r="A495" s="1171" t="str">
        <f>Таблица301715[[#This Row],[Группа]]&amp;Таблица301715[[#This Row],[Номенклатура]]&amp;Таблица301715[[#This Row],[ЕИ]]</f>
        <v>Детали трубопровода стальТройник 60.3х2.9-12х18н10т ГОСТ 17376-2001 сварнойшт</v>
      </c>
      <c r="B495" s="1165" t="s">
        <v>66</v>
      </c>
      <c r="C495" s="1165"/>
      <c r="D495" s="1178" t="s">
        <v>1918</v>
      </c>
      <c r="E495" s="1178"/>
      <c r="F495" s="907" t="s">
        <v>129</v>
      </c>
      <c r="G495" s="908"/>
      <c r="H495" s="897" t="s">
        <v>131</v>
      </c>
      <c r="I495" s="903"/>
      <c r="J495" s="899"/>
    </row>
    <row r="496" spans="1:11" ht="15">
      <c r="A496" s="1171" t="str">
        <f>Таблица301715[[#This Row],[Группа]]&amp;Таблица301715[[#This Row],[Номенклатура]]&amp;Таблица301715[[#This Row],[ЕИ]]</f>
        <v>Детали трубопровода стальТройник 76х3,5-12х18н10т ГОСТ 17376-2001 сварнойшт</v>
      </c>
      <c r="B496" s="1165" t="s">
        <v>66</v>
      </c>
      <c r="C496" s="1165"/>
      <c r="D496" s="1178" t="s">
        <v>1298</v>
      </c>
      <c r="E496" s="1178"/>
      <c r="F496" s="907" t="s">
        <v>129</v>
      </c>
      <c r="G496" s="908">
        <v>3200.4</v>
      </c>
      <c r="H496" s="897" t="s">
        <v>131</v>
      </c>
      <c r="I496" s="903"/>
      <c r="J496" s="899">
        <v>3200.4</v>
      </c>
    </row>
    <row r="497" spans="1:10" ht="15">
      <c r="A497" s="1171" t="str">
        <f>Таблица301715[[#This Row],[Группа]]&amp;Таблица301715[[#This Row],[Номенклатура]]&amp;Таблица301715[[#This Row],[ЕИ]]</f>
        <v>Детали трубопровода стальТройник 76х3,5-45х3-12х18н10т ГОСТ 17376-2001 сварнойшт</v>
      </c>
      <c r="B497" s="1165" t="s">
        <v>66</v>
      </c>
      <c r="C497" s="1165"/>
      <c r="D497" s="1178" t="s">
        <v>1299</v>
      </c>
      <c r="E497" s="1178"/>
      <c r="F497" s="907" t="s">
        <v>129</v>
      </c>
      <c r="G497" s="908">
        <v>3200.4</v>
      </c>
      <c r="H497" s="897" t="s">
        <v>131</v>
      </c>
      <c r="I497" s="903"/>
      <c r="J497" s="899">
        <v>3200.4</v>
      </c>
    </row>
    <row r="498" spans="1:10" ht="15">
      <c r="A498" s="1171" t="str">
        <f>Таблица301715[[#This Row],[Группа]]&amp;Таблица301715[[#This Row],[Номенклатура]]&amp;Таблица301715[[#This Row],[ЕИ]]</f>
        <v>Детали трубопровода стальТройник 76х3,5-57х3,5-12х18н10т ГОСТ 17376-2001 сварнойшт</v>
      </c>
      <c r="B498" s="1165" t="s">
        <v>66</v>
      </c>
      <c r="C498" s="1165"/>
      <c r="D498" s="1178" t="s">
        <v>1300</v>
      </c>
      <c r="E498" s="1178"/>
      <c r="F498" s="907" t="s">
        <v>129</v>
      </c>
      <c r="G498" s="908">
        <v>3200.4</v>
      </c>
      <c r="H498" s="897" t="s">
        <v>131</v>
      </c>
      <c r="I498" s="903"/>
      <c r="J498" s="899">
        <v>3200.4</v>
      </c>
    </row>
    <row r="499" spans="1:10" ht="15">
      <c r="A499" s="1171" t="str">
        <f>Таблица301715[[#This Row],[Группа]]&amp;Таблица301715[[#This Row],[Номенклатура]]&amp;Таблица301715[[#This Row],[ЕИ]]</f>
        <v>Детали трубопровода стальТройник 76х4-12х18н10т ГОСТ 17376-2001 сварнойшт</v>
      </c>
      <c r="B499" s="1165" t="s">
        <v>66</v>
      </c>
      <c r="C499" s="1165"/>
      <c r="D499" s="1178" t="s">
        <v>1301</v>
      </c>
      <c r="E499" s="1178"/>
      <c r="F499" s="907" t="s">
        <v>129</v>
      </c>
      <c r="G499" s="908">
        <v>3200.4</v>
      </c>
      <c r="H499" s="897" t="s">
        <v>131</v>
      </c>
      <c r="I499" s="903"/>
      <c r="J499" s="899">
        <v>3200.4</v>
      </c>
    </row>
    <row r="500" spans="1:10" ht="15">
      <c r="A500" s="1171" t="str">
        <f>Таблица301715[[#This Row],[Группа]]&amp;Таблица301715[[#This Row],[Номенклатура]]&amp;Таблица301715[[#This Row],[ЕИ]]</f>
        <v>Детали трубопровода стальТройник 76х6-12х18н10т ГОСТ 17376-2001 сварнойшт</v>
      </c>
      <c r="B500" s="1165" t="s">
        <v>66</v>
      </c>
      <c r="C500" s="1165"/>
      <c r="D500" s="1178" t="s">
        <v>1302</v>
      </c>
      <c r="E500" s="1178"/>
      <c r="F500" s="907" t="s">
        <v>129</v>
      </c>
      <c r="G500" s="908">
        <v>3998.4</v>
      </c>
      <c r="H500" s="897" t="s">
        <v>131</v>
      </c>
      <c r="I500" s="903"/>
      <c r="J500" s="899">
        <v>3998.4</v>
      </c>
    </row>
    <row r="501" spans="1:10" ht="15">
      <c r="A501" s="1171" t="str">
        <f>Таблица301715[[#This Row],[Группа]]&amp;Таблица301715[[#This Row],[Номенклатура]]&amp;Таблица301715[[#This Row],[ЕИ]]</f>
        <v>Детали трубопровода стальТройник 89х4-12х18н10т ГОСТ 17376-2001 сварнойшт</v>
      </c>
      <c r="B501" s="1165" t="s">
        <v>66</v>
      </c>
      <c r="C501" s="1165"/>
      <c r="D501" s="1178" t="s">
        <v>1303</v>
      </c>
      <c r="E501" s="1178"/>
      <c r="F501" s="907" t="s">
        <v>129</v>
      </c>
      <c r="G501" s="908">
        <v>4267.2</v>
      </c>
      <c r="H501" s="897" t="s">
        <v>131</v>
      </c>
      <c r="I501" s="903"/>
      <c r="J501" s="899">
        <v>4267.2</v>
      </c>
    </row>
    <row r="502" spans="1:10" ht="15">
      <c r="A502" s="1171" t="str">
        <f>Таблица301715[[#This Row],[Группа]]&amp;Таблица301715[[#This Row],[Номенклатура]]&amp;Таблица301715[[#This Row],[ЕИ]]</f>
        <v>Детали трубопровода стальТройник 89х4-45х3-12х18н10т ГОСТ 17376-2001 сварнойшт</v>
      </c>
      <c r="B502" s="1165" t="s">
        <v>66</v>
      </c>
      <c r="C502" s="1165"/>
      <c r="D502" s="1178" t="s">
        <v>1304</v>
      </c>
      <c r="E502" s="1178"/>
      <c r="F502" s="907" t="s">
        <v>129</v>
      </c>
      <c r="G502" s="908">
        <v>4267.2</v>
      </c>
      <c r="H502" s="897" t="s">
        <v>131</v>
      </c>
      <c r="I502" s="903"/>
      <c r="J502" s="899">
        <v>4267.2</v>
      </c>
    </row>
    <row r="503" spans="1:10" ht="15">
      <c r="A503" s="1171" t="str">
        <f>Таблица301715[[#This Row],[Группа]]&amp;Таблица301715[[#This Row],[Номенклатура]]&amp;Таблица301715[[#This Row],[ЕИ]]</f>
        <v>Детали трубопровода стальТройник 89х4-57х3,5-12х18н10т ГОСТ 17376-2001 сварнойшт</v>
      </c>
      <c r="B503" s="1165" t="s">
        <v>66</v>
      </c>
      <c r="C503" s="1165"/>
      <c r="D503" s="1178" t="s">
        <v>1305</v>
      </c>
      <c r="E503" s="1178"/>
      <c r="F503" s="907" t="s">
        <v>129</v>
      </c>
      <c r="G503" s="908">
        <v>4267.2</v>
      </c>
      <c r="H503" s="897" t="s">
        <v>131</v>
      </c>
      <c r="I503" s="903"/>
      <c r="J503" s="899">
        <v>4267.2</v>
      </c>
    </row>
    <row r="504" spans="1:10" ht="15">
      <c r="A504" s="1171" t="str">
        <f>Таблица301715[[#This Row],[Группа]]&amp;Таблица301715[[#This Row],[Номенклатура]]&amp;Таблица301715[[#This Row],[ЕИ]]</f>
        <v>Детали трубопровода стальТройник 89х4-76х3,5-12х18н10т ГОСТ 17376-2001 сварнойшт</v>
      </c>
      <c r="B504" s="1165" t="s">
        <v>66</v>
      </c>
      <c r="C504" s="1165"/>
      <c r="D504" s="1178" t="s">
        <v>1306</v>
      </c>
      <c r="E504" s="1178"/>
      <c r="F504" s="907" t="s">
        <v>129</v>
      </c>
      <c r="G504" s="908">
        <v>5880</v>
      </c>
      <c r="H504" s="897" t="s">
        <v>131</v>
      </c>
      <c r="I504" s="903"/>
      <c r="J504" s="899">
        <v>5880</v>
      </c>
    </row>
    <row r="505" spans="1:10" ht="15">
      <c r="A505" s="1171" t="str">
        <f>Таблица301715[[#This Row],[Группа]]&amp;Таблица301715[[#This Row],[Номенклатура]]&amp;Таблица301715[[#This Row],[ЕИ]]</f>
        <v>Детали трубопровода стальТройник 89х6-12х18н10т ГОСТ 17376-2001 сварнойшт</v>
      </c>
      <c r="B505" s="1165" t="s">
        <v>66</v>
      </c>
      <c r="C505" s="1165"/>
      <c r="D505" s="1178" t="s">
        <v>1307</v>
      </c>
      <c r="E505" s="1178"/>
      <c r="F505" s="907" t="s">
        <v>129</v>
      </c>
      <c r="G505" s="908">
        <v>5880</v>
      </c>
      <c r="H505" s="897" t="s">
        <v>131</v>
      </c>
      <c r="I505" s="903"/>
      <c r="J505" s="899">
        <v>5880</v>
      </c>
    </row>
    <row r="506" spans="1:10" ht="15">
      <c r="A506" s="1171" t="str">
        <f>Таблица301715[[#This Row],[Группа]]&amp;Таблица301715[[#This Row],[Номенклатура]]&amp;Таблица301715[[#This Row],[ЕИ]]</f>
        <v>Детали трубопровода стальТройник 89х6-57х5-12х18н10т ГОСТ 17376-2001 сварнойшт</v>
      </c>
      <c r="B506" s="1165" t="s">
        <v>66</v>
      </c>
      <c r="C506" s="1165"/>
      <c r="D506" s="1178" t="s">
        <v>1308</v>
      </c>
      <c r="E506" s="1178"/>
      <c r="F506" s="907" t="s">
        <v>129</v>
      </c>
      <c r="G506" s="908">
        <v>5880</v>
      </c>
      <c r="H506" s="897" t="s">
        <v>131</v>
      </c>
      <c r="I506" s="903"/>
      <c r="J506" s="899">
        <v>5880</v>
      </c>
    </row>
    <row r="507" spans="1:10" ht="15">
      <c r="A507" s="1171" t="str">
        <f>Таблица301715[[#This Row],[Группа]]&amp;Таблица301715[[#This Row],[Номенклатура]]&amp;Таблица301715[[#This Row],[ЕИ]]</f>
        <v>Детали трубопровода стальТройник 108х4-12х18н10т ГОСТ 17376-2001 сварнойшт</v>
      </c>
      <c r="B507" s="1165" t="s">
        <v>66</v>
      </c>
      <c r="C507" s="1165"/>
      <c r="D507" s="1178" t="s">
        <v>718</v>
      </c>
      <c r="E507" s="1178"/>
      <c r="F507" s="907" t="s">
        <v>129</v>
      </c>
      <c r="G507" s="908">
        <v>6454.56</v>
      </c>
      <c r="H507" s="897" t="s">
        <v>131</v>
      </c>
      <c r="I507" s="903"/>
      <c r="J507" s="899">
        <v>6454.56</v>
      </c>
    </row>
    <row r="508" spans="1:10" ht="15">
      <c r="A508" s="1171" t="str">
        <f>Таблица301715[[#This Row],[Группа]]&amp;Таблица301715[[#This Row],[Номенклатура]]&amp;Таблица301715[[#This Row],[ЕИ]]</f>
        <v>Детали трубопровода стальТройник 108х4-45х3-12х18н10т ГОСТ 17376-2001 сварнойшт</v>
      </c>
      <c r="B508" s="1165" t="s">
        <v>66</v>
      </c>
      <c r="C508" s="1165"/>
      <c r="D508" s="1177" t="s">
        <v>1309</v>
      </c>
      <c r="E508" s="1177"/>
      <c r="F508" s="909" t="s">
        <v>129</v>
      </c>
      <c r="G508" s="910">
        <v>6454.56</v>
      </c>
      <c r="H508" s="897" t="s">
        <v>131</v>
      </c>
      <c r="I508" s="903"/>
      <c r="J508" s="899">
        <v>6454.56</v>
      </c>
    </row>
    <row r="509" spans="1:10" ht="15">
      <c r="A509" s="1171" t="str">
        <f>Таблица301715[[#This Row],[Группа]]&amp;Таблица301715[[#This Row],[Номенклатура]]&amp;Таблица301715[[#This Row],[ЕИ]]</f>
        <v>Детали трубопровода стальТройник 108х4-57х3,5-12х18н10т ГОСТ 17376-2001 сварнойшт</v>
      </c>
      <c r="B509" s="1165" t="s">
        <v>66</v>
      </c>
      <c r="C509" s="1165"/>
      <c r="D509" s="1178" t="s">
        <v>1310</v>
      </c>
      <c r="E509" s="1178"/>
      <c r="F509" s="907" t="s">
        <v>129</v>
      </c>
      <c r="G509" s="908">
        <v>6454.56</v>
      </c>
      <c r="H509" s="897" t="s">
        <v>131</v>
      </c>
      <c r="I509" s="903"/>
      <c r="J509" s="899">
        <v>6454.56</v>
      </c>
    </row>
    <row r="510" spans="1:10" ht="15">
      <c r="A510" s="1171" t="str">
        <f>Таблица301715[[#This Row],[Группа]]&amp;Таблица301715[[#This Row],[Номенклатура]]&amp;Таблица301715[[#This Row],[ЕИ]]</f>
        <v>Детали трубопровода стальТройник 108х4-76х3,5-12х18н10т ГОСТ 17376-2001 сварнойшт</v>
      </c>
      <c r="B510" s="1165" t="s">
        <v>66</v>
      </c>
      <c r="C510" s="1165"/>
      <c r="D510" s="1178" t="s">
        <v>1311</v>
      </c>
      <c r="E510" s="1178"/>
      <c r="F510" s="907" t="s">
        <v>129</v>
      </c>
      <c r="G510" s="908">
        <v>6454.56</v>
      </c>
      <c r="H510" s="897" t="s">
        <v>131</v>
      </c>
      <c r="I510" s="903"/>
      <c r="J510" s="899">
        <v>6454.56</v>
      </c>
    </row>
    <row r="511" spans="1:10" ht="15">
      <c r="A511" s="1171" t="str">
        <f>Таблица301715[[#This Row],[Группа]]&amp;Таблица301715[[#This Row],[Номенклатура]]&amp;Таблица301715[[#This Row],[ЕИ]]</f>
        <v>Детали трубопровода стальТройник 108х4-89х4-12х18н10т ГОСТ 17376-2001 сварнойшт</v>
      </c>
      <c r="B511" s="1165" t="s">
        <v>66</v>
      </c>
      <c r="C511" s="1165"/>
      <c r="D511" s="1177" t="s">
        <v>1312</v>
      </c>
      <c r="E511" s="1178"/>
      <c r="F511" s="907" t="s">
        <v>129</v>
      </c>
      <c r="G511" s="910">
        <v>6454.56</v>
      </c>
      <c r="H511" s="897" t="s">
        <v>131</v>
      </c>
      <c r="I511" s="903"/>
      <c r="J511" s="899">
        <v>6454.56</v>
      </c>
    </row>
    <row r="512" spans="1:10" ht="15">
      <c r="A512" s="1171" t="str">
        <f>Таблица301715[[#This Row],[Группа]]&amp;Таблица301715[[#This Row],[Номенклатура]]&amp;Таблица301715[[#This Row],[ЕИ]]</f>
        <v>Детали трубопровода стальТройник 114х4,5-12х18н10т ГОСТ 17376-2001 сварнойшт</v>
      </c>
      <c r="B512" s="1165" t="s">
        <v>66</v>
      </c>
      <c r="C512" s="1165"/>
      <c r="D512" s="1178" t="s">
        <v>1313</v>
      </c>
      <c r="E512" s="1178"/>
      <c r="F512" s="907" t="s">
        <v>129</v>
      </c>
      <c r="G512" s="908">
        <v>6454.56</v>
      </c>
      <c r="H512" s="897" t="s">
        <v>131</v>
      </c>
      <c r="I512" s="903"/>
      <c r="J512" s="899">
        <v>6454.56</v>
      </c>
    </row>
    <row r="513" spans="1:10" ht="15">
      <c r="A513" s="1171" t="str">
        <f>Таблица301715[[#This Row],[Группа]]&amp;Таблица301715[[#This Row],[Номенклатура]]&amp;Таблица301715[[#This Row],[ЕИ]]</f>
        <v>Детали трубопровода стальТройник 133х4-89х4-12х18н10т ГОСТ 17376-2001 сварнойшт</v>
      </c>
      <c r="B513" s="1165" t="s">
        <v>66</v>
      </c>
      <c r="C513" s="1165"/>
      <c r="D513" s="1178" t="s">
        <v>1314</v>
      </c>
      <c r="E513" s="1178"/>
      <c r="F513" s="907" t="s">
        <v>129</v>
      </c>
      <c r="G513" s="908">
        <v>9397.92</v>
      </c>
      <c r="H513" s="897" t="s">
        <v>131</v>
      </c>
      <c r="I513" s="903"/>
      <c r="J513" s="899">
        <v>9397.92</v>
      </c>
    </row>
    <row r="514" spans="1:10" ht="15">
      <c r="A514" s="1171" t="str">
        <f>Таблица301715[[#This Row],[Группа]]&amp;Таблица301715[[#This Row],[Номенклатура]]&amp;Таблица301715[[#This Row],[ЕИ]]</f>
        <v>Детали трубопровода стальТройник 133х4-108х4-12х18н10т ГОСТ 17376-2001 сварнойшт</v>
      </c>
      <c r="B514" s="1165" t="s">
        <v>66</v>
      </c>
      <c r="C514" s="1165"/>
      <c r="D514" s="1178" t="s">
        <v>1315</v>
      </c>
      <c r="E514" s="1178"/>
      <c r="F514" s="907" t="s">
        <v>129</v>
      </c>
      <c r="G514" s="908">
        <v>9996</v>
      </c>
      <c r="H514" s="897" t="s">
        <v>131</v>
      </c>
      <c r="I514" s="903"/>
      <c r="J514" s="899">
        <v>9996</v>
      </c>
    </row>
    <row r="515" spans="1:10" ht="15">
      <c r="A515" s="1171" t="str">
        <f>Таблица301715[[#This Row],[Группа]]&amp;Таблица301715[[#This Row],[Номенклатура]]&amp;Таблица301715[[#This Row],[ЕИ]]</f>
        <v>Детали трубопровода стальТройник 133х4,5-12х18н10т ГОСТ 17376-2001 сварнойшт</v>
      </c>
      <c r="B515" s="1165" t="s">
        <v>66</v>
      </c>
      <c r="C515" s="1165"/>
      <c r="D515" s="1178" t="s">
        <v>1316</v>
      </c>
      <c r="E515" s="1178"/>
      <c r="F515" s="907" t="s">
        <v>129</v>
      </c>
      <c r="G515" s="908">
        <v>9996</v>
      </c>
      <c r="H515" s="897" t="s">
        <v>131</v>
      </c>
      <c r="I515" s="903"/>
      <c r="J515" s="899">
        <v>9996</v>
      </c>
    </row>
    <row r="516" spans="1:10" ht="15">
      <c r="A516" s="1171" t="str">
        <f>Таблица301715[[#This Row],[Группа]]&amp;Таблица301715[[#This Row],[Номенклатура]]&amp;Таблица301715[[#This Row],[ЕИ]]</f>
        <v>Детали трубопровода стальТройник 133х4,5-108х4-12х18н10т ГОСТ 17376-2001 сварнойшт</v>
      </c>
      <c r="B516" s="1165" t="s">
        <v>66</v>
      </c>
      <c r="C516" s="1165"/>
      <c r="D516" s="1178" t="s">
        <v>1317</v>
      </c>
      <c r="E516" s="1178"/>
      <c r="F516" s="907" t="s">
        <v>129</v>
      </c>
      <c r="G516" s="908">
        <v>11709.6</v>
      </c>
      <c r="H516" s="897" t="s">
        <v>131</v>
      </c>
      <c r="I516" s="903"/>
      <c r="J516" s="899">
        <v>11709.6</v>
      </c>
    </row>
    <row r="517" spans="1:10" ht="15">
      <c r="A517" s="1171" t="str">
        <f>Таблица301715[[#This Row],[Группа]]&amp;Таблица301715[[#This Row],[Номенклатура]]&amp;Таблица301715[[#This Row],[ЕИ]]</f>
        <v>Детали трубопровода стальТройник 133х5-76х3,5-12х18н10т ГОСТ 17376-2001 сварнойшт</v>
      </c>
      <c r="B517" s="1165" t="s">
        <v>66</v>
      </c>
      <c r="C517" s="1165"/>
      <c r="D517" s="1178" t="s">
        <v>1318</v>
      </c>
      <c r="E517" s="1178"/>
      <c r="F517" s="907" t="s">
        <v>129</v>
      </c>
      <c r="G517" s="908">
        <v>11709.6</v>
      </c>
      <c r="H517" s="897" t="s">
        <v>131</v>
      </c>
      <c r="I517" s="903"/>
      <c r="J517" s="899">
        <v>11709.6</v>
      </c>
    </row>
    <row r="518" spans="1:10" ht="15">
      <c r="A518" s="1171" t="str">
        <f>Таблица301715[[#This Row],[Группа]]&amp;Таблица301715[[#This Row],[Номенклатура]]&amp;Таблица301715[[#This Row],[ЕИ]]</f>
        <v>Детали трубопровода стальТройник 133х5-89х4-12х18н10т ГОСТ 17376-2001 сварнойшт</v>
      </c>
      <c r="B518" s="1165" t="s">
        <v>66</v>
      </c>
      <c r="C518" s="1165"/>
      <c r="D518" s="1178" t="s">
        <v>1319</v>
      </c>
      <c r="E518" s="1178"/>
      <c r="F518" s="907" t="s">
        <v>129</v>
      </c>
      <c r="G518" s="908">
        <v>11709.6</v>
      </c>
      <c r="H518" s="897" t="s">
        <v>131</v>
      </c>
      <c r="I518" s="903"/>
      <c r="J518" s="899">
        <v>11709.6</v>
      </c>
    </row>
    <row r="519" spans="1:10" ht="15">
      <c r="A519" s="1171" t="str">
        <f>Таблица301715[[#This Row],[Группа]]&amp;Таблица301715[[#This Row],[Номенклатура]]&amp;Таблица301715[[#This Row],[ЕИ]]</f>
        <v>Детали трубопровода стальТройник 133х6-12х18н10т ГОСТ 17376-2001 сварнойшт</v>
      </c>
      <c r="B519" s="1165" t="s">
        <v>66</v>
      </c>
      <c r="C519" s="1165"/>
      <c r="D519" s="1178" t="s">
        <v>1320</v>
      </c>
      <c r="E519" s="1178"/>
      <c r="F519" s="907" t="s">
        <v>129</v>
      </c>
      <c r="G519" s="908">
        <v>11709.6</v>
      </c>
      <c r="H519" s="897" t="s">
        <v>131</v>
      </c>
      <c r="I519" s="903"/>
      <c r="J519" s="899">
        <v>11709.6</v>
      </c>
    </row>
    <row r="520" spans="1:10" ht="15">
      <c r="A520" s="1171" t="str">
        <f>Таблица301715[[#This Row],[Группа]]&amp;Таблица301715[[#This Row],[Номенклатура]]&amp;Таблица301715[[#This Row],[ЕИ]]</f>
        <v>Детали трубопровода стальТройник 159х4,5-12х18н10т ГОСТ 17376-2001 сварнойшт</v>
      </c>
      <c r="B520" s="1165" t="s">
        <v>66</v>
      </c>
      <c r="C520" s="1165"/>
      <c r="D520" s="1178" t="s">
        <v>1321</v>
      </c>
      <c r="E520" s="1178"/>
      <c r="F520" s="907" t="s">
        <v>129</v>
      </c>
      <c r="G520" s="908">
        <v>14083.44</v>
      </c>
      <c r="H520" s="897" t="s">
        <v>131</v>
      </c>
      <c r="I520" s="903"/>
      <c r="J520" s="899">
        <v>14083.44</v>
      </c>
    </row>
    <row r="521" spans="1:10" ht="15">
      <c r="A521" s="1171" t="str">
        <f>Таблица301715[[#This Row],[Группа]]&amp;Таблица301715[[#This Row],[Номенклатура]]&amp;Таблица301715[[#This Row],[ЕИ]]</f>
        <v>Детали трубопровода стальТройник 159х4,5-76х3,5-12х18н10т ГОСТ 17376-2001 сварнойшт</v>
      </c>
      <c r="B521" s="1165" t="s">
        <v>66</v>
      </c>
      <c r="C521" s="1165"/>
      <c r="D521" s="1178" t="s">
        <v>1322</v>
      </c>
      <c r="E521" s="1178"/>
      <c r="F521" s="907" t="s">
        <v>129</v>
      </c>
      <c r="G521" s="908">
        <v>14083.44</v>
      </c>
      <c r="H521" s="897" t="s">
        <v>131</v>
      </c>
      <c r="I521" s="903"/>
      <c r="J521" s="899">
        <v>14083.44</v>
      </c>
    </row>
    <row r="522" spans="1:10" ht="15">
      <c r="A522" s="1171" t="str">
        <f>Таблица301715[[#This Row],[Группа]]&amp;Таблица301715[[#This Row],[Номенклатура]]&amp;Таблица301715[[#This Row],[ЕИ]]</f>
        <v>Детали трубопровода стальТройник 159х4,5-89х4-12х18н10т ГОСТ 17376-2001 сварнойшт</v>
      </c>
      <c r="B522" s="1165" t="s">
        <v>66</v>
      </c>
      <c r="C522" s="1165"/>
      <c r="D522" s="1178" t="s">
        <v>1323</v>
      </c>
      <c r="E522" s="1178"/>
      <c r="F522" s="907" t="s">
        <v>129</v>
      </c>
      <c r="G522" s="908">
        <v>19254.48</v>
      </c>
      <c r="H522" s="897" t="s">
        <v>131</v>
      </c>
      <c r="I522" s="903"/>
      <c r="J522" s="899">
        <v>19254.48</v>
      </c>
    </row>
    <row r="523" spans="1:10" ht="15">
      <c r="A523" s="1171" t="str">
        <f>Таблица301715[[#This Row],[Группа]]&amp;Таблица301715[[#This Row],[Номенклатура]]&amp;Таблица301715[[#This Row],[ЕИ]]</f>
        <v>Детали трубопровода стальТройник 159х4,5-108х4-12х18н10т ГОСТ 17376-2001 сварнойшт</v>
      </c>
      <c r="B523" s="1165" t="s">
        <v>66</v>
      </c>
      <c r="C523" s="1165"/>
      <c r="D523" s="1178" t="s">
        <v>1324</v>
      </c>
      <c r="E523" s="1178"/>
      <c r="F523" s="907" t="s">
        <v>129</v>
      </c>
      <c r="G523" s="908">
        <v>19254.48</v>
      </c>
      <c r="H523" s="897" t="s">
        <v>131</v>
      </c>
      <c r="I523" s="903"/>
      <c r="J523" s="899">
        <v>19254.48</v>
      </c>
    </row>
    <row r="524" spans="1:10" ht="15">
      <c r="A524" s="1171" t="str">
        <f>Таблица301715[[#This Row],[Группа]]&amp;Таблица301715[[#This Row],[Номенклатура]]&amp;Таблица301715[[#This Row],[ЕИ]]</f>
        <v>Детали трубопровода стальТройник 159х4,5-133х4-12х18н10т ГОСТ 17376-2001 сварнойшт</v>
      </c>
      <c r="B524" s="1165" t="s">
        <v>66</v>
      </c>
      <c r="C524" s="1165"/>
      <c r="D524" s="1178" t="s">
        <v>1325</v>
      </c>
      <c r="E524" s="1178"/>
      <c r="F524" s="907" t="s">
        <v>129</v>
      </c>
      <c r="G524" s="908">
        <v>19254.48</v>
      </c>
      <c r="H524" s="897" t="s">
        <v>131</v>
      </c>
      <c r="I524" s="903"/>
      <c r="J524" s="899">
        <v>19254.48</v>
      </c>
    </row>
    <row r="525" spans="1:10" ht="15">
      <c r="A525" s="1171" t="str">
        <f>Таблица301715[[#This Row],[Группа]]&amp;Таблица301715[[#This Row],[Номенклатура]]&amp;Таблица301715[[#This Row],[ЕИ]]</f>
        <v>Детали трубопровода стальТройник 159х6-12х18н10т ГОСТ 17376-2001 сварнойшт</v>
      </c>
      <c r="B525" s="1165" t="s">
        <v>66</v>
      </c>
      <c r="C525" s="1165"/>
      <c r="D525" s="1178" t="s">
        <v>1326</v>
      </c>
      <c r="E525" s="1178"/>
      <c r="F525" s="907" t="s">
        <v>129</v>
      </c>
      <c r="G525" s="908">
        <v>19254.48</v>
      </c>
      <c r="H525" s="897" t="s">
        <v>131</v>
      </c>
      <c r="I525" s="903"/>
      <c r="J525" s="899">
        <v>19254.48</v>
      </c>
    </row>
    <row r="526" spans="1:10" ht="15">
      <c r="A526" s="1171" t="str">
        <f>Таблица301715[[#This Row],[Группа]]&amp;Таблица301715[[#This Row],[Номенклатура]]&amp;Таблица301715[[#This Row],[ЕИ]]</f>
        <v>Детали трубопровода стальТройник 219х6-12х18н10т ГОСТ 17376-2001 сварнойшт</v>
      </c>
      <c r="B526" s="1165" t="s">
        <v>66</v>
      </c>
      <c r="C526" s="1165"/>
      <c r="D526" s="1178" t="s">
        <v>1327</v>
      </c>
      <c r="E526" s="1178"/>
      <c r="F526" s="907" t="s">
        <v>129</v>
      </c>
      <c r="G526" s="908">
        <v>29925.84</v>
      </c>
      <c r="H526" s="897" t="s">
        <v>131</v>
      </c>
      <c r="I526" s="903"/>
      <c r="J526" s="899">
        <v>29925.84</v>
      </c>
    </row>
    <row r="527" spans="1:10" ht="15">
      <c r="A527" s="1171" t="str">
        <f>Таблица301715[[#This Row],[Группа]]&amp;Таблица301715[[#This Row],[Номенклатура]]&amp;Таблица301715[[#This Row],[ЕИ]]</f>
        <v>Детали трубопровода стальТройник 219х6-108х4-12х18н10т ГОСТ 17376-2001 сварнойшт</v>
      </c>
      <c r="B527" s="1165" t="s">
        <v>66</v>
      </c>
      <c r="C527" s="1165"/>
      <c r="D527" s="1178" t="s">
        <v>1328</v>
      </c>
      <c r="E527" s="1178"/>
      <c r="F527" s="907" t="s">
        <v>129</v>
      </c>
      <c r="G527" s="908">
        <v>29925.84</v>
      </c>
      <c r="H527" s="897" t="s">
        <v>131</v>
      </c>
      <c r="I527" s="903"/>
      <c r="J527" s="899">
        <v>29925.84</v>
      </c>
    </row>
    <row r="528" spans="1:10" ht="15">
      <c r="A528" s="1171" t="str">
        <f>Таблица301715[[#This Row],[Группа]]&amp;Таблица301715[[#This Row],[Номенклатура]]&amp;Таблица301715[[#This Row],[ЕИ]]</f>
        <v>Детали трубопровода стальТройник 219х6-133х4-12х18н10т ГОСТ 17376-2001 сварнойшт</v>
      </c>
      <c r="B528" s="1165" t="s">
        <v>66</v>
      </c>
      <c r="C528" s="1165"/>
      <c r="D528" s="1178" t="s">
        <v>1329</v>
      </c>
      <c r="E528" s="1178"/>
      <c r="F528" s="907" t="s">
        <v>129</v>
      </c>
      <c r="G528" s="908">
        <v>29925.84</v>
      </c>
      <c r="H528" s="897" t="s">
        <v>131</v>
      </c>
      <c r="I528" s="903"/>
      <c r="J528" s="899">
        <v>29925.84</v>
      </c>
    </row>
    <row r="529" spans="1:10" ht="15">
      <c r="A529" s="1171" t="str">
        <f>Таблица301715[[#This Row],[Группа]]&amp;Таблица301715[[#This Row],[Номенклатура]]&amp;Таблица301715[[#This Row],[ЕИ]]</f>
        <v>Детали трубопровода стальТройник 219х6-159х4,5-12х18н10т ГОСТ 17376-2001 сварнойшт</v>
      </c>
      <c r="B529" s="1165" t="s">
        <v>66</v>
      </c>
      <c r="C529" s="1165"/>
      <c r="D529" s="1178" t="s">
        <v>1330</v>
      </c>
      <c r="E529" s="1178"/>
      <c r="F529" s="907" t="s">
        <v>129</v>
      </c>
      <c r="G529" s="908">
        <v>29925.84</v>
      </c>
      <c r="H529" s="897" t="s">
        <v>131</v>
      </c>
      <c r="I529" s="903"/>
      <c r="J529" s="899">
        <v>29925.84</v>
      </c>
    </row>
    <row r="530" spans="1:10" ht="15">
      <c r="A530" s="1171" t="str">
        <f>Таблица301715[[#This Row],[Группа]]&amp;Таблица301715[[#This Row],[Номенклатура]]&amp;Таблица301715[[#This Row],[ЕИ]]</f>
        <v>Детали трубопровода стальТройник 219х8-12х18н10т ГОСТ 17376-2001 сварнойшт</v>
      </c>
      <c r="B530" s="1165" t="s">
        <v>66</v>
      </c>
      <c r="C530" s="1165"/>
      <c r="D530" s="1178" t="s">
        <v>1331</v>
      </c>
      <c r="E530" s="1178"/>
      <c r="F530" s="907" t="s">
        <v>129</v>
      </c>
      <c r="G530" s="908">
        <v>40488</v>
      </c>
      <c r="H530" s="897" t="s">
        <v>131</v>
      </c>
      <c r="I530" s="903"/>
      <c r="J530" s="899">
        <v>40488</v>
      </c>
    </row>
    <row r="531" spans="1:10" ht="15">
      <c r="A531" s="1171" t="str">
        <f>Таблица301715[[#This Row],[Группа]]&amp;Таблица301715[[#This Row],[Номенклатура]]&amp;Таблица301715[[#This Row],[ЕИ]]</f>
        <v>Детали трубопровода стальТройник 219х10-12х18н10т ГОСТ 17376-2001 сварнойшт</v>
      </c>
      <c r="B531" s="1165" t="s">
        <v>66</v>
      </c>
      <c r="C531" s="1165"/>
      <c r="D531" s="1178" t="s">
        <v>1332</v>
      </c>
      <c r="E531" s="1178"/>
      <c r="F531" s="907" t="s">
        <v>129</v>
      </c>
      <c r="G531" s="908">
        <v>49289.52</v>
      </c>
      <c r="H531" s="897" t="s">
        <v>131</v>
      </c>
      <c r="I531" s="903"/>
      <c r="J531" s="899">
        <v>49289.52</v>
      </c>
    </row>
    <row r="532" spans="1:10" ht="15">
      <c r="A532" s="1171" t="str">
        <f>Таблица301715[[#This Row],[Группа]]&amp;Таблица301715[[#This Row],[Номенклатура]]&amp;Таблица301715[[#This Row],[ЕИ]]</f>
        <v>Детали трубопровода стальТройник 273х6-12х18н10т ГОСТ 17376-2001 сварнойшт</v>
      </c>
      <c r="B532" s="1165" t="s">
        <v>66</v>
      </c>
      <c r="C532" s="1165"/>
      <c r="D532" s="1178" t="s">
        <v>1333</v>
      </c>
      <c r="E532" s="1178"/>
      <c r="F532" s="907" t="s">
        <v>129</v>
      </c>
      <c r="G532" s="908">
        <v>52809.120000000003</v>
      </c>
      <c r="H532" s="897" t="s">
        <v>131</v>
      </c>
      <c r="I532" s="903"/>
      <c r="J532" s="899">
        <v>52809.120000000003</v>
      </c>
    </row>
    <row r="533" spans="1:10" ht="15">
      <c r="A533" s="1171" t="str">
        <f>Таблица301715[[#This Row],[Группа]]&amp;Таблица301715[[#This Row],[Номенклатура]]&amp;Таблица301715[[#This Row],[ЕИ]]</f>
        <v>Детали трубопровода стальТройник 273х7-12х18н10т ГОСТ 17376-2001 сварнойшт</v>
      </c>
      <c r="B533" s="1165" t="s">
        <v>66</v>
      </c>
      <c r="C533" s="1165"/>
      <c r="D533" s="1178" t="s">
        <v>1334</v>
      </c>
      <c r="E533" s="1178"/>
      <c r="F533" s="907" t="s">
        <v>129</v>
      </c>
      <c r="G533" s="908">
        <v>54277.440000000002</v>
      </c>
      <c r="H533" s="897" t="s">
        <v>131</v>
      </c>
      <c r="I533" s="903"/>
      <c r="J533" s="899">
        <v>54277.440000000002</v>
      </c>
    </row>
    <row r="534" spans="1:10" ht="15">
      <c r="A534" s="1171" t="str">
        <f>Таблица301715[[#This Row],[Группа]]&amp;Таблица301715[[#This Row],[Номенклатура]]&amp;Таблица301715[[#This Row],[ЕИ]]</f>
        <v>Детали трубопровода стальТройник 273х10-12х18н10т ГОСТ 17376-2001 сварнойшт</v>
      </c>
      <c r="B534" s="1165" t="s">
        <v>66</v>
      </c>
      <c r="C534" s="1165"/>
      <c r="D534" s="1178" t="s">
        <v>1335</v>
      </c>
      <c r="E534" s="1178"/>
      <c r="F534" s="907" t="s">
        <v>129</v>
      </c>
      <c r="G534" s="908">
        <v>76280.399999999994</v>
      </c>
      <c r="H534" s="897" t="s">
        <v>131</v>
      </c>
      <c r="I534" s="903"/>
      <c r="J534" s="899">
        <v>76280.399999999994</v>
      </c>
    </row>
    <row r="535" spans="1:10" ht="15">
      <c r="A535" s="1171" t="str">
        <f>Таблица301715[[#This Row],[Группа]]&amp;Таблица301715[[#This Row],[Номенклатура]]&amp;Таблица301715[[#This Row],[ЕИ]]</f>
        <v>Детали трубопровода стальТройник  273х12 -12х18н10т ГОСТ 17376-2001 сварнойшт</v>
      </c>
      <c r="B535" s="1165" t="s">
        <v>66</v>
      </c>
      <c r="C535" s="1165"/>
      <c r="D535" s="1178" t="s">
        <v>1336</v>
      </c>
      <c r="E535" s="1178"/>
      <c r="F535" s="907" t="s">
        <v>129</v>
      </c>
      <c r="G535" s="908">
        <v>89107.199999999997</v>
      </c>
      <c r="H535" s="897" t="s">
        <v>131</v>
      </c>
      <c r="I535" s="903"/>
      <c r="J535" s="899">
        <v>89107.199999999997</v>
      </c>
    </row>
    <row r="536" spans="1:10" ht="15">
      <c r="A536" s="1171" t="str">
        <f>Таблица301715[[#This Row],[Группа]]&amp;Таблица301715[[#This Row],[Номенклатура]]&amp;Таблица301715[[#This Row],[ЕИ]]</f>
        <v>Детали трубопровода стальТройник 325х8-12х18н10т ГОСТ 17376-2001 сварнойшт</v>
      </c>
      <c r="B536" s="1165" t="s">
        <v>66</v>
      </c>
      <c r="C536" s="1165"/>
      <c r="D536" s="1178" t="s">
        <v>1337</v>
      </c>
      <c r="E536" s="1178"/>
      <c r="F536" s="907" t="s">
        <v>129</v>
      </c>
      <c r="G536" s="908">
        <v>80388</v>
      </c>
      <c r="H536" s="897" t="s">
        <v>131</v>
      </c>
      <c r="I536" s="903"/>
      <c r="J536" s="899">
        <v>80388</v>
      </c>
    </row>
    <row r="537" spans="1:10" ht="15">
      <c r="A537" s="1171" t="str">
        <f>Таблица301715[[#This Row],[Группа]]&amp;Таблица301715[[#This Row],[Номенклатура]]&amp;Таблица301715[[#This Row],[ЕИ]]</f>
        <v>Детали трубопровода стальТройник 325х12-12х18н10т ГОСТ 17376-2001 сварнойшт</v>
      </c>
      <c r="B537" s="1165" t="s">
        <v>66</v>
      </c>
      <c r="C537" s="1165"/>
      <c r="D537" s="1178" t="s">
        <v>1338</v>
      </c>
      <c r="E537" s="1178"/>
      <c r="F537" s="907" t="s">
        <v>129</v>
      </c>
      <c r="G537" s="908">
        <v>120289.68</v>
      </c>
      <c r="H537" s="897" t="s">
        <v>131</v>
      </c>
      <c r="I537" s="903"/>
      <c r="J537" s="899">
        <v>120289.68</v>
      </c>
    </row>
    <row r="538" spans="1:10" ht="15">
      <c r="A538" s="1171" t="str">
        <f>Таблица301715[[#This Row],[Группа]]&amp;Таблица301715[[#This Row],[Номенклатура]]&amp;Таблица301715[[#This Row],[ЕИ]]</f>
        <v>Детали трубопровода стальТройник 325х14-12х18н10т ГОСТ 17376-2001 сварнойшт</v>
      </c>
      <c r="B538" s="1165" t="s">
        <v>66</v>
      </c>
      <c r="C538" s="1165"/>
      <c r="D538" s="1178" t="s">
        <v>1339</v>
      </c>
      <c r="E538" s="1178"/>
      <c r="F538" s="907" t="s">
        <v>129</v>
      </c>
      <c r="G538" s="908">
        <v>167291</v>
      </c>
      <c r="H538" s="897" t="s">
        <v>131</v>
      </c>
      <c r="I538" s="903"/>
      <c r="J538" s="899">
        <v>167291</v>
      </c>
    </row>
    <row r="539" spans="1:10" ht="15">
      <c r="A539" s="1171" t="str">
        <f>Таблица301715[[#This Row],[Группа]]&amp;Таблица301715[[#This Row],[Номенклатура]]&amp;Таблица301715[[#This Row],[ЕИ]]</f>
        <v>Детали трубопровода стальТройник 377х12(10)-12х18н10т ГОСТ 17376-2001 сварнойшт</v>
      </c>
      <c r="B539" s="1165" t="s">
        <v>66</v>
      </c>
      <c r="C539" s="1165"/>
      <c r="D539" s="1178" t="s">
        <v>1340</v>
      </c>
      <c r="E539" s="1178"/>
      <c r="F539" s="907" t="s">
        <v>129</v>
      </c>
      <c r="G539" s="908">
        <v>166236</v>
      </c>
      <c r="H539" s="897" t="s">
        <v>131</v>
      </c>
      <c r="I539" s="903"/>
      <c r="J539" s="899">
        <v>166236</v>
      </c>
    </row>
    <row r="540" spans="1:10" ht="15">
      <c r="A540" s="1171" t="str">
        <f>Таблица301715[[#This Row],[Группа]]&amp;Таблица301715[[#This Row],[Номенклатура]]&amp;Таблица301715[[#This Row],[ЕИ]]</f>
        <v>Детали трубопровода стальТройник 426х12(10)-12х18н10т ГОСТ 17376-2001 сварнойшт</v>
      </c>
      <c r="B540" s="1165" t="s">
        <v>66</v>
      </c>
      <c r="C540" s="1165"/>
      <c r="D540" s="1178" t="s">
        <v>1341</v>
      </c>
      <c r="E540" s="1178"/>
      <c r="F540" s="907" t="s">
        <v>129</v>
      </c>
      <c r="G540" s="908">
        <v>202532.4</v>
      </c>
      <c r="H540" s="897" t="s">
        <v>131</v>
      </c>
      <c r="I540" s="903"/>
      <c r="J540" s="899">
        <v>202532.4</v>
      </c>
    </row>
    <row r="541" spans="1:10" ht="15">
      <c r="A541" s="1171" t="str">
        <f>Таблица301715[[#This Row],[Группа]]&amp;Таблица301715[[#This Row],[Номенклатура]]&amp;Таблица301715[[#This Row],[ЕИ]]</f>
        <v>Детали трубопровода стальЗаглушка 32х3 12Х18Н10Т ГОСТ 17379  эллиптическаяшт</v>
      </c>
      <c r="B541" s="1165" t="s">
        <v>66</v>
      </c>
      <c r="C541" s="1165"/>
      <c r="D541" s="1178" t="s">
        <v>1342</v>
      </c>
      <c r="E541" s="1178"/>
      <c r="F541" s="907" t="s">
        <v>129</v>
      </c>
      <c r="G541" s="908">
        <v>463.68</v>
      </c>
      <c r="H541" s="897" t="s">
        <v>131</v>
      </c>
      <c r="I541" s="903"/>
      <c r="J541" s="899">
        <v>463.68</v>
      </c>
    </row>
    <row r="542" spans="1:10" ht="15">
      <c r="A542" s="1171" t="str">
        <f>Таблица301715[[#This Row],[Группа]]&amp;Таблица301715[[#This Row],[Номенклатура]]&amp;Таблица301715[[#This Row],[ЕИ]]</f>
        <v>Детали трубопровода стальЗаглушка 38х3 12Х18Н10Т ГОСТ 17379  эллиптическаяшт</v>
      </c>
      <c r="B542" s="1165" t="s">
        <v>66</v>
      </c>
      <c r="C542" s="1165"/>
      <c r="D542" s="1178" t="s">
        <v>1343</v>
      </c>
      <c r="E542" s="1178"/>
      <c r="F542" s="907" t="s">
        <v>129</v>
      </c>
      <c r="G542" s="908">
        <v>524.16</v>
      </c>
      <c r="H542" s="897" t="s">
        <v>131</v>
      </c>
      <c r="I542" s="903"/>
      <c r="J542" s="899">
        <v>524.16</v>
      </c>
    </row>
    <row r="543" spans="1:10" ht="15">
      <c r="A543" s="1171" t="str">
        <f>Таблица301715[[#This Row],[Группа]]&amp;Таблица301715[[#This Row],[Номенклатура]]&amp;Таблица301715[[#This Row],[ЕИ]]</f>
        <v>Детали трубопровода стальЗаглушка 45х3 12Х18Н10Т ГОСТ 17379  эллиптическаяшт</v>
      </c>
      <c r="B543" s="1165" t="s">
        <v>66</v>
      </c>
      <c r="C543" s="1165"/>
      <c r="D543" s="1178" t="s">
        <v>1344</v>
      </c>
      <c r="E543" s="1178"/>
      <c r="F543" s="907" t="s">
        <v>129</v>
      </c>
      <c r="G543" s="908">
        <v>924</v>
      </c>
      <c r="H543" s="897" t="s">
        <v>131</v>
      </c>
      <c r="I543" s="903"/>
      <c r="J543" s="899">
        <v>924</v>
      </c>
    </row>
    <row r="544" spans="1:10" ht="15">
      <c r="A544" s="1171" t="str">
        <f>Таблица301715[[#This Row],[Группа]]&amp;Таблица301715[[#This Row],[Номенклатура]]&amp;Таблица301715[[#This Row],[ЕИ]]</f>
        <v>Детали трубопровода стальЗаглушка 57х3 12Х18Н10Т ГОСТ 17379  эллиптическаяшт</v>
      </c>
      <c r="B544" s="1165" t="s">
        <v>66</v>
      </c>
      <c r="C544" s="1165"/>
      <c r="D544" s="1178" t="s">
        <v>1345</v>
      </c>
      <c r="E544" s="1178"/>
      <c r="F544" s="907" t="s">
        <v>129</v>
      </c>
      <c r="G544" s="908">
        <v>1152.48</v>
      </c>
      <c r="H544" s="897" t="s">
        <v>131</v>
      </c>
      <c r="I544" s="903"/>
      <c r="J544" s="899">
        <v>1152.48</v>
      </c>
    </row>
    <row r="545" spans="1:10" ht="15">
      <c r="A545" s="1171" t="str">
        <f>Таблица301715[[#This Row],[Группа]]&amp;Таблица301715[[#This Row],[Номенклатура]]&amp;Таблица301715[[#This Row],[ЕИ]]</f>
        <v>Детали трубопровода стальЗаглушка 57х5 12Х18Н10Т ГОСТ 17379  эллиптическаяшт</v>
      </c>
      <c r="B545" s="1165" t="s">
        <v>66</v>
      </c>
      <c r="C545" s="1165"/>
      <c r="D545" s="1178" t="s">
        <v>1346</v>
      </c>
      <c r="E545" s="1178"/>
      <c r="F545" s="907" t="s">
        <v>129</v>
      </c>
      <c r="G545" s="908">
        <v>1270.08</v>
      </c>
      <c r="H545" s="897" t="s">
        <v>131</v>
      </c>
      <c r="I545" s="903"/>
      <c r="J545" s="899">
        <v>1270.08</v>
      </c>
    </row>
    <row r="546" spans="1:10" ht="15">
      <c r="A546" s="1171" t="str">
        <f>Таблица301715[[#This Row],[Группа]]&amp;Таблица301715[[#This Row],[Номенклатура]]&amp;Таблица301715[[#This Row],[ЕИ]]</f>
        <v>Детали трубопровода стальЗаглушка 76х4 12Х18Н10Т ГОСТ 17379  эллиптическаяшт</v>
      </c>
      <c r="B546" s="1165" t="s">
        <v>66</v>
      </c>
      <c r="C546" s="1165"/>
      <c r="D546" s="1178" t="s">
        <v>1347</v>
      </c>
      <c r="E546" s="1178"/>
      <c r="F546" s="907" t="s">
        <v>129</v>
      </c>
      <c r="G546" s="908">
        <v>1441.44</v>
      </c>
      <c r="H546" s="897" t="s">
        <v>131</v>
      </c>
      <c r="I546" s="903"/>
      <c r="J546" s="899">
        <v>1441.44</v>
      </c>
    </row>
    <row r="547" spans="1:10" ht="15">
      <c r="A547" s="1171" t="str">
        <f>Таблица301715[[#This Row],[Группа]]&amp;Таблица301715[[#This Row],[Номенклатура]]&amp;Таблица301715[[#This Row],[ЕИ]]</f>
        <v>Детали трубопровода стальЗаглушка 76х5 12Х18Н10Т ГОСТ 17379  эллиптическаяшт</v>
      </c>
      <c r="B547" s="1165" t="s">
        <v>66</v>
      </c>
      <c r="C547" s="1165"/>
      <c r="D547" s="1178" t="s">
        <v>1348</v>
      </c>
      <c r="E547" s="1178"/>
      <c r="F547" s="907" t="s">
        <v>129</v>
      </c>
      <c r="G547" s="908">
        <v>1559.04</v>
      </c>
      <c r="H547" s="897" t="s">
        <v>131</v>
      </c>
      <c r="I547" s="903"/>
      <c r="J547" s="899">
        <v>1559.04</v>
      </c>
    </row>
    <row r="548" spans="1:10" ht="15">
      <c r="A548" s="1171" t="str">
        <f>Таблица301715[[#This Row],[Группа]]&amp;Таблица301715[[#This Row],[Номенклатура]]&amp;Таблица301715[[#This Row],[ЕИ]]</f>
        <v>Детали трубопровода стальЗаглушка 76х6 12Х18Н10Т ГОСТ 17379  эллиптическаяшт</v>
      </c>
      <c r="B548" s="1165" t="s">
        <v>66</v>
      </c>
      <c r="C548" s="1165"/>
      <c r="D548" s="1178" t="s">
        <v>1349</v>
      </c>
      <c r="E548" s="1178"/>
      <c r="F548" s="907" t="s">
        <v>129</v>
      </c>
      <c r="G548" s="908">
        <v>1559.04</v>
      </c>
      <c r="H548" s="897" t="s">
        <v>131</v>
      </c>
      <c r="I548" s="903"/>
      <c r="J548" s="899">
        <v>1559.04</v>
      </c>
    </row>
    <row r="549" spans="1:10" ht="15">
      <c r="A549" s="1171" t="str">
        <f>Таблица301715[[#This Row],[Группа]]&amp;Таблица301715[[#This Row],[Номенклатура]]&amp;Таблица301715[[#This Row],[ЕИ]]</f>
        <v>Детали трубопровода стальЗаглушка 89х4 12Х18Н10Т ГОСТ 17379  эллиптическаяшт</v>
      </c>
      <c r="B549" s="1165" t="s">
        <v>66</v>
      </c>
      <c r="C549" s="1165"/>
      <c r="D549" s="1178" t="s">
        <v>1350</v>
      </c>
      <c r="E549" s="1178"/>
      <c r="F549" s="907" t="s">
        <v>129</v>
      </c>
      <c r="G549" s="908">
        <v>1777.44</v>
      </c>
      <c r="H549" s="897" t="s">
        <v>131</v>
      </c>
      <c r="I549" s="903"/>
      <c r="J549" s="899">
        <v>1777.44</v>
      </c>
    </row>
    <row r="550" spans="1:10" ht="15">
      <c r="A550" s="1171" t="str">
        <f>Таблица301715[[#This Row],[Группа]]&amp;Таблица301715[[#This Row],[Номенклатура]]&amp;Таблица301715[[#This Row],[ЕИ]]</f>
        <v>Детали трубопровода стальЗаглушка 89х5 12Х18Н10Т ГОСТ 17379  эллиптическаяшт</v>
      </c>
      <c r="B550" s="1165" t="s">
        <v>66</v>
      </c>
      <c r="C550" s="1165"/>
      <c r="D550" s="1178" t="s">
        <v>1351</v>
      </c>
      <c r="E550" s="1178"/>
      <c r="F550" s="907" t="s">
        <v>129</v>
      </c>
      <c r="G550" s="908">
        <v>1955.52</v>
      </c>
      <c r="H550" s="897" t="s">
        <v>131</v>
      </c>
      <c r="I550" s="903"/>
      <c r="J550" s="899">
        <v>1955.52</v>
      </c>
    </row>
    <row r="551" spans="1:10" ht="15">
      <c r="A551" s="1171" t="str">
        <f>Таблица301715[[#This Row],[Группа]]&amp;Таблица301715[[#This Row],[Номенклатура]]&amp;Таблица301715[[#This Row],[ЕИ]]</f>
        <v>Детали трубопровода стальЗаглушка 89х6 12Х18Н10Т ГОСТ 17379  эллиптическаяшт</v>
      </c>
      <c r="B551" s="1165" t="s">
        <v>66</v>
      </c>
      <c r="C551" s="1165"/>
      <c r="D551" s="1178" t="s">
        <v>1352</v>
      </c>
      <c r="E551" s="1178"/>
      <c r="F551" s="907" t="s">
        <v>129</v>
      </c>
      <c r="G551" s="908">
        <v>1955.52</v>
      </c>
      <c r="H551" s="897" t="s">
        <v>131</v>
      </c>
      <c r="I551" s="903"/>
      <c r="J551" s="899">
        <v>1955.52</v>
      </c>
    </row>
    <row r="552" spans="1:10" ht="15">
      <c r="A552" s="1171" t="str">
        <f>Таблица301715[[#This Row],[Группа]]&amp;Таблица301715[[#This Row],[Номенклатура]]&amp;Таблица301715[[#This Row],[ЕИ]]</f>
        <v>Детали трубопровода стальЗаглушка 89х8 12Х18Н10Т ГОСТ 17379  эллиптическаяшт</v>
      </c>
      <c r="B552" s="1165" t="s">
        <v>66</v>
      </c>
      <c r="C552" s="1165"/>
      <c r="D552" s="1178" t="s">
        <v>1353</v>
      </c>
      <c r="E552" s="1178"/>
      <c r="F552" s="907" t="s">
        <v>129</v>
      </c>
      <c r="G552" s="908">
        <v>1955.52</v>
      </c>
      <c r="H552" s="897" t="s">
        <v>131</v>
      </c>
      <c r="I552" s="903"/>
      <c r="J552" s="899">
        <v>1955.52</v>
      </c>
    </row>
    <row r="553" spans="1:10" ht="15">
      <c r="A553" s="1171" t="str">
        <f>Таблица301715[[#This Row],[Группа]]&amp;Таблица301715[[#This Row],[Номенклатура]]&amp;Таблица301715[[#This Row],[ЕИ]]</f>
        <v>Детали трубопровода стальЗаглушка 108х4 12Х18Н10Т ГОСТ 17379  эллиптическаяшт</v>
      </c>
      <c r="B553" s="1165" t="s">
        <v>66</v>
      </c>
      <c r="C553" s="1165"/>
      <c r="D553" s="1178" t="s">
        <v>1354</v>
      </c>
      <c r="E553" s="1178"/>
      <c r="F553" s="907" t="s">
        <v>129</v>
      </c>
      <c r="G553" s="908">
        <v>2790.48</v>
      </c>
      <c r="H553" s="897" t="s">
        <v>131</v>
      </c>
      <c r="I553" s="903"/>
      <c r="J553" s="899">
        <v>2790.48</v>
      </c>
    </row>
    <row r="554" spans="1:10" ht="15">
      <c r="A554" s="1171" t="str">
        <f>Таблица301715[[#This Row],[Группа]]&amp;Таблица301715[[#This Row],[Номенклатура]]&amp;Таблица301715[[#This Row],[ЕИ]]</f>
        <v>Детали трубопровода стальЗаглушка 108х5 12Х18Н10Т ГОСТ 17379  эллиптическаяшт</v>
      </c>
      <c r="B554" s="1165" t="s">
        <v>66</v>
      </c>
      <c r="C554" s="1165"/>
      <c r="D554" s="1178" t="s">
        <v>1355</v>
      </c>
      <c r="E554" s="1178"/>
      <c r="F554" s="907" t="s">
        <v>129</v>
      </c>
      <c r="G554" s="908">
        <v>2790.48</v>
      </c>
      <c r="H554" s="897" t="s">
        <v>131</v>
      </c>
      <c r="I554" s="903"/>
      <c r="J554" s="899">
        <v>2790.48</v>
      </c>
    </row>
    <row r="555" spans="1:10" ht="15">
      <c r="A555" s="1171" t="str">
        <f>Таблица301715[[#This Row],[Группа]]&amp;Таблица301715[[#This Row],[Номенклатура]]&amp;Таблица301715[[#This Row],[ЕИ]]</f>
        <v>Детали трубопровода стальЗаглушка 108х6 12Х18Н10Т ГОСТ 17379  эллиптическаяшт</v>
      </c>
      <c r="B555" s="1165" t="s">
        <v>66</v>
      </c>
      <c r="C555" s="1165"/>
      <c r="D555" s="1178" t="s">
        <v>1356</v>
      </c>
      <c r="E555" s="1178"/>
      <c r="F555" s="907" t="s">
        <v>129</v>
      </c>
      <c r="G555" s="908">
        <v>2790.48</v>
      </c>
      <c r="H555" s="897" t="s">
        <v>131</v>
      </c>
      <c r="I555" s="903"/>
      <c r="J555" s="899">
        <v>2790.48</v>
      </c>
    </row>
    <row r="556" spans="1:10" ht="15">
      <c r="A556" s="1171" t="str">
        <f>Таблица301715[[#This Row],[Группа]]&amp;Таблица301715[[#This Row],[Номенклатура]]&amp;Таблица301715[[#This Row],[ЕИ]]</f>
        <v>Детали трубопровода стальЗаглушка 108x8 12Х18Н10Т ГОСТ 17379  эллиптическаяшт</v>
      </c>
      <c r="B556" s="1165" t="s">
        <v>66</v>
      </c>
      <c r="C556" s="1165"/>
      <c r="D556" s="1178" t="s">
        <v>1357</v>
      </c>
      <c r="E556" s="1178"/>
      <c r="F556" s="907" t="s">
        <v>129</v>
      </c>
      <c r="G556" s="908">
        <v>2847.6</v>
      </c>
      <c r="H556" s="897" t="s">
        <v>131</v>
      </c>
      <c r="I556" s="903"/>
      <c r="J556" s="899">
        <v>2847.6</v>
      </c>
    </row>
    <row r="557" spans="1:10" ht="15">
      <c r="A557" s="1171" t="str">
        <f>Таблица301715[[#This Row],[Группа]]&amp;Таблица301715[[#This Row],[Номенклатура]]&amp;Таблица301715[[#This Row],[ЕИ]]</f>
        <v>Детали трубопровода стальЗаглушка 114x5 12Х18Н10Т ГОСТ 17379  эллиптическаяшт</v>
      </c>
      <c r="B557" s="1165" t="s">
        <v>66</v>
      </c>
      <c r="C557" s="1165"/>
      <c r="D557" s="1178" t="s">
        <v>1358</v>
      </c>
      <c r="E557" s="1178"/>
      <c r="F557" s="907" t="s">
        <v>129</v>
      </c>
      <c r="G557" s="908">
        <v>3059.28</v>
      </c>
      <c r="H557" s="897" t="s">
        <v>131</v>
      </c>
      <c r="I557" s="903"/>
      <c r="J557" s="899">
        <v>3059.28</v>
      </c>
    </row>
    <row r="558" spans="1:10" ht="15">
      <c r="A558" s="1171" t="str">
        <f>Таблица301715[[#This Row],[Группа]]&amp;Таблица301715[[#This Row],[Номенклатура]]&amp;Таблица301715[[#This Row],[ЕИ]]</f>
        <v>Детали трубопровода стальЗаглушка 133х5 12Х18Н10Т ГОСТ 17379  эллиптическаяшт</v>
      </c>
      <c r="B558" s="1165" t="s">
        <v>66</v>
      </c>
      <c r="C558" s="1165"/>
      <c r="D558" s="1178" t="s">
        <v>1359</v>
      </c>
      <c r="E558" s="1178"/>
      <c r="F558" s="907" t="s">
        <v>129</v>
      </c>
      <c r="G558" s="908">
        <v>3136.56</v>
      </c>
      <c r="H558" s="897" t="s">
        <v>131</v>
      </c>
      <c r="I558" s="903"/>
      <c r="J558" s="899">
        <v>3136.56</v>
      </c>
    </row>
    <row r="559" spans="1:10" ht="15">
      <c r="A559" s="1171" t="str">
        <f>Таблица301715[[#This Row],[Группа]]&amp;Таблица301715[[#This Row],[Номенклатура]]&amp;Таблица301715[[#This Row],[ЕИ]]</f>
        <v>Детали трубопровода стальЗаглушка 133х8 12Х18Н10Т ГОСТ 17379  эллиптическаяшт</v>
      </c>
      <c r="B559" s="1165" t="s">
        <v>66</v>
      </c>
      <c r="C559" s="1165"/>
      <c r="D559" s="1178" t="s">
        <v>1360</v>
      </c>
      <c r="E559" s="1178"/>
      <c r="F559" s="907" t="s">
        <v>129</v>
      </c>
      <c r="G559" s="908">
        <v>4445.28</v>
      </c>
      <c r="H559" s="897" t="s">
        <v>131</v>
      </c>
      <c r="I559" s="903"/>
      <c r="J559" s="899">
        <v>4445.28</v>
      </c>
    </row>
    <row r="560" spans="1:10" ht="15">
      <c r="A560" s="1171" t="str">
        <f>Таблица301715[[#This Row],[Группа]]&amp;Таблица301715[[#This Row],[Номенклатура]]&amp;Таблица301715[[#This Row],[ЕИ]]</f>
        <v>Детали трубопровода стальЗаглушка 159х5 12Х18Н10Т ГОСТ 17379  эллиптическаяшт</v>
      </c>
      <c r="B560" s="1165" t="s">
        <v>66</v>
      </c>
      <c r="C560" s="1165"/>
      <c r="D560" s="1178" t="s">
        <v>1361</v>
      </c>
      <c r="E560" s="1178"/>
      <c r="F560" s="907" t="s">
        <v>129</v>
      </c>
      <c r="G560" s="908">
        <v>3526.32</v>
      </c>
      <c r="H560" s="897" t="s">
        <v>131</v>
      </c>
      <c r="I560" s="903"/>
      <c r="J560" s="899">
        <v>3526.32</v>
      </c>
    </row>
    <row r="561" spans="1:10" ht="15">
      <c r="A561" s="1171" t="str">
        <f>Таблица301715[[#This Row],[Группа]]&amp;Таблица301715[[#This Row],[Номенклатура]]&amp;Таблица301715[[#This Row],[ЕИ]]</f>
        <v>Детали трубопровода стальЗаглушка 159х6 12Х18Н10Т ГОСТ 17379  эллиптическаяшт</v>
      </c>
      <c r="B561" s="1165" t="s">
        <v>66</v>
      </c>
      <c r="C561" s="1165"/>
      <c r="D561" s="1178" t="s">
        <v>1362</v>
      </c>
      <c r="E561" s="1178"/>
      <c r="F561" s="907" t="s">
        <v>129</v>
      </c>
      <c r="G561" s="908">
        <v>4536</v>
      </c>
      <c r="H561" s="897" t="s">
        <v>131</v>
      </c>
      <c r="I561" s="903"/>
      <c r="J561" s="899">
        <v>4536</v>
      </c>
    </row>
    <row r="562" spans="1:10" ht="15">
      <c r="A562" s="1171" t="str">
        <f>Таблица301715[[#This Row],[Группа]]&amp;Таблица301715[[#This Row],[Номенклатура]]&amp;Таблица301715[[#This Row],[ЕИ]]</f>
        <v>Детали трубопровода стальЗаглушка 168х6 12Х18Н10Т ГОСТ 17379  эллиптическаяшт</v>
      </c>
      <c r="B562" s="1165" t="s">
        <v>66</v>
      </c>
      <c r="C562" s="1165"/>
      <c r="D562" s="1178" t="s">
        <v>1363</v>
      </c>
      <c r="E562" s="1178"/>
      <c r="F562" s="907" t="s">
        <v>129</v>
      </c>
      <c r="G562" s="908">
        <v>5617.92</v>
      </c>
      <c r="H562" s="897" t="s">
        <v>131</v>
      </c>
      <c r="I562" s="903"/>
      <c r="J562" s="899">
        <v>5617.92</v>
      </c>
    </row>
    <row r="563" spans="1:10" ht="15">
      <c r="A563" s="1171" t="str">
        <f>Таблица301715[[#This Row],[Группа]]&amp;Таблица301715[[#This Row],[Номенклатура]]&amp;Таблица301715[[#This Row],[ЕИ]]</f>
        <v>Детали трубопровода стальЗаглушка 219х6 12Х18Н10Т ГОСТ 17379  эллиптическаяшт</v>
      </c>
      <c r="B563" s="1165" t="s">
        <v>66</v>
      </c>
      <c r="C563" s="1165"/>
      <c r="D563" s="1178" t="s">
        <v>1364</v>
      </c>
      <c r="E563" s="1178"/>
      <c r="F563" s="907" t="s">
        <v>129</v>
      </c>
      <c r="G563" s="908">
        <v>11360.16</v>
      </c>
      <c r="H563" s="897" t="s">
        <v>131</v>
      </c>
      <c r="I563" s="903"/>
      <c r="J563" s="899">
        <v>11360.16</v>
      </c>
    </row>
    <row r="564" spans="1:10" ht="15">
      <c r="A564" s="1171" t="str">
        <f>Таблица301715[[#This Row],[Группа]]&amp;Таблица301715[[#This Row],[Номенклатура]]&amp;Таблица301715[[#This Row],[ЕИ]]</f>
        <v>Детали трубопровода стальЗаглушка 219х8 12Х18Н10Т ГОСТ 17379  эллиптическаяшт</v>
      </c>
      <c r="B564" s="1165" t="s">
        <v>66</v>
      </c>
      <c r="C564" s="1165"/>
      <c r="D564" s="1178" t="s">
        <v>1365</v>
      </c>
      <c r="E564" s="1178"/>
      <c r="F564" s="907" t="s">
        <v>129</v>
      </c>
      <c r="G564" s="908">
        <v>11360.16</v>
      </c>
      <c r="H564" s="897" t="s">
        <v>131</v>
      </c>
      <c r="I564" s="903"/>
      <c r="J564" s="899">
        <v>11360.16</v>
      </c>
    </row>
    <row r="565" spans="1:10" ht="15">
      <c r="A565" s="1171" t="str">
        <f>Таблица301715[[#This Row],[Группа]]&amp;Таблица301715[[#This Row],[Номенклатура]]&amp;Таблица301715[[#This Row],[ЕИ]]</f>
        <v>Детали трубопровода стальЗаглушка 273х8 12Х18Н10Т ГОСТ 17379  эллиптическаяшт</v>
      </c>
      <c r="B565" s="1165" t="s">
        <v>66</v>
      </c>
      <c r="C565" s="1165"/>
      <c r="D565" s="1178" t="s">
        <v>1366</v>
      </c>
      <c r="E565" s="1178"/>
      <c r="F565" s="907" t="s">
        <v>129</v>
      </c>
      <c r="G565" s="908">
        <v>17287.2</v>
      </c>
      <c r="H565" s="897" t="s">
        <v>131</v>
      </c>
      <c r="I565" s="903"/>
      <c r="J565" s="899">
        <v>17287.2</v>
      </c>
    </row>
    <row r="566" spans="1:10" ht="15">
      <c r="A566" s="1171" t="str">
        <f>Таблица301715[[#This Row],[Группа]]&amp;Таблица301715[[#This Row],[Номенклатура]]&amp;Таблица301715[[#This Row],[ЕИ]]</f>
        <v>Детали трубопровода стальЗаглушка 273х10 12Х18Н10Т ГОСТ 17379  эллиптическаяшт</v>
      </c>
      <c r="B566" s="1165" t="s">
        <v>66</v>
      </c>
      <c r="C566" s="1165"/>
      <c r="D566" s="1178" t="s">
        <v>1367</v>
      </c>
      <c r="E566" s="1178"/>
      <c r="F566" s="907" t="s">
        <v>129</v>
      </c>
      <c r="G566" s="908">
        <v>17287.2</v>
      </c>
      <c r="H566" s="897" t="s">
        <v>131</v>
      </c>
      <c r="I566" s="903"/>
      <c r="J566" s="899">
        <v>17287.2</v>
      </c>
    </row>
    <row r="567" spans="1:10" ht="15">
      <c r="A567" s="1171" t="str">
        <f>Таблица301715[[#This Row],[Группа]]&amp;Таблица301715[[#This Row],[Номенклатура]]&amp;Таблица301715[[#This Row],[ЕИ]]</f>
        <v>Детали трубопровода стальЗаглушка 325х10 12Х18Н10Т ГОСТ 17379  эллиптическаяшт</v>
      </c>
      <c r="B567" s="1165" t="s">
        <v>66</v>
      </c>
      <c r="C567" s="1165"/>
      <c r="D567" s="1178" t="s">
        <v>1368</v>
      </c>
      <c r="E567" s="1178"/>
      <c r="F567" s="907" t="s">
        <v>129</v>
      </c>
      <c r="G567" s="908">
        <v>24449.040000000001</v>
      </c>
      <c r="H567" s="897" t="s">
        <v>131</v>
      </c>
      <c r="I567" s="903"/>
      <c r="J567" s="899">
        <v>24449.040000000001</v>
      </c>
    </row>
    <row r="568" spans="1:10" ht="15">
      <c r="A568" s="1171" t="str">
        <f>Таблица301715[[#This Row],[Группа]]&amp;Таблица301715[[#This Row],[Номенклатура]]&amp;Таблица301715[[#This Row],[ЕИ]]</f>
        <v>Детали трубопровода стальЗаглушка 377х12 12Х18Н10Т ГОСТ 17379  эллиптическаяшт</v>
      </c>
      <c r="B568" s="1165" t="s">
        <v>66</v>
      </c>
      <c r="C568" s="1165"/>
      <c r="D568" s="1178" t="s">
        <v>1369</v>
      </c>
      <c r="E568" s="1178"/>
      <c r="F568" s="907" t="s">
        <v>129</v>
      </c>
      <c r="G568" s="908">
        <v>35809.199999999997</v>
      </c>
      <c r="H568" s="897" t="s">
        <v>131</v>
      </c>
      <c r="I568" s="903"/>
      <c r="J568" s="899">
        <v>35809.199999999997</v>
      </c>
    </row>
    <row r="569" spans="1:10" ht="15">
      <c r="A569" s="1171" t="str">
        <f>Таблица301715[[#This Row],[Группа]]&amp;Таблица301715[[#This Row],[Номенклатура]]&amp;Таблица301715[[#This Row],[ЕИ]]</f>
        <v>Детали трубопровода стальЗаглушка 426х10 12Х18Н10Т ГОСТ 17379  эллиптическаяшт</v>
      </c>
      <c r="B569" s="1165" t="s">
        <v>66</v>
      </c>
      <c r="C569" s="1165"/>
      <c r="D569" s="1178" t="s">
        <v>1370</v>
      </c>
      <c r="E569" s="1178"/>
      <c r="F569" s="907" t="s">
        <v>129</v>
      </c>
      <c r="G569" s="908">
        <v>43218</v>
      </c>
      <c r="H569" s="897" t="s">
        <v>131</v>
      </c>
      <c r="I569" s="903"/>
      <c r="J569" s="899">
        <v>43218</v>
      </c>
    </row>
    <row r="570" spans="1:10" ht="15">
      <c r="A570" s="1171" t="str">
        <f>Таблица301715[[#This Row],[Группа]]&amp;Таблица301715[[#This Row],[Номенклатура]]&amp;Таблица301715[[#This Row],[ЕИ]]</f>
        <v>Детали трубопровода стальЗаглушка 530х10 12Х18Н10Т ГОСТ 17379  эллиптическаяшт</v>
      </c>
      <c r="B570" s="1165" t="s">
        <v>66</v>
      </c>
      <c r="C570" s="1165"/>
      <c r="D570" s="1178" t="s">
        <v>1371</v>
      </c>
      <c r="E570" s="1178"/>
      <c r="F570" s="907" t="s">
        <v>129</v>
      </c>
      <c r="G570" s="908">
        <v>68920</v>
      </c>
      <c r="H570" s="897" t="s">
        <v>131</v>
      </c>
      <c r="I570" s="903"/>
      <c r="J570" s="899">
        <v>68920</v>
      </c>
    </row>
    <row r="571" spans="1:10" ht="15">
      <c r="A571" s="1171" t="str">
        <f>Таблица301715[[#This Row],[Группа]]&amp;Таблица301715[[#This Row],[Номенклатура]]&amp;Таблица301715[[#This Row],[ЕИ]]</f>
        <v>Детали трубопровода стальСгон 15 AISI нерж шт</v>
      </c>
      <c r="B571" s="1165" t="s">
        <v>66</v>
      </c>
      <c r="C571" s="1165"/>
      <c r="D571" s="1178" t="s">
        <v>1372</v>
      </c>
      <c r="E571" s="1178"/>
      <c r="F571" s="907" t="s">
        <v>129</v>
      </c>
      <c r="G571" s="908">
        <v>225.4</v>
      </c>
      <c r="H571" s="897" t="s">
        <v>131</v>
      </c>
      <c r="I571" s="903"/>
      <c r="J571" s="899">
        <v>225.4</v>
      </c>
    </row>
    <row r="572" spans="1:10" ht="15">
      <c r="A572" s="1171" t="str">
        <f>Таблица301715[[#This Row],[Группа]]&amp;Таблица301715[[#This Row],[Номенклатура]]&amp;Таблица301715[[#This Row],[ЕИ]]</f>
        <v>Детали трубопровода стальСгон 25 AISI нерж шт</v>
      </c>
      <c r="B572" s="1165" t="s">
        <v>66</v>
      </c>
      <c r="C572" s="1165"/>
      <c r="D572" s="1178" t="s">
        <v>1373</v>
      </c>
      <c r="E572" s="1178"/>
      <c r="F572" s="907" t="s">
        <v>129</v>
      </c>
      <c r="G572" s="908">
        <v>367.96</v>
      </c>
      <c r="H572" s="897" t="s">
        <v>131</v>
      </c>
      <c r="I572" s="903"/>
      <c r="J572" s="899">
        <v>367.96</v>
      </c>
    </row>
    <row r="573" spans="1:10" ht="15">
      <c r="A573" s="1171" t="str">
        <f>Таблица301715[[#This Row],[Группа]]&amp;Таблица301715[[#This Row],[Номенклатура]]&amp;Таблица301715[[#This Row],[ЕИ]]</f>
        <v>Детали трубопровода стальСгон 32 AISI нерж шт</v>
      </c>
      <c r="B573" s="1165" t="s">
        <v>66</v>
      </c>
      <c r="C573" s="1165"/>
      <c r="D573" s="1178" t="s">
        <v>1374</v>
      </c>
      <c r="E573" s="1178"/>
      <c r="F573" s="907" t="s">
        <v>129</v>
      </c>
      <c r="G573" s="908">
        <v>463.72</v>
      </c>
      <c r="H573" s="897" t="s">
        <v>131</v>
      </c>
      <c r="I573" s="903"/>
      <c r="J573" s="899">
        <v>463.72</v>
      </c>
    </row>
    <row r="574" spans="1:10" ht="15">
      <c r="A574" s="1171" t="str">
        <f>Таблица301715[[#This Row],[Группа]]&amp;Таблица301715[[#This Row],[Номенклатура]]&amp;Таблица301715[[#This Row],[ЕИ]]</f>
        <v>Детали трубопровода стальСгон 40 AISI нерж шт</v>
      </c>
      <c r="B574" s="1165" t="s">
        <v>66</v>
      </c>
      <c r="C574" s="1165"/>
      <c r="D574" s="1178" t="s">
        <v>1375</v>
      </c>
      <c r="E574" s="1178"/>
      <c r="F574" s="907" t="s">
        <v>129</v>
      </c>
      <c r="G574" s="908">
        <v>560.79999999999995</v>
      </c>
      <c r="H574" s="897" t="s">
        <v>131</v>
      </c>
      <c r="I574" s="903"/>
      <c r="J574" s="899">
        <v>560.79999999999995</v>
      </c>
    </row>
    <row r="575" spans="1:10" ht="15">
      <c r="A575" s="1171" t="str">
        <f>Таблица301715[[#This Row],[Группа]]&amp;Таблица301715[[#This Row],[Номенклатура]]&amp;Таблица301715[[#This Row],[ЕИ]]</f>
        <v>Детали трубопровода стальСгон 50 AISI нерж шт</v>
      </c>
      <c r="B575" s="1165" t="s">
        <v>66</v>
      </c>
      <c r="C575" s="1165"/>
      <c r="D575" s="1178" t="s">
        <v>1376</v>
      </c>
      <c r="E575" s="1178"/>
      <c r="F575" s="907" t="s">
        <v>129</v>
      </c>
      <c r="G575" s="908">
        <v>701.08</v>
      </c>
      <c r="H575" s="897" t="s">
        <v>131</v>
      </c>
      <c r="I575" s="903"/>
      <c r="J575" s="899">
        <v>701.08</v>
      </c>
    </row>
    <row r="576" spans="1:10" ht="15">
      <c r="A576" s="1171" t="str">
        <f>Таблица301715[[#This Row],[Группа]]&amp;Таблица301715[[#This Row],[Номенклатура]]&amp;Таблица301715[[#This Row],[ЕИ]]</f>
        <v>Детали трубопровода стальСгон 65 AISI нерж шт</v>
      </c>
      <c r="B576" s="1165" t="s">
        <v>66</v>
      </c>
      <c r="C576" s="1165"/>
      <c r="D576" s="1178" t="s">
        <v>1377</v>
      </c>
      <c r="E576" s="1178"/>
      <c r="F576" s="907" t="s">
        <v>129</v>
      </c>
      <c r="G576" s="908">
        <v>1260.22</v>
      </c>
      <c r="H576" s="897" t="s">
        <v>131</v>
      </c>
      <c r="I576" s="903"/>
      <c r="J576" s="899">
        <v>1260.22</v>
      </c>
    </row>
    <row r="577" spans="1:11" ht="15">
      <c r="A577" s="1171" t="str">
        <f>Таблица301715[[#This Row],[Группа]]&amp;Таблица301715[[#This Row],[Номенклатура]]&amp;Таблица301715[[#This Row],[ЕИ]]</f>
        <v>Детали трубопровода стальРезьба (ниппель приварной) 15шт</v>
      </c>
      <c r="B577" s="1165" t="s">
        <v>66</v>
      </c>
      <c r="C577" s="1165"/>
      <c r="D577" s="1178" t="s">
        <v>1378</v>
      </c>
      <c r="E577" s="1178"/>
      <c r="F577" s="907" t="s">
        <v>129</v>
      </c>
      <c r="G577" s="908">
        <v>157.78</v>
      </c>
      <c r="H577" s="897" t="s">
        <v>131</v>
      </c>
      <c r="I577" s="903"/>
      <c r="J577" s="899">
        <v>157.78</v>
      </c>
    </row>
    <row r="578" spans="1:11" ht="15">
      <c r="A578" s="1171" t="str">
        <f>Таблица301715[[#This Row],[Группа]]&amp;Таблица301715[[#This Row],[Номенклатура]]&amp;Таблица301715[[#This Row],[ЕИ]]</f>
        <v>Детали трубопровода стальРезьба (ниппель приварной) 20шт</v>
      </c>
      <c r="B578" s="1165" t="s">
        <v>66</v>
      </c>
      <c r="C578" s="1165"/>
      <c r="D578" s="1178" t="s">
        <v>1379</v>
      </c>
      <c r="E578" s="1178"/>
      <c r="F578" s="907" t="s">
        <v>129</v>
      </c>
      <c r="G578" s="908">
        <v>173.2</v>
      </c>
      <c r="H578" s="897" t="s">
        <v>131</v>
      </c>
      <c r="I578" s="903"/>
      <c r="J578" s="899">
        <v>173.2</v>
      </c>
    </row>
    <row r="579" spans="1:11" ht="15">
      <c r="A579" s="1171" t="str">
        <f>Таблица301715[[#This Row],[Группа]]&amp;Таблица301715[[#This Row],[Номенклатура]]&amp;Таблица301715[[#This Row],[ЕИ]]</f>
        <v>Детали трубопровода стальРезьба (ниппель приварной) 25шт</v>
      </c>
      <c r="B579" s="1165" t="s">
        <v>66</v>
      </c>
      <c r="C579" s="1165"/>
      <c r="D579" s="1178" t="s">
        <v>1380</v>
      </c>
      <c r="E579" s="1178"/>
      <c r="F579" s="907" t="s">
        <v>129</v>
      </c>
      <c r="G579" s="908">
        <v>207.46</v>
      </c>
      <c r="H579" s="897" t="s">
        <v>131</v>
      </c>
      <c r="I579" s="903"/>
      <c r="J579" s="899">
        <v>207.46</v>
      </c>
    </row>
    <row r="580" spans="1:11" ht="15">
      <c r="A580" s="1171" t="str">
        <f>Таблица301715[[#This Row],[Группа]]&amp;Таблица301715[[#This Row],[Номенклатура]]&amp;Таблица301715[[#This Row],[ЕИ]]</f>
        <v>Детали трубопровода стальРезьба (ниппель приварной) 32шт</v>
      </c>
      <c r="B580" s="1165" t="s">
        <v>66</v>
      </c>
      <c r="C580" s="1165"/>
      <c r="D580" s="1178" t="s">
        <v>1381</v>
      </c>
      <c r="E580" s="1178"/>
      <c r="F580" s="907" t="s">
        <v>129</v>
      </c>
      <c r="G580" s="908">
        <v>242.44</v>
      </c>
      <c r="H580" s="897" t="s">
        <v>131</v>
      </c>
      <c r="I580" s="903"/>
      <c r="J580" s="899">
        <v>242.44</v>
      </c>
    </row>
    <row r="581" spans="1:11" ht="15">
      <c r="A581" s="1171" t="str">
        <f>Таблица301715[[#This Row],[Группа]]&amp;Таблица301715[[#This Row],[Номенклатура]]&amp;Таблица301715[[#This Row],[ЕИ]]</f>
        <v>Детали трубопровода стальРезьба (ниппель приварной) 40шт</v>
      </c>
      <c r="B581" s="1165" t="s">
        <v>66</v>
      </c>
      <c r="C581" s="1165"/>
      <c r="D581" s="1178" t="s">
        <v>1382</v>
      </c>
      <c r="E581" s="1178"/>
      <c r="F581" s="907" t="s">
        <v>129</v>
      </c>
      <c r="G581" s="908">
        <v>267.39999999999998</v>
      </c>
      <c r="H581" s="897" t="s">
        <v>131</v>
      </c>
      <c r="I581" s="903"/>
      <c r="J581" s="899">
        <v>267.39999999999998</v>
      </c>
    </row>
    <row r="582" spans="1:11" ht="15">
      <c r="A582" s="1171" t="str">
        <f>Таблица301715[[#This Row],[Группа]]&amp;Таблица301715[[#This Row],[Номенклатура]]&amp;Таблица301715[[#This Row],[ЕИ]]</f>
        <v>Детали трубопровода стальРезьба (ниппель приварной) 50шт</v>
      </c>
      <c r="B582" s="1165" t="s">
        <v>66</v>
      </c>
      <c r="C582" s="1165"/>
      <c r="D582" s="1178" t="s">
        <v>1383</v>
      </c>
      <c r="E582" s="1178"/>
      <c r="F582" s="907" t="s">
        <v>129</v>
      </c>
      <c r="G582" s="908">
        <v>348.16</v>
      </c>
      <c r="H582" s="897" t="s">
        <v>131</v>
      </c>
      <c r="I582" s="903"/>
      <c r="J582" s="899">
        <v>348.16</v>
      </c>
      <c r="K582" s="1165"/>
    </row>
    <row r="583" spans="1:11" ht="15">
      <c r="A583" s="1171" t="str">
        <f>Таблица301715[[#This Row],[Группа]]&amp;Таблица301715[[#This Row],[Номенклатура]]&amp;Таблица301715[[#This Row],[ЕИ]]</f>
        <v>Детали трубопровода стальРезьба (ниппель приварной) 65шт</v>
      </c>
      <c r="B583" s="1165" t="s">
        <v>66</v>
      </c>
      <c r="C583" s="1165"/>
      <c r="D583" s="1178" t="s">
        <v>1384</v>
      </c>
      <c r="E583" s="1178"/>
      <c r="F583" s="907" t="s">
        <v>129</v>
      </c>
      <c r="G583" s="908">
        <v>493.96</v>
      </c>
      <c r="H583" s="897" t="s">
        <v>131</v>
      </c>
      <c r="I583" s="903"/>
      <c r="J583" s="899">
        <v>493.96</v>
      </c>
      <c r="K583" s="1165"/>
    </row>
    <row r="584" spans="1:11" ht="15">
      <c r="A584" s="1171" t="str">
        <f>Таблица301715[[#This Row],[Группа]]&amp;Таблица301715[[#This Row],[Номенклатура]]&amp;Таблица301715[[#This Row],[ЕИ]]</f>
        <v>Детали трубопровода стальРезьба (ниппель приварной) 80шт</v>
      </c>
      <c r="B584" s="1165" t="s">
        <v>66</v>
      </c>
      <c r="C584" s="1165"/>
      <c r="D584" s="1178" t="s">
        <v>1385</v>
      </c>
      <c r="E584" s="1178"/>
      <c r="F584" s="907" t="s">
        <v>129</v>
      </c>
      <c r="G584" s="908">
        <v>698.38</v>
      </c>
      <c r="H584" s="897" t="s">
        <v>131</v>
      </c>
      <c r="I584" s="903"/>
      <c r="J584" s="899">
        <v>698.38</v>
      </c>
      <c r="K584" s="1165"/>
    </row>
    <row r="585" spans="1:11" ht="15">
      <c r="A585" s="1171" t="str">
        <f>Таблица301715[[#This Row],[Группа]]&amp;Таблица301715[[#This Row],[Номенклатура]]&amp;Таблица301715[[#This Row],[ЕИ]]</f>
        <v>Детали трубопровода стальПрокладка А-10-40-ПОН ГОСТ 15180шт</v>
      </c>
      <c r="B585" s="1165" t="s">
        <v>66</v>
      </c>
      <c r="C585" s="1165"/>
      <c r="D585" s="1178" t="s">
        <v>1386</v>
      </c>
      <c r="E585" s="1178"/>
      <c r="F585" s="907" t="s">
        <v>129</v>
      </c>
      <c r="G585" s="908">
        <v>13.517799999999999</v>
      </c>
      <c r="H585" s="897" t="s">
        <v>131</v>
      </c>
      <c r="I585" s="903"/>
      <c r="J585" s="899">
        <v>13.517799999999999</v>
      </c>
      <c r="K585" s="1165"/>
    </row>
    <row r="586" spans="1:11" ht="15">
      <c r="A586" s="1171" t="str">
        <f>Таблица301715[[#This Row],[Группа]]&amp;Таблица301715[[#This Row],[Номенклатура]]&amp;Таблица301715[[#This Row],[ЕИ]]</f>
        <v>Детали трубопровода стальПрокладка А-15-40-ПОН ГОСТ 15180шт</v>
      </c>
      <c r="B586" s="1165" t="s">
        <v>66</v>
      </c>
      <c r="C586" s="1165"/>
      <c r="D586" s="1178" t="s">
        <v>1387</v>
      </c>
      <c r="E586" s="1178"/>
      <c r="F586" s="907" t="s">
        <v>129</v>
      </c>
      <c r="G586" s="908">
        <v>14.0326</v>
      </c>
      <c r="H586" s="897" t="s">
        <v>131</v>
      </c>
      <c r="I586" s="903"/>
      <c r="J586" s="899">
        <v>14.0326</v>
      </c>
      <c r="K586" s="1165"/>
    </row>
    <row r="587" spans="1:11" ht="15">
      <c r="A587" s="1171" t="str">
        <f>Таблица301715[[#This Row],[Группа]]&amp;Таблица301715[[#This Row],[Номенклатура]]&amp;Таблица301715[[#This Row],[ЕИ]]</f>
        <v>Детали трубопровода стальПрокладка А-20-40-ПОН ГОСТ 15180шт</v>
      </c>
      <c r="B587" s="1165" t="s">
        <v>66</v>
      </c>
      <c r="C587" s="1165"/>
      <c r="D587" s="1178" t="s">
        <v>1388</v>
      </c>
      <c r="E587" s="1178"/>
      <c r="F587" s="907" t="s">
        <v>129</v>
      </c>
      <c r="G587" s="908">
        <v>14.718999999999999</v>
      </c>
      <c r="H587" s="897" t="s">
        <v>131</v>
      </c>
      <c r="I587" s="903"/>
      <c r="J587" s="899">
        <v>14.718999999999999</v>
      </c>
      <c r="K587" s="1165"/>
    </row>
    <row r="588" spans="1:11" ht="15">
      <c r="A588" s="1171" t="str">
        <f>Таблица301715[[#This Row],[Группа]]&amp;Таблица301715[[#This Row],[Номенклатура]]&amp;Таблица301715[[#This Row],[ЕИ]]</f>
        <v>Детали трубопровода стальПрокладка А-25-40-ПОН ГОСТ 15180шт</v>
      </c>
      <c r="B588" s="1165" t="s">
        <v>66</v>
      </c>
      <c r="C588" s="1165"/>
      <c r="D588" s="1178" t="s">
        <v>1389</v>
      </c>
      <c r="E588" s="1178"/>
      <c r="F588" s="907" t="s">
        <v>129</v>
      </c>
      <c r="G588" s="908">
        <v>15.491199999999999</v>
      </c>
      <c r="H588" s="897" t="s">
        <v>131</v>
      </c>
      <c r="I588" s="903"/>
      <c r="J588" s="899">
        <v>15.491199999999999</v>
      </c>
      <c r="K588" s="1165"/>
    </row>
    <row r="589" spans="1:11" ht="15">
      <c r="A589" s="1171" t="str">
        <f>Таблица301715[[#This Row],[Группа]]&amp;Таблица301715[[#This Row],[Номенклатура]]&amp;Таблица301715[[#This Row],[ЕИ]]</f>
        <v>Детали трубопровода стальПрокладка А-32-40-ПОН ГОСТ 15180шт</v>
      </c>
      <c r="B589" s="1165" t="s">
        <v>66</v>
      </c>
      <c r="C589" s="1165"/>
      <c r="D589" s="1178" t="s">
        <v>1390</v>
      </c>
      <c r="E589" s="1178"/>
      <c r="F589" s="907" t="s">
        <v>129</v>
      </c>
      <c r="G589" s="908">
        <v>16.520800000000001</v>
      </c>
      <c r="H589" s="897" t="s">
        <v>131</v>
      </c>
      <c r="I589" s="903"/>
      <c r="J589" s="899">
        <v>16.520800000000001</v>
      </c>
      <c r="K589" s="1165"/>
    </row>
    <row r="590" spans="1:11" ht="15">
      <c r="A590" s="1171" t="str">
        <f>Таблица301715[[#This Row],[Группа]]&amp;Таблица301715[[#This Row],[Номенклатура]]&amp;Таблица301715[[#This Row],[ЕИ]]</f>
        <v>Детали трубопровода стальПрокладка А-40-40-ПОН ГОСТ 15180шт</v>
      </c>
      <c r="B590" s="1165" t="s">
        <v>66</v>
      </c>
      <c r="C590" s="1165"/>
      <c r="D590" s="1178" t="s">
        <v>1391</v>
      </c>
      <c r="E590" s="1178"/>
      <c r="F590" s="907" t="s">
        <v>129</v>
      </c>
      <c r="G590" s="908">
        <v>19.3522</v>
      </c>
      <c r="H590" s="897" t="s">
        <v>131</v>
      </c>
      <c r="I590" s="903"/>
      <c r="J590" s="899">
        <v>19.3522</v>
      </c>
      <c r="K590" s="1165"/>
    </row>
    <row r="591" spans="1:11" ht="15">
      <c r="A591" s="1171" t="str">
        <f>Таблица301715[[#This Row],[Группа]]&amp;Таблица301715[[#This Row],[Номенклатура]]&amp;Таблица301715[[#This Row],[ЕИ]]</f>
        <v>Детали трубопровода стальПрокладка А-50-40-ПОН ГОСТ 15180шт</v>
      </c>
      <c r="B591" s="1165" t="s">
        <v>66</v>
      </c>
      <c r="C591" s="1165"/>
      <c r="D591" s="1178" t="s">
        <v>604</v>
      </c>
      <c r="E591" s="1178"/>
      <c r="F591" s="907" t="s">
        <v>129</v>
      </c>
      <c r="G591" s="908">
        <v>21.7546</v>
      </c>
      <c r="H591" s="897" t="s">
        <v>131</v>
      </c>
      <c r="I591" s="903"/>
      <c r="J591" s="899">
        <v>21.7546</v>
      </c>
      <c r="K591" s="1165"/>
    </row>
    <row r="592" spans="1:11" ht="15">
      <c r="A592" s="1171" t="str">
        <f>Таблица301715[[#This Row],[Группа]]&amp;Таблица301715[[#This Row],[Номенклатура]]&amp;Таблица301715[[#This Row],[ЕИ]]</f>
        <v>Детали трубопровода стальПрокладка А-65-40-ПОН ГОСТ 15180шт</v>
      </c>
      <c r="B592" s="1165" t="s">
        <v>66</v>
      </c>
      <c r="C592" s="1165"/>
      <c r="D592" s="1178" t="s">
        <v>1392</v>
      </c>
      <c r="E592" s="1178"/>
      <c r="F592" s="907" t="s">
        <v>129</v>
      </c>
      <c r="G592" s="908">
        <v>28.1038</v>
      </c>
      <c r="H592" s="897" t="s">
        <v>131</v>
      </c>
      <c r="I592" s="903"/>
      <c r="J592" s="899">
        <v>28.1038</v>
      </c>
      <c r="K592" s="1165"/>
    </row>
    <row r="593" spans="1:11" ht="15">
      <c r="A593" s="1171" t="str">
        <f>Таблица301715[[#This Row],[Группа]]&amp;Таблица301715[[#This Row],[Номенклатура]]&amp;Таблица301715[[#This Row],[ЕИ]]</f>
        <v>Детали трубопровода стальПрокладка А-80-40-ПОН ГОСТ 15180шт</v>
      </c>
      <c r="B593" s="1165" t="s">
        <v>66</v>
      </c>
      <c r="C593" s="1165"/>
      <c r="D593" s="1178" t="s">
        <v>1393</v>
      </c>
      <c r="E593" s="1178"/>
      <c r="F593" s="907" t="s">
        <v>129</v>
      </c>
      <c r="G593" s="908">
        <v>29.991399999999999</v>
      </c>
      <c r="H593" s="897" t="s">
        <v>131</v>
      </c>
      <c r="I593" s="903"/>
      <c r="J593" s="899">
        <v>29.991399999999999</v>
      </c>
      <c r="K593" s="1165"/>
    </row>
    <row r="594" spans="1:11" ht="15">
      <c r="A594" s="1171" t="str">
        <f>Таблица301715[[#This Row],[Группа]]&amp;Таблица301715[[#This Row],[Номенклатура]]&amp;Таблица301715[[#This Row],[ЕИ]]</f>
        <v>Детали трубопровода стальПрокладка А-100-40-ПОН ГОСТ 15180шт</v>
      </c>
      <c r="B594" s="1165" t="s">
        <v>66</v>
      </c>
      <c r="C594" s="1165"/>
      <c r="D594" s="1178" t="s">
        <v>1394</v>
      </c>
      <c r="E594" s="1178"/>
      <c r="F594" s="907" t="s">
        <v>129</v>
      </c>
      <c r="G594" s="908">
        <v>34.024000000000001</v>
      </c>
      <c r="H594" s="897" t="s">
        <v>131</v>
      </c>
      <c r="I594" s="903"/>
      <c r="J594" s="899">
        <v>34.024000000000001</v>
      </c>
      <c r="K594" s="1165"/>
    </row>
    <row r="595" spans="1:11" ht="15">
      <c r="A595" s="1171" t="str">
        <f>Таблица301715[[#This Row],[Группа]]&amp;Таблица301715[[#This Row],[Номенклатура]]&amp;Таблица301715[[#This Row],[ЕИ]]</f>
        <v>Детали трубопровода стальПрокладка А-125-40-ПОН ГОСТ 15180шт</v>
      </c>
      <c r="B595" s="1165" t="s">
        <v>66</v>
      </c>
      <c r="C595" s="1165"/>
      <c r="D595" s="1178" t="s">
        <v>1395</v>
      </c>
      <c r="E595" s="1178"/>
      <c r="F595" s="907" t="s">
        <v>129</v>
      </c>
      <c r="G595" s="908">
        <v>40.03</v>
      </c>
      <c r="H595" s="897" t="s">
        <v>131</v>
      </c>
      <c r="I595" s="903"/>
      <c r="J595" s="899">
        <v>40.03</v>
      </c>
      <c r="K595" s="1165"/>
    </row>
    <row r="596" spans="1:11" ht="15">
      <c r="A596" s="1171" t="str">
        <f>Таблица301715[[#This Row],[Группа]]&amp;Таблица301715[[#This Row],[Номенклатура]]&amp;Таблица301715[[#This Row],[ЕИ]]</f>
        <v>Детали трубопровода стальПрокладка А-150-40-ПОН ГОСТ 15180шт</v>
      </c>
      <c r="B596" s="1165" t="s">
        <v>66</v>
      </c>
      <c r="C596" s="1165"/>
      <c r="D596" s="1178" t="s">
        <v>1396</v>
      </c>
      <c r="E596" s="1178"/>
      <c r="F596" s="907" t="s">
        <v>129</v>
      </c>
      <c r="G596" s="908">
        <v>44.577399999999997</v>
      </c>
      <c r="H596" s="897" t="s">
        <v>131</v>
      </c>
      <c r="I596" s="903"/>
      <c r="J596" s="899">
        <v>44.577399999999997</v>
      </c>
      <c r="K596" s="1165"/>
    </row>
    <row r="597" spans="1:11" ht="15">
      <c r="A597" s="1171" t="str">
        <f>Таблица301715[[#This Row],[Группа]]&amp;Таблица301715[[#This Row],[Номенклатура]]&amp;Таблица301715[[#This Row],[ЕИ]]</f>
        <v>Детали трубопровода стальПрокладка А-200-40-ПОН ГОСТ 15180шт</v>
      </c>
      <c r="B597" s="1165" t="s">
        <v>66</v>
      </c>
      <c r="C597" s="1165"/>
      <c r="D597" s="1178" t="s">
        <v>1397</v>
      </c>
      <c r="E597" s="1178"/>
      <c r="F597" s="907" t="s">
        <v>129</v>
      </c>
      <c r="G597" s="908">
        <v>71.4328</v>
      </c>
      <c r="H597" s="897" t="s">
        <v>131</v>
      </c>
      <c r="I597" s="903"/>
      <c r="J597" s="899">
        <v>71.4328</v>
      </c>
      <c r="K597" s="1165"/>
    </row>
    <row r="598" spans="1:11" ht="15">
      <c r="A598" s="1171" t="str">
        <f>Таблица301715[[#This Row],[Группа]]&amp;Таблица301715[[#This Row],[Номенклатура]]&amp;Таблица301715[[#This Row],[ЕИ]]</f>
        <v>Детали трубопровода стальПрокладка А-250-40-ПОН ГОСТ 15180шт</v>
      </c>
      <c r="B598" s="1165" t="s">
        <v>66</v>
      </c>
      <c r="C598" s="1165"/>
      <c r="D598" s="1178" t="s">
        <v>1398</v>
      </c>
      <c r="E598" s="1178"/>
      <c r="F598" s="907" t="s">
        <v>129</v>
      </c>
      <c r="G598" s="908">
        <v>122.60820000000002</v>
      </c>
      <c r="H598" s="897" t="s">
        <v>131</v>
      </c>
      <c r="I598" s="903"/>
      <c r="J598" s="899">
        <v>122.60820000000002</v>
      </c>
      <c r="K598" s="1165"/>
    </row>
    <row r="599" spans="1:11" ht="15">
      <c r="A599" s="1171" t="str">
        <f>Таблица301715[[#This Row],[Группа]]&amp;Таблица301715[[#This Row],[Номенклатура]]&amp;Таблица301715[[#This Row],[ЕИ]]</f>
        <v>Детали трубопровода стальПрокладка А-300-40-ПОН ГОСТ 15180шт</v>
      </c>
      <c r="B599" s="1165" t="s">
        <v>66</v>
      </c>
      <c r="C599" s="1165"/>
      <c r="D599" s="1178" t="s">
        <v>1399</v>
      </c>
      <c r="E599" s="1178"/>
      <c r="F599" s="907" t="s">
        <v>129</v>
      </c>
      <c r="G599" s="908">
        <v>233.84800000000001</v>
      </c>
      <c r="H599" s="897" t="s">
        <v>131</v>
      </c>
      <c r="I599" s="903"/>
      <c r="J599" s="899">
        <v>233.84800000000001</v>
      </c>
      <c r="K599" s="1165"/>
    </row>
    <row r="600" spans="1:11" ht="15">
      <c r="A600" s="1171" t="str">
        <f>Таблица301715[[#This Row],[Группа]]&amp;Таблица301715[[#This Row],[Номенклатура]]&amp;Таблица301715[[#This Row],[ЕИ]]</f>
        <v>Детали трубопровода стальПрокладка А-350-40-ПОН ГОСТ 15180шт</v>
      </c>
      <c r="B600" s="1165" t="s">
        <v>66</v>
      </c>
      <c r="C600" s="1165"/>
      <c r="D600" s="1178" t="s">
        <v>1400</v>
      </c>
      <c r="E600" s="1178"/>
      <c r="F600" s="907" t="s">
        <v>129</v>
      </c>
      <c r="G600" s="908">
        <v>162.24780000000001</v>
      </c>
      <c r="H600" s="897" t="s">
        <v>131</v>
      </c>
      <c r="I600" s="903"/>
      <c r="J600" s="899">
        <v>162.24780000000001</v>
      </c>
      <c r="K600" s="1165"/>
    </row>
    <row r="601" spans="1:11" ht="15">
      <c r="A601" s="1171" t="str">
        <f>Таблица301715[[#This Row],[Группа]]&amp;Таблица301715[[#This Row],[Номенклатура]]&amp;Таблица301715[[#This Row],[ЕИ]]</f>
        <v>Детали трубопровода стальПрокладка А-400-40-ПОН ГОСТ 15180шт</v>
      </c>
      <c r="B601" s="1165" t="s">
        <v>66</v>
      </c>
      <c r="C601" s="1165"/>
      <c r="D601" s="1178" t="s">
        <v>1401</v>
      </c>
      <c r="E601" s="1178"/>
      <c r="F601" s="907" t="s">
        <v>129</v>
      </c>
      <c r="G601" s="908">
        <v>169.45500000000001</v>
      </c>
      <c r="H601" s="897" t="s">
        <v>131</v>
      </c>
      <c r="I601" s="903"/>
      <c r="J601" s="899">
        <v>169.45500000000001</v>
      </c>
      <c r="K601" s="1165"/>
    </row>
    <row r="602" spans="1:11" ht="15">
      <c r="A602" s="1171" t="str">
        <f>Таблица301715[[#This Row],[Группа]]&amp;Таблица301715[[#This Row],[Номенклатура]]&amp;Таблица301715[[#This Row],[ЕИ]]</f>
        <v>Детали трубопровода стальПрокладка А-500-40-ПОН ГОСТ 15180шт</v>
      </c>
      <c r="B602" s="1165" t="s">
        <v>66</v>
      </c>
      <c r="C602" s="1165"/>
      <c r="D602" s="1178" t="s">
        <v>1402</v>
      </c>
      <c r="E602" s="1178"/>
      <c r="F602" s="907" t="s">
        <v>129</v>
      </c>
      <c r="G602" s="908">
        <v>248.90580000000006</v>
      </c>
      <c r="H602" s="897" t="s">
        <v>131</v>
      </c>
      <c r="I602" s="903"/>
      <c r="J602" s="899">
        <v>248.90580000000006</v>
      </c>
      <c r="K602" s="1165"/>
    </row>
    <row r="603" spans="1:11" ht="15">
      <c r="A603" s="1171" t="str">
        <f>Таблица301715[[#This Row],[Группа]]&amp;Таблица301715[[#This Row],[Номенклатура]]&amp;Таблица301715[[#This Row],[ЕИ]]</f>
        <v>Детали трубопровода стальПрокладка А-600-40-ПОН ГОСТ 15180шт</v>
      </c>
      <c r="B603" s="1165" t="s">
        <v>66</v>
      </c>
      <c r="C603" s="1165"/>
      <c r="D603" s="1178" t="s">
        <v>1403</v>
      </c>
      <c r="E603" s="1178"/>
      <c r="F603" s="907" t="s">
        <v>129</v>
      </c>
      <c r="G603" s="908">
        <v>309.48060000000004</v>
      </c>
      <c r="H603" s="897" t="s">
        <v>131</v>
      </c>
      <c r="I603" s="903"/>
      <c r="J603" s="899">
        <v>309.48060000000004</v>
      </c>
      <c r="K603" s="1165"/>
    </row>
    <row r="604" spans="1:11" ht="15">
      <c r="A604" s="1171" t="str">
        <f>Таблица301715[[#This Row],[Группа]]&amp;Таблица301715[[#This Row],[Номенклатура]]&amp;Таблица301715[[#This Row],[ЕИ]]</f>
        <v>Детали трубопровода стальПрокладка А-700-40-ПОН ГОСТ 15180шт</v>
      </c>
      <c r="B604" s="1165" t="s">
        <v>66</v>
      </c>
      <c r="C604" s="1165"/>
      <c r="D604" s="1178" t="s">
        <v>1404</v>
      </c>
      <c r="E604" s="1178"/>
      <c r="F604" s="907" t="s">
        <v>129</v>
      </c>
      <c r="G604" s="908">
        <v>466.39164000000011</v>
      </c>
      <c r="H604" s="897" t="s">
        <v>131</v>
      </c>
      <c r="I604" s="903"/>
      <c r="J604" s="899">
        <v>466.39164000000011</v>
      </c>
    </row>
    <row r="605" spans="1:11" ht="15">
      <c r="A605" s="1171" t="str">
        <f>Таблица301715[[#This Row],[Группа]]&amp;Таблица301715[[#This Row],[Номенклатура]]&amp;Таблица301715[[#This Row],[ЕИ]]</f>
        <v>Детали трубопровода стальПрокладка А-800-40-ПОН ГОСТ 15180шт</v>
      </c>
      <c r="B605" s="1165" t="s">
        <v>66</v>
      </c>
      <c r="C605" s="1165"/>
      <c r="D605" s="1178" t="s">
        <v>1405</v>
      </c>
      <c r="E605" s="1178"/>
      <c r="F605" s="907" t="s">
        <v>129</v>
      </c>
      <c r="G605" s="908">
        <v>544.48680000000002</v>
      </c>
      <c r="H605" s="897" t="s">
        <v>131</v>
      </c>
      <c r="I605" s="903"/>
      <c r="J605" s="899">
        <v>544.48680000000002</v>
      </c>
    </row>
    <row r="606" spans="1:11" ht="15">
      <c r="A606" s="1171" t="str">
        <f>Таблица301715[[#This Row],[Группа]]&amp;Таблица301715[[#This Row],[Номенклатура]]&amp;Таблица301715[[#This Row],[ЕИ]]</f>
        <v>Детали трубопровода стальПрокладка А-1000-16-ПОН ГОСТ 15180шт</v>
      </c>
      <c r="B606" s="1165" t="s">
        <v>66</v>
      </c>
      <c r="C606" s="1165"/>
      <c r="D606" s="1178" t="s">
        <v>1406</v>
      </c>
      <c r="E606" s="1178"/>
      <c r="F606" s="907" t="s">
        <v>129</v>
      </c>
      <c r="G606" s="908">
        <v>773.94</v>
      </c>
      <c r="H606" s="897" t="s">
        <v>131</v>
      </c>
      <c r="I606" s="903"/>
      <c r="J606" s="899">
        <v>773.94</v>
      </c>
    </row>
    <row r="607" spans="1:11" ht="15">
      <c r="A607" s="1171" t="str">
        <f>Таблица301715[[#This Row],[Группа]]&amp;Таблица301715[[#This Row],[Номенклатура]]&amp;Таблица301715[[#This Row],[ЕИ]]</f>
        <v>Детали трубопровода стальПрокладка А-1000-40-ПОН ГОСТ 15180шт</v>
      </c>
      <c r="B607" s="1165" t="s">
        <v>66</v>
      </c>
      <c r="C607" s="1165"/>
      <c r="D607" s="1178" t="s">
        <v>1407</v>
      </c>
      <c r="E607" s="1178"/>
      <c r="F607" s="907" t="s">
        <v>129</v>
      </c>
      <c r="G607" s="908">
        <v>1771.2239999999999</v>
      </c>
      <c r="H607" s="897" t="s">
        <v>131</v>
      </c>
      <c r="I607" s="903"/>
      <c r="J607" s="899">
        <v>1771.2239999999999</v>
      </c>
    </row>
    <row r="608" spans="1:11" ht="15">
      <c r="A608" s="1171" t="str">
        <f>Таблица301715[[#This Row],[Группа]]&amp;Таблица301715[[#This Row],[Номенклатура]]&amp;Таблица301715[[#This Row],[ЕИ]]</f>
        <v>Детали трубопровода стальПрокладка А-1400-10 ПОН-ГОСТ 15180-86 шт</v>
      </c>
      <c r="B608" s="1165" t="s">
        <v>66</v>
      </c>
      <c r="C608" s="1165"/>
      <c r="D608" s="1178" t="s">
        <v>1408</v>
      </c>
      <c r="E608" s="1178"/>
      <c r="F608" s="907" t="s">
        <v>129</v>
      </c>
      <c r="G608" s="908">
        <v>2840</v>
      </c>
      <c r="H608" s="897" t="s">
        <v>131</v>
      </c>
      <c r="I608" s="903"/>
      <c r="J608" s="899">
        <v>2840</v>
      </c>
    </row>
    <row r="609" spans="1:10" ht="15">
      <c r="A609" s="1171" t="str">
        <f>Таблица301715[[#This Row],[Группа]]&amp;Таблица301715[[#This Row],[Номенклатура]]&amp;Таблица301715[[#This Row],[ЕИ]]</f>
        <v>Детали трубопровода стальПрокладка А-1800-40 ПОН-ГОСТ 15180-86шт</v>
      </c>
      <c r="B609" s="1165" t="s">
        <v>66</v>
      </c>
      <c r="C609" s="1165"/>
      <c r="D609" s="1178" t="s">
        <v>1409</v>
      </c>
      <c r="E609" s="1178"/>
      <c r="F609" s="907" t="s">
        <v>129</v>
      </c>
      <c r="G609" s="908">
        <v>2785.88</v>
      </c>
      <c r="H609" s="897" t="s">
        <v>131</v>
      </c>
      <c r="I609" s="903"/>
      <c r="J609" s="899">
        <v>2785.88</v>
      </c>
    </row>
    <row r="610" spans="1:10" ht="15">
      <c r="A610" s="1171" t="str">
        <f>Таблица301715[[#This Row],[Группа]]&amp;Таблица301715[[#This Row],[Номенклатура]]&amp;Таблица301715[[#This Row],[ЕИ]]</f>
        <v>Детали трубопровода стальПрокладка А-15-40-ТМКЩ ГОСТ 15180шт</v>
      </c>
      <c r="B610" s="1165" t="s">
        <v>66</v>
      </c>
      <c r="C610" s="1165"/>
      <c r="D610" s="1178" t="s">
        <v>1410</v>
      </c>
      <c r="E610" s="1178"/>
      <c r="F610" s="907" t="s">
        <v>129</v>
      </c>
      <c r="G610" s="908">
        <v>3.3840000000000003</v>
      </c>
      <c r="H610" s="897" t="s">
        <v>131</v>
      </c>
      <c r="I610" s="903"/>
      <c r="J610" s="899">
        <v>3.3840000000000003</v>
      </c>
    </row>
    <row r="611" spans="1:10" ht="15">
      <c r="A611" s="1171" t="str">
        <f>Таблица301715[[#This Row],[Группа]]&amp;Таблица301715[[#This Row],[Номенклатура]]&amp;Таблица301715[[#This Row],[ЕИ]]</f>
        <v>Детали трубопровода стальПрокладка А-20-40-ТМКЩ ГОСТ 15180шт</v>
      </c>
      <c r="B611" s="1165" t="s">
        <v>66</v>
      </c>
      <c r="C611" s="1165"/>
      <c r="D611" s="1178" t="s">
        <v>1411</v>
      </c>
      <c r="E611" s="1178"/>
      <c r="F611" s="907" t="s">
        <v>129</v>
      </c>
      <c r="G611" s="908">
        <v>3</v>
      </c>
      <c r="H611" s="897" t="s">
        <v>131</v>
      </c>
      <c r="I611" s="903"/>
      <c r="J611" s="899">
        <v>3</v>
      </c>
    </row>
    <row r="612" spans="1:10" ht="15">
      <c r="A612" s="1171" t="str">
        <f>Таблица301715[[#This Row],[Группа]]&amp;Таблица301715[[#This Row],[Номенклатура]]&amp;Таблица301715[[#This Row],[ЕИ]]</f>
        <v>Детали трубопровода стальПрокладка А-25-40-ТМКЩ ГОСТ 15180шт</v>
      </c>
      <c r="B612" s="1165" t="s">
        <v>66</v>
      </c>
      <c r="C612" s="1165"/>
      <c r="D612" s="1178" t="s">
        <v>1412</v>
      </c>
      <c r="E612" s="1178"/>
      <c r="F612" s="907" t="s">
        <v>129</v>
      </c>
      <c r="G612" s="908">
        <v>3.6</v>
      </c>
      <c r="H612" s="897" t="s">
        <v>131</v>
      </c>
      <c r="I612" s="903"/>
      <c r="J612" s="899">
        <v>3.6</v>
      </c>
    </row>
    <row r="613" spans="1:10" ht="15">
      <c r="A613" s="1171" t="str">
        <f>Таблица301715[[#This Row],[Группа]]&amp;Таблица301715[[#This Row],[Номенклатура]]&amp;Таблица301715[[#This Row],[ЕИ]]</f>
        <v>Детали трубопровода стальПрокладка А-32-40-ТМКЩ ГОСТ 15180шт</v>
      </c>
      <c r="B613" s="1165" t="s">
        <v>66</v>
      </c>
      <c r="C613" s="1165"/>
      <c r="D613" s="1178" t="s">
        <v>1413</v>
      </c>
      <c r="E613" s="1178"/>
      <c r="F613" s="907" t="s">
        <v>129</v>
      </c>
      <c r="G613" s="908">
        <v>4.4400000000000004</v>
      </c>
      <c r="H613" s="897" t="s">
        <v>131</v>
      </c>
      <c r="I613" s="903"/>
      <c r="J613" s="899">
        <v>4.4400000000000004</v>
      </c>
    </row>
    <row r="614" spans="1:10" ht="15">
      <c r="A614" s="1171" t="str">
        <f>Таблица301715[[#This Row],[Группа]]&amp;Таблица301715[[#This Row],[Номенклатура]]&amp;Таблица301715[[#This Row],[ЕИ]]</f>
        <v>Детали трубопровода стальПрокладка А-40-40-ТМКЩ ГОСТ 15180шт</v>
      </c>
      <c r="B614" s="1165" t="s">
        <v>66</v>
      </c>
      <c r="C614" s="1165"/>
      <c r="D614" s="1178" t="s">
        <v>1414</v>
      </c>
      <c r="E614" s="1178"/>
      <c r="F614" s="907" t="s">
        <v>129</v>
      </c>
      <c r="G614" s="908">
        <v>6.54</v>
      </c>
      <c r="H614" s="897" t="s">
        <v>131</v>
      </c>
      <c r="I614" s="903"/>
      <c r="J614" s="899">
        <v>6.54</v>
      </c>
    </row>
    <row r="615" spans="1:10" ht="15">
      <c r="A615" s="1171" t="str">
        <f>Таблица301715[[#This Row],[Группа]]&amp;Таблица301715[[#This Row],[Номенклатура]]&amp;Таблица301715[[#This Row],[ЕИ]]</f>
        <v>Детали трубопровода стальПрокладка А-50-40-ТМКЩ ГОСТ 15180шт</v>
      </c>
      <c r="B615" s="1165" t="s">
        <v>66</v>
      </c>
      <c r="C615" s="1165"/>
      <c r="D615" s="1178" t="s">
        <v>727</v>
      </c>
      <c r="E615" s="1178"/>
      <c r="F615" s="907" t="s">
        <v>129</v>
      </c>
      <c r="G615" s="908">
        <v>8.4600000000000009</v>
      </c>
      <c r="H615" s="897" t="s">
        <v>131</v>
      </c>
      <c r="I615" s="903"/>
      <c r="J615" s="899">
        <v>8.4600000000000009</v>
      </c>
    </row>
    <row r="616" spans="1:10" ht="15">
      <c r="A616" s="1171" t="str">
        <f>Таблица301715[[#This Row],[Группа]]&amp;Таблица301715[[#This Row],[Номенклатура]]&amp;Таблица301715[[#This Row],[ЕИ]]</f>
        <v>Детали трубопровода стальПрокладка А-65-40-ТМКЩ ГОСТ 15180шт</v>
      </c>
      <c r="B616" s="1165" t="s">
        <v>66</v>
      </c>
      <c r="C616" s="1165"/>
      <c r="D616" s="1178" t="s">
        <v>1415</v>
      </c>
      <c r="E616" s="1178"/>
      <c r="F616" s="907" t="s">
        <v>129</v>
      </c>
      <c r="G616" s="908">
        <v>11.1</v>
      </c>
      <c r="H616" s="897" t="s">
        <v>131</v>
      </c>
      <c r="I616" s="903"/>
      <c r="J616" s="899">
        <v>11.1</v>
      </c>
    </row>
    <row r="617" spans="1:10" ht="15">
      <c r="A617" s="1171" t="str">
        <f>Таблица301715[[#This Row],[Группа]]&amp;Таблица301715[[#This Row],[Номенклатура]]&amp;Таблица301715[[#This Row],[ЕИ]]</f>
        <v>Детали трубопровода стальПрокладка А-80-40-ТМКЩ ГОСТ 15180шт</v>
      </c>
      <c r="B617" s="1165" t="s">
        <v>66</v>
      </c>
      <c r="C617" s="1165"/>
      <c r="D617" s="1178" t="s">
        <v>1416</v>
      </c>
      <c r="E617" s="1178"/>
      <c r="F617" s="907" t="s">
        <v>129</v>
      </c>
      <c r="G617" s="908">
        <v>13.860000000000001</v>
      </c>
      <c r="H617" s="897" t="s">
        <v>131</v>
      </c>
      <c r="I617" s="903"/>
      <c r="J617" s="899">
        <v>13.860000000000001</v>
      </c>
    </row>
    <row r="618" spans="1:10" ht="15">
      <c r="A618" s="1171" t="str">
        <f>Таблица301715[[#This Row],[Группа]]&amp;Таблица301715[[#This Row],[Номенклатура]]&amp;Таблица301715[[#This Row],[ЕИ]]</f>
        <v>Детали трубопровода стальПрокладка А-100-40-ТМКЩ ГОСТ 15180шт</v>
      </c>
      <c r="B618" s="1165" t="s">
        <v>66</v>
      </c>
      <c r="C618" s="1165"/>
      <c r="D618" s="1178" t="s">
        <v>713</v>
      </c>
      <c r="E618" s="1178"/>
      <c r="F618" s="907" t="s">
        <v>129</v>
      </c>
      <c r="G618" s="908">
        <v>19.86</v>
      </c>
      <c r="H618" s="897" t="s">
        <v>131</v>
      </c>
      <c r="I618" s="903"/>
      <c r="J618" s="899">
        <v>19.86</v>
      </c>
    </row>
    <row r="619" spans="1:10" ht="15">
      <c r="A619" s="1171" t="str">
        <f>Таблица301715[[#This Row],[Группа]]&amp;Таблица301715[[#This Row],[Номенклатура]]&amp;Таблица301715[[#This Row],[ЕИ]]</f>
        <v>Детали трубопровода стальПрокладка А-125-40-ТМКЩ ГОСТ 15180шт</v>
      </c>
      <c r="B619" s="1165" t="s">
        <v>66</v>
      </c>
      <c r="C619" s="1165"/>
      <c r="D619" s="1178" t="s">
        <v>1417</v>
      </c>
      <c r="E619" s="1178"/>
      <c r="F619" s="907" t="s">
        <v>129</v>
      </c>
      <c r="G619" s="908">
        <v>27.54</v>
      </c>
      <c r="H619" s="897" t="s">
        <v>131</v>
      </c>
      <c r="I619" s="903"/>
      <c r="J619" s="899">
        <v>27.54</v>
      </c>
    </row>
    <row r="620" spans="1:10" ht="15">
      <c r="A620" s="1171" t="str">
        <f>Таблица301715[[#This Row],[Группа]]&amp;Таблица301715[[#This Row],[Номенклатура]]&amp;Таблица301715[[#This Row],[ЕИ]]</f>
        <v>Детали трубопровода стальПрокладка А-150-40-ТМКЩ ГОСТ 15180шт</v>
      </c>
      <c r="B620" s="1165" t="s">
        <v>66</v>
      </c>
      <c r="C620" s="1165"/>
      <c r="D620" s="1178" t="s">
        <v>1418</v>
      </c>
      <c r="E620" s="1178"/>
      <c r="F620" s="907" t="s">
        <v>129</v>
      </c>
      <c r="G620" s="908">
        <v>150</v>
      </c>
      <c r="H620" s="897" t="s">
        <v>131</v>
      </c>
      <c r="I620" s="903"/>
      <c r="J620" s="899">
        <v>150</v>
      </c>
    </row>
    <row r="621" spans="1:10" ht="15">
      <c r="A621" s="1171" t="str">
        <f>Таблица301715[[#This Row],[Группа]]&amp;Таблица301715[[#This Row],[Номенклатура]]&amp;Таблица301715[[#This Row],[ЕИ]]</f>
        <v>Детали трубопровода стальПрокладка А-200-40-ТМКЩ ГОСТ 15180шт</v>
      </c>
      <c r="B621" s="1165" t="s">
        <v>66</v>
      </c>
      <c r="C621" s="1165"/>
      <c r="D621" s="1178" t="s">
        <v>1419</v>
      </c>
      <c r="E621" s="1178"/>
      <c r="F621" s="907" t="s">
        <v>129</v>
      </c>
      <c r="G621" s="908">
        <v>61.2</v>
      </c>
      <c r="H621" s="897" t="s">
        <v>131</v>
      </c>
      <c r="I621" s="903"/>
      <c r="J621" s="899">
        <v>61.2</v>
      </c>
    </row>
    <row r="622" spans="1:10" ht="15">
      <c r="A622" s="1171" t="str">
        <f>Таблица301715[[#This Row],[Группа]]&amp;Таблица301715[[#This Row],[Номенклатура]]&amp;Таблица301715[[#This Row],[ЕИ]]</f>
        <v>Детали трубопровода стальПрокладка А-250-40-ТМКЩ ГОСТ 15180шт</v>
      </c>
      <c r="B622" s="1165" t="s">
        <v>66</v>
      </c>
      <c r="C622" s="1165"/>
      <c r="D622" s="1178" t="s">
        <v>712</v>
      </c>
      <c r="E622" s="1178"/>
      <c r="F622" s="907" t="s">
        <v>129</v>
      </c>
      <c r="G622" s="908">
        <v>65.759999999999991</v>
      </c>
      <c r="H622" s="897" t="s">
        <v>131</v>
      </c>
      <c r="I622" s="903"/>
      <c r="J622" s="899">
        <v>65.759999999999991</v>
      </c>
    </row>
    <row r="623" spans="1:10" ht="15">
      <c r="A623" s="1171" t="str">
        <f>Таблица301715[[#This Row],[Группа]]&amp;Таблица301715[[#This Row],[Номенклатура]]&amp;Таблица301715[[#This Row],[ЕИ]]</f>
        <v>Детали трубопровода стальПрокладка А-300-40-ТМКЩ ГОСТ 15180шт</v>
      </c>
      <c r="B623" s="1165" t="s">
        <v>66</v>
      </c>
      <c r="C623" s="1165"/>
      <c r="D623" s="1178" t="s">
        <v>1420</v>
      </c>
      <c r="E623" s="1178"/>
      <c r="F623" s="907" t="s">
        <v>129</v>
      </c>
      <c r="G623" s="908">
        <v>97.61999999999999</v>
      </c>
      <c r="H623" s="897" t="s">
        <v>131</v>
      </c>
      <c r="I623" s="903"/>
      <c r="J623" s="899">
        <v>97.61999999999999</v>
      </c>
    </row>
    <row r="624" spans="1:10" ht="15">
      <c r="A624" s="1171" t="str">
        <f>Таблица301715[[#This Row],[Группа]]&amp;Таблица301715[[#This Row],[Номенклатура]]&amp;Таблица301715[[#This Row],[ЕИ]]</f>
        <v>Детали трубопровода стальПрокладка А-350-40-ТМКЩ ГОСТ 15180шт</v>
      </c>
      <c r="B624" s="1165" t="s">
        <v>66</v>
      </c>
      <c r="C624" s="1165"/>
      <c r="D624" s="1178" t="s">
        <v>1421</v>
      </c>
      <c r="E624" s="1178"/>
      <c r="F624" s="907" t="s">
        <v>129</v>
      </c>
      <c r="G624" s="908">
        <v>114.41999999999999</v>
      </c>
      <c r="H624" s="897" t="s">
        <v>131</v>
      </c>
      <c r="I624" s="903"/>
      <c r="J624" s="899">
        <v>114.41999999999999</v>
      </c>
    </row>
    <row r="625" spans="1:11" ht="15">
      <c r="A625" s="1171" t="str">
        <f>Таблица301715[[#This Row],[Группа]]&amp;Таблица301715[[#This Row],[Номенклатура]]&amp;Таблица301715[[#This Row],[ЕИ]]</f>
        <v>Детали трубопровода стальПрокладка А-400-40-ТМКЩ ГОСТ 15180шт</v>
      </c>
      <c r="B625" s="1165" t="s">
        <v>66</v>
      </c>
      <c r="C625" s="1165"/>
      <c r="D625" s="1178" t="s">
        <v>1422</v>
      </c>
      <c r="E625" s="1178"/>
      <c r="F625" s="907" t="s">
        <v>129</v>
      </c>
      <c r="G625" s="908">
        <v>169.2</v>
      </c>
      <c r="H625" s="897" t="s">
        <v>131</v>
      </c>
      <c r="I625" s="903"/>
      <c r="J625" s="899">
        <v>169.2</v>
      </c>
    </row>
    <row r="626" spans="1:11" ht="15">
      <c r="A626" s="1171" t="str">
        <f>Таблица301715[[#This Row],[Группа]]&amp;Таблица301715[[#This Row],[Номенклатура]]&amp;Таблица301715[[#This Row],[ЕИ]]</f>
        <v>Детали трубопровода стальПрокладка А-500-40-ТМКЩ ГОСТ 15180шт</v>
      </c>
      <c r="B626" s="912" t="s">
        <v>66</v>
      </c>
      <c r="C626" s="912"/>
      <c r="D626" s="917" t="s">
        <v>1423</v>
      </c>
      <c r="E626" s="913"/>
      <c r="F626" s="914" t="s">
        <v>129</v>
      </c>
      <c r="G626" s="908">
        <v>194.88</v>
      </c>
      <c r="H626" s="897" t="s">
        <v>131</v>
      </c>
      <c r="I626" s="915"/>
      <c r="J626" s="1285">
        <v>194.88</v>
      </c>
      <c r="K626" s="912"/>
    </row>
    <row r="627" spans="1:11" ht="15">
      <c r="A627" s="1171" t="str">
        <f>Таблица301715[[#This Row],[Группа]]&amp;Таблица301715[[#This Row],[Номенклатура]]&amp;Таблица301715[[#This Row],[ЕИ]]</f>
        <v>Детали трубопровода стальПрокладка А-600-40-ТМКЩ ГОСТ 15180шт</v>
      </c>
      <c r="B627" s="912" t="s">
        <v>66</v>
      </c>
      <c r="C627" s="912"/>
      <c r="D627" s="1200" t="s">
        <v>1424</v>
      </c>
      <c r="E627" s="1201"/>
      <c r="F627" s="914" t="s">
        <v>129</v>
      </c>
      <c r="G627" s="1202">
        <v>450</v>
      </c>
      <c r="H627" s="897" t="s">
        <v>131</v>
      </c>
      <c r="I627" s="1203"/>
      <c r="J627" s="1285">
        <v>450</v>
      </c>
      <c r="K627" s="912"/>
    </row>
    <row r="628" spans="1:11" ht="15">
      <c r="A628" s="1171" t="str">
        <f>Таблица301715[[#This Row],[Группа]]&amp;Таблица301715[[#This Row],[Номенклатура]]&amp;Таблица301715[[#This Row],[ЕИ]]</f>
        <v>Детали трубопровода стальПрокладка А-1000-10-ТМКЩ ГОСТ 15180шт</v>
      </c>
      <c r="B628" s="912" t="s">
        <v>66</v>
      </c>
      <c r="C628" s="912"/>
      <c r="D628" s="1200" t="s">
        <v>1425</v>
      </c>
      <c r="E628" s="1201"/>
      <c r="F628" s="914" t="s">
        <v>129</v>
      </c>
      <c r="G628" s="1202">
        <v>2145</v>
      </c>
      <c r="H628" s="897" t="s">
        <v>131</v>
      </c>
      <c r="I628" s="1203"/>
      <c r="J628" s="1285">
        <v>2145</v>
      </c>
      <c r="K628" s="912"/>
    </row>
    <row r="629" spans="1:11" ht="15">
      <c r="A629" s="1171" t="str">
        <f>Таблица301715[[#This Row],[Группа]]&amp;Таблица301715[[#This Row],[Номенклатура]]&amp;Таблица301715[[#This Row],[ЕИ]]</f>
        <v>Детали трубопровода стальПрокладка А-1600-10-ТМКЩ ГОСТ 15180шт</v>
      </c>
      <c r="B629" s="912" t="s">
        <v>66</v>
      </c>
      <c r="C629" s="912"/>
      <c r="D629" s="1200" t="s">
        <v>1426</v>
      </c>
      <c r="E629" s="1201"/>
      <c r="F629" s="914" t="s">
        <v>129</v>
      </c>
      <c r="G629" s="1202">
        <v>6329.55</v>
      </c>
      <c r="H629" s="897" t="s">
        <v>131</v>
      </c>
      <c r="I629" s="1203"/>
      <c r="J629" s="1285">
        <v>6329.55</v>
      </c>
      <c r="K629" s="912"/>
    </row>
    <row r="630" spans="1:11" ht="15">
      <c r="A630" s="1171" t="str">
        <f>Таблица301715[[#This Row],[Группа]]&amp;Таблица301715[[#This Row],[Номенклатура]]&amp;Таблица301715[[#This Row],[ЕИ]]</f>
        <v>Детали трубопровода стальПрокладка А-1800-10-ТМКЩ ГОСТ 15180шт</v>
      </c>
      <c r="B630" s="912" t="s">
        <v>66</v>
      </c>
      <c r="C630" s="912"/>
      <c r="D630" s="1200" t="s">
        <v>1427</v>
      </c>
      <c r="E630" s="1201"/>
      <c r="F630" s="914" t="s">
        <v>129</v>
      </c>
      <c r="G630" s="1202">
        <v>7224</v>
      </c>
      <c r="H630" s="897" t="s">
        <v>131</v>
      </c>
      <c r="I630" s="1203"/>
      <c r="J630" s="1285">
        <v>7224</v>
      </c>
      <c r="K630" s="912"/>
    </row>
    <row r="631" spans="1:11" ht="15">
      <c r="A631" s="1171" t="str">
        <f>Таблица301715[[#This Row],[Группа]]&amp;Таблица301715[[#This Row],[Номенклатура]]&amp;Таблица301715[[#This Row],[ЕИ]]</f>
        <v>Запорная арматураВантуз воздушный фланцевый (воздухоотводчик), PN10/16 DN80  корпус чугуншт</v>
      </c>
      <c r="B631" s="912" t="s">
        <v>67</v>
      </c>
      <c r="C631" s="912"/>
      <c r="D631" s="1200" t="s">
        <v>2142</v>
      </c>
      <c r="E631" s="1201"/>
      <c r="F631" s="914" t="s">
        <v>129</v>
      </c>
      <c r="G631" s="1202"/>
      <c r="H631" s="897"/>
      <c r="I631" s="1203"/>
      <c r="J631" s="916"/>
      <c r="K631" s="912"/>
    </row>
    <row r="632" spans="1:11" ht="15">
      <c r="A632" s="1171" t="str">
        <f>Таблица301715[[#This Row],[Группа]]&amp;Таблица301715[[#This Row],[Номенклатура]]&amp;Таблица301715[[#This Row],[ЕИ]]</f>
        <v>Запорная арматураЗадвижка чугунная клиновая металл/металл DN50 PN10/16 клин бронза шт</v>
      </c>
      <c r="B632" s="912" t="s">
        <v>67</v>
      </c>
      <c r="C632" s="912"/>
      <c r="D632" s="1200" t="s">
        <v>2143</v>
      </c>
      <c r="E632" s="1201"/>
      <c r="F632" s="914" t="s">
        <v>129</v>
      </c>
      <c r="G632" s="1202">
        <v>25000</v>
      </c>
      <c r="H632" s="897" t="s">
        <v>131</v>
      </c>
      <c r="I632" s="1203"/>
      <c r="J632" s="916">
        <v>25000</v>
      </c>
      <c r="K632" s="912"/>
    </row>
    <row r="633" spans="1:11" ht="15">
      <c r="A633" s="1171" t="str">
        <f>Таблица301715[[#This Row],[Группа]]&amp;Таблица301715[[#This Row],[Номенклатура]]&amp;Таблица301715[[#This Row],[ЕИ]]</f>
        <v>Запорная арматураЗадвижка чугунная клиновая металл/металл DN65 PN10/16 клин бронза шт</v>
      </c>
      <c r="B633" s="912" t="s">
        <v>67</v>
      </c>
      <c r="C633" s="912"/>
      <c r="D633" s="1200" t="s">
        <v>2144</v>
      </c>
      <c r="E633" s="1201"/>
      <c r="F633" s="914" t="s">
        <v>129</v>
      </c>
      <c r="G633" s="1202">
        <v>30000</v>
      </c>
      <c r="H633" s="897" t="s">
        <v>131</v>
      </c>
      <c r="I633" s="1203"/>
      <c r="J633" s="916">
        <v>30000</v>
      </c>
      <c r="K633" s="912"/>
    </row>
    <row r="634" spans="1:11" ht="15">
      <c r="A634" s="1171" t="str">
        <f>Таблица301715[[#This Row],[Группа]]&amp;Таблица301715[[#This Row],[Номенклатура]]&amp;Таблица301715[[#This Row],[ЕИ]]</f>
        <v>Запорная арматураЗадвижка чугунная клиновая металл/металл DN80 PN10/16 клин бронза шт</v>
      </c>
      <c r="B634" s="912" t="s">
        <v>67</v>
      </c>
      <c r="C634" s="912"/>
      <c r="D634" s="1200" t="s">
        <v>2145</v>
      </c>
      <c r="E634" s="1201"/>
      <c r="F634" s="914" t="s">
        <v>129</v>
      </c>
      <c r="G634" s="1202">
        <v>35000</v>
      </c>
      <c r="H634" s="897" t="s">
        <v>131</v>
      </c>
      <c r="I634" s="1203"/>
      <c r="J634" s="916">
        <v>35000</v>
      </c>
      <c r="K634" s="912"/>
    </row>
    <row r="635" spans="1:11" ht="15">
      <c r="A635" s="1171" t="str">
        <f>Таблица301715[[#This Row],[Группа]]&amp;Таблица301715[[#This Row],[Номенклатура]]&amp;Таблица301715[[#This Row],[ЕИ]]</f>
        <v>Запорная арматураЗадвижка чугунная клиновая металл/металл DN100 PN10/16 клин бронза шт</v>
      </c>
      <c r="B635" s="912" t="s">
        <v>67</v>
      </c>
      <c r="C635" s="912"/>
      <c r="D635" s="1200" t="s">
        <v>2146</v>
      </c>
      <c r="E635" s="1201"/>
      <c r="F635" s="914" t="s">
        <v>129</v>
      </c>
      <c r="G635" s="1202">
        <v>45000</v>
      </c>
      <c r="H635" s="897" t="s">
        <v>131</v>
      </c>
      <c r="I635" s="1203"/>
      <c r="J635" s="916">
        <v>45000</v>
      </c>
      <c r="K635" s="912"/>
    </row>
    <row r="636" spans="1:11" ht="15">
      <c r="A636" s="1171" t="str">
        <f>Таблица301715[[#This Row],[Группа]]&amp;Таблица301715[[#This Row],[Номенклатура]]&amp;Таблица301715[[#This Row],[ЕИ]]</f>
        <v>Запорная арматураЗадвижка чугунная клиновая металл/металл DN150 PN10/16 клин бронза шт</v>
      </c>
      <c r="B636" s="912" t="s">
        <v>67</v>
      </c>
      <c r="C636" s="912"/>
      <c r="D636" s="1200" t="s">
        <v>2147</v>
      </c>
      <c r="E636" s="1201"/>
      <c r="F636" s="914" t="s">
        <v>129</v>
      </c>
      <c r="G636" s="1202">
        <v>55000</v>
      </c>
      <c r="H636" s="897" t="s">
        <v>131</v>
      </c>
      <c r="I636" s="1203"/>
      <c r="J636" s="916">
        <v>55000</v>
      </c>
      <c r="K636" s="912"/>
    </row>
    <row r="637" spans="1:11" ht="15">
      <c r="A637" s="1171" t="str">
        <f>Таблица301715[[#This Row],[Группа]]&amp;Таблица301715[[#This Row],[Номенклатура]]&amp;Таблица301715[[#This Row],[ЕИ]]</f>
        <v>Запорная арматураЗадвижка чугунная клиновая металл/металл DN200 PN10/16 клин бронза шт</v>
      </c>
      <c r="B637" s="912" t="s">
        <v>67</v>
      </c>
      <c r="C637" s="912"/>
      <c r="D637" s="1200" t="s">
        <v>2148</v>
      </c>
      <c r="E637" s="1201"/>
      <c r="F637" s="914" t="s">
        <v>129</v>
      </c>
      <c r="G637" s="1202">
        <v>90000</v>
      </c>
      <c r="H637" s="897" t="s">
        <v>131</v>
      </c>
      <c r="I637" s="1203"/>
      <c r="J637" s="916">
        <v>90000</v>
      </c>
      <c r="K637" s="912"/>
    </row>
    <row r="638" spans="1:11" ht="15">
      <c r="A638" s="1171" t="str">
        <f>Таблица301715[[#This Row],[Группа]]&amp;Таблица301715[[#This Row],[Номенклатура]]&amp;Таблица301715[[#This Row],[ЕИ]]</f>
        <v>Запорная арматураЗадвижка чугунная клиновая металл/металл DN250 PN10/16 клин бронза шт</v>
      </c>
      <c r="B638" s="912" t="s">
        <v>67</v>
      </c>
      <c r="C638" s="912"/>
      <c r="D638" s="1200" t="s">
        <v>2149</v>
      </c>
      <c r="E638" s="1201"/>
      <c r="F638" s="914" t="s">
        <v>129</v>
      </c>
      <c r="G638" s="1202">
        <v>150000</v>
      </c>
      <c r="H638" s="897" t="s">
        <v>131</v>
      </c>
      <c r="I638" s="1203"/>
      <c r="J638" s="916">
        <v>150000</v>
      </c>
      <c r="K638" s="912"/>
    </row>
    <row r="639" spans="1:11" ht="15">
      <c r="A639" s="1171" t="str">
        <f>Таблица301715[[#This Row],[Группа]]&amp;Таблица301715[[#This Row],[Номенклатура]]&amp;Таблица301715[[#This Row],[ЕИ]]</f>
        <v>Запорная арматураЗадвижка чугунная клиновая металл/металл DN300 PN10/16 клин бронза шт</v>
      </c>
      <c r="B639" s="912" t="s">
        <v>67</v>
      </c>
      <c r="C639" s="912"/>
      <c r="D639" s="1200" t="s">
        <v>2150</v>
      </c>
      <c r="E639" s="1201"/>
      <c r="F639" s="914" t="s">
        <v>129</v>
      </c>
      <c r="G639" s="1202">
        <v>250000</v>
      </c>
      <c r="H639" s="897" t="s">
        <v>131</v>
      </c>
      <c r="I639" s="1203"/>
      <c r="J639" s="916">
        <v>250000</v>
      </c>
      <c r="K639" s="912"/>
    </row>
    <row r="640" spans="1:11" ht="15">
      <c r="A640"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DN50 PN10/16 шт</v>
      </c>
      <c r="B640" s="912" t="s">
        <v>67</v>
      </c>
      <c r="C640" s="912"/>
      <c r="D640" s="1200" t="s">
        <v>2151</v>
      </c>
      <c r="E640" s="1201"/>
      <c r="F640" s="914" t="s">
        <v>129</v>
      </c>
      <c r="G640" s="1202">
        <v>30000</v>
      </c>
      <c r="H640" s="897" t="s">
        <v>131</v>
      </c>
      <c r="I640" s="1203"/>
      <c r="J640" s="916">
        <v>30000</v>
      </c>
      <c r="K640" s="912"/>
    </row>
    <row r="641" spans="1:11" ht="15">
      <c r="A641"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DN65 PN10/16 шт</v>
      </c>
      <c r="B641" s="912" t="s">
        <v>67</v>
      </c>
      <c r="C641" s="912"/>
      <c r="D641" s="1200" t="s">
        <v>2152</v>
      </c>
      <c r="E641" s="1201"/>
      <c r="F641" s="914" t="s">
        <v>129</v>
      </c>
      <c r="G641" s="1202">
        <v>35000</v>
      </c>
      <c r="H641" s="897" t="s">
        <v>131</v>
      </c>
      <c r="I641" s="1203"/>
      <c r="J641" s="916">
        <v>35000</v>
      </c>
      <c r="K641" s="912"/>
    </row>
    <row r="642" spans="1:11" ht="15">
      <c r="A642"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DN80 PN10/16 шт</v>
      </c>
      <c r="B642" s="912" t="s">
        <v>67</v>
      </c>
      <c r="C642" s="912"/>
      <c r="D642" s="1200" t="s">
        <v>2153</v>
      </c>
      <c r="E642" s="1201"/>
      <c r="F642" s="914" t="s">
        <v>129</v>
      </c>
      <c r="G642" s="1202">
        <v>45000</v>
      </c>
      <c r="H642" s="897" t="s">
        <v>131</v>
      </c>
      <c r="I642" s="1203"/>
      <c r="J642" s="916">
        <v>45000</v>
      </c>
      <c r="K642" s="912"/>
    </row>
    <row r="643" spans="1:11" ht="18.75" customHeight="1">
      <c r="A643"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DN100 PN10/16 шт</v>
      </c>
      <c r="B643" s="912" t="s">
        <v>67</v>
      </c>
      <c r="C643" s="912"/>
      <c r="D643" s="917" t="s">
        <v>2154</v>
      </c>
      <c r="E643" s="913"/>
      <c r="F643" s="914" t="s">
        <v>129</v>
      </c>
      <c r="G643" s="908">
        <v>50000</v>
      </c>
      <c r="H643" s="897" t="s">
        <v>131</v>
      </c>
      <c r="I643" s="915"/>
      <c r="J643" s="916">
        <v>50000</v>
      </c>
      <c r="K643" s="912"/>
    </row>
    <row r="644" spans="1:11" ht="18.75" customHeight="1">
      <c r="A644"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DN150 PN10/16 шт</v>
      </c>
      <c r="B644" s="912" t="s">
        <v>67</v>
      </c>
      <c r="C644" s="912"/>
      <c r="D644" s="917" t="s">
        <v>2155</v>
      </c>
      <c r="E644" s="913"/>
      <c r="F644" s="914" t="s">
        <v>129</v>
      </c>
      <c r="G644" s="908">
        <v>70000</v>
      </c>
      <c r="H644" s="897" t="s">
        <v>131</v>
      </c>
      <c r="I644" s="915"/>
      <c r="J644" s="916">
        <v>70000</v>
      </c>
      <c r="K644" s="912"/>
    </row>
    <row r="645" spans="1:11" ht="18.75" customHeight="1">
      <c r="A645"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DN200 PN10/16 шт</v>
      </c>
      <c r="B645" s="912" t="s">
        <v>67</v>
      </c>
      <c r="C645" s="912"/>
      <c r="D645" s="917" t="s">
        <v>2156</v>
      </c>
      <c r="E645" s="913"/>
      <c r="F645" s="914" t="s">
        <v>129</v>
      </c>
      <c r="G645" s="908">
        <v>150000</v>
      </c>
      <c r="H645" s="897" t="s">
        <v>131</v>
      </c>
      <c r="I645" s="915"/>
      <c r="J645" s="916">
        <v>150000</v>
      </c>
      <c r="K645" s="912"/>
    </row>
    <row r="646" spans="1:11" ht="18.75" customHeight="1">
      <c r="A646"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DN250 PN10/16 шт</v>
      </c>
      <c r="B646" s="912" t="s">
        <v>67</v>
      </c>
      <c r="C646" s="912"/>
      <c r="D646" s="917" t="s">
        <v>2157</v>
      </c>
      <c r="E646" s="913"/>
      <c r="F646" s="914" t="s">
        <v>129</v>
      </c>
      <c r="G646" s="908">
        <v>200000</v>
      </c>
      <c r="H646" s="897" t="s">
        <v>131</v>
      </c>
      <c r="I646" s="915"/>
      <c r="J646" s="916">
        <v>200000</v>
      </c>
      <c r="K646" s="912"/>
    </row>
    <row r="647" spans="1:11" ht="18.75" customHeight="1">
      <c r="A647" s="1171" t="str">
        <f>Таблица301715[[#This Row],[Группа]]&amp;Таблица301715[[#This Row],[Номенклатура]]&amp;Таблица301715[[#This Row],[ЕИ]]</f>
        <v>Запорная арматураКлапан обратный фланцевый с мягким уплотнением и наклонным седлом DN300 PN10/16 шт</v>
      </c>
      <c r="B647" s="912" t="s">
        <v>67</v>
      </c>
      <c r="C647" s="912"/>
      <c r="D647" s="917" t="s">
        <v>2158</v>
      </c>
      <c r="E647" s="913"/>
      <c r="F647" s="914" t="s">
        <v>129</v>
      </c>
      <c r="G647" s="908">
        <v>320000</v>
      </c>
      <c r="H647" s="897" t="s">
        <v>131</v>
      </c>
      <c r="I647" s="915"/>
      <c r="J647" s="916">
        <v>320000</v>
      </c>
      <c r="K647" s="912"/>
    </row>
    <row r="648" spans="1:11" ht="18.75" customHeight="1">
      <c r="A648" s="1171" t="str">
        <f>Таблица301715[[#This Row],[Группа]]&amp;Таблица301715[[#This Row],[Номенклатура]]&amp;Таблица301715[[#This Row],[ЕИ]]</f>
        <v>Запорная арматураШиберная задвижка DN50 PN10/16 штурвал, невыдвижной шток, нож AISI304, седловое уплотнение NBRшт</v>
      </c>
      <c r="B648" s="912" t="s">
        <v>67</v>
      </c>
      <c r="C648" s="912"/>
      <c r="D648" s="917" t="s">
        <v>2159</v>
      </c>
      <c r="E648" s="913"/>
      <c r="F648" s="914" t="s">
        <v>129</v>
      </c>
      <c r="G648" s="908">
        <v>35000</v>
      </c>
      <c r="H648" s="897" t="s">
        <v>131</v>
      </c>
      <c r="I648" s="915"/>
      <c r="J648" s="916">
        <v>35000</v>
      </c>
      <c r="K648" s="912"/>
    </row>
    <row r="649" spans="1:11" ht="18.75" customHeight="1">
      <c r="A649" s="1171" t="str">
        <f>Таблица301715[[#This Row],[Группа]]&amp;Таблица301715[[#This Row],[Номенклатура]]&amp;Таблица301715[[#This Row],[ЕИ]]</f>
        <v>Запорная арматураШиберная задвижка DN65 PN10/16 штурвал, невыдвижной шток, нож AISI304, седловое уплотнение NBRшт</v>
      </c>
      <c r="B649" s="912" t="s">
        <v>67</v>
      </c>
      <c r="C649" s="912"/>
      <c r="D649" s="917" t="s">
        <v>2160</v>
      </c>
      <c r="E649" s="913"/>
      <c r="F649" s="914" t="s">
        <v>129</v>
      </c>
      <c r="G649" s="908">
        <v>45000</v>
      </c>
      <c r="H649" s="897" t="s">
        <v>131</v>
      </c>
      <c r="I649" s="915"/>
      <c r="J649" s="916">
        <v>45000</v>
      </c>
      <c r="K649" s="912"/>
    </row>
    <row r="650" spans="1:11" ht="18" customHeight="1">
      <c r="A650" s="1171" t="str">
        <f>Таблица301715[[#This Row],[Группа]]&amp;Таблица301715[[#This Row],[Номенклатура]]&amp;Таблица301715[[#This Row],[ЕИ]]</f>
        <v>Запорная арматураШиберная задвижка DN80 PN10/16 штурвал, невыдвижной шток, нож AISI304, седловое уплотнение NBRшт</v>
      </c>
      <c r="B650" s="912" t="s">
        <v>67</v>
      </c>
      <c r="C650" s="912"/>
      <c r="D650" s="917" t="s">
        <v>2161</v>
      </c>
      <c r="E650" s="913"/>
      <c r="F650" s="914" t="s">
        <v>129</v>
      </c>
      <c r="G650" s="908">
        <v>50000</v>
      </c>
      <c r="H650" s="897" t="s">
        <v>131</v>
      </c>
      <c r="I650" s="915"/>
      <c r="J650" s="916">
        <v>50000</v>
      </c>
      <c r="K650" s="912"/>
    </row>
    <row r="651" spans="1:11" ht="15">
      <c r="A651" s="1171" t="str">
        <f>Таблица301715[[#This Row],[Группа]]&amp;Таблица301715[[#This Row],[Номенклатура]]&amp;Таблица301715[[#This Row],[ЕИ]]</f>
        <v>Запорная арматураШиберная задвижка DN100 PN10/16 штурвал, невыдвижной шток, нож AISI304, седловое уплотнение NBRшт</v>
      </c>
      <c r="B651" s="1165" t="s">
        <v>67</v>
      </c>
      <c r="C651" s="1165"/>
      <c r="D651" s="1178" t="s">
        <v>2162</v>
      </c>
      <c r="E651" s="1178"/>
      <c r="F651" s="918" t="s">
        <v>129</v>
      </c>
      <c r="G651" s="919">
        <v>65000</v>
      </c>
      <c r="H651" s="897" t="s">
        <v>131</v>
      </c>
      <c r="I651" s="898"/>
      <c r="J651" s="899">
        <v>65000</v>
      </c>
      <c r="K651" s="1165"/>
    </row>
    <row r="652" spans="1:11" ht="15">
      <c r="A652" s="1171" t="str">
        <f>Таблица301715[[#This Row],[Группа]]&amp;Таблица301715[[#This Row],[Номенклатура]]&amp;Таблица301715[[#This Row],[ЕИ]]</f>
        <v>Запорная арматураШиберная задвижка DN150 PN10/16 штурвал, невыдвижной шток, нож AISI304, седловое уплотнение NBRшт</v>
      </c>
      <c r="B652" s="1165" t="s">
        <v>67</v>
      </c>
      <c r="C652" s="1165"/>
      <c r="D652" s="1178" t="s">
        <v>2163</v>
      </c>
      <c r="E652" s="1178"/>
      <c r="F652" s="918" t="s">
        <v>129</v>
      </c>
      <c r="G652" s="1179">
        <v>90000</v>
      </c>
      <c r="H652" s="897" t="s">
        <v>131</v>
      </c>
      <c r="I652" s="898"/>
      <c r="J652" s="899">
        <v>90000</v>
      </c>
      <c r="K652" s="1165"/>
    </row>
    <row r="653" spans="1:11" ht="15">
      <c r="A653" s="1171" t="str">
        <f>Таблица301715[[#This Row],[Группа]]&amp;Таблица301715[[#This Row],[Номенклатура]]&amp;Таблица301715[[#This Row],[ЕИ]]</f>
        <v>Запорная арматураШиберная задвижка DN200 PN10/16 штурвал, невыдвижной шток, нож AISI304, седловое уплотнение NBRшт</v>
      </c>
      <c r="B653" s="1165" t="s">
        <v>67</v>
      </c>
      <c r="C653" s="1165"/>
      <c r="D653" s="1178" t="s">
        <v>2164</v>
      </c>
      <c r="E653" s="1178"/>
      <c r="F653" s="918" t="s">
        <v>129</v>
      </c>
      <c r="G653" s="1179">
        <v>120000</v>
      </c>
      <c r="H653" s="897" t="s">
        <v>131</v>
      </c>
      <c r="I653" s="898"/>
      <c r="J653" s="899">
        <v>120000</v>
      </c>
      <c r="K653" s="1165"/>
    </row>
    <row r="654" spans="1:11" ht="15">
      <c r="A654" s="1171" t="str">
        <f>Таблица301715[[#This Row],[Группа]]&amp;Таблица301715[[#This Row],[Номенклатура]]&amp;Таблица301715[[#This Row],[ЕИ]]</f>
        <v>Запорная арматураШиберная задвижка DN250 PN10/16 штурвал, невыдвижной шток, нож AISI304, седловое уплотнение NBRшт</v>
      </c>
      <c r="B654" s="1165" t="s">
        <v>67</v>
      </c>
      <c r="C654" s="1165"/>
      <c r="D654" s="1178" t="s">
        <v>2165</v>
      </c>
      <c r="E654" s="1178"/>
      <c r="F654" s="918" t="s">
        <v>129</v>
      </c>
      <c r="G654" s="1179">
        <v>170000</v>
      </c>
      <c r="H654" s="897" t="s">
        <v>131</v>
      </c>
      <c r="I654" s="898"/>
      <c r="J654" s="899">
        <v>170000</v>
      </c>
      <c r="K654" s="1165"/>
    </row>
    <row r="655" spans="1:11" ht="15">
      <c r="A655" s="1171" t="str">
        <f>Таблица301715[[#This Row],[Группа]]&amp;Таблица301715[[#This Row],[Номенклатура]]&amp;Таблица301715[[#This Row],[ЕИ]]</f>
        <v>Запорная арматураШиберная задвижка DN400 PN10/16 штурвал, невыдвижной шток, нож AISI304, седловое уплотнение NBRшт</v>
      </c>
      <c r="B655" s="1165" t="s">
        <v>67</v>
      </c>
      <c r="C655" s="1165"/>
      <c r="D655" s="1178" t="s">
        <v>2166</v>
      </c>
      <c r="E655" s="1178"/>
      <c r="F655" s="1180" t="s">
        <v>129</v>
      </c>
      <c r="G655" s="1179">
        <v>450000</v>
      </c>
      <c r="H655" s="897" t="s">
        <v>131</v>
      </c>
      <c r="I655" s="898"/>
      <c r="J655" s="899">
        <v>450000</v>
      </c>
      <c r="K655" s="1165"/>
    </row>
    <row r="656" spans="1:11" ht="15">
      <c r="A656" s="1171" t="str">
        <f>Таблица301715[[#This Row],[Группа]]&amp;Таблица301715[[#This Row],[Номенклатура]]&amp;Таблица301715[[#This Row],[ЕИ]]</f>
        <v>Запорная арматураШиберная задвижка DN300 PN10/16 штурвал, невыдвижной шток, нож AISI304, седловое уплотнение NBRшт</v>
      </c>
      <c r="B656" s="1165" t="s">
        <v>67</v>
      </c>
      <c r="C656" s="1165"/>
      <c r="D656" s="1178" t="s">
        <v>2167</v>
      </c>
      <c r="E656" s="1178"/>
      <c r="F656" s="1180" t="s">
        <v>129</v>
      </c>
      <c r="G656" s="1179">
        <v>250000</v>
      </c>
      <c r="H656" s="897" t="s">
        <v>131</v>
      </c>
      <c r="I656" s="898"/>
      <c r="J656" s="899">
        <v>250000</v>
      </c>
      <c r="K656" s="1165"/>
    </row>
    <row r="657" spans="1:11" ht="15">
      <c r="A657" s="1171" t="str">
        <f>Таблица301715[[#This Row],[Группа]]&amp;Таблица301715[[#This Row],[Номенклатура]]&amp;Таблица301715[[#This Row],[ЕИ]]</f>
        <v>МеталлопрокатАрматура 10-А-I Ст3пс ГОСТ 5781-82 гладкая (А240)м</v>
      </c>
      <c r="B657" s="1165" t="s">
        <v>68</v>
      </c>
      <c r="C657" s="1165"/>
      <c r="D657" s="1178" t="s">
        <v>791</v>
      </c>
      <c r="E657" s="1178"/>
      <c r="F657" s="1180" t="s">
        <v>163</v>
      </c>
      <c r="G657" s="1179">
        <v>138</v>
      </c>
      <c r="H657" s="897" t="s">
        <v>131</v>
      </c>
      <c r="I657" s="898"/>
      <c r="J657" s="899">
        <v>138</v>
      </c>
      <c r="K657" s="1165"/>
    </row>
    <row r="658" spans="1:11" ht="15">
      <c r="A658" s="1171" t="str">
        <f>Таблица301715[[#This Row],[Группа]]&amp;Таблица301715[[#This Row],[Номенклатура]]&amp;Таблица301715[[#This Row],[ЕИ]]</f>
        <v>МеталлопрокатАрматура 20-А-I Ст3пс ГОСТ 5781-82 гладкая (А240)м</v>
      </c>
      <c r="B658" s="1165" t="s">
        <v>68</v>
      </c>
      <c r="C658" s="1165"/>
      <c r="D658" s="1178" t="s">
        <v>696</v>
      </c>
      <c r="E658" s="1178"/>
      <c r="F658" s="1180" t="s">
        <v>163</v>
      </c>
      <c r="G658" s="1179">
        <v>190</v>
      </c>
      <c r="H658" s="897" t="s">
        <v>131</v>
      </c>
      <c r="I658" s="898"/>
      <c r="J658" s="899">
        <v>190</v>
      </c>
      <c r="K658" s="1165"/>
    </row>
    <row r="659" spans="1:11" ht="15">
      <c r="A659" s="1171" t="str">
        <f>Таблица301715[[#This Row],[Группа]]&amp;Таблица301715[[#This Row],[Номенклатура]]&amp;Таблица301715[[#This Row],[ЕИ]]</f>
        <v>МеталлопрокатАрматура 24-А-I Ст3пс ГОСТ 5781-82 гладкая (А240)м</v>
      </c>
      <c r="B659" s="1165" t="s">
        <v>68</v>
      </c>
      <c r="C659" s="1165"/>
      <c r="D659" s="1178" t="s">
        <v>1428</v>
      </c>
      <c r="E659" s="1178"/>
      <c r="F659" s="1180" t="s">
        <v>163</v>
      </c>
      <c r="G659" s="1179">
        <v>331</v>
      </c>
      <c r="H659" s="897" t="s">
        <v>131</v>
      </c>
      <c r="I659" s="898"/>
      <c r="J659" s="899">
        <v>331</v>
      </c>
      <c r="K659" s="1165"/>
    </row>
    <row r="660" spans="1:11" ht="15">
      <c r="A660" s="1171" t="str">
        <f>Таблица301715[[#This Row],[Группа]]&amp;Таблица301715[[#This Row],[Номенклатура]]&amp;Таблица301715[[#This Row],[ЕИ]]</f>
        <v>МеталлопрокатКруг 20 мм 12Х18Н10Т ГOCT 5949-75м</v>
      </c>
      <c r="B660" s="1165" t="s">
        <v>68</v>
      </c>
      <c r="C660" s="1165"/>
      <c r="D660" s="1178" t="s">
        <v>1429</v>
      </c>
      <c r="E660" s="1178"/>
      <c r="F660" s="1180" t="s">
        <v>163</v>
      </c>
      <c r="G660" s="1179">
        <v>300</v>
      </c>
      <c r="H660" s="897" t="s">
        <v>131</v>
      </c>
      <c r="I660" s="898"/>
      <c r="J660" s="899">
        <v>300</v>
      </c>
      <c r="K660" s="1165"/>
    </row>
    <row r="661" spans="1:11" ht="15">
      <c r="A661" s="1171" t="str">
        <f>Таблица301715[[#This Row],[Группа]]&amp;Таблица301715[[#This Row],[Номенклатура]]&amp;Таблица301715[[#This Row],[ЕИ]]</f>
        <v>МеталлопрокатКруг 5 мм 12Х18Н10Т ГOCT 5949-75м</v>
      </c>
      <c r="B661" s="1165" t="s">
        <v>68</v>
      </c>
      <c r="C661" s="1165"/>
      <c r="D661" s="1178" t="s">
        <v>362</v>
      </c>
      <c r="E661" s="1178"/>
      <c r="F661" s="1180" t="s">
        <v>163</v>
      </c>
      <c r="G661" s="1179">
        <v>125</v>
      </c>
      <c r="H661" s="897" t="s">
        <v>131</v>
      </c>
      <c r="I661" s="898"/>
      <c r="J661" s="899">
        <v>125</v>
      </c>
      <c r="K661" s="1165"/>
    </row>
    <row r="662" spans="1:11" ht="15">
      <c r="A662" s="1171" t="str">
        <f>Таблица301715[[#This Row],[Группа]]&amp;Таблица301715[[#This Row],[Номенклатура]]&amp;Таблица301715[[#This Row],[ЕИ]]</f>
        <v>МеталлопрокатКруг 6 мм 12Х18Н10Т ГOCT 5949-75м</v>
      </c>
      <c r="B662" s="1165" t="s">
        <v>68</v>
      </c>
      <c r="C662" s="1165"/>
      <c r="D662" s="1178" t="s">
        <v>440</v>
      </c>
      <c r="E662" s="1178"/>
      <c r="F662" s="1180" t="s">
        <v>163</v>
      </c>
      <c r="G662" s="1179">
        <v>132</v>
      </c>
      <c r="H662" s="897" t="s">
        <v>131</v>
      </c>
      <c r="I662" s="898"/>
      <c r="J662" s="899">
        <v>132</v>
      </c>
      <c r="K662" s="1165"/>
    </row>
    <row r="663" spans="1:11" ht="15">
      <c r="A663" s="1171" t="str">
        <f>Таблица301715[[#This Row],[Группа]]&amp;Таблица301715[[#This Row],[Номенклатура]]&amp;Таблица301715[[#This Row],[ЕИ]]</f>
        <v>МеталлопрокатКруг 7 мм 12Х18Н10Т ГOCT 5949-75м</v>
      </c>
      <c r="B663" s="1165" t="s">
        <v>68</v>
      </c>
      <c r="C663" s="1165"/>
      <c r="D663" s="1178" t="s">
        <v>1430</v>
      </c>
      <c r="E663" s="1178"/>
      <c r="F663" s="1180" t="s">
        <v>163</v>
      </c>
      <c r="G663" s="1179">
        <v>158</v>
      </c>
      <c r="H663" s="897" t="s">
        <v>131</v>
      </c>
      <c r="I663" s="898"/>
      <c r="J663" s="899">
        <v>158</v>
      </c>
      <c r="K663" s="1165"/>
    </row>
    <row r="664" spans="1:11" ht="15">
      <c r="A664" s="1171" t="str">
        <f>Таблица301715[[#This Row],[Группа]]&amp;Таблица301715[[#This Row],[Номенклатура]]&amp;Таблица301715[[#This Row],[ЕИ]]</f>
        <v>МеталлопрокатКруг 8 мм 12Х18Н10Т ГOCT 5949-75м</v>
      </c>
      <c r="B664" s="1165" t="s">
        <v>68</v>
      </c>
      <c r="C664" s="1165"/>
      <c r="D664" s="1178" t="s">
        <v>1431</v>
      </c>
      <c r="E664" s="1178"/>
      <c r="F664" s="1180" t="s">
        <v>163</v>
      </c>
      <c r="G664" s="1179">
        <v>170</v>
      </c>
      <c r="H664" s="897" t="s">
        <v>131</v>
      </c>
      <c r="I664" s="898"/>
      <c r="J664" s="899">
        <v>170</v>
      </c>
      <c r="K664" s="1165"/>
    </row>
    <row r="665" spans="1:11" ht="15">
      <c r="A665" s="1171" t="str">
        <f>Таблица301715[[#This Row],[Группа]]&amp;Таблица301715[[#This Row],[Номенклатура]]&amp;Таблица301715[[#This Row],[ЕИ]]</f>
        <v>МеталлопрокатЛист г/к Б-ПН-О-3,0х1500х3000 ГОСТ 19903-74 // Ст3пс ГОСТ 16523-97шт</v>
      </c>
      <c r="B665" s="1165" t="s">
        <v>68</v>
      </c>
      <c r="C665" s="1165"/>
      <c r="D665" s="1178" t="s">
        <v>790</v>
      </c>
      <c r="E665" s="1178"/>
      <c r="F665" s="1180" t="s">
        <v>129</v>
      </c>
      <c r="G665" s="1179">
        <v>13900</v>
      </c>
      <c r="H665" s="897" t="s">
        <v>131</v>
      </c>
      <c r="I665" s="898"/>
      <c r="J665" s="899">
        <v>13900</v>
      </c>
      <c r="K665" s="1165"/>
    </row>
    <row r="666" spans="1:11" ht="15">
      <c r="A666" s="1171" t="str">
        <f>Таблица301715[[#This Row],[Группа]]&amp;Таблица301715[[#This Row],[Номенклатура]]&amp;Таблица301715[[#This Row],[ЕИ]]</f>
        <v>МеталлопрокатЛист г/к Б-ПН-О-3,0х1500х3000 ГОСТ 19903-74 // Ст3пс ГОСТ 16523-97м²</v>
      </c>
      <c r="B666" s="1165" t="s">
        <v>68</v>
      </c>
      <c r="C666" s="1165"/>
      <c r="D666" s="1178" t="s">
        <v>790</v>
      </c>
      <c r="E666" s="1178"/>
      <c r="F666" s="1180" t="s">
        <v>223</v>
      </c>
      <c r="G666" s="1179">
        <v>2900</v>
      </c>
      <c r="H666" s="897" t="s">
        <v>131</v>
      </c>
      <c r="I666" s="898"/>
      <c r="J666" s="899">
        <v>2900</v>
      </c>
      <c r="K666" s="1165"/>
    </row>
    <row r="667" spans="1:11" ht="15">
      <c r="A667" s="1171" t="str">
        <f>Таблица301715[[#This Row],[Группа]]&amp;Таблица301715[[#This Row],[Номенклатура]]&amp;Таблица301715[[#This Row],[ЕИ]]</f>
        <v>МеталлопрокатЛист г/к Б-ПН-О-4,0х1500х3000 ГОСТ 19903-74 // Ст3пс  ГОСТ 14637-89шт</v>
      </c>
      <c r="B667" s="1165" t="s">
        <v>68</v>
      </c>
      <c r="C667" s="1165"/>
      <c r="D667" s="1178" t="s">
        <v>1432</v>
      </c>
      <c r="E667" s="1178"/>
      <c r="F667" s="1180" t="s">
        <v>129</v>
      </c>
      <c r="G667" s="1179">
        <v>15280</v>
      </c>
      <c r="H667" s="897" t="s">
        <v>131</v>
      </c>
      <c r="I667" s="898"/>
      <c r="J667" s="899">
        <v>15280</v>
      </c>
      <c r="K667" s="1165"/>
    </row>
    <row r="668" spans="1:11" ht="15">
      <c r="A668" s="1171" t="str">
        <f>Таблица301715[[#This Row],[Группа]]&amp;Таблица301715[[#This Row],[Номенклатура]]&amp;Таблица301715[[#This Row],[ЕИ]]</f>
        <v>МеталлопрокатЛист г/к Б-ПН-О-4,0х1500х3000 ГОСТ 19903-74 // Ст3пс  ГОСТ 14637-89м²</v>
      </c>
      <c r="B668" s="1165" t="s">
        <v>68</v>
      </c>
      <c r="C668" s="1165"/>
      <c r="D668" s="1178" t="s">
        <v>1432</v>
      </c>
      <c r="E668" s="1178"/>
      <c r="F668" s="1180" t="s">
        <v>223</v>
      </c>
      <c r="G668" s="1179">
        <v>310.27999999999997</v>
      </c>
      <c r="H668" s="897" t="s">
        <v>131</v>
      </c>
      <c r="I668" s="898"/>
      <c r="J668" s="899">
        <v>310.27999999999997</v>
      </c>
      <c r="K668" s="1165"/>
    </row>
    <row r="669" spans="1:11" ht="15">
      <c r="A669" s="1171" t="str">
        <f>Таблица301715[[#This Row],[Группа]]&amp;Таблица301715[[#This Row],[Номенклатура]]&amp;Таблица301715[[#This Row],[ЕИ]]</f>
        <v>МеталлопрокатЛист г/к Б-ПН-О-5,0х1500х3000 ГОСТ 19903-74 // Ст3пс  ГОСТ 14637-89шт</v>
      </c>
      <c r="B669" s="1165" t="s">
        <v>68</v>
      </c>
      <c r="C669" s="1165"/>
      <c r="D669" s="1178" t="s">
        <v>1433</v>
      </c>
      <c r="E669" s="1178"/>
      <c r="F669" s="1180" t="s">
        <v>129</v>
      </c>
      <c r="G669" s="1179">
        <v>1800</v>
      </c>
      <c r="H669" s="897" t="s">
        <v>131</v>
      </c>
      <c r="I669" s="898"/>
      <c r="J669" s="899">
        <v>1800</v>
      </c>
      <c r="K669" s="1165"/>
    </row>
    <row r="670" spans="1:11" ht="15">
      <c r="A670" s="1171" t="str">
        <f>Таблица301715[[#This Row],[Группа]]&amp;Таблица301715[[#This Row],[Номенклатура]]&amp;Таблица301715[[#This Row],[ЕИ]]</f>
        <v>МеталлопрокатЛист г/к Б-ПН-О-5,0х1500х3000 ГОСТ 19903-74 // Ст3пс  ГОСТ 14637-89м²</v>
      </c>
      <c r="B670" s="1165" t="s">
        <v>68</v>
      </c>
      <c r="C670" s="1165"/>
      <c r="D670" s="1178" t="s">
        <v>1433</v>
      </c>
      <c r="E670" s="1178"/>
      <c r="F670" s="1180" t="s">
        <v>223</v>
      </c>
      <c r="G670" s="1179">
        <v>4700</v>
      </c>
      <c r="H670" s="897" t="s">
        <v>131</v>
      </c>
      <c r="I670" s="898"/>
      <c r="J670" s="899">
        <v>4700</v>
      </c>
      <c r="K670" s="1165"/>
    </row>
    <row r="671" spans="1:11" ht="15">
      <c r="A671" s="1171" t="str">
        <f>Таблица301715[[#This Row],[Группа]]&amp;Таблица301715[[#This Row],[Номенклатура]]&amp;Таблица301715[[#This Row],[ЕИ]]</f>
        <v>МеталлопрокатЛист г/к Б-ПН-О-6,0х1500х3000 ГОСТ 19903-74 // Ст3пс ГОСТ 14637-89шт</v>
      </c>
      <c r="B671" s="1165" t="s">
        <v>68</v>
      </c>
      <c r="C671" s="1165"/>
      <c r="D671" s="1178" t="s">
        <v>694</v>
      </c>
      <c r="E671" s="1178"/>
      <c r="F671" s="1180" t="s">
        <v>129</v>
      </c>
      <c r="G671" s="1179">
        <v>24532.1</v>
      </c>
      <c r="H671" s="897" t="s">
        <v>131</v>
      </c>
      <c r="I671" s="898"/>
      <c r="J671" s="899">
        <v>24532.1</v>
      </c>
      <c r="K671" s="1165"/>
    </row>
    <row r="672" spans="1:11" ht="15">
      <c r="A672" s="1171" t="str">
        <f>Таблица301715[[#This Row],[Группа]]&amp;Таблица301715[[#This Row],[Номенклатура]]&amp;Таблица301715[[#This Row],[ЕИ]]</f>
        <v>МеталлопрокатЛист г/к Б-ПН-О-6,0х1500х3000 ГОСТ 19903-74 // Ст3пс ГОСТ 14637-89м²</v>
      </c>
      <c r="B672" s="1165" t="s">
        <v>68</v>
      </c>
      <c r="C672" s="1165"/>
      <c r="D672" s="1178" t="s">
        <v>694</v>
      </c>
      <c r="E672" s="1178"/>
      <c r="F672" s="1180" t="s">
        <v>223</v>
      </c>
      <c r="G672" s="1179">
        <v>5833.33</v>
      </c>
      <c r="H672" s="897" t="s">
        <v>131</v>
      </c>
      <c r="I672" s="898"/>
      <c r="J672" s="899">
        <v>5833.33</v>
      </c>
      <c r="K672" s="1165"/>
    </row>
    <row r="673" spans="1:11" ht="15">
      <c r="A673" s="1171" t="str">
        <f>Таблица301715[[#This Row],[Группа]]&amp;Таблица301715[[#This Row],[Номенклатура]]&amp;Таблица301715[[#This Row],[ЕИ]]</f>
        <v>МеталлопрокатЛист г/к Б-ПН-О-8,0х1500х6000 ГОСТ 19903-74 // Ст3пс  ГОСТ 14637-89шт</v>
      </c>
      <c r="B673" s="1165" t="s">
        <v>68</v>
      </c>
      <c r="C673" s="1165"/>
      <c r="D673" s="1178" t="s">
        <v>1434</v>
      </c>
      <c r="E673" s="1178"/>
      <c r="F673" s="1180" t="s">
        <v>129</v>
      </c>
      <c r="G673" s="1179">
        <v>71203</v>
      </c>
      <c r="H673" s="897" t="s">
        <v>131</v>
      </c>
      <c r="I673" s="898"/>
      <c r="J673" s="899">
        <v>71203</v>
      </c>
      <c r="K673" s="1165"/>
    </row>
    <row r="674" spans="1:11" ht="15">
      <c r="A674" s="1171" t="str">
        <f>Таблица301715[[#This Row],[Группа]]&amp;Таблица301715[[#This Row],[Номенклатура]]&amp;Таблица301715[[#This Row],[ЕИ]]</f>
        <v>МеталлопрокатЛист г/к Б-ПН-О-8,0х1500х6000 ГОСТ 19903-74 // Ст3пс  ГОСТ 14637-89м²</v>
      </c>
      <c r="B674" s="1165" t="s">
        <v>68</v>
      </c>
      <c r="C674" s="1165"/>
      <c r="D674" s="1178" t="s">
        <v>1434</v>
      </c>
      <c r="E674" s="1178"/>
      <c r="F674" s="1180" t="s">
        <v>223</v>
      </c>
      <c r="G674" s="1179">
        <v>10201</v>
      </c>
      <c r="H674" s="897" t="s">
        <v>131</v>
      </c>
      <c r="I674" s="898"/>
      <c r="J674" s="899">
        <v>10201</v>
      </c>
      <c r="K674" s="1165"/>
    </row>
    <row r="675" spans="1:11" ht="15">
      <c r="A675" s="1171" t="str">
        <f>Таблица301715[[#This Row],[Группа]]&amp;Таблица301715[[#This Row],[Номенклатура]]&amp;Таблица301715[[#This Row],[ЕИ]]</f>
        <v>МеталлопрокатЛист г/к Б-ПН-О-10,0х1500х6000 ГОСТ 19903-74 // Ст3пс  ГОСТ 14637-89шт</v>
      </c>
      <c r="B675" s="1165" t="s">
        <v>68</v>
      </c>
      <c r="C675" s="1165"/>
      <c r="D675" s="1178" t="s">
        <v>1435</v>
      </c>
      <c r="E675" s="1178"/>
      <c r="F675" s="1180" t="s">
        <v>129</v>
      </c>
      <c r="G675" s="1179">
        <v>94201</v>
      </c>
      <c r="H675" s="897" t="s">
        <v>131</v>
      </c>
      <c r="I675" s="898"/>
      <c r="J675" s="899">
        <v>94201</v>
      </c>
      <c r="K675" s="1165"/>
    </row>
    <row r="676" spans="1:11" ht="15">
      <c r="A676" s="1171" t="str">
        <f>Таблица301715[[#This Row],[Группа]]&amp;Таблица301715[[#This Row],[Номенклатура]]&amp;Таблица301715[[#This Row],[ЕИ]]</f>
        <v>МеталлопрокатЛист г/к Б-ПН-О-10,0х1500х6000 ГОСТ 19903-74 // Ст3пс  ГОСТ 14637-89м²</v>
      </c>
      <c r="B676" s="1165" t="s">
        <v>68</v>
      </c>
      <c r="C676" s="1165"/>
      <c r="D676" s="1178" t="s">
        <v>1435</v>
      </c>
      <c r="E676" s="1178"/>
      <c r="F676" s="1180" t="s">
        <v>223</v>
      </c>
      <c r="G676" s="1179">
        <v>10230</v>
      </c>
      <c r="H676" s="897" t="s">
        <v>131</v>
      </c>
      <c r="I676" s="898"/>
      <c r="J676" s="899">
        <v>10230</v>
      </c>
      <c r="K676" s="1165"/>
    </row>
    <row r="677" spans="1:11" ht="15">
      <c r="A677" s="1171" t="str">
        <f>Таблица301715[[#This Row],[Группа]]&amp;Таблица301715[[#This Row],[Номенклатура]]&amp;Таблица301715[[#This Row],[ЕИ]]</f>
        <v>МеталлопрокатЛист г/к Б-ПН-О-12,0х1500х3000 ГОСТ 19903-74 // Ст3пс ГОСТ 14637-89шт</v>
      </c>
      <c r="B677" s="1165" t="s">
        <v>68</v>
      </c>
      <c r="C677" s="1165"/>
      <c r="D677" s="1178" t="s">
        <v>784</v>
      </c>
      <c r="E677" s="1178"/>
      <c r="F677" s="1180" t="s">
        <v>129</v>
      </c>
      <c r="G677" s="1179">
        <v>48000</v>
      </c>
      <c r="H677" s="897" t="s">
        <v>131</v>
      </c>
      <c r="I677" s="898"/>
      <c r="J677" s="899">
        <v>48000</v>
      </c>
      <c r="K677" s="1165"/>
    </row>
    <row r="678" spans="1:11" ht="15">
      <c r="A678" s="1171" t="str">
        <f>Таблица301715[[#This Row],[Группа]]&amp;Таблица301715[[#This Row],[Номенклатура]]&amp;Таблица301715[[#This Row],[ЕИ]]</f>
        <v>МеталлопрокатЛист г/к Б-ПН-О-12,0х1500х3000 ГОСТ 19903-74 // Ст3пс ГОСТ 14637-89м²</v>
      </c>
      <c r="B678" s="1165" t="s">
        <v>68</v>
      </c>
      <c r="C678" s="1165"/>
      <c r="D678" s="1178" t="s">
        <v>784</v>
      </c>
      <c r="E678" s="1178"/>
      <c r="F678" s="1180" t="s">
        <v>223</v>
      </c>
      <c r="G678" s="1179">
        <v>11222.22</v>
      </c>
      <c r="H678" s="897" t="s">
        <v>131</v>
      </c>
      <c r="I678" s="898"/>
      <c r="J678" s="899">
        <v>11222.22</v>
      </c>
      <c r="K678" s="1165"/>
    </row>
    <row r="679" spans="1:11" ht="15">
      <c r="A679" s="1171" t="str">
        <f>Таблица301715[[#This Row],[Группа]]&amp;Таблица301715[[#This Row],[Номенклатура]]&amp;Таблица301715[[#This Row],[ЕИ]]</f>
        <v>МеталлопрокатЛист г/к Б-ПН-О-25,0х1500х6000 ГОСТ 19903-74 // Ст3пс ГОСТ 14637-89шт</v>
      </c>
      <c r="B679" s="1165" t="s">
        <v>68</v>
      </c>
      <c r="C679" s="1165"/>
      <c r="D679" s="1178" t="s">
        <v>1436</v>
      </c>
      <c r="E679" s="1178"/>
      <c r="F679" s="1180" t="s">
        <v>129</v>
      </c>
      <c r="G679" s="1179">
        <v>201201</v>
      </c>
      <c r="H679" s="897" t="s">
        <v>131</v>
      </c>
      <c r="I679" s="898"/>
      <c r="J679" s="899">
        <v>201201</v>
      </c>
      <c r="K679" s="1165"/>
    </row>
    <row r="680" spans="1:11" ht="15">
      <c r="A680" s="1171" t="str">
        <f>Таблица301715[[#This Row],[Группа]]&amp;Таблица301715[[#This Row],[Номенклатура]]&amp;Таблица301715[[#This Row],[ЕИ]]</f>
        <v>МеталлопрокатЛист г/к Б-ПН-О-25,0х1500х6000 ГОСТ 19903-74 // Ст3пс ГОСТ 14637-89м²</v>
      </c>
      <c r="B680" s="1165" t="s">
        <v>68</v>
      </c>
      <c r="C680" s="1165"/>
      <c r="D680" s="1178" t="s">
        <v>1436</v>
      </c>
      <c r="E680" s="1178"/>
      <c r="F680" s="1180" t="s">
        <v>223</v>
      </c>
      <c r="G680" s="1179">
        <v>22770</v>
      </c>
      <c r="H680" s="897" t="s">
        <v>131</v>
      </c>
      <c r="I680" s="898"/>
      <c r="J680" s="899">
        <v>22770</v>
      </c>
      <c r="K680" s="1165"/>
    </row>
    <row r="681" spans="1:11" ht="15">
      <c r="A681" s="1171" t="str">
        <f>Таблица301715[[#This Row],[Группа]]&amp;Таблица301715[[#This Row],[Номенклатура]]&amp;Таблица301715[[#This Row],[ЕИ]]</f>
        <v>МеталлопрокатЛист нержавеющий перфорированный 1х1000х2000мм Qg 10.0-12.0 марка 10х18н10шт</v>
      </c>
      <c r="B681" s="1165" t="s">
        <v>68</v>
      </c>
      <c r="C681" s="1165"/>
      <c r="D681" s="1178" t="s">
        <v>388</v>
      </c>
      <c r="E681" s="1178"/>
      <c r="F681" s="1180" t="s">
        <v>129</v>
      </c>
      <c r="G681" s="1179">
        <v>17000</v>
      </c>
      <c r="H681" s="897" t="s">
        <v>131</v>
      </c>
      <c r="I681" s="898"/>
      <c r="J681" s="899">
        <v>17000</v>
      </c>
      <c r="K681" s="1165"/>
    </row>
    <row r="682" spans="1:11" ht="15">
      <c r="A682" s="1171" t="str">
        <f>Таблица301715[[#This Row],[Группа]]&amp;Таблица301715[[#This Row],[Номенклатура]]&amp;Таблица301715[[#This Row],[ЕИ]]</f>
        <v>МеталлопрокатЛист нержавеющий перфорированный 1х1000х2000мм Qg 10.0-12.0 марка 10х18н10м²</v>
      </c>
      <c r="B682" s="1165" t="s">
        <v>68</v>
      </c>
      <c r="C682" s="1165"/>
      <c r="D682" s="1178" t="s">
        <v>388</v>
      </c>
      <c r="E682" s="1178"/>
      <c r="F682" s="1180" t="s">
        <v>223</v>
      </c>
      <c r="G682" s="1179">
        <v>8750</v>
      </c>
      <c r="H682" s="897" t="s">
        <v>131</v>
      </c>
      <c r="I682" s="898"/>
      <c r="J682" s="899">
        <v>8750</v>
      </c>
      <c r="K682" s="1165"/>
    </row>
    <row r="683" spans="1:11" ht="15">
      <c r="A683" s="1171" t="str">
        <f>Таблица301715[[#This Row],[Группа]]&amp;Таблица301715[[#This Row],[Номенклатура]]&amp;Таблица301715[[#This Row],[ЕИ]]</f>
        <v>МеталлопрокатЛист нержавеющий перфорированный 1,5х1000х2000мм Qg 10.0-12.0 марка 10х18н10шт</v>
      </c>
      <c r="B683" s="1165" t="s">
        <v>68</v>
      </c>
      <c r="C683" s="1165"/>
      <c r="D683" s="1178" t="s">
        <v>1437</v>
      </c>
      <c r="E683" s="1178"/>
      <c r="F683" s="1180" t="s">
        <v>129</v>
      </c>
      <c r="G683" s="1179">
        <v>24375</v>
      </c>
      <c r="H683" s="897" t="s">
        <v>131</v>
      </c>
      <c r="I683" s="898"/>
      <c r="J683" s="899">
        <v>24375</v>
      </c>
      <c r="K683" s="1165"/>
    </row>
    <row r="684" spans="1:11" ht="15">
      <c r="A684" s="1171" t="str">
        <f>Таблица301715[[#This Row],[Группа]]&amp;Таблица301715[[#This Row],[Номенклатура]]&amp;Таблица301715[[#This Row],[ЕИ]]</f>
        <v>МеталлопрокатЛист нержавеющий перфорированный 1,5х1000х2000мм Qg 10.0-12.0 марка 10х18н10м²</v>
      </c>
      <c r="B684" s="1165" t="s">
        <v>68</v>
      </c>
      <c r="C684" s="1165"/>
      <c r="D684" s="1178" t="s">
        <v>1437</v>
      </c>
      <c r="E684" s="1178"/>
      <c r="F684" s="1180" t="s">
        <v>223</v>
      </c>
      <c r="G684" s="1179">
        <v>12587</v>
      </c>
      <c r="H684" s="897" t="s">
        <v>131</v>
      </c>
      <c r="I684" s="898"/>
      <c r="J684" s="899">
        <v>12587</v>
      </c>
      <c r="K684" s="1165"/>
    </row>
    <row r="685" spans="1:11" ht="15">
      <c r="A685" s="1171" t="str">
        <f>Таблица301715[[#This Row],[Группа]]&amp;Таблица301715[[#This Row],[Номенклатура]]&amp;Таблица301715[[#This Row],[ЕИ]]</f>
        <v>МеталлопрокатЛист ромб/ чечевица г/к Б-ПН-О-2,0х1250х2500 ГОСТ 8568-77//ст08х18н10 ГОСТ 19903-74 (AISI 304)  шт</v>
      </c>
      <c r="B685" s="1165" t="s">
        <v>68</v>
      </c>
      <c r="C685" s="1165"/>
      <c r="D685" s="1178" t="s">
        <v>1438</v>
      </c>
      <c r="E685" s="1178"/>
      <c r="F685" s="1180" t="s">
        <v>129</v>
      </c>
      <c r="G685" s="1179">
        <v>38000</v>
      </c>
      <c r="H685" s="897" t="s">
        <v>131</v>
      </c>
      <c r="I685" s="898"/>
      <c r="J685" s="899">
        <v>38000</v>
      </c>
      <c r="K685" s="1165"/>
    </row>
    <row r="686" spans="1:11" ht="15">
      <c r="A686" s="1171" t="str">
        <f>Таблица301715[[#This Row],[Группа]]&amp;Таблица301715[[#This Row],[Номенклатура]]&amp;Таблица301715[[#This Row],[ЕИ]]</f>
        <v>МеталлопрокатЛист ромб/ чечевица г/к Б-ПН-О-2,0х1250х2500 ГОСТ 8568-77//ст08х18н10 ГОСТ 19903-74 (AISI 304)  м²</v>
      </c>
      <c r="B686" s="1165" t="s">
        <v>68</v>
      </c>
      <c r="C686" s="1165"/>
      <c r="D686" s="1178" t="s">
        <v>1438</v>
      </c>
      <c r="E686" s="1178"/>
      <c r="F686" s="1180" t="s">
        <v>223</v>
      </c>
      <c r="G686" s="1179">
        <v>16250</v>
      </c>
      <c r="H686" s="897" t="s">
        <v>131</v>
      </c>
      <c r="I686" s="898"/>
      <c r="J686" s="899">
        <v>16250</v>
      </c>
      <c r="K686" s="1165"/>
    </row>
    <row r="687" spans="1:11" ht="15">
      <c r="A687" s="1171" t="str">
        <f>Таблица301715[[#This Row],[Группа]]&amp;Таблица301715[[#This Row],[Номенклатура]]&amp;Таблица301715[[#This Row],[ЕИ]]</f>
        <v>МеталлопрокатЛист ромб/ чечевица г/к Б-ПН-О-3х1250х2500мм 12Х18Н10Т (AISI 304)шт</v>
      </c>
      <c r="B687" s="1165" t="s">
        <v>68</v>
      </c>
      <c r="C687" s="1165"/>
      <c r="D687" s="1178" t="s">
        <v>428</v>
      </c>
      <c r="E687" s="1178"/>
      <c r="F687" s="1180" t="s">
        <v>129</v>
      </c>
      <c r="G687" s="1179">
        <v>50000</v>
      </c>
      <c r="H687" s="897" t="s">
        <v>131</v>
      </c>
      <c r="I687" s="898"/>
      <c r="J687" s="899">
        <v>50000</v>
      </c>
      <c r="K687" s="1165"/>
    </row>
    <row r="688" spans="1:11" ht="15">
      <c r="A688" s="1171" t="str">
        <f>Таблица301715[[#This Row],[Группа]]&amp;Таблица301715[[#This Row],[Номенклатура]]&amp;Таблица301715[[#This Row],[ЕИ]]</f>
        <v>МеталлопрокатЛист ромб/ чечевица г/к Б-ПН-О-3х1250х2500мм 12Х18Н10Т (AISI 304)м²</v>
      </c>
      <c r="B688" s="1165" t="s">
        <v>68</v>
      </c>
      <c r="C688" s="1165"/>
      <c r="D688" s="1178" t="s">
        <v>428</v>
      </c>
      <c r="E688" s="1178"/>
      <c r="F688" s="1180" t="s">
        <v>223</v>
      </c>
      <c r="G688" s="1179">
        <v>16250</v>
      </c>
      <c r="H688" s="897" t="s">
        <v>131</v>
      </c>
      <c r="I688" s="898"/>
      <c r="J688" s="899">
        <v>16250</v>
      </c>
      <c r="K688" s="1165"/>
    </row>
    <row r="689" spans="1:11" ht="15">
      <c r="A689" s="1171" t="str">
        <f>Таблица301715[[#This Row],[Группа]]&amp;Таблица301715[[#This Row],[Номенклатура]]&amp;Таблица301715[[#This Row],[ЕИ]]</f>
        <v>МеталлопрокатЛист ромб/ чечевица г/к Б-ПН-О-4х1250х2500мм 12Х18Н10Т (AISI 304)шт</v>
      </c>
      <c r="B689" s="1165" t="s">
        <v>68</v>
      </c>
      <c r="C689" s="1165"/>
      <c r="D689" s="1178" t="s">
        <v>1439</v>
      </c>
      <c r="E689" s="1178"/>
      <c r="F689" s="1180" t="s">
        <v>129</v>
      </c>
      <c r="G689" s="1179">
        <v>62540</v>
      </c>
      <c r="H689" s="897" t="s">
        <v>131</v>
      </c>
      <c r="I689" s="898"/>
      <c r="J689" s="899">
        <v>62540</v>
      </c>
      <c r="K689" s="1165"/>
    </row>
    <row r="690" spans="1:11" ht="15">
      <c r="A690" s="1171" t="str">
        <f>Таблица301715[[#This Row],[Группа]]&amp;Таблица301715[[#This Row],[Номенклатура]]&amp;Таблица301715[[#This Row],[ЕИ]]</f>
        <v>МеталлопрокатЛист ромб/ чечевица г/к Б-ПН-О-4х1250х2500мм 12Х18Н10Т (AISI 304)м²</v>
      </c>
      <c r="B690" s="1165" t="s">
        <v>68</v>
      </c>
      <c r="C690" s="1165"/>
      <c r="D690" s="1178" t="s">
        <v>1439</v>
      </c>
      <c r="E690" s="1178"/>
      <c r="F690" s="1180" t="s">
        <v>223</v>
      </c>
      <c r="G690" s="1179">
        <v>20522</v>
      </c>
      <c r="H690" s="897" t="s">
        <v>131</v>
      </c>
      <c r="I690" s="898"/>
      <c r="J690" s="899">
        <v>20522</v>
      </c>
      <c r="K690" s="1165"/>
    </row>
    <row r="691" spans="1:11" ht="15">
      <c r="A691" s="1171" t="str">
        <f>Таблица301715[[#This Row],[Группа]]&amp;Таблица301715[[#This Row],[Номенклатура]]&amp;Таблица301715[[#This Row],[ЕИ]]</f>
        <v>МеталлопрокатЛист ромб/ чечевица г/к Б-ПН-О-5х1250х2500мм 12Х18Н10Т (AISI 304)шт</v>
      </c>
      <c r="B691" s="1165" t="s">
        <v>68</v>
      </c>
      <c r="C691" s="1165"/>
      <c r="D691" s="1178" t="s">
        <v>1440</v>
      </c>
      <c r="E691" s="1178"/>
      <c r="F691" s="1180" t="s">
        <v>129</v>
      </c>
      <c r="G691" s="1179">
        <v>78550</v>
      </c>
      <c r="H691" s="897" t="s">
        <v>131</v>
      </c>
      <c r="I691" s="898"/>
      <c r="J691" s="899">
        <v>78550</v>
      </c>
      <c r="K691" s="1165"/>
    </row>
    <row r="692" spans="1:11" ht="15">
      <c r="A692" s="1171" t="str">
        <f>Таблица301715[[#This Row],[Группа]]&amp;Таблица301715[[#This Row],[Номенклатура]]&amp;Таблица301715[[#This Row],[ЕИ]]</f>
        <v>МеталлопрокатЛист ромб/ чечевица г/к Б-ПН-О-5х1250х2500мм 12Х18Н10Т (AISI 304)м²</v>
      </c>
      <c r="B692" s="1165" t="s">
        <v>68</v>
      </c>
      <c r="C692" s="1165"/>
      <c r="D692" s="1178" t="s">
        <v>1440</v>
      </c>
      <c r="E692" s="1178"/>
      <c r="F692" s="1180" t="s">
        <v>223</v>
      </c>
      <c r="G692" s="1179">
        <v>28304</v>
      </c>
      <c r="H692" s="897" t="s">
        <v>131</v>
      </c>
      <c r="I692" s="898"/>
      <c r="J692" s="899">
        <v>28304</v>
      </c>
      <c r="K692" s="1165"/>
    </row>
    <row r="693" spans="1:11" ht="15">
      <c r="A693" s="1171" t="str">
        <f>Таблица301715[[#This Row],[Группа]]&amp;Таблица301715[[#This Row],[Номенклатура]]&amp;Таблица301715[[#This Row],[ЕИ]]</f>
        <v>МеталлопрокатЛист 4х1000х3100 мм 12Х18Н10Т (AISI304) просечно-вытяжнойшт</v>
      </c>
      <c r="B693" s="1165" t="s">
        <v>68</v>
      </c>
      <c r="C693" s="1165"/>
      <c r="D693" s="1178" t="s">
        <v>1441</v>
      </c>
      <c r="E693" s="1178"/>
      <c r="F693" s="1180" t="s">
        <v>129</v>
      </c>
      <c r="G693" s="1179">
        <v>31629</v>
      </c>
      <c r="H693" s="897" t="s">
        <v>131</v>
      </c>
      <c r="I693" s="898"/>
      <c r="J693" s="899">
        <v>31629</v>
      </c>
      <c r="K693" s="1165"/>
    </row>
    <row r="694" spans="1:11" ht="15">
      <c r="A694" s="1171" t="str">
        <f>Таблица301715[[#This Row],[Группа]]&amp;Таблица301715[[#This Row],[Номенклатура]]&amp;Таблица301715[[#This Row],[ЕИ]]</f>
        <v>МеталлопрокатЛист 4х1000х3100 мм 12Х18Н10Т (AISI304) просечно-вытяжнойм²</v>
      </c>
      <c r="B694" s="1165" t="s">
        <v>68</v>
      </c>
      <c r="C694" s="1165"/>
      <c r="D694" s="1178" t="s">
        <v>1441</v>
      </c>
      <c r="E694" s="1178"/>
      <c r="F694" s="1180" t="s">
        <v>223</v>
      </c>
      <c r="G694" s="1179">
        <v>13039</v>
      </c>
      <c r="H694" s="897" t="s">
        <v>131</v>
      </c>
      <c r="I694" s="898"/>
      <c r="J694" s="899">
        <v>13039</v>
      </c>
      <c r="K694" s="1165"/>
    </row>
    <row r="695" spans="1:11" ht="15">
      <c r="A695" s="1171" t="str">
        <f>Таблица301715[[#This Row],[Группа]]&amp;Таблица301715[[#This Row],[Номенклатура]]&amp;Таблица301715[[#This Row],[ЕИ]]</f>
        <v>МеталлопрокатЛист нержавеющий матовый 0,5х1000х2000шт</v>
      </c>
      <c r="B695" s="1165" t="s">
        <v>68</v>
      </c>
      <c r="C695" s="1165"/>
      <c r="D695" s="1178" t="s">
        <v>1442</v>
      </c>
      <c r="E695" s="1178"/>
      <c r="F695" s="1180" t="s">
        <v>129</v>
      </c>
      <c r="G695" s="1179">
        <v>7500</v>
      </c>
      <c r="H695" s="897" t="s">
        <v>131</v>
      </c>
      <c r="I695" s="898"/>
      <c r="J695" s="899">
        <v>7500</v>
      </c>
      <c r="K695" s="1165"/>
    </row>
    <row r="696" spans="1:11" ht="15">
      <c r="A696" s="1171" t="str">
        <f>Таблица301715[[#This Row],[Группа]]&amp;Таблица301715[[#This Row],[Номенклатура]]&amp;Таблица301715[[#This Row],[ЕИ]]</f>
        <v>МеталлопрокатЛист нержавеющий матовый 0,5х1000х2000м²</v>
      </c>
      <c r="B696" s="1165" t="s">
        <v>68</v>
      </c>
      <c r="C696" s="1165"/>
      <c r="D696" s="1178" t="s">
        <v>1442</v>
      </c>
      <c r="E696" s="1178"/>
      <c r="F696" s="1180" t="s">
        <v>223</v>
      </c>
      <c r="G696" s="1179">
        <v>3920</v>
      </c>
      <c r="H696" s="897" t="s">
        <v>131</v>
      </c>
      <c r="I696" s="898"/>
      <c r="J696" s="899">
        <v>3920</v>
      </c>
      <c r="K696" s="1165"/>
    </row>
    <row r="697" spans="1:11" ht="15">
      <c r="A697" s="1171" t="str">
        <f>Таблица301715[[#This Row],[Группа]]&amp;Таблица301715[[#This Row],[Номенклатура]]&amp;Таблица301715[[#This Row],[ЕИ]]</f>
        <v>МеталлопрокатЛист нержавеющий матовый 1,0х1000х2000шт</v>
      </c>
      <c r="B697" s="1165" t="s">
        <v>68</v>
      </c>
      <c r="C697" s="1165"/>
      <c r="D697" s="1178" t="s">
        <v>1443</v>
      </c>
      <c r="E697" s="1178"/>
      <c r="F697" s="1180" t="s">
        <v>129</v>
      </c>
      <c r="G697" s="1179">
        <v>10320</v>
      </c>
      <c r="H697" s="897" t="s">
        <v>131</v>
      </c>
      <c r="I697" s="898"/>
      <c r="J697" s="899">
        <v>10320</v>
      </c>
      <c r="K697" s="1165"/>
    </row>
    <row r="698" spans="1:11" ht="15">
      <c r="A698" s="1171" t="str">
        <f>Таблица301715[[#This Row],[Группа]]&amp;Таблица301715[[#This Row],[Номенклатура]]&amp;Таблица301715[[#This Row],[ЕИ]]</f>
        <v>МеталлопрокатЛист нержавеющий матовый 1,0х1000х2000м²</v>
      </c>
      <c r="B698" s="1165" t="s">
        <v>68</v>
      </c>
      <c r="C698" s="1165"/>
      <c r="D698" s="1178" t="s">
        <v>1443</v>
      </c>
      <c r="E698" s="1178"/>
      <c r="F698" s="1180" t="s">
        <v>223</v>
      </c>
      <c r="G698" s="1179">
        <v>5930</v>
      </c>
      <c r="H698" s="897" t="s">
        <v>131</v>
      </c>
      <c r="I698" s="898"/>
      <c r="J698" s="899">
        <v>5930</v>
      </c>
      <c r="K698" s="1165"/>
    </row>
    <row r="699" spans="1:11" ht="15">
      <c r="A699" s="1171" t="str">
        <f>Таблица301715[[#This Row],[Группа]]&amp;Таблица301715[[#This Row],[Номенклатура]]&amp;Таблица301715[[#This Row],[ЕИ]]</f>
        <v>МеталлопрокатЛист 6х1000х2000мм 12Х18Н10Т (AISI 304)шт</v>
      </c>
      <c r="B699" s="1165" t="s">
        <v>68</v>
      </c>
      <c r="C699" s="1165"/>
      <c r="D699" s="1178" t="s">
        <v>1444</v>
      </c>
      <c r="E699" s="1178"/>
      <c r="F699" s="1180" t="s">
        <v>129</v>
      </c>
      <c r="G699" s="1179">
        <v>76250</v>
      </c>
      <c r="H699" s="897" t="s">
        <v>131</v>
      </c>
      <c r="I699" s="898"/>
      <c r="J699" s="899">
        <v>76250</v>
      </c>
      <c r="K699" s="1165"/>
    </row>
    <row r="700" spans="1:11" ht="15">
      <c r="A700" s="1171" t="str">
        <f>Таблица301715[[#This Row],[Группа]]&amp;Таблица301715[[#This Row],[Номенклатура]]&amp;Таблица301715[[#This Row],[ЕИ]]</f>
        <v>МеталлопрокатЛист 6х1000х2000мм 12Х18Н10Т (AISI 304)м²</v>
      </c>
      <c r="B700" s="1165" t="s">
        <v>68</v>
      </c>
      <c r="C700" s="1165"/>
      <c r="D700" s="1178" t="s">
        <v>1444</v>
      </c>
      <c r="E700" s="1178"/>
      <c r="F700" s="1180" t="s">
        <v>223</v>
      </c>
      <c r="G700" s="1179">
        <v>38500</v>
      </c>
      <c r="H700" s="897" t="s">
        <v>131</v>
      </c>
      <c r="I700" s="898"/>
      <c r="J700" s="899">
        <v>38500</v>
      </c>
      <c r="K700" s="1165"/>
    </row>
    <row r="701" spans="1:11" ht="15">
      <c r="A701" s="1171" t="str">
        <f>Таблица301715[[#This Row],[Группа]]&amp;Таблица301715[[#This Row],[Номенклатура]]&amp;Таблица301715[[#This Row],[ЕИ]]</f>
        <v>МеталлопрокатЛист 5х1000х2000мм 12Х18Н10Т (AISI 304)шт</v>
      </c>
      <c r="B701" s="1165" t="s">
        <v>68</v>
      </c>
      <c r="C701" s="1165"/>
      <c r="D701" s="1178" t="s">
        <v>1445</v>
      </c>
      <c r="E701" s="1178"/>
      <c r="F701" s="1180" t="s">
        <v>129</v>
      </c>
      <c r="G701" s="1179">
        <v>31000</v>
      </c>
      <c r="H701" s="897" t="s">
        <v>131</v>
      </c>
      <c r="I701" s="898"/>
      <c r="J701" s="899">
        <v>31000</v>
      </c>
      <c r="K701" s="1165"/>
    </row>
    <row r="702" spans="1:11" ht="15">
      <c r="A702" s="1171" t="str">
        <f>Таблица301715[[#This Row],[Группа]]&amp;Таблица301715[[#This Row],[Номенклатура]]&amp;Таблица301715[[#This Row],[ЕИ]]</f>
        <v>МеталлопрокатЛист 5х1000х2000мм 12Х18Н10Т (AISI 304)м²</v>
      </c>
      <c r="B702" s="1165" t="s">
        <v>68</v>
      </c>
      <c r="C702" s="1165"/>
      <c r="D702" s="1178" t="s">
        <v>1445</v>
      </c>
      <c r="E702" s="1178"/>
      <c r="F702" s="1180" t="s">
        <v>223</v>
      </c>
      <c r="G702" s="1179">
        <v>16200</v>
      </c>
      <c r="H702" s="897" t="s">
        <v>131</v>
      </c>
      <c r="I702" s="898"/>
      <c r="J702" s="899">
        <v>16200</v>
      </c>
      <c r="K702" s="1165"/>
    </row>
    <row r="703" spans="1:11" ht="15">
      <c r="A703" s="1171" t="str">
        <f>Таблица301715[[#This Row],[Группа]]&amp;Таблица301715[[#This Row],[Номенклатура]]&amp;Таблица301715[[#This Row],[ЕИ]]</f>
        <v>МеталлопрокатЛист 4х1000х2000мм 12Х18Н10Т (AISI 304)шт</v>
      </c>
      <c r="B703" s="1165" t="s">
        <v>68</v>
      </c>
      <c r="C703" s="1165"/>
      <c r="D703" s="1178" t="s">
        <v>1446</v>
      </c>
      <c r="E703" s="1178"/>
      <c r="F703" s="1180" t="s">
        <v>129</v>
      </c>
      <c r="G703" s="1179">
        <v>27000</v>
      </c>
      <c r="H703" s="897" t="s">
        <v>131</v>
      </c>
      <c r="I703" s="898"/>
      <c r="J703" s="899">
        <v>27000</v>
      </c>
      <c r="K703" s="1165"/>
    </row>
    <row r="704" spans="1:11" ht="15">
      <c r="A704" s="1171" t="str">
        <f>Таблица301715[[#This Row],[Группа]]&amp;Таблица301715[[#This Row],[Номенклатура]]&amp;Таблица301715[[#This Row],[ЕИ]]</f>
        <v>МеталлопрокатЛист 4х1000х2000мм 12Х18Н10Т (AISI 304)м²</v>
      </c>
      <c r="B704" s="1165" t="s">
        <v>68</v>
      </c>
      <c r="C704" s="1165"/>
      <c r="D704" s="1178" t="s">
        <v>1446</v>
      </c>
      <c r="E704" s="1178"/>
      <c r="F704" s="918" t="s">
        <v>223</v>
      </c>
      <c r="G704" s="1179">
        <v>14500</v>
      </c>
      <c r="H704" s="897" t="s">
        <v>131</v>
      </c>
      <c r="I704" s="898"/>
      <c r="J704" s="899">
        <v>14500</v>
      </c>
      <c r="K704" s="1165"/>
    </row>
    <row r="705" spans="1:11" ht="15">
      <c r="A705" s="1171" t="str">
        <f>Таблица301715[[#This Row],[Группа]]&amp;Таблица301715[[#This Row],[Номенклатура]]&amp;Таблица301715[[#This Row],[ЕИ]]</f>
        <v>МеталлопрокатЛист 3х1000х2000мм 12Х18Н10Т (AISI 304)шт</v>
      </c>
      <c r="B705" s="1165" t="s">
        <v>68</v>
      </c>
      <c r="C705" s="1165"/>
      <c r="D705" s="1178" t="s">
        <v>689</v>
      </c>
      <c r="E705" s="1178"/>
      <c r="F705" s="918" t="s">
        <v>129</v>
      </c>
      <c r="G705" s="1179">
        <v>24000</v>
      </c>
      <c r="H705" s="897" t="s">
        <v>131</v>
      </c>
      <c r="I705" s="898"/>
      <c r="J705" s="899">
        <v>24000</v>
      </c>
      <c r="K705" s="1165"/>
    </row>
    <row r="706" spans="1:11" ht="15">
      <c r="A706" s="1171" t="str">
        <f>Таблица301715[[#This Row],[Группа]]&amp;Таблица301715[[#This Row],[Номенклатура]]&amp;Таблица301715[[#This Row],[ЕИ]]</f>
        <v>МеталлопрокатЛист 3х1000х2000мм 12Х18Н10Т (AISI 304)м²</v>
      </c>
      <c r="B706" s="1165" t="s">
        <v>68</v>
      </c>
      <c r="C706" s="1165"/>
      <c r="D706" s="1178" t="s">
        <v>689</v>
      </c>
      <c r="E706" s="1178"/>
      <c r="F706" s="918" t="s">
        <v>223</v>
      </c>
      <c r="G706" s="1179">
        <v>12500</v>
      </c>
      <c r="H706" s="897" t="s">
        <v>131</v>
      </c>
      <c r="I706" s="898"/>
      <c r="J706" s="899">
        <v>12500</v>
      </c>
      <c r="K706" s="1165"/>
    </row>
    <row r="707" spans="1:11" ht="15">
      <c r="A707" s="1171" t="str">
        <f>Таблица301715[[#This Row],[Группа]]&amp;Таблица301715[[#This Row],[Номенклатура]]&amp;Таблица301715[[#This Row],[ЕИ]]</f>
        <v>МеталлопрокатЛист 2х1000х2000мм 12Х18Н10Т (AISI 304)шт</v>
      </c>
      <c r="B707" s="1165" t="s">
        <v>68</v>
      </c>
      <c r="C707" s="1165"/>
      <c r="D707" s="1178" t="s">
        <v>1447</v>
      </c>
      <c r="E707" s="1178"/>
      <c r="F707" s="918" t="s">
        <v>129</v>
      </c>
      <c r="G707" s="1179">
        <v>21100</v>
      </c>
      <c r="H707" s="897" t="s">
        <v>131</v>
      </c>
      <c r="I707" s="898"/>
      <c r="J707" s="899">
        <v>21100</v>
      </c>
      <c r="K707" s="1165"/>
    </row>
    <row r="708" spans="1:11" ht="15">
      <c r="A708" s="1171" t="str">
        <f>Таблица301715[[#This Row],[Группа]]&amp;Таблица301715[[#This Row],[Номенклатура]]&amp;Таблица301715[[#This Row],[ЕИ]]</f>
        <v>МеталлопрокатЛист 2х1000х2000мм 12Х18Н10Т (AISI 304)м²</v>
      </c>
      <c r="B708" s="1165" t="s">
        <v>68</v>
      </c>
      <c r="C708" s="1165"/>
      <c r="D708" s="1178" t="s">
        <v>1447</v>
      </c>
      <c r="E708" s="1178"/>
      <c r="F708" s="918" t="s">
        <v>223</v>
      </c>
      <c r="G708" s="1179">
        <v>18720</v>
      </c>
      <c r="H708" s="897" t="s">
        <v>131</v>
      </c>
      <c r="I708" s="898"/>
      <c r="J708" s="899">
        <v>18720</v>
      </c>
      <c r="K708" s="1165"/>
    </row>
    <row r="709" spans="1:11" ht="15">
      <c r="A709" s="1171" t="str">
        <f>Таблица301715[[#This Row],[Группа]]&amp;Таблица301715[[#This Row],[Номенклатура]]&amp;Таблица301715[[#This Row],[ЕИ]]</f>
        <v>МеталлопрокатЛист 10х1000х2000мм 12Х18Н10Т (AISI 304)шт</v>
      </c>
      <c r="B709" s="1165" t="s">
        <v>68</v>
      </c>
      <c r="C709" s="1165"/>
      <c r="D709" s="1178" t="s">
        <v>1448</v>
      </c>
      <c r="E709" s="1178"/>
      <c r="F709" s="918" t="s">
        <v>129</v>
      </c>
      <c r="G709" s="1179">
        <v>125125</v>
      </c>
      <c r="H709" s="897" t="s">
        <v>131</v>
      </c>
      <c r="I709" s="898"/>
      <c r="J709" s="899">
        <v>125125</v>
      </c>
      <c r="K709" s="1165"/>
    </row>
    <row r="710" spans="1:11" ht="15">
      <c r="A710" s="1171" t="str">
        <f>Таблица301715[[#This Row],[Группа]]&amp;Таблица301715[[#This Row],[Номенклатура]]&amp;Таблица301715[[#This Row],[ЕИ]]</f>
        <v>МеталлопрокатЛист 10х1000х2000мм 12Х18Н10Т (AISI 304)м²</v>
      </c>
      <c r="B710" s="1165" t="s">
        <v>68</v>
      </c>
      <c r="C710" s="1165"/>
      <c r="D710" s="1178" t="s">
        <v>1448</v>
      </c>
      <c r="E710" s="1178"/>
      <c r="F710" s="918" t="s">
        <v>223</v>
      </c>
      <c r="G710" s="1179">
        <v>61875</v>
      </c>
      <c r="H710" s="897" t="s">
        <v>131</v>
      </c>
      <c r="I710" s="1181"/>
      <c r="J710" s="899">
        <v>61875</v>
      </c>
      <c r="K710" s="1165"/>
    </row>
    <row r="711" spans="1:11" ht="15">
      <c r="A711" s="1171" t="str">
        <f>Таблица301715[[#This Row],[Группа]]&amp;Таблица301715[[#This Row],[Номенклатура]]&amp;Таблица301715[[#This Row],[ЕИ]]</f>
        <v>МеталлопрокатТруба 20х1,5мм 12Х18Н10Т (AISI 304) ГОСТ 9941-81м</v>
      </c>
      <c r="B711" s="1165" t="s">
        <v>68</v>
      </c>
      <c r="C711" s="1165"/>
      <c r="D711" s="1178" t="s">
        <v>1449</v>
      </c>
      <c r="E711" s="1178"/>
      <c r="F711" s="918" t="s">
        <v>163</v>
      </c>
      <c r="G711" s="1179">
        <v>1050</v>
      </c>
      <c r="H711" s="897" t="s">
        <v>131</v>
      </c>
      <c r="I711" s="898"/>
      <c r="J711" s="899">
        <v>1050</v>
      </c>
      <c r="K711" s="1165"/>
    </row>
    <row r="712" spans="1:11" ht="15">
      <c r="A712" s="1171" t="str">
        <f>Таблица301715[[#This Row],[Группа]]&amp;Таблица301715[[#This Row],[Номенклатура]]&amp;Таблица301715[[#This Row],[ЕИ]]</f>
        <v>МеталлопрокатТруба 25х2 мм 12Х18Н10Т (AISI 304) ГОСТ 9941-81м</v>
      </c>
      <c r="B712" s="1165" t="s">
        <v>68</v>
      </c>
      <c r="C712" s="1165"/>
      <c r="D712" s="1178" t="s">
        <v>403</v>
      </c>
      <c r="E712" s="1178"/>
      <c r="F712" s="918" t="s">
        <v>163</v>
      </c>
      <c r="G712" s="1179">
        <v>1000</v>
      </c>
      <c r="H712" s="897" t="s">
        <v>131</v>
      </c>
      <c r="I712" s="898"/>
      <c r="J712" s="899">
        <v>1000</v>
      </c>
      <c r="K712" s="1165"/>
    </row>
    <row r="713" spans="1:11" ht="15">
      <c r="A713" s="1171" t="str">
        <f>Таблица301715[[#This Row],[Группа]]&amp;Таблица301715[[#This Row],[Номенклатура]]&amp;Таблица301715[[#This Row],[ЕИ]]</f>
        <v>МеталлопрокатТруба 25х2,5мм 12Х18Н10Т (AISI 304) ГОСТ 9941-81 м</v>
      </c>
      <c r="B713" s="1165" t="s">
        <v>68</v>
      </c>
      <c r="C713" s="1165"/>
      <c r="D713" s="1178" t="s">
        <v>572</v>
      </c>
      <c r="E713" s="1178"/>
      <c r="F713" s="918" t="s">
        <v>163</v>
      </c>
      <c r="G713" s="1179">
        <v>1100</v>
      </c>
      <c r="H713" s="897" t="s">
        <v>131</v>
      </c>
      <c r="I713" s="1182"/>
      <c r="J713" s="1183">
        <v>1100</v>
      </c>
      <c r="K713" s="1176"/>
    </row>
    <row r="714" spans="1:11" ht="15">
      <c r="A714" s="1171" t="str">
        <f>Таблица301715[[#This Row],[Группа]]&amp;Таблица301715[[#This Row],[Номенклатура]]&amp;Таблица301715[[#This Row],[ЕИ]]</f>
        <v>МеталлопрокатТруба 25х3мм 12Х18Н10Т (AISI 304) ГОСТ 9941-81м</v>
      </c>
      <c r="B714" s="1165" t="s">
        <v>68</v>
      </c>
      <c r="C714" s="1165"/>
      <c r="D714" s="1178" t="s">
        <v>1450</v>
      </c>
      <c r="E714" s="1178"/>
      <c r="F714" s="918" t="s">
        <v>163</v>
      </c>
      <c r="G714" s="1179">
        <v>1500</v>
      </c>
      <c r="H714" s="897" t="s">
        <v>131</v>
      </c>
      <c r="I714" s="898"/>
      <c r="J714" s="899">
        <v>1500</v>
      </c>
      <c r="K714" s="1165"/>
    </row>
    <row r="715" spans="1:11" ht="15">
      <c r="A715" s="1171" t="str">
        <f>Таблица301715[[#This Row],[Группа]]&amp;Таблица301715[[#This Row],[Номенклатура]]&amp;Таблица301715[[#This Row],[ЕИ]]</f>
        <v>МеталлопрокатТруба ВГП 25х3,2 ГОСТ 3262-75 ГОСТ 9941-81м</v>
      </c>
      <c r="B715" s="1165" t="s">
        <v>68</v>
      </c>
      <c r="C715" s="1165"/>
      <c r="D715" s="1178" t="s">
        <v>1451</v>
      </c>
      <c r="E715" s="1178"/>
      <c r="F715" s="918" t="s">
        <v>163</v>
      </c>
      <c r="G715" s="1179">
        <v>867</v>
      </c>
      <c r="H715" s="897" t="s">
        <v>131</v>
      </c>
      <c r="I715" s="898"/>
      <c r="J715" s="899">
        <v>867</v>
      </c>
      <c r="K715" s="1176"/>
    </row>
    <row r="716" spans="1:11" ht="15">
      <c r="A716" s="1171" t="str">
        <f>Таблица301715[[#This Row],[Группа]]&amp;Таблица301715[[#This Row],[Номенклатура]]&amp;Таблица301715[[#This Row],[ЕИ]]</f>
        <v>МеталлопрокатТруба 30х2мм 12Х18Н10Т (AISI 304) ГОСТ 9941-81м</v>
      </c>
      <c r="B716" s="1165" t="s">
        <v>68</v>
      </c>
      <c r="C716" s="1165"/>
      <c r="D716" s="1178" t="s">
        <v>1919</v>
      </c>
      <c r="E716" s="1178"/>
      <c r="F716" s="918" t="s">
        <v>163</v>
      </c>
      <c r="G716" s="1179"/>
      <c r="H716" s="897" t="s">
        <v>131</v>
      </c>
      <c r="I716" s="898"/>
      <c r="J716" s="899"/>
      <c r="K716" s="1165"/>
    </row>
    <row r="717" spans="1:11" ht="15">
      <c r="A717" s="1171" t="str">
        <f>Таблица301715[[#This Row],[Группа]]&amp;Таблица301715[[#This Row],[Номенклатура]]&amp;Таблица301715[[#This Row],[ЕИ]]</f>
        <v>МеталлопрокатТруба 32х2мм 12Х18Н10Т (AISI 304) ГОСТ 9941-81м</v>
      </c>
      <c r="B717" s="1165" t="s">
        <v>68</v>
      </c>
      <c r="C717" s="1165"/>
      <c r="D717" s="1178" t="s">
        <v>1452</v>
      </c>
      <c r="E717" s="1178"/>
      <c r="F717" s="918" t="s">
        <v>163</v>
      </c>
      <c r="G717" s="1179">
        <v>2500</v>
      </c>
      <c r="H717" s="897" t="s">
        <v>131</v>
      </c>
      <c r="I717" s="898"/>
      <c r="J717" s="899">
        <v>2500</v>
      </c>
      <c r="K717" s="1165"/>
    </row>
    <row r="718" spans="1:11" ht="15">
      <c r="A718" s="1171" t="str">
        <f>Таблица301715[[#This Row],[Группа]]&amp;Таблица301715[[#This Row],[Номенклатура]]&amp;Таблица301715[[#This Row],[ЕИ]]</f>
        <v>МеталлопрокатТруба 34х2,5 ГОСТ 9941-81 ст 12Х18Н10Т (AISI 321)  (бесшовная холоднодеформированная) ГОСТ 9941-81м</v>
      </c>
      <c r="B718" s="1165" t="s">
        <v>68</v>
      </c>
      <c r="C718" s="1165"/>
      <c r="D718" s="1178" t="s">
        <v>1453</v>
      </c>
      <c r="E718" s="1178"/>
      <c r="F718" s="918" t="s">
        <v>163</v>
      </c>
      <c r="G718" s="1179">
        <v>1200</v>
      </c>
      <c r="H718" s="897" t="s">
        <v>131</v>
      </c>
      <c r="I718" s="898"/>
      <c r="J718" s="899">
        <v>1200</v>
      </c>
      <c r="K718" s="1165"/>
    </row>
    <row r="719" spans="1:11" ht="15">
      <c r="A719" s="1171" t="str">
        <f>Таблица301715[[#This Row],[Группа]]&amp;Таблица301715[[#This Row],[Номенклатура]]&amp;Таблица301715[[#This Row],[ЕИ]]</f>
        <v>МеталлопрокатТруба 34х3,5 ГОСТ 9941-81 ст 12Х18Н10Т (AISI 321)  (бесшовная холоднодеформированная) ГОСТ 9941-81м</v>
      </c>
      <c r="B719" s="1165" t="s">
        <v>68</v>
      </c>
      <c r="C719" s="1165"/>
      <c r="D719" s="1178" t="s">
        <v>1913</v>
      </c>
      <c r="E719" s="1178"/>
      <c r="F719" s="918" t="s">
        <v>163</v>
      </c>
      <c r="G719" s="1179"/>
      <c r="H719" s="897" t="s">
        <v>131</v>
      </c>
      <c r="I719" s="898"/>
      <c r="J719" s="899"/>
      <c r="K719" s="1165"/>
    </row>
    <row r="720" spans="1:11" ht="15">
      <c r="A720" s="1171" t="str">
        <f>Таблица301715[[#This Row],[Группа]]&amp;Таблица301715[[#This Row],[Номенклатура]]&amp;Таблица301715[[#This Row],[ЕИ]]</f>
        <v>МеталлопрокатТруба нержавеющая 38х2 AISI 304 (08Х18Н10)  ГОСТ 9941-81м</v>
      </c>
      <c r="B720" s="1165" t="s">
        <v>68</v>
      </c>
      <c r="C720" s="1165"/>
      <c r="D720" s="1178" t="s">
        <v>1454</v>
      </c>
      <c r="E720" s="1178"/>
      <c r="F720" s="918" t="s">
        <v>163</v>
      </c>
      <c r="G720" s="1179">
        <v>1000</v>
      </c>
      <c r="H720" s="897" t="s">
        <v>131</v>
      </c>
      <c r="I720" s="898"/>
      <c r="J720" s="899">
        <v>1000</v>
      </c>
      <c r="K720" s="1165"/>
    </row>
    <row r="721" spans="1:11" ht="15">
      <c r="A721" s="1171" t="str">
        <f>Таблица301715[[#This Row],[Группа]]&amp;Таблица301715[[#This Row],[Номенклатура]]&amp;Таблица301715[[#This Row],[ЕИ]]</f>
        <v>МеталлопрокатТруба 42х3,0 ГОСТ 9941-81 ст 12Х18Н10Т (AISI 321)  (бесшовная холоднодеформированная) ГОСТ 9941-81м</v>
      </c>
      <c r="B721" s="1165" t="s">
        <v>68</v>
      </c>
      <c r="C721" s="1165"/>
      <c r="D721" s="1178" t="s">
        <v>1912</v>
      </c>
      <c r="E721" s="1178"/>
      <c r="F721" s="918" t="s">
        <v>163</v>
      </c>
      <c r="G721" s="1179"/>
      <c r="H721" s="897" t="s">
        <v>131</v>
      </c>
      <c r="I721" s="898"/>
      <c r="J721" s="899"/>
      <c r="K721" s="1165"/>
    </row>
    <row r="722" spans="1:11" ht="15">
      <c r="A722" s="1171" t="str">
        <f>Таблица301715[[#This Row],[Группа]]&amp;Таблица301715[[#This Row],[Номенклатура]]&amp;Таблица301715[[#This Row],[ЕИ]]</f>
        <v>МеталлопрокатТруба 45х3,0 ГОСТ 9941-81 ст 12Х18Н10Т (AISI 321)  (бесшовная холоднодеформированная) ГОСТ 9941-81м</v>
      </c>
      <c r="B722" s="1165" t="s">
        <v>68</v>
      </c>
      <c r="C722" s="1165"/>
      <c r="D722" s="1178" t="s">
        <v>389</v>
      </c>
      <c r="E722" s="1178"/>
      <c r="F722" s="918" t="s">
        <v>163</v>
      </c>
      <c r="G722" s="1179">
        <v>3900</v>
      </c>
      <c r="H722" s="897" t="s">
        <v>131</v>
      </c>
      <c r="I722" s="898"/>
      <c r="J722" s="899">
        <v>3900</v>
      </c>
      <c r="K722" s="1165"/>
    </row>
    <row r="723" spans="1:11" ht="15">
      <c r="A723" s="1171" t="str">
        <f>Таблица301715[[#This Row],[Группа]]&amp;Таблица301715[[#This Row],[Номенклатура]]&amp;Таблица301715[[#This Row],[ЕИ]]</f>
        <v>МеталлопрокатТруба 48х3,0 ГОСТ 9941-81 ст 12Х18Н10Т (AISI 321)  (бесшовная холоднодеформированная) ГОСТ 9941-81м</v>
      </c>
      <c r="B723" s="1165" t="s">
        <v>68</v>
      </c>
      <c r="C723" s="1165"/>
      <c r="D723" s="1178" t="s">
        <v>1455</v>
      </c>
      <c r="E723" s="1178"/>
      <c r="F723" s="918" t="s">
        <v>163</v>
      </c>
      <c r="G723" s="1179">
        <v>3100</v>
      </c>
      <c r="H723" s="897" t="s">
        <v>131</v>
      </c>
      <c r="I723" s="898"/>
      <c r="J723" s="899">
        <v>3100</v>
      </c>
      <c r="K723" s="1165"/>
    </row>
    <row r="724" spans="1:11" ht="15">
      <c r="A724" s="1171" t="str">
        <f>Таблица301715[[#This Row],[Группа]]&amp;Таблица301715[[#This Row],[Номенклатура]]&amp;Таблица301715[[#This Row],[ЕИ]]</f>
        <v>МеталлопрокатТруба 48х5мм 12Х18Н10Т (AISI 304) ГОСТ 9941-81м</v>
      </c>
      <c r="B724" s="1165" t="s">
        <v>68</v>
      </c>
      <c r="C724" s="1165"/>
      <c r="D724" s="1178" t="s">
        <v>1456</v>
      </c>
      <c r="E724" s="1178"/>
      <c r="F724" s="918" t="s">
        <v>163</v>
      </c>
      <c r="G724" s="1179">
        <v>5837</v>
      </c>
      <c r="H724" s="897" t="s">
        <v>131</v>
      </c>
      <c r="I724" s="898"/>
      <c r="J724" s="899">
        <v>5837</v>
      </c>
      <c r="K724" s="1165"/>
    </row>
    <row r="725" spans="1:11" ht="15">
      <c r="A725" s="1171" t="str">
        <f>Таблица301715[[#This Row],[Группа]]&amp;Таблица301715[[#This Row],[Номенклатура]]&amp;Таблица301715[[#This Row],[ЕИ]]</f>
        <v>МеталлопрокатТруба 50х3мм 12Х18Н10Т (AISI 304) ГОСТ 9941-81м</v>
      </c>
      <c r="B725" s="1165" t="s">
        <v>68</v>
      </c>
      <c r="C725" s="1165"/>
      <c r="D725" s="1178" t="s">
        <v>1457</v>
      </c>
      <c r="E725" s="1178"/>
      <c r="F725" s="918" t="s">
        <v>163</v>
      </c>
      <c r="G725" s="1179">
        <v>1700</v>
      </c>
      <c r="H725" s="897" t="s">
        <v>131</v>
      </c>
      <c r="I725" s="898"/>
      <c r="J725" s="899">
        <v>1700</v>
      </c>
      <c r="K725" s="1165"/>
    </row>
    <row r="726" spans="1:11" ht="15">
      <c r="A726" s="1171" t="str">
        <f>Таблица301715[[#This Row],[Группа]]&amp;Таблица301715[[#This Row],[Номенклатура]]&amp;Таблица301715[[#This Row],[ЕИ]]</f>
        <v>МеталлопрокатТруба 50х4мм 12Х18Н10Т (AISI 304) ГОСТ 9941-81 м</v>
      </c>
      <c r="B726" s="1165" t="s">
        <v>68</v>
      </c>
      <c r="C726" s="1165"/>
      <c r="D726" s="1178" t="s">
        <v>1458</v>
      </c>
      <c r="E726" s="1178"/>
      <c r="F726" s="918" t="s">
        <v>163</v>
      </c>
      <c r="G726" s="1179">
        <v>1900</v>
      </c>
      <c r="H726" s="897" t="s">
        <v>131</v>
      </c>
      <c r="I726" s="898"/>
      <c r="J726" s="899">
        <v>1900</v>
      </c>
      <c r="K726" s="1165"/>
    </row>
    <row r="727" spans="1:11" ht="15">
      <c r="A727" s="1171" t="str">
        <f>Таблица301715[[#This Row],[Группа]]&amp;Таблица301715[[#This Row],[Номенклатура]]&amp;Таблица301715[[#This Row],[ЕИ]]</f>
        <v>МеталлопрокатТруба 54х2мм 12Х18Н10Т (AISI 304) ГОСТ 9941-81м</v>
      </c>
      <c r="B727" s="1165" t="s">
        <v>68</v>
      </c>
      <c r="C727" s="1165"/>
      <c r="D727" s="1178" t="s">
        <v>579</v>
      </c>
      <c r="E727" s="1178"/>
      <c r="F727" s="918" t="s">
        <v>163</v>
      </c>
      <c r="G727" s="1179">
        <v>1800</v>
      </c>
      <c r="H727" s="897" t="s">
        <v>131</v>
      </c>
      <c r="I727" s="898"/>
      <c r="J727" s="899">
        <v>1800</v>
      </c>
      <c r="K727" s="1165"/>
    </row>
    <row r="728" spans="1:11" ht="15">
      <c r="A728" s="1171" t="str">
        <f>Таблица301715[[#This Row],[Группа]]&amp;Таблица301715[[#This Row],[Номенклатура]]&amp;Таблица301715[[#This Row],[ЕИ]]</f>
        <v>МеталлопрокатТруба 57х3,5мм 12Х18Н10Т (AISI 304) ГОСТ 9941-81м</v>
      </c>
      <c r="B728" s="1165" t="s">
        <v>68</v>
      </c>
      <c r="C728" s="1165"/>
      <c r="D728" s="1178" t="s">
        <v>724</v>
      </c>
      <c r="E728" s="1178"/>
      <c r="F728" s="918" t="s">
        <v>163</v>
      </c>
      <c r="G728" s="1179">
        <v>2000</v>
      </c>
      <c r="H728" s="897" t="s">
        <v>131</v>
      </c>
      <c r="I728" s="898"/>
      <c r="J728" s="899">
        <v>2000</v>
      </c>
      <c r="K728" s="1165"/>
    </row>
    <row r="729" spans="1:11" ht="15">
      <c r="A729" s="1171" t="str">
        <f>Таблица301715[[#This Row],[Группа]]&amp;Таблица301715[[#This Row],[Номенклатура]]&amp;Таблица301715[[#This Row],[ЕИ]]</f>
        <v>МеталлопрокатТруба 60х3,0мм 12Х18Н10Т (AISI 304) ГОСТ 9941-81м</v>
      </c>
      <c r="B729" s="1165" t="s">
        <v>68</v>
      </c>
      <c r="C729" s="1165"/>
      <c r="D729" s="1178" t="s">
        <v>1459</v>
      </c>
      <c r="E729" s="1178"/>
      <c r="F729" s="918" t="s">
        <v>163</v>
      </c>
      <c r="G729" s="1179">
        <v>2150</v>
      </c>
      <c r="H729" s="897" t="s">
        <v>131</v>
      </c>
      <c r="I729" s="898"/>
      <c r="J729" s="899">
        <v>2150</v>
      </c>
      <c r="K729" s="1165"/>
    </row>
    <row r="730" spans="1:11" ht="15">
      <c r="A730" s="1171" t="str">
        <f>Таблица301715[[#This Row],[Группа]]&amp;Таблица301715[[#This Row],[Номенклатура]]&amp;Таблица301715[[#This Row],[ЕИ]]</f>
        <v>МеталлопрокатТруба 60х4,0мм 12Х18Н10Т (AISI 304) ГОСТ 9941-81м</v>
      </c>
      <c r="B730" s="1165" t="s">
        <v>68</v>
      </c>
      <c r="C730" s="1165"/>
      <c r="D730" s="1178" t="s">
        <v>1916</v>
      </c>
      <c r="E730" s="1178"/>
      <c r="F730" s="918" t="s">
        <v>163</v>
      </c>
      <c r="G730" s="1179"/>
      <c r="H730" s="897" t="s">
        <v>131</v>
      </c>
      <c r="I730" s="898"/>
      <c r="J730" s="899"/>
      <c r="K730" s="1165"/>
    </row>
    <row r="731" spans="1:11" ht="15">
      <c r="A731" s="1171" t="str">
        <f>Таблица301715[[#This Row],[Группа]]&amp;Таблица301715[[#This Row],[Номенклатура]]&amp;Таблица301715[[#This Row],[ЕИ]]</f>
        <v>МеталлопрокатТруба 76х1,5мм 12Х18Н10Т (AISI 304) ГОСТ 9941-81м</v>
      </c>
      <c r="B731" s="1165" t="s">
        <v>68</v>
      </c>
      <c r="C731" s="1165"/>
      <c r="D731" s="1178" t="s">
        <v>1460</v>
      </c>
      <c r="E731" s="1178"/>
      <c r="F731" s="918" t="s">
        <v>163</v>
      </c>
      <c r="G731" s="1179">
        <v>2200</v>
      </c>
      <c r="H731" s="897" t="s">
        <v>131</v>
      </c>
      <c r="I731" s="898"/>
      <c r="J731" s="899">
        <v>2200</v>
      </c>
      <c r="K731" s="1165"/>
    </row>
    <row r="732" spans="1:11" ht="15">
      <c r="A732" s="1171" t="str">
        <f>Таблица301715[[#This Row],[Группа]]&amp;Таблица301715[[#This Row],[Номенклатура]]&amp;Таблица301715[[#This Row],[ЕИ]]</f>
        <v>МеталлопрокатТруба 76х3,5мм 12Х18Н10Т (AISI 304) ГОСТ 9941-81м</v>
      </c>
      <c r="B732" s="1165" t="s">
        <v>68</v>
      </c>
      <c r="C732" s="1165"/>
      <c r="D732" s="1178" t="s">
        <v>1461</v>
      </c>
      <c r="E732" s="1178"/>
      <c r="F732" s="918" t="s">
        <v>163</v>
      </c>
      <c r="G732" s="1179">
        <v>2400</v>
      </c>
      <c r="H732" s="897" t="s">
        <v>131</v>
      </c>
      <c r="I732" s="898"/>
      <c r="J732" s="899">
        <v>2400</v>
      </c>
      <c r="K732" s="1165"/>
    </row>
    <row r="733" spans="1:11" ht="15">
      <c r="A733" s="1171" t="str">
        <f>Таблица301715[[#This Row],[Группа]]&amp;Таблица301715[[#This Row],[Номенклатура]]&amp;Таблица301715[[#This Row],[ЕИ]]</f>
        <v>МеталлопрокатТруба 76х4мм 12Х18Н10Т (AISI 304) ГОСТ 9941-81м</v>
      </c>
      <c r="B733" s="1165" t="s">
        <v>68</v>
      </c>
      <c r="C733" s="1165"/>
      <c r="D733" s="1178" t="s">
        <v>1462</v>
      </c>
      <c r="E733" s="1178"/>
      <c r="F733" s="918" t="s">
        <v>163</v>
      </c>
      <c r="G733" s="1179">
        <v>3200</v>
      </c>
      <c r="H733" s="897" t="s">
        <v>131</v>
      </c>
      <c r="I733" s="898"/>
      <c r="J733" s="899">
        <v>3200</v>
      </c>
      <c r="K733" s="1165"/>
    </row>
    <row r="734" spans="1:11" ht="15">
      <c r="A734" s="1171" t="str">
        <f>Таблица301715[[#This Row],[Группа]]&amp;Таблица301715[[#This Row],[Номенклатура]]&amp;Таблица301715[[#This Row],[ЕИ]]</f>
        <v>МеталлопрокатТруба 89х3,5мм 12Х18Н10Т (AISI 304) ГОСТ 9941-81м</v>
      </c>
      <c r="B734" s="1165" t="s">
        <v>68</v>
      </c>
      <c r="C734" s="1165"/>
      <c r="D734" s="1178" t="s">
        <v>1463</v>
      </c>
      <c r="E734" s="1178"/>
      <c r="F734" s="918" t="s">
        <v>163</v>
      </c>
      <c r="G734" s="1179">
        <v>3200</v>
      </c>
      <c r="H734" s="897" t="s">
        <v>131</v>
      </c>
      <c r="I734" s="898"/>
      <c r="J734" s="899">
        <v>3200</v>
      </c>
      <c r="K734" s="1165"/>
    </row>
    <row r="735" spans="1:11" ht="15">
      <c r="A735" s="1171" t="str">
        <f>Таблица301715[[#This Row],[Группа]]&amp;Таблица301715[[#This Row],[Номенклатура]]&amp;Таблица301715[[#This Row],[ЕИ]]</f>
        <v>МеталлопрокатТруба  89х4,5мм 12Х18Н10Т (AISI 304) ГОСТ 9941-81м</v>
      </c>
      <c r="B735" s="1165" t="s">
        <v>68</v>
      </c>
      <c r="C735" s="1165"/>
      <c r="D735" s="1178" t="s">
        <v>1464</v>
      </c>
      <c r="E735" s="1178"/>
      <c r="F735" s="918" t="s">
        <v>163</v>
      </c>
      <c r="G735" s="1179">
        <v>3500</v>
      </c>
      <c r="H735" s="897" t="s">
        <v>131</v>
      </c>
      <c r="I735" s="898"/>
      <c r="J735" s="899">
        <v>3500</v>
      </c>
      <c r="K735" s="1165"/>
    </row>
    <row r="736" spans="1:11" ht="15">
      <c r="A736" s="1171" t="str">
        <f>Таблица301715[[#This Row],[Группа]]&amp;Таблица301715[[#This Row],[Номенклатура]]&amp;Таблица301715[[#This Row],[ЕИ]]</f>
        <v>МеталлопрокатТруба 108х2 мм 12Х18Н10Т (AISI 304) ГОСТ 10704-91м</v>
      </c>
      <c r="B736" s="1165" t="s">
        <v>68</v>
      </c>
      <c r="C736" s="1165"/>
      <c r="D736" s="1178" t="s">
        <v>715</v>
      </c>
      <c r="E736" s="1178"/>
      <c r="F736" s="918" t="s">
        <v>163</v>
      </c>
      <c r="G736" s="1179"/>
      <c r="H736" s="897" t="s">
        <v>131</v>
      </c>
      <c r="I736" s="898"/>
      <c r="J736" s="899"/>
      <c r="K736" s="1165"/>
    </row>
    <row r="737" spans="1:11" ht="15">
      <c r="A737" s="1171" t="str">
        <f>Таблица301715[[#This Row],[Группа]]&amp;Таблица301715[[#This Row],[Номенклатура]]&amp;Таблица301715[[#This Row],[ЕИ]]</f>
        <v>МеталлопрокатТруба 108х4мм 12Х18Н10Т (AISI 304) ГОСТ 9941-81м</v>
      </c>
      <c r="B737" s="1165" t="s">
        <v>68</v>
      </c>
      <c r="C737" s="1165"/>
      <c r="D737" s="1178" t="s">
        <v>601</v>
      </c>
      <c r="E737" s="1178"/>
      <c r="F737" s="918" t="s">
        <v>163</v>
      </c>
      <c r="G737" s="1179">
        <v>3600</v>
      </c>
      <c r="H737" s="897" t="s">
        <v>131</v>
      </c>
      <c r="I737" s="898"/>
      <c r="J737" s="899">
        <v>3600</v>
      </c>
      <c r="K737" s="1165"/>
    </row>
    <row r="738" spans="1:11" ht="15">
      <c r="A738" s="1171" t="str">
        <f>Таблица301715[[#This Row],[Группа]]&amp;Таблица301715[[#This Row],[Номенклатура]]&amp;Таблица301715[[#This Row],[ЕИ]]</f>
        <v>МеталлопрокатТруба 108х5мм 12Х18Н10Т (AISI 304) ГОСТ 9941-81м</v>
      </c>
      <c r="B738" s="1165" t="s">
        <v>68</v>
      </c>
      <c r="C738" s="1165"/>
      <c r="D738" s="1178" t="s">
        <v>1465</v>
      </c>
      <c r="E738" s="1178"/>
      <c r="F738" s="918" t="s">
        <v>163</v>
      </c>
      <c r="G738" s="1179">
        <v>4100</v>
      </c>
      <c r="H738" s="897" t="s">
        <v>131</v>
      </c>
      <c r="I738" s="898"/>
      <c r="J738" s="899">
        <v>4100</v>
      </c>
      <c r="K738" s="1165"/>
    </row>
    <row r="739" spans="1:11" ht="15">
      <c r="A739" s="1171" t="str">
        <f>Таблица301715[[#This Row],[Группа]]&amp;Таблица301715[[#This Row],[Номенклатура]]&amp;Таблица301715[[#This Row],[ЕИ]]</f>
        <v>МеталлопрокатТруба 219х3мм 12Х18Н10Т ГОСТ 9941-81м</v>
      </c>
      <c r="B739" s="1165" t="s">
        <v>68</v>
      </c>
      <c r="C739" s="1165"/>
      <c r="D739" s="1178" t="s">
        <v>1466</v>
      </c>
      <c r="E739" s="1178"/>
      <c r="F739" s="918" t="s">
        <v>163</v>
      </c>
      <c r="G739" s="1179">
        <v>8000</v>
      </c>
      <c r="H739" s="897" t="s">
        <v>131</v>
      </c>
      <c r="I739" s="898"/>
      <c r="J739" s="899">
        <v>8000</v>
      </c>
      <c r="K739" s="1165"/>
    </row>
    <row r="740" spans="1:11" ht="15">
      <c r="A740" s="1171" t="str">
        <f>Таблица301715[[#This Row],[Группа]]&amp;Таблица301715[[#This Row],[Номенклатура]]&amp;Таблица301715[[#This Row],[ЕИ]]</f>
        <v>МеталлопрокатТруба 133х10мм 12Х18Н10Т (AISI 304) ГОСТ 9941-81м</v>
      </c>
      <c r="B740" s="1165" t="s">
        <v>68</v>
      </c>
      <c r="C740" s="1165"/>
      <c r="D740" s="1178" t="s">
        <v>1467</v>
      </c>
      <c r="E740" s="1178"/>
      <c r="F740" s="918" t="s">
        <v>163</v>
      </c>
      <c r="G740" s="1179">
        <v>22930</v>
      </c>
      <c r="H740" s="897" t="s">
        <v>131</v>
      </c>
      <c r="I740" s="898"/>
      <c r="J740" s="899">
        <v>22930</v>
      </c>
      <c r="K740" s="1165"/>
    </row>
    <row r="741" spans="1:11" ht="15">
      <c r="A741" s="1171" t="str">
        <f>Таблица301715[[#This Row],[Группа]]&amp;Таблица301715[[#This Row],[Номенклатура]]&amp;Таблица301715[[#This Row],[ЕИ]]</f>
        <v>МеталлопрокатТруба 152х8мм 12Х18Н10Т (AISI 304) ГОСТ 9941-81м</v>
      </c>
      <c r="B741" s="1165" t="s">
        <v>68</v>
      </c>
      <c r="C741" s="1165"/>
      <c r="D741" s="1178" t="s">
        <v>1468</v>
      </c>
      <c r="E741" s="1178"/>
      <c r="F741" s="918" t="s">
        <v>163</v>
      </c>
      <c r="G741" s="1179">
        <v>19220</v>
      </c>
      <c r="H741" s="897" t="s">
        <v>131</v>
      </c>
      <c r="I741" s="898"/>
      <c r="J741" s="899">
        <v>19220</v>
      </c>
      <c r="K741" s="1165"/>
    </row>
    <row r="742" spans="1:11" ht="15">
      <c r="A742" s="1171" t="str">
        <f>Таблица301715[[#This Row],[Группа]]&amp;Таблица301715[[#This Row],[Номенклатура]]&amp;Таблица301715[[#This Row],[ЕИ]]</f>
        <v>МеталлопрокатТруба 159х4,5мм 12Х18Н10Т (AISI 304) ГОСТ 9941-81м</v>
      </c>
      <c r="B742" s="1165" t="s">
        <v>68</v>
      </c>
      <c r="C742" s="1165"/>
      <c r="D742" s="1178" t="s">
        <v>1469</v>
      </c>
      <c r="E742" s="1178"/>
      <c r="F742" s="918" t="s">
        <v>163</v>
      </c>
      <c r="G742" s="1179">
        <v>9500</v>
      </c>
      <c r="H742" s="897" t="s">
        <v>131</v>
      </c>
      <c r="I742" s="898"/>
      <c r="J742" s="899">
        <v>9500</v>
      </c>
      <c r="K742" s="1165"/>
    </row>
    <row r="743" spans="1:11" ht="15">
      <c r="A743" s="1171" t="str">
        <f>Таблица301715[[#This Row],[Группа]]&amp;Таблица301715[[#This Row],[Номенклатура]]&amp;Таблица301715[[#This Row],[ЕИ]]</f>
        <v>МеталлопрокатТруба 159х3мм 12Х18Н10Т (AISI 304) ГОСТ 9941-81м</v>
      </c>
      <c r="B743" s="1165" t="s">
        <v>68</v>
      </c>
      <c r="C743" s="1165"/>
      <c r="D743" s="1178" t="s">
        <v>1470</v>
      </c>
      <c r="E743" s="1178"/>
      <c r="F743" s="918" t="s">
        <v>163</v>
      </c>
      <c r="G743" s="1179">
        <v>8500</v>
      </c>
      <c r="H743" s="897" t="s">
        <v>131</v>
      </c>
      <c r="I743" s="898"/>
      <c r="J743" s="899">
        <v>8500</v>
      </c>
      <c r="K743" s="1165"/>
    </row>
    <row r="744" spans="1:11" ht="15">
      <c r="A744" s="1171" t="str">
        <f>Таблица301715[[#This Row],[Группа]]&amp;Таблица301715[[#This Row],[Номенклатура]]&amp;Таблица301715[[#This Row],[ЕИ]]</f>
        <v>МеталлопрокатТруба 159х2 мм 12Х18Н10Т (AISI 304) ГОСТ 10704-91м</v>
      </c>
      <c r="B744" s="1165" t="s">
        <v>68</v>
      </c>
      <c r="C744" s="1165"/>
      <c r="D744" s="1178" t="s">
        <v>719</v>
      </c>
      <c r="E744" s="1178"/>
      <c r="F744" s="918" t="s">
        <v>163</v>
      </c>
      <c r="G744" s="1179"/>
      <c r="H744" s="897" t="s">
        <v>131</v>
      </c>
      <c r="I744" s="898"/>
      <c r="J744" s="899"/>
      <c r="K744" s="1165"/>
    </row>
    <row r="745" spans="1:11" ht="15">
      <c r="A745" s="1171" t="str">
        <f>Таблица301715[[#This Row],[Группа]]&amp;Таблица301715[[#This Row],[Номенклатура]]&amp;Таблица301715[[#This Row],[ЕИ]]</f>
        <v>МеталлопрокатТруба 168х10мм 12Х18Н10Т (AISI 304) ГОСТ 9941-81м</v>
      </c>
      <c r="B745" s="1165" t="s">
        <v>68</v>
      </c>
      <c r="C745" s="1165"/>
      <c r="D745" s="1178" t="s">
        <v>1471</v>
      </c>
      <c r="E745" s="1178"/>
      <c r="F745" s="918" t="s">
        <v>163</v>
      </c>
      <c r="G745" s="1179">
        <v>52200</v>
      </c>
      <c r="H745" s="897" t="s">
        <v>131</v>
      </c>
      <c r="I745" s="898"/>
      <c r="J745" s="899">
        <v>52200</v>
      </c>
      <c r="K745" s="1165"/>
    </row>
    <row r="746" spans="1:11" ht="15">
      <c r="A746" s="1171" t="str">
        <f>Таблица301715[[#This Row],[Группа]]&amp;Таблица301715[[#This Row],[Номенклатура]]&amp;Таблица301715[[#This Row],[ЕИ]]</f>
        <v>МеталлопрокатТруба 168х7,5мм 12Х18Н10Т (AISI 304) ГОСТ 9941-81м</v>
      </c>
      <c r="B746" s="1165" t="s">
        <v>68</v>
      </c>
      <c r="C746" s="1165"/>
      <c r="D746" s="1178" t="s">
        <v>1472</v>
      </c>
      <c r="E746" s="1178"/>
      <c r="F746" s="918" t="s">
        <v>163</v>
      </c>
      <c r="G746" s="1179">
        <v>31200</v>
      </c>
      <c r="H746" s="897" t="s">
        <v>131</v>
      </c>
      <c r="I746" s="898"/>
      <c r="J746" s="899">
        <v>31200</v>
      </c>
      <c r="K746" s="1165"/>
    </row>
    <row r="747" spans="1:11" ht="15">
      <c r="A747" s="1171" t="str">
        <f>Таблица301715[[#This Row],[Группа]]&amp;Таблица301715[[#This Row],[Номенклатура]]&amp;Таблица301715[[#This Row],[ЕИ]]</f>
        <v>МеталлопрокатТруба 219х5мм 12Х18Н10Т (AISI 304) ГОСТ 9941-81м</v>
      </c>
      <c r="B747" s="1165" t="s">
        <v>68</v>
      </c>
      <c r="C747" s="1165"/>
      <c r="D747" s="1178" t="s">
        <v>1473</v>
      </c>
      <c r="E747" s="1178"/>
      <c r="F747" s="918" t="s">
        <v>163</v>
      </c>
      <c r="G747" s="1179">
        <v>31500</v>
      </c>
      <c r="H747" s="897" t="s">
        <v>131</v>
      </c>
      <c r="I747" s="898"/>
      <c r="J747" s="899">
        <v>31500</v>
      </c>
      <c r="K747" s="1165"/>
    </row>
    <row r="748" spans="1:11" ht="15">
      <c r="A748" s="1171" t="str">
        <f>Таблица301715[[#This Row],[Группа]]&amp;Таблица301715[[#This Row],[Номенклатура]]&amp;Таблица301715[[#This Row],[ЕИ]]</f>
        <v>МеталлопрокатТруба 219х6мм 12Х18Н10Т (AISI 304) ГОСТ 9941-81м</v>
      </c>
      <c r="B748" s="1165" t="s">
        <v>68</v>
      </c>
      <c r="C748" s="1165"/>
      <c r="D748" s="1178" t="s">
        <v>1474</v>
      </c>
      <c r="E748" s="1178"/>
      <c r="F748" s="918" t="s">
        <v>163</v>
      </c>
      <c r="G748" s="1179">
        <v>36200</v>
      </c>
      <c r="H748" s="897" t="s">
        <v>131</v>
      </c>
      <c r="I748" s="898"/>
      <c r="J748" s="899">
        <v>36200</v>
      </c>
      <c r="K748" s="1165"/>
    </row>
    <row r="749" spans="1:11" ht="15">
      <c r="A749" s="1171" t="str">
        <f>Таблица301715[[#This Row],[Группа]]&amp;Таблица301715[[#This Row],[Номенклатура]]&amp;Таблица301715[[#This Row],[ЕИ]]</f>
        <v>МеталлопрокатТруба 273х6,5- Ст.10 ГОСТ 8732-78м</v>
      </c>
      <c r="B749" s="1165" t="s">
        <v>68</v>
      </c>
      <c r="C749" s="1165"/>
      <c r="D749" s="1178" t="s">
        <v>1475</v>
      </c>
      <c r="E749" s="1178"/>
      <c r="F749" s="918" t="s">
        <v>163</v>
      </c>
      <c r="G749" s="1179">
        <v>8950</v>
      </c>
      <c r="H749" s="897" t="s">
        <v>131</v>
      </c>
      <c r="I749" s="898"/>
      <c r="J749" s="899">
        <v>8950</v>
      </c>
      <c r="K749" s="1165"/>
    </row>
    <row r="750" spans="1:11" ht="15">
      <c r="A750" s="1171" t="str">
        <f>Таблица301715[[#This Row],[Группа]]&amp;Таблица301715[[#This Row],[Номенклатура]]&amp;Таблица301715[[#This Row],[ЕИ]]</f>
        <v>МеталлопрокатТруба 273х6,0 12Х18Н10Т (AISI 304) ГОСТ 9941-81м</v>
      </c>
      <c r="B750" s="1165" t="s">
        <v>68</v>
      </c>
      <c r="C750" s="1165"/>
      <c r="D750" s="1178" t="s">
        <v>1476</v>
      </c>
      <c r="E750" s="1178"/>
      <c r="F750" s="918" t="s">
        <v>163</v>
      </c>
      <c r="G750" s="1179">
        <v>44250</v>
      </c>
      <c r="H750" s="897" t="s">
        <v>131</v>
      </c>
      <c r="I750" s="898"/>
      <c r="J750" s="899">
        <v>44250</v>
      </c>
      <c r="K750" s="1165"/>
    </row>
    <row r="751" spans="1:11" ht="15">
      <c r="A751" s="1171" t="str">
        <f>Таблица301715[[#This Row],[Группа]]&amp;Таблица301715[[#This Row],[Номенклатура]]&amp;Таблица301715[[#This Row],[ЕИ]]</f>
        <v>МеталлопрокатТруба 325х5,0мм 12Х18Н10Т (AISI 304) ГОСТ 9941-81м</v>
      </c>
      <c r="B751" s="1165" t="s">
        <v>68</v>
      </c>
      <c r="C751" s="1165"/>
      <c r="D751" s="1178" t="s">
        <v>1477</v>
      </c>
      <c r="E751" s="1178"/>
      <c r="F751" s="918" t="s">
        <v>163</v>
      </c>
      <c r="G751" s="1179">
        <v>43700</v>
      </c>
      <c r="H751" s="897" t="s">
        <v>131</v>
      </c>
      <c r="I751" s="898"/>
      <c r="J751" s="899">
        <v>43700</v>
      </c>
      <c r="K751" s="1165"/>
    </row>
    <row r="752" spans="1:11" ht="15">
      <c r="A752" s="1171" t="str">
        <f>Таблица301715[[#This Row],[Группа]]&amp;Таблица301715[[#This Row],[Номенклатура]]&amp;Таблица301715[[#This Row],[ЕИ]]</f>
        <v>МеталлопрокатТруба 530х8,0 12Х18Н10Т (AISI 304) ГОСТ 9941-81м</v>
      </c>
      <c r="B752" s="1165" t="s">
        <v>68</v>
      </c>
      <c r="C752" s="1165"/>
      <c r="D752" s="1178" t="s">
        <v>1478</v>
      </c>
      <c r="E752" s="1178"/>
      <c r="F752" s="918" t="s">
        <v>163</v>
      </c>
      <c r="G752" s="1179">
        <v>115000</v>
      </c>
      <c r="H752" s="897" t="s">
        <v>131</v>
      </c>
      <c r="I752" s="898"/>
      <c r="J752" s="899">
        <v>115000</v>
      </c>
      <c r="K752" s="1165"/>
    </row>
    <row r="753" spans="1:11" ht="15">
      <c r="A753" s="1171" t="str">
        <f>Таблица301715[[#This Row],[Группа]]&amp;Таблица301715[[#This Row],[Номенклатура]]&amp;Таблица301715[[#This Row],[ЕИ]]</f>
        <v>МеталлопрокатТруба 630х8,0 12Х18Н10Т (AISI 304) ГОСТ 9941-81м</v>
      </c>
      <c r="B753" s="1165" t="s">
        <v>68</v>
      </c>
      <c r="C753" s="1165"/>
      <c r="D753" s="1178" t="s">
        <v>1479</v>
      </c>
      <c r="E753" s="1178"/>
      <c r="F753" s="918" t="s">
        <v>163</v>
      </c>
      <c r="G753" s="1179">
        <v>106230</v>
      </c>
      <c r="H753" s="897" t="s">
        <v>131</v>
      </c>
      <c r="I753" s="898"/>
      <c r="J753" s="899">
        <v>106230</v>
      </c>
      <c r="K753" s="1165"/>
    </row>
    <row r="754" spans="1:11" ht="15">
      <c r="A754" s="1171" t="str">
        <f>Таблица301715[[#This Row],[Группа]]&amp;Таблица301715[[#This Row],[Номенклатура]]&amp;Таблица301715[[#This Row],[ЕИ]]</f>
        <v>МеталлопрокатТруба 40х40х4мм 12Х18Н10Т (AISI304) ГОСТ 8639-82м</v>
      </c>
      <c r="B754" s="1165" t="s">
        <v>68</v>
      </c>
      <c r="C754" s="1165"/>
      <c r="D754" s="1178" t="s">
        <v>1480</v>
      </c>
      <c r="E754" s="1178"/>
      <c r="F754" s="918" t="s">
        <v>163</v>
      </c>
      <c r="G754" s="1179">
        <v>3725</v>
      </c>
      <c r="H754" s="897" t="s">
        <v>131</v>
      </c>
      <c r="I754" s="898"/>
      <c r="J754" s="899">
        <v>3725</v>
      </c>
      <c r="K754" s="1165"/>
    </row>
    <row r="755" spans="1:11" ht="15">
      <c r="A755" s="1171" t="str">
        <f>Таблица301715[[#This Row],[Группа]]&amp;Таблица301715[[#This Row],[Номенклатура]]&amp;Таблица301715[[#This Row],[ЕИ]]</f>
        <v>МеталлопрокатТруба 40х40х3мм 12Х18Н10Т (AISI304) ГОСТ 8639-82 м</v>
      </c>
      <c r="B755" s="1165" t="s">
        <v>68</v>
      </c>
      <c r="C755" s="1165"/>
      <c r="D755" s="1178" t="s">
        <v>1481</v>
      </c>
      <c r="E755" s="1178"/>
      <c r="F755" s="918" t="s">
        <v>163</v>
      </c>
      <c r="G755" s="1179">
        <v>2250</v>
      </c>
      <c r="H755" s="897" t="s">
        <v>131</v>
      </c>
      <c r="I755" s="898"/>
      <c r="J755" s="899">
        <v>2250</v>
      </c>
      <c r="K755" s="1165"/>
    </row>
    <row r="756" spans="1:11" ht="15">
      <c r="A756" s="1171" t="str">
        <f>Таблица301715[[#This Row],[Группа]]&amp;Таблица301715[[#This Row],[Номенклатура]]&amp;Таблица301715[[#This Row],[ЕИ]]</f>
        <v>МеталлопрокатТруба 40х20х2мм 12Х18Н10Т (AISI304) ГОСТ 8639-82м</v>
      </c>
      <c r="B756" s="1165" t="s">
        <v>68</v>
      </c>
      <c r="C756" s="1165"/>
      <c r="D756" s="1178" t="s">
        <v>1482</v>
      </c>
      <c r="E756" s="1178"/>
      <c r="F756" s="918" t="s">
        <v>163</v>
      </c>
      <c r="G756" s="1179">
        <v>2025</v>
      </c>
      <c r="H756" s="897" t="s">
        <v>131</v>
      </c>
      <c r="I756" s="898"/>
      <c r="J756" s="899">
        <v>2025</v>
      </c>
      <c r="K756" s="1165"/>
    </row>
    <row r="757" spans="1:11" ht="15">
      <c r="A757" s="1171" t="str">
        <f>Таблица301715[[#This Row],[Группа]]&amp;Таблица301715[[#This Row],[Номенклатура]]&amp;Таблица301715[[#This Row],[ЕИ]]</f>
        <v>МеталлопрокатТруба 50х50х3мм Ст.3 ГОСТ13663-86 ГОСТ 8639-82 м</v>
      </c>
      <c r="B757" s="1165" t="s">
        <v>68</v>
      </c>
      <c r="C757" s="1165"/>
      <c r="D757" s="1178" t="s">
        <v>1483</v>
      </c>
      <c r="E757" s="1178"/>
      <c r="F757" s="918" t="s">
        <v>163</v>
      </c>
      <c r="G757" s="1179">
        <v>1450</v>
      </c>
      <c r="H757" s="897" t="s">
        <v>131</v>
      </c>
      <c r="I757" s="898"/>
      <c r="J757" s="899">
        <v>1450</v>
      </c>
      <c r="K757" s="1165"/>
    </row>
    <row r="758" spans="1:11" ht="15">
      <c r="A758" s="1171" t="str">
        <f>Таблица301715[[#This Row],[Группа]]&amp;Таблица301715[[#This Row],[Номенклатура]]&amp;Таблица301715[[#This Row],[ЕИ]]</f>
        <v>МеталлопрокатТруба 50х50х4мм 08х18н10 ГОСТ 8639-82 м</v>
      </c>
      <c r="B758" s="1165" t="s">
        <v>68</v>
      </c>
      <c r="C758" s="1165"/>
      <c r="D758" s="1178" t="s">
        <v>1484</v>
      </c>
      <c r="E758" s="1178"/>
      <c r="F758" s="918" t="s">
        <v>163</v>
      </c>
      <c r="G758" s="1179">
        <v>2820</v>
      </c>
      <c r="H758" s="897" t="s">
        <v>131</v>
      </c>
      <c r="I758" s="898"/>
      <c r="J758" s="899">
        <v>2820</v>
      </c>
      <c r="K758" s="1165"/>
    </row>
    <row r="759" spans="1:11" ht="15">
      <c r="A759" s="1171" t="str">
        <f>Таблица301715[[#This Row],[Группа]]&amp;Таблица301715[[#This Row],[Номенклатура]]&amp;Таблица301715[[#This Row],[ЕИ]]</f>
        <v>МеталлопрокатТруба 60х60х3мм Ст.3 ГОСТ 8639-82 м</v>
      </c>
      <c r="B759" s="1165" t="s">
        <v>68</v>
      </c>
      <c r="C759" s="1165"/>
      <c r="D759" s="1178" t="s">
        <v>1485</v>
      </c>
      <c r="E759" s="1178"/>
      <c r="F759" s="918" t="s">
        <v>163</v>
      </c>
      <c r="G759" s="1179">
        <v>1720</v>
      </c>
      <c r="H759" s="897" t="s">
        <v>131</v>
      </c>
      <c r="I759" s="898"/>
      <c r="J759" s="899">
        <v>1720</v>
      </c>
      <c r="K759" s="1165"/>
    </row>
    <row r="760" spans="1:11" ht="15">
      <c r="A760" s="1171" t="str">
        <f>Таблица301715[[#This Row],[Группа]]&amp;Таблица301715[[#This Row],[Номенклатура]]&amp;Таблица301715[[#This Row],[ЕИ]]</f>
        <v>МеталлопрокатТруба 60х30х2мм 12Х18Н10Т ГОСТ 8639-82м</v>
      </c>
      <c r="B760" s="1165" t="s">
        <v>68</v>
      </c>
      <c r="C760" s="1165"/>
      <c r="D760" s="1178" t="s">
        <v>686</v>
      </c>
      <c r="E760" s="1178"/>
      <c r="F760" s="918" t="s">
        <v>163</v>
      </c>
      <c r="G760" s="1179">
        <v>2000</v>
      </c>
      <c r="H760" s="897" t="s">
        <v>131</v>
      </c>
      <c r="I760" s="898"/>
      <c r="J760" s="899">
        <v>2000</v>
      </c>
      <c r="K760" s="1165"/>
    </row>
    <row r="761" spans="1:11" ht="15">
      <c r="A761" s="1171" t="str">
        <f>Таблица301715[[#This Row],[Группа]]&amp;Таблица301715[[#This Row],[Номенклатура]]&amp;Таблица301715[[#This Row],[ЕИ]]</f>
        <v>МеталлопрокатТруба 80х80х4мм 12Х18Н10Т (AISI304) ГОСТ 8639-82м</v>
      </c>
      <c r="B761" s="1165" t="s">
        <v>68</v>
      </c>
      <c r="C761" s="1165"/>
      <c r="D761" s="1178" t="s">
        <v>1486</v>
      </c>
      <c r="E761" s="1178"/>
      <c r="F761" s="918" t="s">
        <v>163</v>
      </c>
      <c r="G761" s="1179">
        <v>7625</v>
      </c>
      <c r="H761" s="897" t="s">
        <v>131</v>
      </c>
      <c r="I761" s="898"/>
      <c r="J761" s="899">
        <v>7625</v>
      </c>
      <c r="K761" s="1165"/>
    </row>
    <row r="762" spans="1:11" ht="15">
      <c r="A762" s="1171" t="str">
        <f>Таблица301715[[#This Row],[Группа]]&amp;Таблица301715[[#This Row],[Номенклатура]]&amp;Таблица301715[[#This Row],[ЕИ]]</f>
        <v>МеталлопрокатТруба 80х80х6мм 12Х18Н10Т (AISI304) ГОСТ 8639-82м</v>
      </c>
      <c r="B762" s="1165" t="s">
        <v>68</v>
      </c>
      <c r="C762" s="1165"/>
      <c r="D762" s="1178" t="s">
        <v>1487</v>
      </c>
      <c r="E762" s="1178"/>
      <c r="F762" s="918" t="s">
        <v>163</v>
      </c>
      <c r="G762" s="1179">
        <v>9818</v>
      </c>
      <c r="H762" s="897" t="s">
        <v>131</v>
      </c>
      <c r="I762" s="898"/>
      <c r="J762" s="899">
        <v>9818</v>
      </c>
      <c r="K762" s="1165"/>
    </row>
    <row r="763" spans="1:11" ht="15">
      <c r="A763" s="1171" t="str">
        <f>Таблица301715[[#This Row],[Группа]]&amp;Таблица301715[[#This Row],[Номенклатура]]&amp;Таблица301715[[#This Row],[ЕИ]]</f>
        <v>МеталлопрокатТруба 100х50х2мм 08Х18Н10 (AISI304) ГОСТ 8645-68 м</v>
      </c>
      <c r="B763" s="1165" t="s">
        <v>68</v>
      </c>
      <c r="C763" s="1165"/>
      <c r="D763" s="1178" t="s">
        <v>419</v>
      </c>
      <c r="E763" s="1178"/>
      <c r="F763" s="918" t="s">
        <v>163</v>
      </c>
      <c r="G763" s="1179">
        <v>4750</v>
      </c>
      <c r="H763" s="897" t="s">
        <v>131</v>
      </c>
      <c r="I763" s="898"/>
      <c r="J763" s="899">
        <v>4750</v>
      </c>
      <c r="K763" s="1165"/>
    </row>
    <row r="764" spans="1:11" ht="15">
      <c r="A764" s="1171" t="str">
        <f>Таблица301715[[#This Row],[Группа]]&amp;Таблица301715[[#This Row],[Номенклатура]]&amp;Таблица301715[[#This Row],[ЕИ]]</f>
        <v>МеталлопрокатТруба 100х50х3мм 08Х18Н10 (AISI304) ГОСТ 8645-68 м</v>
      </c>
      <c r="B764" s="1165" t="s">
        <v>68</v>
      </c>
      <c r="C764" s="1165"/>
      <c r="D764" s="1178" t="s">
        <v>1488</v>
      </c>
      <c r="E764" s="1178"/>
      <c r="F764" s="918" t="s">
        <v>163</v>
      </c>
      <c r="G764" s="1179">
        <v>5125</v>
      </c>
      <c r="H764" s="897" t="s">
        <v>131</v>
      </c>
      <c r="I764" s="898"/>
      <c r="J764" s="899">
        <v>5125</v>
      </c>
      <c r="K764" s="1165"/>
    </row>
    <row r="765" spans="1:11" ht="15">
      <c r="A765" s="1171" t="str">
        <f>Таблица301715[[#This Row],[Группа]]&amp;Таблица301715[[#This Row],[Номенклатура]]&amp;Таблица301715[[#This Row],[ЕИ]]</f>
        <v>МеталлопрокатТруба 100х50х4мм 08Х18Н10 (AISI304) ГОСТ 8645-68 м</v>
      </c>
      <c r="B765" s="1165" t="s">
        <v>68</v>
      </c>
      <c r="C765" s="1165"/>
      <c r="D765" s="1178" t="s">
        <v>1489</v>
      </c>
      <c r="E765" s="1178"/>
      <c r="F765" s="918" t="s">
        <v>163</v>
      </c>
      <c r="G765" s="1179">
        <v>6500</v>
      </c>
      <c r="H765" s="897" t="s">
        <v>131</v>
      </c>
      <c r="I765" s="898"/>
      <c r="J765" s="899">
        <v>6500</v>
      </c>
      <c r="K765" s="1165"/>
    </row>
    <row r="766" spans="1:11" ht="15">
      <c r="A766" s="1171" t="str">
        <f>Таблица301715[[#This Row],[Группа]]&amp;Таблица301715[[#This Row],[Номенклатура]]&amp;Таблица301715[[#This Row],[ЕИ]]</f>
        <v>МеталлопрокатТруба 100х100х3мм 12Х18Н10Т (AISI304) ГОСТ 8639-82 м</v>
      </c>
      <c r="B766" s="1165" t="s">
        <v>68</v>
      </c>
      <c r="C766" s="1165"/>
      <c r="D766" s="1178" t="s">
        <v>1490</v>
      </c>
      <c r="E766" s="1178"/>
      <c r="F766" s="918" t="s">
        <v>163</v>
      </c>
      <c r="G766" s="1179">
        <v>7000</v>
      </c>
      <c r="H766" s="897" t="s">
        <v>131</v>
      </c>
      <c r="I766" s="898"/>
      <c r="J766" s="899">
        <v>7000</v>
      </c>
      <c r="K766" s="1165"/>
    </row>
    <row r="767" spans="1:11" ht="15">
      <c r="A767" s="1171" t="str">
        <f>Таблица301715[[#This Row],[Группа]]&amp;Таблица301715[[#This Row],[Номенклатура]]&amp;Таблица301715[[#This Row],[ЕИ]]</f>
        <v>МеталлопрокатТруба 100х100х8 12Х18Н10Т (AISI304) ГОСТ 8639-82м</v>
      </c>
      <c r="B767" s="1165" t="s">
        <v>68</v>
      </c>
      <c r="C767" s="1165"/>
      <c r="D767" s="1178" t="s">
        <v>1491</v>
      </c>
      <c r="E767" s="1178"/>
      <c r="F767" s="918" t="s">
        <v>163</v>
      </c>
      <c r="G767" s="1179">
        <v>21000</v>
      </c>
      <c r="H767" s="897" t="s">
        <v>131</v>
      </c>
      <c r="I767" s="898"/>
      <c r="J767" s="899">
        <v>21000</v>
      </c>
      <c r="K767" s="1165"/>
    </row>
    <row r="768" spans="1:11" ht="15">
      <c r="A768" s="1171" t="str">
        <f>Таблица301715[[#This Row],[Группа]]&amp;Таблица301715[[#This Row],[Номенклатура]]&amp;Таблица301715[[#This Row],[ЕИ]]</f>
        <v>МеталлопрокатТруба 120х120х8 12Х18Н10Т (AISI304) ГОСТ 8639-82м</v>
      </c>
      <c r="B768" s="1165" t="s">
        <v>68</v>
      </c>
      <c r="C768" s="1165"/>
      <c r="D768" s="1178" t="s">
        <v>1492</v>
      </c>
      <c r="E768" s="1178"/>
      <c r="F768" s="918" t="s">
        <v>163</v>
      </c>
      <c r="G768" s="1179">
        <v>26250</v>
      </c>
      <c r="H768" s="897" t="s">
        <v>131</v>
      </c>
      <c r="I768" s="898"/>
      <c r="J768" s="899">
        <v>26250</v>
      </c>
      <c r="K768" s="1165"/>
    </row>
    <row r="769" spans="1:11" ht="15">
      <c r="A769" s="1171" t="str">
        <f>Таблица301715[[#This Row],[Группа]]&amp;Таблица301715[[#This Row],[Номенклатура]]&amp;Таблица301715[[#This Row],[ЕИ]]</f>
        <v>МеталлопрокатУголок 20х20х1,5мм 08Х18Н10Т(AISI304) ГОСТ 8509-93м</v>
      </c>
      <c r="B769" s="1165" t="s">
        <v>68</v>
      </c>
      <c r="C769" s="1165"/>
      <c r="D769" s="1178" t="s">
        <v>387</v>
      </c>
      <c r="E769" s="1178"/>
      <c r="F769" s="918" t="s">
        <v>163</v>
      </c>
      <c r="G769" s="1179">
        <v>850</v>
      </c>
      <c r="H769" s="897" t="s">
        <v>131</v>
      </c>
      <c r="I769" s="898"/>
      <c r="J769" s="899">
        <v>850</v>
      </c>
      <c r="K769" s="1165"/>
    </row>
    <row r="770" spans="1:11" ht="15">
      <c r="A770" s="1171" t="str">
        <f>Таблица301715[[#This Row],[Группа]]&amp;Таблица301715[[#This Row],[Номенклатура]]&amp;Таблица301715[[#This Row],[ЕИ]]</f>
        <v>МеталлопрокатУголок 20х20х3мм 12Х18Н10Т (AISI304) ГОСТ 8509-93м</v>
      </c>
      <c r="B770" s="1165" t="s">
        <v>68</v>
      </c>
      <c r="C770" s="1165"/>
      <c r="D770" s="1178" t="s">
        <v>687</v>
      </c>
      <c r="E770" s="1178"/>
      <c r="F770" s="918" t="s">
        <v>163</v>
      </c>
      <c r="G770" s="1179">
        <v>910</v>
      </c>
      <c r="H770" s="1184" t="s">
        <v>131</v>
      </c>
      <c r="I770" s="898"/>
      <c r="J770" s="899">
        <v>910</v>
      </c>
      <c r="K770" s="1165"/>
    </row>
    <row r="771" spans="1:11" ht="15">
      <c r="A771" s="1171" t="str">
        <f>Таблица301715[[#This Row],[Группа]]&amp;Таблица301715[[#This Row],[Номенклатура]]&amp;Таблица301715[[#This Row],[ЕИ]]</f>
        <v>МеталлопрокатУголок 40х40х3мм 08Х18Н10Т(AISI304) ГОСТ 8509-93м</v>
      </c>
      <c r="B771" s="1165" t="s">
        <v>68</v>
      </c>
      <c r="C771" s="1165"/>
      <c r="D771" s="1178" t="s">
        <v>402</v>
      </c>
      <c r="E771" s="1178"/>
      <c r="F771" s="918" t="s">
        <v>163</v>
      </c>
      <c r="G771" s="1179">
        <v>1000</v>
      </c>
      <c r="H771" s="1184" t="s">
        <v>131</v>
      </c>
      <c r="I771" s="898"/>
      <c r="J771" s="899">
        <v>1000</v>
      </c>
      <c r="K771" s="1165"/>
    </row>
    <row r="772" spans="1:11" ht="15">
      <c r="A772" s="1171" t="str">
        <f>Таблица301715[[#This Row],[Группа]]&amp;Таблица301715[[#This Row],[Номенклатура]]&amp;Таблица301715[[#This Row],[ЕИ]]</f>
        <v>МеталлопрокатУголок 40х40х4мм 08Х18Н10Т(AISI304) ГОСТ 8509-93м</v>
      </c>
      <c r="B772" s="1165" t="s">
        <v>68</v>
      </c>
      <c r="C772" s="1165"/>
      <c r="D772" s="1178" t="s">
        <v>1493</v>
      </c>
      <c r="E772" s="1178"/>
      <c r="F772" s="918" t="s">
        <v>163</v>
      </c>
      <c r="G772" s="1179">
        <v>1100</v>
      </c>
      <c r="H772" s="1184" t="s">
        <v>131</v>
      </c>
      <c r="I772" s="898"/>
      <c r="J772" s="899">
        <v>1100</v>
      </c>
      <c r="K772" s="1165"/>
    </row>
    <row r="773" spans="1:11" ht="15">
      <c r="A773" s="1171" t="str">
        <f>Таблица301715[[#This Row],[Группа]]&amp;Таблица301715[[#This Row],[Номенклатура]]&amp;Таблица301715[[#This Row],[ЕИ]]</f>
        <v>МеталлопрокатУголок 50х50х5мм 12Х18Н10Т (AISI304) ГОСТ 8509-93м</v>
      </c>
      <c r="B773" s="1165" t="s">
        <v>68</v>
      </c>
      <c r="C773" s="1165"/>
      <c r="D773" s="1178" t="s">
        <v>361</v>
      </c>
      <c r="E773" s="1178"/>
      <c r="F773" s="918" t="s">
        <v>163</v>
      </c>
      <c r="G773" s="1179">
        <v>1500</v>
      </c>
      <c r="H773" s="1184" t="s">
        <v>131</v>
      </c>
      <c r="I773" s="898"/>
      <c r="J773" s="899">
        <v>1500</v>
      </c>
      <c r="K773" s="1165"/>
    </row>
    <row r="774" spans="1:11" ht="15">
      <c r="A774" s="1171" t="str">
        <f>Таблица301715[[#This Row],[Группа]]&amp;Таблица301715[[#This Row],[Номенклатура]]&amp;Таблица301715[[#This Row],[ЕИ]]</f>
        <v>МеталлопрокатУголок 60х60х5мм 12Х18Н10Т (AISI304) ГОСТ 8509-93м</v>
      </c>
      <c r="B774" s="1165" t="s">
        <v>68</v>
      </c>
      <c r="C774" s="1165"/>
      <c r="D774" s="1178" t="s">
        <v>1494</v>
      </c>
      <c r="E774" s="1178"/>
      <c r="F774" s="918" t="s">
        <v>163</v>
      </c>
      <c r="G774" s="1179">
        <v>1800</v>
      </c>
      <c r="H774" s="1184" t="s">
        <v>131</v>
      </c>
      <c r="I774" s="898"/>
      <c r="J774" s="899">
        <v>1800</v>
      </c>
      <c r="K774" s="1165"/>
    </row>
    <row r="775" spans="1:11" ht="15">
      <c r="A775" s="1171" t="str">
        <f>Таблица301715[[#This Row],[Группа]]&amp;Таблица301715[[#This Row],[Номенклатура]]&amp;Таблица301715[[#This Row],[ЕИ]]</f>
        <v>МеталлопрокатУголок 63х63х6мм ст3пс ГОСТ8509-93м</v>
      </c>
      <c r="B775" s="1165" t="s">
        <v>68</v>
      </c>
      <c r="C775" s="1165"/>
      <c r="D775" s="1178" t="s">
        <v>582</v>
      </c>
      <c r="E775" s="1178"/>
      <c r="F775" s="918" t="s">
        <v>163</v>
      </c>
      <c r="G775" s="1179">
        <v>1890</v>
      </c>
      <c r="H775" s="1184" t="s">
        <v>131</v>
      </c>
      <c r="I775" s="898"/>
      <c r="J775" s="899">
        <v>1890</v>
      </c>
      <c r="K775" s="1165"/>
    </row>
    <row r="776" spans="1:11" ht="15">
      <c r="A776" s="1171" t="str">
        <f>Таблица301715[[#This Row],[Группа]]&amp;Таблица301715[[#This Row],[Номенклатура]]&amp;Таблица301715[[#This Row],[ЕИ]]</f>
        <v>МеталлопрокатУголок 60х60х6мм 12Х18Н10Т (AISI304) ГОСТ 8509-93м</v>
      </c>
      <c r="B776" s="1165" t="s">
        <v>68</v>
      </c>
      <c r="C776" s="1165"/>
      <c r="D776" s="1178" t="s">
        <v>1495</v>
      </c>
      <c r="E776" s="1178"/>
      <c r="F776" s="918" t="s">
        <v>163</v>
      </c>
      <c r="G776" s="1179">
        <v>3100</v>
      </c>
      <c r="H776" s="1184" t="s">
        <v>131</v>
      </c>
      <c r="I776" s="898"/>
      <c r="J776" s="899">
        <v>3100</v>
      </c>
      <c r="K776" s="1165"/>
    </row>
    <row r="777" spans="1:11" ht="15">
      <c r="A777" s="1171" t="str">
        <f>Таблица301715[[#This Row],[Группа]]&amp;Таблица301715[[#This Row],[Номенклатура]]&amp;Таблица301715[[#This Row],[ЕИ]]</f>
        <v>МеталлопрокатУголок 63х63х5 ст3пс ГОСТ8509-93м</v>
      </c>
      <c r="B777" s="1165" t="s">
        <v>68</v>
      </c>
      <c r="C777" s="1165"/>
      <c r="D777" s="1178" t="s">
        <v>1496</v>
      </c>
      <c r="E777" s="1178"/>
      <c r="F777" s="918" t="s">
        <v>163</v>
      </c>
      <c r="G777" s="1179">
        <v>2100</v>
      </c>
      <c r="H777" s="1184" t="s">
        <v>131</v>
      </c>
      <c r="I777" s="898"/>
      <c r="J777" s="899">
        <v>2100</v>
      </c>
      <c r="K777" s="1165"/>
    </row>
    <row r="778" spans="1:11" ht="15">
      <c r="A778" s="1171" t="str">
        <f>Таблица301715[[#This Row],[Группа]]&amp;Таблица301715[[#This Row],[Номенклатура]]&amp;Таблица301715[[#This Row],[ЕИ]]</f>
        <v>МеталлопрокатУголок 70х70х4,5мм 08Х18Н10Т(AISI304) ГОСТ 8509-93м</v>
      </c>
      <c r="B778" s="1165" t="s">
        <v>68</v>
      </c>
      <c r="C778" s="1165"/>
      <c r="D778" s="1178" t="s">
        <v>1497</v>
      </c>
      <c r="E778" s="1178"/>
      <c r="F778" s="918" t="s">
        <v>163</v>
      </c>
      <c r="G778" s="1179">
        <v>2400</v>
      </c>
      <c r="H778" s="1184" t="s">
        <v>131</v>
      </c>
      <c r="I778" s="898"/>
      <c r="J778" s="899">
        <v>2400</v>
      </c>
      <c r="K778" s="1165"/>
    </row>
    <row r="779" spans="1:11" ht="15">
      <c r="A779" s="1171" t="str">
        <f>Таблица301715[[#This Row],[Группа]]&amp;Таблица301715[[#This Row],[Номенклатура]]&amp;Таблица301715[[#This Row],[ЕИ]]</f>
        <v>МеталлопрокатУголок 80х80х6мм 12Х18Н10Т (AISI304) ГОСТ 8509-93м</v>
      </c>
      <c r="B779" s="1165" t="s">
        <v>68</v>
      </c>
      <c r="C779" s="1165"/>
      <c r="D779" s="1178" t="s">
        <v>1498</v>
      </c>
      <c r="E779" s="1178"/>
      <c r="F779" s="918" t="s">
        <v>163</v>
      </c>
      <c r="G779" s="1179">
        <v>4900</v>
      </c>
      <c r="H779" s="1184" t="s">
        <v>131</v>
      </c>
      <c r="I779" s="898"/>
      <c r="J779" s="899">
        <v>4900</v>
      </c>
      <c r="K779" s="1165"/>
    </row>
    <row r="780" spans="1:11" ht="15">
      <c r="A780" s="1171" t="str">
        <f>Таблица301715[[#This Row],[Группа]]&amp;Таблица301715[[#This Row],[Номенклатура]]&amp;Таблица301715[[#This Row],[ЕИ]]</f>
        <v>МеталлопрокатУголок 100х100х6мм 12Х18Н10Т (AISI304) ГОСТ 8509-93м</v>
      </c>
      <c r="B780" s="1165" t="s">
        <v>68</v>
      </c>
      <c r="C780" s="1165"/>
      <c r="D780" s="1178" t="s">
        <v>435</v>
      </c>
      <c r="E780" s="1178"/>
      <c r="F780" s="918" t="s">
        <v>163</v>
      </c>
      <c r="G780" s="1179">
        <v>3700</v>
      </c>
      <c r="H780" s="1184" t="s">
        <v>131</v>
      </c>
      <c r="I780" s="898"/>
      <c r="J780" s="899">
        <v>3700</v>
      </c>
      <c r="K780" s="1165"/>
    </row>
    <row r="781" spans="1:11" ht="15">
      <c r="A781" s="1171" t="str">
        <f>Таблица301715[[#This Row],[Группа]]&amp;Таблица301715[[#This Row],[Номенклатура]]&amp;Таблица301715[[#This Row],[ЕИ]]</f>
        <v>МеталлопрокатУголок 125х125х10мм ст3пс  ГОСТ 8509-93м</v>
      </c>
      <c r="B781" s="1165" t="s">
        <v>68</v>
      </c>
      <c r="C781" s="1165"/>
      <c r="D781" s="1178" t="s">
        <v>442</v>
      </c>
      <c r="E781" s="1178"/>
      <c r="F781" s="918" t="s">
        <v>163</v>
      </c>
      <c r="G781" s="1179">
        <v>3120</v>
      </c>
      <c r="H781" s="1184" t="s">
        <v>131</v>
      </c>
      <c r="I781" s="898"/>
      <c r="J781" s="899">
        <v>3120</v>
      </c>
      <c r="K781" s="1165"/>
    </row>
    <row r="782" spans="1:11" ht="15">
      <c r="A782" s="1171" t="str">
        <f>Таблица301715[[#This Row],[Группа]]&amp;Таблица301715[[#This Row],[Номенклатура]]&amp;Таблица301715[[#This Row],[ЕИ]]</f>
        <v>МеталлопрокатШвеллер 6.5-П 12Х18Н10Т ГОСТ 8240-97м</v>
      </c>
      <c r="B782" s="1165" t="s">
        <v>68</v>
      </c>
      <c r="C782" s="1165"/>
      <c r="D782" s="1178" t="s">
        <v>693</v>
      </c>
      <c r="E782" s="1178"/>
      <c r="F782" s="918" t="s">
        <v>163</v>
      </c>
      <c r="G782" s="1179">
        <v>10000</v>
      </c>
      <c r="H782" s="1184" t="s">
        <v>131</v>
      </c>
      <c r="I782" s="898"/>
      <c r="J782" s="899">
        <v>10000</v>
      </c>
      <c r="K782" s="1165"/>
    </row>
    <row r="783" spans="1:11" ht="15">
      <c r="A783" s="1171" t="str">
        <f>Таблица301715[[#This Row],[Группа]]&amp;Таблица301715[[#This Row],[Номенклатура]]&amp;Таблица301715[[#This Row],[ЕИ]]</f>
        <v>МеталлопрокатШвеллер 8-П ГОСТ 8240-97 ст3сп ГОСТ 535-2005м</v>
      </c>
      <c r="B783" s="1165" t="s">
        <v>68</v>
      </c>
      <c r="C783" s="1165"/>
      <c r="D783" s="1178" t="s">
        <v>691</v>
      </c>
      <c r="E783" s="1178"/>
      <c r="F783" s="918" t="s">
        <v>163</v>
      </c>
      <c r="G783" s="1179">
        <v>732</v>
      </c>
      <c r="H783" s="1184" t="s">
        <v>131</v>
      </c>
      <c r="I783" s="898"/>
      <c r="J783" s="899">
        <v>732</v>
      </c>
      <c r="K783" s="1165"/>
    </row>
    <row r="784" spans="1:11" ht="15">
      <c r="A784" s="1171" t="str">
        <f>Таблица301715[[#This Row],[Группа]]&amp;Таблица301715[[#This Row],[Номенклатура]]&amp;Таблица301715[[#This Row],[ЕИ]]</f>
        <v>МеталлопрокатШвеллер 8-П ГОСТ 8240-97 ст3сп ГОСТ 535-2005м</v>
      </c>
      <c r="B784" s="1165" t="s">
        <v>68</v>
      </c>
      <c r="C784" s="1165"/>
      <c r="D784" s="1178" t="s">
        <v>691</v>
      </c>
      <c r="E784" s="1178"/>
      <c r="F784" s="918" t="s">
        <v>163</v>
      </c>
      <c r="G784" s="1179">
        <v>930</v>
      </c>
      <c r="H784" s="1184" t="s">
        <v>131</v>
      </c>
      <c r="I784" s="898"/>
      <c r="J784" s="899">
        <v>930</v>
      </c>
      <c r="K784" s="1165"/>
    </row>
    <row r="785" spans="1:11" ht="15">
      <c r="A785" s="1171" t="str">
        <f>Таблица301715[[#This Row],[Группа]]&amp;Таблица301715[[#This Row],[Номенклатура]]&amp;Таблица301715[[#This Row],[ЕИ]]</f>
        <v>МеталлопрокатШвеллер 8- П 08Х18Н10Т (AISI304)  ГОСТ 8240-97м</v>
      </c>
      <c r="B785" s="1165" t="s">
        <v>68</v>
      </c>
      <c r="C785" s="1165"/>
      <c r="D785" s="1178" t="s">
        <v>1499</v>
      </c>
      <c r="E785" s="1178"/>
      <c r="F785" s="918" t="s">
        <v>163</v>
      </c>
      <c r="G785" s="1179">
        <v>16938</v>
      </c>
      <c r="H785" s="1184" t="s">
        <v>131</v>
      </c>
      <c r="I785" s="898"/>
      <c r="J785" s="899">
        <v>16938</v>
      </c>
      <c r="K785" s="1165"/>
    </row>
    <row r="786" spans="1:11" ht="15">
      <c r="A786" s="1171" t="str">
        <f>Таблица301715[[#This Row],[Группа]]&amp;Таблица301715[[#This Row],[Номенклатура]]&amp;Таблица301715[[#This Row],[ЕИ]]</f>
        <v>МеталлопрокатШвеллер 10-П 08Х18Н10Т (AISI304)  ГОСТ 8240-97м</v>
      </c>
      <c r="B786" s="1165" t="s">
        <v>68</v>
      </c>
      <c r="C786" s="1165"/>
      <c r="D786" s="1178" t="s">
        <v>1500</v>
      </c>
      <c r="E786" s="1178"/>
      <c r="F786" s="918" t="s">
        <v>163</v>
      </c>
      <c r="G786" s="1179">
        <v>24302</v>
      </c>
      <c r="H786" s="1184" t="s">
        <v>131</v>
      </c>
      <c r="I786" s="898"/>
      <c r="J786" s="899">
        <v>24302</v>
      </c>
      <c r="K786" s="1165"/>
    </row>
    <row r="787" spans="1:11" ht="15">
      <c r="A787" s="1171" t="str">
        <f>Таблица301715[[#This Row],[Группа]]&amp;Таблица301715[[#This Row],[Номенклатура]]&amp;Таблица301715[[#This Row],[ЕИ]]</f>
        <v>МеталлопрокатШвеллер 12-П ст3пс ГОСТ 8240-97м</v>
      </c>
      <c r="B787" s="1165" t="s">
        <v>68</v>
      </c>
      <c r="C787" s="1165"/>
      <c r="D787" s="1178" t="s">
        <v>581</v>
      </c>
      <c r="E787" s="1178"/>
      <c r="F787" s="918" t="s">
        <v>163</v>
      </c>
      <c r="G787" s="1179">
        <v>1000</v>
      </c>
      <c r="H787" s="1184" t="s">
        <v>131</v>
      </c>
      <c r="I787" s="898"/>
      <c r="J787" s="899">
        <v>1000</v>
      </c>
      <c r="K787" s="1165"/>
    </row>
    <row r="788" spans="1:11" ht="15">
      <c r="A788" s="1171" t="str">
        <f>Таблица301715[[#This Row],[Группа]]&amp;Таблица301715[[#This Row],[Номенклатура]]&amp;Таблица301715[[#This Row],[ЕИ]]</f>
        <v>МеталлопрокатШвеллер 12-П 08Х18Н10Т (AISI304)  ГОСТ 8240-97м</v>
      </c>
      <c r="B788" s="1165" t="s">
        <v>68</v>
      </c>
      <c r="C788" s="1165"/>
      <c r="D788" s="1178" t="s">
        <v>1501</v>
      </c>
      <c r="E788" s="1178"/>
      <c r="F788" s="918" t="s">
        <v>163</v>
      </c>
      <c r="G788" s="1179">
        <v>27839</v>
      </c>
      <c r="H788" s="1184" t="s">
        <v>131</v>
      </c>
      <c r="I788" s="898"/>
      <c r="J788" s="899">
        <v>27839</v>
      </c>
      <c r="K788" s="1165"/>
    </row>
    <row r="789" spans="1:11" ht="15">
      <c r="A789" s="1171" t="str">
        <f>Таблица301715[[#This Row],[Группа]]&amp;Таблица301715[[#This Row],[Номенклатура]]&amp;Таблица301715[[#This Row],[ЕИ]]</f>
        <v>МеталлопрокатШвеллер 14-П ст3пс ГОСТ 8240-97м</v>
      </c>
      <c r="B789" s="1165" t="s">
        <v>68</v>
      </c>
      <c r="C789" s="1165"/>
      <c r="D789" s="1178" t="s">
        <v>1502</v>
      </c>
      <c r="E789" s="1178"/>
      <c r="F789" s="918" t="s">
        <v>163</v>
      </c>
      <c r="G789" s="1179">
        <v>1950</v>
      </c>
      <c r="H789" s="1184" t="s">
        <v>131</v>
      </c>
      <c r="I789" s="898"/>
      <c r="J789" s="899">
        <v>1950</v>
      </c>
      <c r="K789" s="1165"/>
    </row>
    <row r="790" spans="1:11" ht="18.75" customHeight="1">
      <c r="A790" s="1171" t="str">
        <f>Таблица301715[[#This Row],[Группа]]&amp;Таблица301715[[#This Row],[Номенклатура]]&amp;Таблица301715[[#This Row],[ЕИ]]</f>
        <v>МеталлопрокатШвеллер 14-П 08Х18Н10Т (AISI304)  ГОСТ 8240-97м</v>
      </c>
      <c r="B790" s="921" t="s">
        <v>68</v>
      </c>
      <c r="C790" s="921"/>
      <c r="D790" s="1185" t="s">
        <v>1503</v>
      </c>
      <c r="E790" s="1185"/>
      <c r="F790" s="1186" t="s">
        <v>163</v>
      </c>
      <c r="G790" s="1187">
        <v>31203</v>
      </c>
      <c r="H790" s="922" t="s">
        <v>131</v>
      </c>
      <c r="I790" s="1188"/>
      <c r="J790" s="926">
        <v>31203</v>
      </c>
      <c r="K790" s="920"/>
    </row>
    <row r="791" spans="1:11" ht="18.75" customHeight="1">
      <c r="A791" s="1171" t="str">
        <f>Таблица301715[[#This Row],[Группа]]&amp;Таблица301715[[#This Row],[Номенклатура]]&amp;Таблица301715[[#This Row],[ЕИ]]</f>
        <v>МеталлопрокатШвеллер 16-П 08Х18Н10Т (AISI304)  ГОСТ 8240-97м</v>
      </c>
      <c r="B791" s="921" t="s">
        <v>68</v>
      </c>
      <c r="C791" s="921"/>
      <c r="D791" s="1185" t="s">
        <v>1504</v>
      </c>
      <c r="E791" s="1185"/>
      <c r="F791" s="1186" t="s">
        <v>163</v>
      </c>
      <c r="G791" s="1187">
        <v>33201</v>
      </c>
      <c r="H791" s="922" t="s">
        <v>131</v>
      </c>
      <c r="I791" s="1188"/>
      <c r="J791" s="926">
        <v>33201</v>
      </c>
      <c r="K791" s="920"/>
    </row>
    <row r="792" spans="1:11" ht="18.75" customHeight="1">
      <c r="A792" s="1171" t="str">
        <f>Таблица301715[[#This Row],[Группа]]&amp;Таблица301715[[#This Row],[Номенклатура]]&amp;Таблица301715[[#This Row],[ЕИ]]</f>
        <v>МеталлопрокатШвеллер 16-П ст3пс ГОСТ 8240-97м</v>
      </c>
      <c r="B792" s="921" t="s">
        <v>68</v>
      </c>
      <c r="C792" s="921"/>
      <c r="D792" s="1185" t="s">
        <v>1505</v>
      </c>
      <c r="E792" s="1185"/>
      <c r="F792" s="1186" t="s">
        <v>163</v>
      </c>
      <c r="G792" s="1187">
        <v>2280</v>
      </c>
      <c r="H792" s="922" t="s">
        <v>131</v>
      </c>
      <c r="I792" s="1188"/>
      <c r="J792" s="926">
        <v>2280</v>
      </c>
      <c r="K792" s="920"/>
    </row>
    <row r="793" spans="1:11" ht="18.75" customHeight="1">
      <c r="A793" s="1171" t="str">
        <f>Таблица301715[[#This Row],[Группа]]&amp;Таблица301715[[#This Row],[Номенклатура]]&amp;Таблица301715[[#This Row],[ЕИ]]</f>
        <v>МеталлопрокатШвеллер 50х25х3 08Х18Н10Т (AISI304) ГОСТ 8278-83 м</v>
      </c>
      <c r="B793" s="921" t="s">
        <v>68</v>
      </c>
      <c r="C793" s="921"/>
      <c r="D793" s="1185" t="s">
        <v>1506</v>
      </c>
      <c r="E793" s="1185"/>
      <c r="F793" s="1186" t="s">
        <v>163</v>
      </c>
      <c r="G793" s="1187">
        <v>12030</v>
      </c>
      <c r="H793" s="922" t="s">
        <v>131</v>
      </c>
      <c r="I793" s="1188"/>
      <c r="J793" s="926">
        <v>12030</v>
      </c>
      <c r="K793" s="920"/>
    </row>
    <row r="794" spans="1:11" ht="18.75" customHeight="1">
      <c r="A794" s="1171" t="str">
        <f>Таблица301715[[#This Row],[Группа]]&amp;Таблица301715[[#This Row],[Номенклатура]]&amp;Таблица301715[[#This Row],[ЕИ]]</f>
        <v>МеталлопрокатШвеллер 100х50х4 08Х18Н10Т (AISI304) ГОСТ 8278-83 м</v>
      </c>
      <c r="B794" s="921" t="s">
        <v>68</v>
      </c>
      <c r="C794" s="921"/>
      <c r="D794" s="1185" t="s">
        <v>1507</v>
      </c>
      <c r="E794" s="1185"/>
      <c r="F794" s="1186" t="s">
        <v>163</v>
      </c>
      <c r="G794" s="1187">
        <v>26320</v>
      </c>
      <c r="H794" s="922" t="s">
        <v>131</v>
      </c>
      <c r="I794" s="1188"/>
      <c r="J794" s="926">
        <v>26320</v>
      </c>
      <c r="K794" s="920"/>
    </row>
    <row r="795" spans="1:11" ht="18.75" customHeight="1">
      <c r="A795" s="1171" t="str">
        <f>Таблица301715[[#This Row],[Группа]]&amp;Таблица301715[[#This Row],[Номенклатура]]&amp;Таблица301715[[#This Row],[ЕИ]]</f>
        <v>МеталлопрокатШвеллер 120х40х3 мм ст3 гнутыйм</v>
      </c>
      <c r="B795" s="921" t="s">
        <v>68</v>
      </c>
      <c r="C795" s="921"/>
      <c r="D795" s="1185" t="s">
        <v>1508</v>
      </c>
      <c r="E795" s="1185"/>
      <c r="F795" s="1186" t="s">
        <v>163</v>
      </c>
      <c r="G795" s="1187">
        <v>1</v>
      </c>
      <c r="H795" s="922" t="s">
        <v>131</v>
      </c>
      <c r="I795" s="1188"/>
      <c r="J795" s="926">
        <v>1</v>
      </c>
      <c r="K795" s="920"/>
    </row>
    <row r="796" spans="1:11" ht="18.75" customHeight="1">
      <c r="A796" s="1171" t="str">
        <f>Таблица301715[[#This Row],[Группа]]&amp;Таблица301715[[#This Row],[Номенклатура]]&amp;Таблица301715[[#This Row],[ЕИ]]</f>
        <v>МетизыБолт М6-6gх20.58.12Х18Н10Т ГОСТ 7798-70 (DIN 931, DIN 933) шт</v>
      </c>
      <c r="B796" s="921" t="s">
        <v>69</v>
      </c>
      <c r="C796" s="921"/>
      <c r="D796" s="1185" t="s">
        <v>1509</v>
      </c>
      <c r="E796" s="1185"/>
      <c r="F796" s="1186" t="s">
        <v>129</v>
      </c>
      <c r="G796" s="1187">
        <v>6</v>
      </c>
      <c r="H796" s="922" t="s">
        <v>131</v>
      </c>
      <c r="I796" s="1188"/>
      <c r="J796" s="926">
        <v>6</v>
      </c>
      <c r="K796" s="920"/>
    </row>
    <row r="797" spans="1:11" ht="18.75" customHeight="1">
      <c r="A797" s="1171" t="str">
        <f>Таблица301715[[#This Row],[Группа]]&amp;Таблица301715[[#This Row],[Номенклатура]]&amp;Таблица301715[[#This Row],[ЕИ]]</f>
        <v>МетизыБолт М6-6gх25.58.12Х18Н10Т ГОСТ 7798-70 (DIN 931, DIN 933) шт</v>
      </c>
      <c r="B797" s="921" t="s">
        <v>69</v>
      </c>
      <c r="C797" s="921"/>
      <c r="D797" s="1185" t="s">
        <v>1510</v>
      </c>
      <c r="E797" s="1185"/>
      <c r="F797" s="1186" t="s">
        <v>129</v>
      </c>
      <c r="G797" s="1187">
        <v>7</v>
      </c>
      <c r="H797" s="922" t="s">
        <v>131</v>
      </c>
      <c r="I797" s="1188"/>
      <c r="J797" s="926">
        <v>7</v>
      </c>
      <c r="K797" s="920"/>
    </row>
    <row r="798" spans="1:11" ht="18.75" customHeight="1">
      <c r="A798" s="1171" t="str">
        <f>Таблица301715[[#This Row],[Группа]]&amp;Таблица301715[[#This Row],[Номенклатура]]&amp;Таблица301715[[#This Row],[ЕИ]]</f>
        <v>МетизыБолт М6-6gх30.58.12Х18Н10Т ГОСТ 7798-70 (DIN 931, DIN 933) шт</v>
      </c>
      <c r="B798" s="921" t="s">
        <v>69</v>
      </c>
      <c r="C798" s="921"/>
      <c r="D798" s="1185" t="s">
        <v>617</v>
      </c>
      <c r="E798" s="1185"/>
      <c r="F798" s="1186" t="s">
        <v>129</v>
      </c>
      <c r="G798" s="1187">
        <v>8</v>
      </c>
      <c r="H798" s="922" t="s">
        <v>131</v>
      </c>
      <c r="I798" s="1188"/>
      <c r="J798" s="926">
        <v>8</v>
      </c>
      <c r="K798" s="920"/>
    </row>
    <row r="799" spans="1:11" ht="18.75" customHeight="1">
      <c r="A799" s="1171" t="str">
        <f>Таблица301715[[#This Row],[Группа]]&amp;Таблица301715[[#This Row],[Номенклатура]]&amp;Таблица301715[[#This Row],[ЕИ]]</f>
        <v>МетизыБолт М6-6gх40.58.12Х18Н10Т ГОСТ 7798-70 (DIN 931, DIN 933) шт</v>
      </c>
      <c r="B799" s="921" t="s">
        <v>69</v>
      </c>
      <c r="C799" s="921"/>
      <c r="D799" s="1185" t="s">
        <v>1511</v>
      </c>
      <c r="E799" s="1185"/>
      <c r="F799" s="1186" t="s">
        <v>129</v>
      </c>
      <c r="G799" s="1187">
        <v>10</v>
      </c>
      <c r="H799" s="922" t="s">
        <v>131</v>
      </c>
      <c r="I799" s="1188"/>
      <c r="J799" s="926">
        <v>10</v>
      </c>
      <c r="K799" s="920"/>
    </row>
    <row r="800" spans="1:11" ht="18.75" customHeight="1">
      <c r="A800" s="1171" t="str">
        <f>Таблица301715[[#This Row],[Группа]]&amp;Таблица301715[[#This Row],[Номенклатура]]&amp;Таблица301715[[#This Row],[ЕИ]]</f>
        <v>МетизыБолт М6-6gх50.58.12Х18Н10Т ГОСТ 7798-70 (DIN 931, DIN 933) шт</v>
      </c>
      <c r="B800" s="921" t="s">
        <v>69</v>
      </c>
      <c r="C800" s="921"/>
      <c r="D800" s="1185" t="s">
        <v>1512</v>
      </c>
      <c r="E800" s="1185"/>
      <c r="F800" s="1186" t="s">
        <v>129</v>
      </c>
      <c r="G800" s="1187">
        <v>13</v>
      </c>
      <c r="H800" s="922" t="s">
        <v>131</v>
      </c>
      <c r="I800" s="1188"/>
      <c r="J800" s="926">
        <v>13</v>
      </c>
      <c r="K800" s="920"/>
    </row>
    <row r="801" spans="1:11" ht="18.75" customHeight="1">
      <c r="A801" s="1171" t="str">
        <f>Таблица301715[[#This Row],[Группа]]&amp;Таблица301715[[#This Row],[Номенклатура]]&amp;Таблица301715[[#This Row],[ЕИ]]</f>
        <v>МетизыБолт М6-6gх60.58.12Х18Н10Т ГОСТ 7798-70 (DIN 931, DIN 933) шт</v>
      </c>
      <c r="B801" s="921" t="s">
        <v>69</v>
      </c>
      <c r="C801" s="921"/>
      <c r="D801" s="1185" t="s">
        <v>1513</v>
      </c>
      <c r="E801" s="1185"/>
      <c r="F801" s="1186" t="s">
        <v>129</v>
      </c>
      <c r="G801" s="1187">
        <v>16</v>
      </c>
      <c r="H801" s="922" t="s">
        <v>131</v>
      </c>
      <c r="I801" s="1188"/>
      <c r="J801" s="926">
        <v>16</v>
      </c>
      <c r="K801" s="920"/>
    </row>
    <row r="802" spans="1:11" ht="18.75" customHeight="1">
      <c r="A802" s="1171" t="str">
        <f>Таблица301715[[#This Row],[Группа]]&amp;Таблица301715[[#This Row],[Номенклатура]]&amp;Таблица301715[[#This Row],[ЕИ]]</f>
        <v>МетизыБолт М6-6gх70.58.12Х18Н10Т ГОСТ 7798-70 (DIN 931, DIN 933) шт</v>
      </c>
      <c r="B802" s="921" t="s">
        <v>69</v>
      </c>
      <c r="C802" s="921"/>
      <c r="D802" s="1185" t="s">
        <v>1514</v>
      </c>
      <c r="E802" s="1185"/>
      <c r="F802" s="1186" t="s">
        <v>129</v>
      </c>
      <c r="G802" s="1187">
        <v>18</v>
      </c>
      <c r="H802" s="922" t="s">
        <v>131</v>
      </c>
      <c r="I802" s="1188"/>
      <c r="J802" s="926">
        <v>18</v>
      </c>
      <c r="K802" s="920"/>
    </row>
    <row r="803" spans="1:11" ht="18.75" customHeight="1">
      <c r="A803" s="1171" t="str">
        <f>Таблица301715[[#This Row],[Группа]]&amp;Таблица301715[[#This Row],[Номенклатура]]&amp;Таблица301715[[#This Row],[ЕИ]]</f>
        <v>МетизыБолт М6-6gх80.58.12Х18Н10Т ГОСТ 7798-70 (DIN 931, DIN 933) шт</v>
      </c>
      <c r="B803" s="921" t="s">
        <v>69</v>
      </c>
      <c r="C803" s="921"/>
      <c r="D803" s="1185" t="s">
        <v>1515</v>
      </c>
      <c r="E803" s="1185"/>
      <c r="F803" s="1186" t="s">
        <v>129</v>
      </c>
      <c r="G803" s="1187">
        <v>21</v>
      </c>
      <c r="H803" s="922" t="s">
        <v>131</v>
      </c>
      <c r="I803" s="1188"/>
      <c r="J803" s="926">
        <v>21</v>
      </c>
      <c r="K803" s="920"/>
    </row>
    <row r="804" spans="1:11" ht="18.75" customHeight="1">
      <c r="A804" s="1171" t="str">
        <f>Таблица301715[[#This Row],[Группа]]&amp;Таблица301715[[#This Row],[Номенклатура]]&amp;Таблица301715[[#This Row],[ЕИ]]</f>
        <v>МетизыБолт М8-6gх20.58.12Х18Н10Т ГОСТ 7798-70 (DIN 931, DIN 933) шт</v>
      </c>
      <c r="B804" s="921" t="s">
        <v>69</v>
      </c>
      <c r="C804" s="921"/>
      <c r="D804" s="1185" t="s">
        <v>1516</v>
      </c>
      <c r="E804" s="1185"/>
      <c r="F804" s="1186" t="s">
        <v>129</v>
      </c>
      <c r="G804" s="1187">
        <v>11</v>
      </c>
      <c r="H804" s="922" t="s">
        <v>131</v>
      </c>
      <c r="I804" s="1188"/>
      <c r="J804" s="926">
        <v>11</v>
      </c>
      <c r="K804" s="920"/>
    </row>
    <row r="805" spans="1:11" ht="18.75" customHeight="1">
      <c r="A805" s="1171" t="str">
        <f>Таблица301715[[#This Row],[Группа]]&amp;Таблица301715[[#This Row],[Номенклатура]]&amp;Таблица301715[[#This Row],[ЕИ]]</f>
        <v>МетизыБолт М8-6gх30.58.12Х18Н10Т ГОСТ 7798-70 (DIN 931, DIN 933) шт</v>
      </c>
      <c r="B805" s="921" t="s">
        <v>69</v>
      </c>
      <c r="C805" s="921"/>
      <c r="D805" s="1185" t="s">
        <v>1517</v>
      </c>
      <c r="E805" s="1185"/>
      <c r="F805" s="1186" t="s">
        <v>129</v>
      </c>
      <c r="G805" s="1187">
        <v>13</v>
      </c>
      <c r="H805" s="922" t="s">
        <v>131</v>
      </c>
      <c r="I805" s="1188"/>
      <c r="J805" s="926">
        <v>13</v>
      </c>
      <c r="K805" s="920"/>
    </row>
    <row r="806" spans="1:11" ht="18.75" customHeight="1">
      <c r="A806" s="1171" t="str">
        <f>Таблица301715[[#This Row],[Группа]]&amp;Таблица301715[[#This Row],[Номенклатура]]&amp;Таблица301715[[#This Row],[ЕИ]]</f>
        <v>МетизыБолт М8-6gх40.58.12Х18Н10Т ГОСТ 7798-70 (DIN 931, DIN 933) шт</v>
      </c>
      <c r="B806" s="921" t="s">
        <v>69</v>
      </c>
      <c r="C806" s="921"/>
      <c r="D806" s="1185" t="s">
        <v>1518</v>
      </c>
      <c r="E806" s="1185"/>
      <c r="F806" s="1186" t="s">
        <v>129</v>
      </c>
      <c r="G806" s="1187">
        <v>16</v>
      </c>
      <c r="H806" s="922" t="s">
        <v>131</v>
      </c>
      <c r="I806" s="1188"/>
      <c r="J806" s="926">
        <v>16</v>
      </c>
      <c r="K806" s="920"/>
    </row>
    <row r="807" spans="1:11" ht="18.75" customHeight="1">
      <c r="A807" s="1171" t="str">
        <f>Таблица301715[[#This Row],[Группа]]&amp;Таблица301715[[#This Row],[Номенклатура]]&amp;Таблица301715[[#This Row],[ЕИ]]</f>
        <v>МетизыБолт М8-6gх50.58.12Х18Н10Т ГОСТ 7798-70 (DIN 931, DIN 933) шт</v>
      </c>
      <c r="B807" s="921" t="s">
        <v>69</v>
      </c>
      <c r="C807" s="921"/>
      <c r="D807" s="1185" t="s">
        <v>1519</v>
      </c>
      <c r="E807" s="1185"/>
      <c r="F807" s="1186" t="s">
        <v>129</v>
      </c>
      <c r="G807" s="1187">
        <v>20</v>
      </c>
      <c r="H807" s="922" t="s">
        <v>131</v>
      </c>
      <c r="I807" s="1188"/>
      <c r="J807" s="926">
        <v>20</v>
      </c>
      <c r="K807" s="920"/>
    </row>
    <row r="808" spans="1:11" ht="18.75" customHeight="1">
      <c r="A808" s="1171" t="str">
        <f>Таблица301715[[#This Row],[Группа]]&amp;Таблица301715[[#This Row],[Номенклатура]]&amp;Таблица301715[[#This Row],[ЕИ]]</f>
        <v>МетизыБолт М8-6gх60.58.12Х18Н10Т ГОСТ 7798-70 (DIN 931, DIN 933) шт</v>
      </c>
      <c r="B808" s="921" t="s">
        <v>69</v>
      </c>
      <c r="C808" s="921"/>
      <c r="D808" s="1185" t="s">
        <v>1520</v>
      </c>
      <c r="E808" s="1185"/>
      <c r="F808" s="1186" t="s">
        <v>129</v>
      </c>
      <c r="G808" s="1187">
        <v>28</v>
      </c>
      <c r="H808" s="922" t="s">
        <v>131</v>
      </c>
      <c r="I808" s="1188"/>
      <c r="J808" s="926">
        <v>28</v>
      </c>
      <c r="K808" s="920"/>
    </row>
    <row r="809" spans="1:11" ht="18.75" customHeight="1">
      <c r="A809" s="1171" t="str">
        <f>Таблица301715[[#This Row],[Группа]]&amp;Таблица301715[[#This Row],[Номенклатура]]&amp;Таблица301715[[#This Row],[ЕИ]]</f>
        <v>МетизыБолт М8-6gх70.58.12Х18Н10Т ГОСТ 7798-70 (DIN 931, DIN 933) шт</v>
      </c>
      <c r="B809" s="921" t="s">
        <v>69</v>
      </c>
      <c r="C809" s="921"/>
      <c r="D809" s="1185" t="s">
        <v>1521</v>
      </c>
      <c r="E809" s="1185"/>
      <c r="F809" s="1186" t="s">
        <v>129</v>
      </c>
      <c r="G809" s="1187">
        <v>31</v>
      </c>
      <c r="H809" s="922" t="s">
        <v>131</v>
      </c>
      <c r="I809" s="1188"/>
      <c r="J809" s="926">
        <v>31</v>
      </c>
      <c r="K809" s="920"/>
    </row>
    <row r="810" spans="1:11" ht="18.75" customHeight="1">
      <c r="A810" s="1171" t="str">
        <f>Таблица301715[[#This Row],[Группа]]&amp;Таблица301715[[#This Row],[Номенклатура]]&amp;Таблица301715[[#This Row],[ЕИ]]</f>
        <v>МетизыБолт М8-6gх80.58.12Х18Н10Т ГОСТ 7798-70 (DIN 931, DIN 933) шт</v>
      </c>
      <c r="B810" s="921" t="s">
        <v>69</v>
      </c>
      <c r="C810" s="921"/>
      <c r="D810" s="1185" t="s">
        <v>1522</v>
      </c>
      <c r="E810" s="1185"/>
      <c r="F810" s="1186" t="s">
        <v>129</v>
      </c>
      <c r="G810" s="1187">
        <v>35</v>
      </c>
      <c r="H810" s="922" t="s">
        <v>131</v>
      </c>
      <c r="I810" s="1188"/>
      <c r="J810" s="926">
        <v>35</v>
      </c>
      <c r="K810" s="920"/>
    </row>
    <row r="811" spans="1:11" ht="18.75" customHeight="1">
      <c r="A811" s="1171" t="str">
        <f>Таблица301715[[#This Row],[Группа]]&amp;Таблица301715[[#This Row],[Номенклатура]]&amp;Таблица301715[[#This Row],[ЕИ]]</f>
        <v>МетизыБолт М10-6gх20.58.12Х18Н10Т ГОСТ 7798-70 (DIN 931, DIN 933) шт</v>
      </c>
      <c r="B811" s="921" t="s">
        <v>69</v>
      </c>
      <c r="C811" s="921"/>
      <c r="D811" s="1185" t="s">
        <v>1523</v>
      </c>
      <c r="E811" s="1185"/>
      <c r="F811" s="1186" t="s">
        <v>129</v>
      </c>
      <c r="G811" s="1187">
        <v>24</v>
      </c>
      <c r="H811" s="922" t="s">
        <v>131</v>
      </c>
      <c r="I811" s="1188"/>
      <c r="J811" s="926">
        <v>24</v>
      </c>
      <c r="K811" s="920"/>
    </row>
    <row r="812" spans="1:11" ht="18.75" customHeight="1">
      <c r="A812" s="1171" t="str">
        <f>Таблица301715[[#This Row],[Группа]]&amp;Таблица301715[[#This Row],[Номенклатура]]&amp;Таблица301715[[#This Row],[ЕИ]]</f>
        <v>МетизыБолт М10-6gх30.58.12Х18Н10Т ГОСТ 7798-70 (DIN 931, DIN 933) шт</v>
      </c>
      <c r="B812" s="921" t="s">
        <v>69</v>
      </c>
      <c r="C812" s="921"/>
      <c r="D812" s="1185" t="s">
        <v>1524</v>
      </c>
      <c r="E812" s="1185"/>
      <c r="F812" s="1186" t="s">
        <v>129</v>
      </c>
      <c r="G812" s="1187">
        <v>27</v>
      </c>
      <c r="H812" s="922" t="s">
        <v>131</v>
      </c>
      <c r="I812" s="1188"/>
      <c r="J812" s="926">
        <v>27</v>
      </c>
      <c r="K812" s="920"/>
    </row>
    <row r="813" spans="1:11" ht="18.75" customHeight="1">
      <c r="A813" s="1171" t="str">
        <f>Таблица301715[[#This Row],[Группа]]&amp;Таблица301715[[#This Row],[Номенклатура]]&amp;Таблица301715[[#This Row],[ЕИ]]</f>
        <v>МетизыБолт М10-6gх40.58.12Х18Н10Т ГОСТ 7798-70 (DIN 931, DIN 933) шт</v>
      </c>
      <c r="B813" s="921" t="s">
        <v>69</v>
      </c>
      <c r="C813" s="921"/>
      <c r="D813" s="1185" t="s">
        <v>1525</v>
      </c>
      <c r="E813" s="1185"/>
      <c r="F813" s="1186" t="s">
        <v>129</v>
      </c>
      <c r="G813" s="1187">
        <v>31</v>
      </c>
      <c r="H813" s="922" t="s">
        <v>131</v>
      </c>
      <c r="I813" s="1188"/>
      <c r="J813" s="926">
        <v>31</v>
      </c>
      <c r="K813" s="920"/>
    </row>
    <row r="814" spans="1:11" ht="18.75" customHeight="1">
      <c r="A814" s="1171" t="str">
        <f>Таблица301715[[#This Row],[Группа]]&amp;Таблица301715[[#This Row],[Номенклатура]]&amp;Таблица301715[[#This Row],[ЕИ]]</f>
        <v>МетизыБолт М10-6gх50.58.12Х18Н10Т ГОСТ 7798-70 (DIN 931, DIN 933) шт</v>
      </c>
      <c r="B814" s="921" t="s">
        <v>69</v>
      </c>
      <c r="C814" s="921"/>
      <c r="D814" s="1185" t="s">
        <v>1526</v>
      </c>
      <c r="E814" s="1185"/>
      <c r="F814" s="1186" t="s">
        <v>129</v>
      </c>
      <c r="G814" s="1187">
        <v>35</v>
      </c>
      <c r="H814" s="922" t="s">
        <v>131</v>
      </c>
      <c r="I814" s="1188"/>
      <c r="J814" s="926">
        <v>35</v>
      </c>
      <c r="K814" s="920"/>
    </row>
    <row r="815" spans="1:11" ht="18.75" customHeight="1">
      <c r="A815" s="1171" t="str">
        <f>Таблица301715[[#This Row],[Группа]]&amp;Таблица301715[[#This Row],[Номенклатура]]&amp;Таблица301715[[#This Row],[ЕИ]]</f>
        <v>МетизыБолт М10-6gх60.58.12Х18Н10Т ГОСТ 7798-70 (DIN 931, DIN 933) шт</v>
      </c>
      <c r="B815" s="921" t="s">
        <v>69</v>
      </c>
      <c r="C815" s="921"/>
      <c r="D815" s="1185" t="s">
        <v>1527</v>
      </c>
      <c r="E815" s="1185"/>
      <c r="F815" s="1186" t="s">
        <v>129</v>
      </c>
      <c r="G815" s="1187">
        <v>41</v>
      </c>
      <c r="H815" s="922" t="s">
        <v>131</v>
      </c>
      <c r="I815" s="1188"/>
      <c r="J815" s="926">
        <v>41</v>
      </c>
      <c r="K815" s="920"/>
    </row>
    <row r="816" spans="1:11" ht="18.75" customHeight="1">
      <c r="A816" s="1171" t="str">
        <f>Таблица301715[[#This Row],[Группа]]&amp;Таблица301715[[#This Row],[Номенклатура]]&amp;Таблица301715[[#This Row],[ЕИ]]</f>
        <v>МетизыБолт М10-6gх70.58.12Х18Н10Т ГОСТ 7798-70 (DIN 931, DIN 933) шт</v>
      </c>
      <c r="B816" s="921" t="s">
        <v>69</v>
      </c>
      <c r="C816" s="921"/>
      <c r="D816" s="1185" t="s">
        <v>1528</v>
      </c>
      <c r="E816" s="1185"/>
      <c r="F816" s="1186" t="s">
        <v>129</v>
      </c>
      <c r="G816" s="1187">
        <v>49</v>
      </c>
      <c r="H816" s="922" t="s">
        <v>131</v>
      </c>
      <c r="I816" s="1188"/>
      <c r="J816" s="926">
        <v>49</v>
      </c>
      <c r="K816" s="920"/>
    </row>
    <row r="817" spans="1:11" ht="18.75" customHeight="1">
      <c r="A817" s="1171" t="str">
        <f>Таблица301715[[#This Row],[Группа]]&amp;Таблица301715[[#This Row],[Номенклатура]]&amp;Таблица301715[[#This Row],[ЕИ]]</f>
        <v>МетизыБолт М10-6gх80.58.12Х18Н10Т ГОСТ 7798-70 (DIN 931, DIN 933) шт</v>
      </c>
      <c r="B817" s="921" t="s">
        <v>69</v>
      </c>
      <c r="C817" s="921"/>
      <c r="D817" s="1185" t="s">
        <v>1529</v>
      </c>
      <c r="E817" s="1185"/>
      <c r="F817" s="1186" t="s">
        <v>129</v>
      </c>
      <c r="G817" s="1187">
        <v>57</v>
      </c>
      <c r="H817" s="922" t="s">
        <v>131</v>
      </c>
      <c r="I817" s="1188"/>
      <c r="J817" s="926">
        <v>57</v>
      </c>
      <c r="K817" s="920"/>
    </row>
    <row r="818" spans="1:11" ht="18.75" customHeight="1">
      <c r="A818" s="1171" t="str">
        <f>Таблица301715[[#This Row],[Группа]]&amp;Таблица301715[[#This Row],[Номенклатура]]&amp;Таблица301715[[#This Row],[ЕИ]]</f>
        <v>МетизыБолт М10-6gх90.58.12Х18Н10Т ГОСТ 7798-70 (DIN 931, DIN 933) шт</v>
      </c>
      <c r="B818" s="921" t="s">
        <v>69</v>
      </c>
      <c r="C818" s="921"/>
      <c r="D818" s="1185" t="s">
        <v>1530</v>
      </c>
      <c r="E818" s="1185"/>
      <c r="F818" s="1186" t="s">
        <v>129</v>
      </c>
      <c r="G818" s="1187">
        <v>28.29</v>
      </c>
      <c r="H818" s="922" t="s">
        <v>131</v>
      </c>
      <c r="I818" s="1188"/>
      <c r="J818" s="926">
        <v>28.29</v>
      </c>
      <c r="K818" s="920"/>
    </row>
    <row r="819" spans="1:11" ht="18.75" customHeight="1">
      <c r="A819" s="1171" t="str">
        <f>Таблица301715[[#This Row],[Группа]]&amp;Таблица301715[[#This Row],[Номенклатура]]&amp;Таблица301715[[#This Row],[ЕИ]]</f>
        <v>МетизыБолт М10-6gх100.58.12Х18Н10Т ГОСТ 7798-70 (DIN 931, DIN 933) шт</v>
      </c>
      <c r="B819" s="921" t="s">
        <v>69</v>
      </c>
      <c r="C819" s="921"/>
      <c r="D819" s="1185" t="s">
        <v>1531</v>
      </c>
      <c r="E819" s="1185"/>
      <c r="F819" s="1186" t="s">
        <v>129</v>
      </c>
      <c r="G819" s="1187">
        <v>31.12</v>
      </c>
      <c r="H819" s="922" t="s">
        <v>131</v>
      </c>
      <c r="I819" s="1188"/>
      <c r="J819" s="926">
        <v>31.12</v>
      </c>
      <c r="K819" s="920"/>
    </row>
    <row r="820" spans="1:11" ht="18.75" customHeight="1">
      <c r="A820" s="1171" t="str">
        <f>Таблица301715[[#This Row],[Группа]]&amp;Таблица301715[[#This Row],[Номенклатура]]&amp;Таблица301715[[#This Row],[ЕИ]]</f>
        <v>МетизыБолт М10-6gх110.58.12Х18Н10Т ГОСТ 7798-70 (DIN 931, DIN 933) шт</v>
      </c>
      <c r="B820" s="921" t="s">
        <v>69</v>
      </c>
      <c r="C820" s="921"/>
      <c r="D820" s="1185" t="s">
        <v>1532</v>
      </c>
      <c r="E820" s="1185"/>
      <c r="F820" s="1186" t="s">
        <v>129</v>
      </c>
      <c r="G820" s="1187">
        <v>38.119999999999997</v>
      </c>
      <c r="H820" s="922" t="s">
        <v>131</v>
      </c>
      <c r="I820" s="1188"/>
      <c r="J820" s="926">
        <v>38.119999999999997</v>
      </c>
      <c r="K820" s="920"/>
    </row>
    <row r="821" spans="1:11" ht="18.75" customHeight="1">
      <c r="A821" s="1171" t="str">
        <f>Таблица301715[[#This Row],[Группа]]&amp;Таблица301715[[#This Row],[Номенклатура]]&amp;Таблица301715[[#This Row],[ЕИ]]</f>
        <v>МетизыБолт М10-6gх120.58.12Х18Н10Т ГОСТ 7798-70 (DIN 931, DIN 933) шт</v>
      </c>
      <c r="B821" s="921" t="s">
        <v>69</v>
      </c>
      <c r="C821" s="921"/>
      <c r="D821" s="1185" t="s">
        <v>1533</v>
      </c>
      <c r="E821" s="1185"/>
      <c r="F821" s="1186" t="s">
        <v>129</v>
      </c>
      <c r="G821" s="1187">
        <v>41.69</v>
      </c>
      <c r="H821" s="922" t="s">
        <v>131</v>
      </c>
      <c r="I821" s="1188"/>
      <c r="J821" s="926">
        <v>41.69</v>
      </c>
      <c r="K821" s="920"/>
    </row>
    <row r="822" spans="1:11" ht="18.75" customHeight="1">
      <c r="A822" s="1171" t="str">
        <f>Таблица301715[[#This Row],[Группа]]&amp;Таблица301715[[#This Row],[Номенклатура]]&amp;Таблица301715[[#This Row],[ЕИ]]</f>
        <v>МетизыБолт М10-6gх130.58.12Х18Н10Т ГОСТ 7798-70 (DIN 931, DIN 933) шт</v>
      </c>
      <c r="B822" s="921" t="s">
        <v>69</v>
      </c>
      <c r="C822" s="921"/>
      <c r="D822" s="1185" t="s">
        <v>1534</v>
      </c>
      <c r="E822" s="1185"/>
      <c r="F822" s="1186" t="s">
        <v>129</v>
      </c>
      <c r="G822" s="1187">
        <v>42.12</v>
      </c>
      <c r="H822" s="922" t="s">
        <v>131</v>
      </c>
      <c r="I822" s="1188"/>
      <c r="J822" s="926">
        <v>42.12</v>
      </c>
      <c r="K822" s="920"/>
    </row>
    <row r="823" spans="1:11" ht="18.75" customHeight="1">
      <c r="A823" s="1171" t="str">
        <f>Таблица301715[[#This Row],[Группа]]&amp;Таблица301715[[#This Row],[Номенклатура]]&amp;Таблица301715[[#This Row],[ЕИ]]</f>
        <v>МетизыБолт М10-6gх140.58.12Х18Н10Т ГОСТ 7798-70 (DIN 931, DIN 933) шт</v>
      </c>
      <c r="B823" s="921" t="s">
        <v>69</v>
      </c>
      <c r="C823" s="921"/>
      <c r="D823" s="1185" t="s">
        <v>1535</v>
      </c>
      <c r="E823" s="1185"/>
      <c r="F823" s="1186" t="s">
        <v>129</v>
      </c>
      <c r="G823" s="1187">
        <v>49.1</v>
      </c>
      <c r="H823" s="922" t="s">
        <v>131</v>
      </c>
      <c r="I823" s="1188"/>
      <c r="J823" s="926">
        <v>49.1</v>
      </c>
      <c r="K823" s="920"/>
    </row>
    <row r="824" spans="1:11" ht="18.75" customHeight="1">
      <c r="A824" s="1171" t="str">
        <f>Таблица301715[[#This Row],[Группа]]&amp;Таблица301715[[#This Row],[Номенклатура]]&amp;Таблица301715[[#This Row],[ЕИ]]</f>
        <v>МетизыБолт М10-6gх150.58.12Х18Н10Т ГОСТ 7798-70 (DIN 931, DIN 933) шт</v>
      </c>
      <c r="B824" s="921" t="s">
        <v>69</v>
      </c>
      <c r="C824" s="921"/>
      <c r="D824" s="1185" t="s">
        <v>1536</v>
      </c>
      <c r="E824" s="1185"/>
      <c r="F824" s="1186" t="s">
        <v>129</v>
      </c>
      <c r="G824" s="1187">
        <v>49.32</v>
      </c>
      <c r="H824" s="922" t="s">
        <v>131</v>
      </c>
      <c r="I824" s="1188"/>
      <c r="J824" s="926">
        <v>49.32</v>
      </c>
      <c r="K824" s="920"/>
    </row>
    <row r="825" spans="1:11" ht="18.75" customHeight="1">
      <c r="A825" s="1171" t="str">
        <f>Таблица301715[[#This Row],[Группа]]&amp;Таблица301715[[#This Row],[Номенклатура]]&amp;Таблица301715[[#This Row],[ЕИ]]</f>
        <v>МетизыБолт М12-6gх30.58.12Х18Н10Т ГОСТ 7798-70 (DIN 931, DIN 933) шт</v>
      </c>
      <c r="B825" s="921" t="s">
        <v>69</v>
      </c>
      <c r="C825" s="921"/>
      <c r="D825" s="1185" t="s">
        <v>1537</v>
      </c>
      <c r="E825" s="1185"/>
      <c r="F825" s="1186" t="s">
        <v>129</v>
      </c>
      <c r="G825" s="1187">
        <v>37</v>
      </c>
      <c r="H825" s="922" t="s">
        <v>131</v>
      </c>
      <c r="I825" s="1188"/>
      <c r="J825" s="926">
        <v>37</v>
      </c>
      <c r="K825" s="920"/>
    </row>
    <row r="826" spans="1:11" ht="18.75" customHeight="1">
      <c r="A826" s="1171" t="str">
        <f>Таблица301715[[#This Row],[Группа]]&amp;Таблица301715[[#This Row],[Номенклатура]]&amp;Таблица301715[[#This Row],[ЕИ]]</f>
        <v>МетизыБолт М12-6gх40.58.12Х18Н10Т ГОСТ 7798-70 (DIN 931, DIN 933) шт</v>
      </c>
      <c r="B826" s="921" t="s">
        <v>69</v>
      </c>
      <c r="C826" s="921"/>
      <c r="D826" s="1185" t="s">
        <v>1538</v>
      </c>
      <c r="E826" s="1185"/>
      <c r="F826" s="1186" t="s">
        <v>129</v>
      </c>
      <c r="G826" s="1187">
        <v>43</v>
      </c>
      <c r="H826" s="922" t="s">
        <v>131</v>
      </c>
      <c r="I826" s="1188"/>
      <c r="J826" s="926">
        <v>43</v>
      </c>
      <c r="K826" s="920"/>
    </row>
    <row r="827" spans="1:11" ht="18.75" customHeight="1">
      <c r="A827" s="1171" t="str">
        <f>Таблица301715[[#This Row],[Группа]]&amp;Таблица301715[[#This Row],[Номенклатура]]&amp;Таблица301715[[#This Row],[ЕИ]]</f>
        <v>МетизыБолт М12-6gх50.58.12Х18Н10Т ГОСТ 7798-70 (DIN 931, DIN 933) шт</v>
      </c>
      <c r="B827" s="921" t="s">
        <v>69</v>
      </c>
      <c r="C827" s="921"/>
      <c r="D827" s="1185" t="s">
        <v>787</v>
      </c>
      <c r="E827" s="1185"/>
      <c r="F827" s="1186" t="s">
        <v>129</v>
      </c>
      <c r="G827" s="1187">
        <v>50</v>
      </c>
      <c r="H827" s="922" t="s">
        <v>131</v>
      </c>
      <c r="I827" s="1188"/>
      <c r="J827" s="926">
        <v>50</v>
      </c>
      <c r="K827" s="920"/>
    </row>
    <row r="828" spans="1:11" ht="18.75" customHeight="1">
      <c r="A828" s="1171" t="str">
        <f>Таблица301715[[#This Row],[Группа]]&amp;Таблица301715[[#This Row],[Номенклатура]]&amp;Таблица301715[[#This Row],[ЕИ]]</f>
        <v>МетизыБолт М12-6gх60.58.12Х18Н10Т ГОСТ 7798-70 (DIN 931, DIN 933) шт</v>
      </c>
      <c r="B828" s="921" t="s">
        <v>69</v>
      </c>
      <c r="C828" s="921"/>
      <c r="D828" s="1185" t="s">
        <v>1539</v>
      </c>
      <c r="E828" s="1185"/>
      <c r="F828" s="1186" t="s">
        <v>129</v>
      </c>
      <c r="G828" s="1187">
        <v>55</v>
      </c>
      <c r="H828" s="922" t="s">
        <v>131</v>
      </c>
      <c r="I828" s="1188"/>
      <c r="J828" s="926">
        <v>55</v>
      </c>
      <c r="K828" s="920"/>
    </row>
    <row r="829" spans="1:11" ht="18.75" customHeight="1">
      <c r="A829" s="1171" t="str">
        <f>Таблица301715[[#This Row],[Группа]]&amp;Таблица301715[[#This Row],[Номенклатура]]&amp;Таблица301715[[#This Row],[ЕИ]]</f>
        <v>МетизыБолт М12-6gх70.58.12Х18Н10Т ГОСТ 7798-70 (DIN 931, DIN 933) шт</v>
      </c>
      <c r="B829" s="921" t="s">
        <v>69</v>
      </c>
      <c r="C829" s="921"/>
      <c r="D829" s="1185" t="s">
        <v>1540</v>
      </c>
      <c r="E829" s="1185"/>
      <c r="F829" s="1186" t="s">
        <v>129</v>
      </c>
      <c r="G829" s="1187">
        <v>61</v>
      </c>
      <c r="H829" s="922" t="s">
        <v>131</v>
      </c>
      <c r="I829" s="1188"/>
      <c r="J829" s="926">
        <v>61</v>
      </c>
      <c r="K829" s="920"/>
    </row>
    <row r="830" spans="1:11" ht="18.75" customHeight="1">
      <c r="A830" s="1171" t="str">
        <f>Таблица301715[[#This Row],[Группа]]&amp;Таблица301715[[#This Row],[Номенклатура]]&amp;Таблица301715[[#This Row],[ЕИ]]</f>
        <v>МетизыБолт М12-6gх80.58.12Х18Н10Т ГОСТ 7798-70 (DIN 931, DIN 933) шт</v>
      </c>
      <c r="B830" s="921" t="s">
        <v>69</v>
      </c>
      <c r="C830" s="921"/>
      <c r="D830" s="1185" t="s">
        <v>1541</v>
      </c>
      <c r="E830" s="1185"/>
      <c r="F830" s="1186" t="s">
        <v>129</v>
      </c>
      <c r="G830" s="1187">
        <v>67</v>
      </c>
      <c r="H830" s="922" t="s">
        <v>131</v>
      </c>
      <c r="I830" s="1188"/>
      <c r="J830" s="926">
        <v>67</v>
      </c>
      <c r="K830" s="920"/>
    </row>
    <row r="831" spans="1:11" ht="18.75" customHeight="1">
      <c r="A831" s="1171" t="str">
        <f>Таблица301715[[#This Row],[Группа]]&amp;Таблица301715[[#This Row],[Номенклатура]]&amp;Таблица301715[[#This Row],[ЕИ]]</f>
        <v>МетизыБолт М12-6gх85.58.12Х18Н10Т ГОСТ 7798-70 (DIN 931, DIN 933) шт</v>
      </c>
      <c r="B831" s="921" t="s">
        <v>69</v>
      </c>
      <c r="C831" s="921"/>
      <c r="D831" s="1185" t="s">
        <v>1542</v>
      </c>
      <c r="E831" s="1185"/>
      <c r="F831" s="1186" t="s">
        <v>129</v>
      </c>
      <c r="G831" s="1187">
        <v>71</v>
      </c>
      <c r="H831" s="922" t="s">
        <v>131</v>
      </c>
      <c r="I831" s="1188"/>
      <c r="J831" s="926">
        <v>71</v>
      </c>
      <c r="K831" s="920"/>
    </row>
    <row r="832" spans="1:11" ht="18.75" customHeight="1">
      <c r="A832" s="1171" t="str">
        <f>Таблица301715[[#This Row],[Группа]]&amp;Таблица301715[[#This Row],[Номенклатура]]&amp;Таблица301715[[#This Row],[ЕИ]]</f>
        <v>МетизыБолт М12-6gх90.58.12Х18Н10Т ГОСТ 7798-70 (DIN 931, DIN 933) шт</v>
      </c>
      <c r="B832" s="921" t="s">
        <v>69</v>
      </c>
      <c r="C832" s="921"/>
      <c r="D832" s="1185" t="s">
        <v>483</v>
      </c>
      <c r="E832" s="1185"/>
      <c r="F832" s="1186" t="s">
        <v>129</v>
      </c>
      <c r="G832" s="1187">
        <v>74</v>
      </c>
      <c r="H832" s="922" t="s">
        <v>131</v>
      </c>
      <c r="I832" s="1188"/>
      <c r="J832" s="926">
        <v>74</v>
      </c>
      <c r="K832" s="920"/>
    </row>
    <row r="833" spans="1:11" ht="18.75" customHeight="1">
      <c r="A833" s="1171" t="str">
        <f>Таблица301715[[#This Row],[Группа]]&amp;Таблица301715[[#This Row],[Номенклатура]]&amp;Таблица301715[[#This Row],[ЕИ]]</f>
        <v>МетизыБолт М12-6gх100.58.12Х18Н10Т ГОСТ 7798-70 (DIN 931, DIN 933) шт</v>
      </c>
      <c r="B833" s="921" t="s">
        <v>69</v>
      </c>
      <c r="C833" s="921"/>
      <c r="D833" s="1185" t="s">
        <v>1543</v>
      </c>
      <c r="E833" s="1185"/>
      <c r="F833" s="1186" t="s">
        <v>129</v>
      </c>
      <c r="G833" s="1187">
        <v>85</v>
      </c>
      <c r="H833" s="922" t="s">
        <v>131</v>
      </c>
      <c r="I833" s="1188"/>
      <c r="J833" s="926">
        <v>85</v>
      </c>
      <c r="K833" s="920"/>
    </row>
    <row r="834" spans="1:11" ht="18.75" customHeight="1">
      <c r="A834" s="1171" t="str">
        <f>Таблица301715[[#This Row],[Группа]]&amp;Таблица301715[[#This Row],[Номенклатура]]&amp;Таблица301715[[#This Row],[ЕИ]]</f>
        <v>МетизыБолт М12-6gх110.58.12Х18Н10Т ГОСТ 7798-70 (DIN 931, DIN 933) шт</v>
      </c>
      <c r="B834" s="921" t="s">
        <v>69</v>
      </c>
      <c r="C834" s="921"/>
      <c r="D834" s="1185" t="s">
        <v>1544</v>
      </c>
      <c r="E834" s="1185"/>
      <c r="F834" s="1186" t="s">
        <v>129</v>
      </c>
      <c r="G834" s="1187">
        <v>90</v>
      </c>
      <c r="H834" s="922" t="s">
        <v>131</v>
      </c>
      <c r="I834" s="1188"/>
      <c r="J834" s="926">
        <v>90</v>
      </c>
      <c r="K834" s="920"/>
    </row>
    <row r="835" spans="1:11" ht="18.75" customHeight="1">
      <c r="A835" s="1171" t="str">
        <f>Таблица301715[[#This Row],[Группа]]&amp;Таблица301715[[#This Row],[Номенклатура]]&amp;Таблица301715[[#This Row],[ЕИ]]</f>
        <v>МетизыБолт М12-6gх120.58.12Х18Н10Т ГОСТ 7798-70 (DIN 931, DIN 933) шт</v>
      </c>
      <c r="B835" s="921" t="s">
        <v>69</v>
      </c>
      <c r="C835" s="921"/>
      <c r="D835" s="1185" t="s">
        <v>1545</v>
      </c>
      <c r="E835" s="1185"/>
      <c r="F835" s="1186" t="s">
        <v>129</v>
      </c>
      <c r="G835" s="1187">
        <v>105</v>
      </c>
      <c r="H835" s="922" t="s">
        <v>131</v>
      </c>
      <c r="I835" s="1188"/>
      <c r="J835" s="926">
        <v>105</v>
      </c>
      <c r="K835" s="920"/>
    </row>
    <row r="836" spans="1:11" ht="18.75" customHeight="1">
      <c r="A836" s="1171" t="str">
        <f>Таблица301715[[#This Row],[Группа]]&amp;Таблица301715[[#This Row],[Номенклатура]]&amp;Таблица301715[[#This Row],[ЕИ]]</f>
        <v>МетизыБолт М12-6gх130.58.12Х18Н10Т ГОСТ 7798-70 (DIN 931, DIN 933) шт</v>
      </c>
      <c r="B836" s="921" t="s">
        <v>69</v>
      </c>
      <c r="C836" s="921"/>
      <c r="D836" s="1185" t="s">
        <v>1546</v>
      </c>
      <c r="E836" s="1185"/>
      <c r="F836" s="1186" t="s">
        <v>129</v>
      </c>
      <c r="G836" s="1187">
        <v>125</v>
      </c>
      <c r="H836" s="922" t="s">
        <v>131</v>
      </c>
      <c r="I836" s="1188"/>
      <c r="J836" s="926">
        <v>125</v>
      </c>
      <c r="K836" s="920"/>
    </row>
    <row r="837" spans="1:11" ht="18.75" customHeight="1">
      <c r="A837" s="1171" t="str">
        <f>Таблица301715[[#This Row],[Группа]]&amp;Таблица301715[[#This Row],[Номенклатура]]&amp;Таблица301715[[#This Row],[ЕИ]]</f>
        <v>МетизыБолт М12-6gх140.58.12Х18Н10Т ГОСТ 7798-70 (DIN 931, DIN 933) шт</v>
      </c>
      <c r="B837" s="921" t="s">
        <v>69</v>
      </c>
      <c r="C837" s="921"/>
      <c r="D837" s="1185" t="s">
        <v>1547</v>
      </c>
      <c r="E837" s="1185"/>
      <c r="F837" s="1186" t="s">
        <v>129</v>
      </c>
      <c r="G837" s="1187">
        <v>131</v>
      </c>
      <c r="H837" s="922" t="s">
        <v>131</v>
      </c>
      <c r="I837" s="1188"/>
      <c r="J837" s="926">
        <v>131</v>
      </c>
      <c r="K837" s="920"/>
    </row>
    <row r="838" spans="1:11" ht="18.75" customHeight="1">
      <c r="A838" s="1171" t="str">
        <f>Таблица301715[[#This Row],[Группа]]&amp;Таблица301715[[#This Row],[Номенклатура]]&amp;Таблица301715[[#This Row],[ЕИ]]</f>
        <v>МетизыБолт М12-6gх150.58.12Х18Н10Т ГОСТ 7798-70 (DIN 931, DIN 933) шт</v>
      </c>
      <c r="B838" s="921" t="s">
        <v>69</v>
      </c>
      <c r="C838" s="921"/>
      <c r="D838" s="1185" t="s">
        <v>1548</v>
      </c>
      <c r="E838" s="1185"/>
      <c r="F838" s="1186" t="s">
        <v>129</v>
      </c>
      <c r="G838" s="1187">
        <v>149</v>
      </c>
      <c r="H838" s="922" t="s">
        <v>131</v>
      </c>
      <c r="I838" s="1188"/>
      <c r="J838" s="926">
        <v>149</v>
      </c>
      <c r="K838" s="920"/>
    </row>
    <row r="839" spans="1:11" ht="18.75" customHeight="1">
      <c r="A839" s="1171" t="str">
        <f>Таблица301715[[#This Row],[Группа]]&amp;Таблица301715[[#This Row],[Номенклатура]]&amp;Таблица301715[[#This Row],[ЕИ]]</f>
        <v>МетизыБолт М16-6gх20.58.12Х18Н10Т ГОСТ 7798-70 (DIN 931, DIN 933) шт</v>
      </c>
      <c r="B839" s="921" t="s">
        <v>69</v>
      </c>
      <c r="C839" s="921"/>
      <c r="D839" s="1185" t="s">
        <v>1549</v>
      </c>
      <c r="E839" s="1185"/>
      <c r="F839" s="1186" t="s">
        <v>129</v>
      </c>
      <c r="G839" s="1187">
        <v>53</v>
      </c>
      <c r="H839" s="922" t="s">
        <v>131</v>
      </c>
      <c r="I839" s="1188"/>
      <c r="J839" s="926">
        <v>53</v>
      </c>
      <c r="K839" s="920"/>
    </row>
    <row r="840" spans="1:11" ht="18.75" customHeight="1">
      <c r="A840" s="1171" t="str">
        <f>Таблица301715[[#This Row],[Группа]]&amp;Таблица301715[[#This Row],[Номенклатура]]&amp;Таблица301715[[#This Row],[ЕИ]]</f>
        <v>МетизыБолт М16-6gх30.58.12Х18Н10Т ГОСТ 7798-70 (DIN 931, DIN 933) шт</v>
      </c>
      <c r="B840" s="921" t="s">
        <v>69</v>
      </c>
      <c r="C840" s="921"/>
      <c r="D840" s="1185" t="s">
        <v>1550</v>
      </c>
      <c r="E840" s="1185"/>
      <c r="F840" s="1186" t="s">
        <v>129</v>
      </c>
      <c r="G840" s="1187">
        <v>61</v>
      </c>
      <c r="H840" s="922" t="s">
        <v>131</v>
      </c>
      <c r="I840" s="1188"/>
      <c r="J840" s="926">
        <v>61</v>
      </c>
      <c r="K840" s="920"/>
    </row>
    <row r="841" spans="1:11" ht="18.75" customHeight="1">
      <c r="A841" s="1171" t="str">
        <f>Таблица301715[[#This Row],[Группа]]&amp;Таблица301715[[#This Row],[Номенклатура]]&amp;Таблица301715[[#This Row],[ЕИ]]</f>
        <v>МетизыБолт М16-6gх40.58.12Х18Н10Т ГОСТ 7798-70 (DIN 931, DIN 933) шт</v>
      </c>
      <c r="B841" s="921" t="s">
        <v>69</v>
      </c>
      <c r="C841" s="921"/>
      <c r="D841" s="1185" t="s">
        <v>1551</v>
      </c>
      <c r="E841" s="1185"/>
      <c r="F841" s="1186" t="s">
        <v>129</v>
      </c>
      <c r="G841" s="1187">
        <v>75</v>
      </c>
      <c r="H841" s="922" t="s">
        <v>131</v>
      </c>
      <c r="I841" s="1188"/>
      <c r="J841" s="926">
        <v>75</v>
      </c>
      <c r="K841" s="920"/>
    </row>
    <row r="842" spans="1:11" ht="18.75" customHeight="1">
      <c r="A842" s="1171" t="str">
        <f>Таблица301715[[#This Row],[Группа]]&amp;Таблица301715[[#This Row],[Номенклатура]]&amp;Таблица301715[[#This Row],[ЕИ]]</f>
        <v>МетизыБолт М16-6gх50.58.12Х18Н10Т ГОСТ 7798-70 (DIN 931, DIN 933) шт</v>
      </c>
      <c r="B842" s="921" t="s">
        <v>69</v>
      </c>
      <c r="C842" s="921"/>
      <c r="D842" s="1185" t="s">
        <v>1552</v>
      </c>
      <c r="E842" s="1185"/>
      <c r="F842" s="1186" t="s">
        <v>129</v>
      </c>
      <c r="G842" s="1187">
        <v>95</v>
      </c>
      <c r="H842" s="922" t="s">
        <v>131</v>
      </c>
      <c r="I842" s="1188"/>
      <c r="J842" s="926">
        <v>95</v>
      </c>
      <c r="K842" s="920"/>
    </row>
    <row r="843" spans="1:11" ht="18.75" customHeight="1">
      <c r="A843" s="1171" t="str">
        <f>Таблица301715[[#This Row],[Группа]]&amp;Таблица301715[[#This Row],[Номенклатура]]&amp;Таблица301715[[#This Row],[ЕИ]]</f>
        <v>МетизыБолт М16-6gх60.58.12Х18Н10Т ГОСТ 7798-70 (DIN 931, DIN 933) шт</v>
      </c>
      <c r="B843" s="921" t="s">
        <v>69</v>
      </c>
      <c r="C843" s="921"/>
      <c r="D843" s="1185" t="s">
        <v>1553</v>
      </c>
      <c r="E843" s="1185"/>
      <c r="F843" s="1186" t="s">
        <v>129</v>
      </c>
      <c r="G843" s="1187">
        <v>110</v>
      </c>
      <c r="H843" s="922" t="s">
        <v>131</v>
      </c>
      <c r="I843" s="1188"/>
      <c r="J843" s="926">
        <v>110</v>
      </c>
      <c r="K843" s="920"/>
    </row>
    <row r="844" spans="1:11" ht="18.75" customHeight="1">
      <c r="A844" s="1171" t="str">
        <f>Таблица301715[[#This Row],[Группа]]&amp;Таблица301715[[#This Row],[Номенклатура]]&amp;Таблица301715[[#This Row],[ЕИ]]</f>
        <v>МетизыБолт М16-6gх70.58.12Х18Н10Т ГОСТ 7798-70 (DIN 931, DIN 933) шт</v>
      </c>
      <c r="B844" s="921" t="s">
        <v>69</v>
      </c>
      <c r="C844" s="921"/>
      <c r="D844" s="1185" t="s">
        <v>1554</v>
      </c>
      <c r="E844" s="1185"/>
      <c r="F844" s="1186" t="s">
        <v>129</v>
      </c>
      <c r="G844" s="1187">
        <v>120</v>
      </c>
      <c r="H844" s="922" t="s">
        <v>131</v>
      </c>
      <c r="I844" s="1188"/>
      <c r="J844" s="926">
        <v>120</v>
      </c>
      <c r="K844" s="920"/>
    </row>
    <row r="845" spans="1:11" ht="18.75" customHeight="1">
      <c r="A845" s="1171" t="str">
        <f>Таблица301715[[#This Row],[Группа]]&amp;Таблица301715[[#This Row],[Номенклатура]]&amp;Таблица301715[[#This Row],[ЕИ]]</f>
        <v>МетизыБолт М16-6gх80.58.12Х18Н10Т ГОСТ 7798-70 (DIN 931, DIN 933) шт</v>
      </c>
      <c r="B845" s="921" t="s">
        <v>69</v>
      </c>
      <c r="C845" s="921"/>
      <c r="D845" s="1185" t="s">
        <v>613</v>
      </c>
      <c r="E845" s="1185"/>
      <c r="F845" s="1186" t="s">
        <v>129</v>
      </c>
      <c r="G845" s="1187">
        <v>135</v>
      </c>
      <c r="H845" s="922" t="s">
        <v>131</v>
      </c>
      <c r="I845" s="1188"/>
      <c r="J845" s="926">
        <v>135</v>
      </c>
      <c r="K845" s="920"/>
    </row>
    <row r="846" spans="1:11" ht="18.75" customHeight="1">
      <c r="A846" s="1171" t="str">
        <f>Таблица301715[[#This Row],[Группа]]&amp;Таблица301715[[#This Row],[Номенклатура]]&amp;Таблица301715[[#This Row],[ЕИ]]</f>
        <v>МетизыБолт М16-6gх90.58.12Х18Н10Т ГОСТ 7798-70 (DIN 931, DIN 933) шт</v>
      </c>
      <c r="B846" s="921" t="s">
        <v>69</v>
      </c>
      <c r="C846" s="921"/>
      <c r="D846" s="1185" t="s">
        <v>1555</v>
      </c>
      <c r="E846" s="1185"/>
      <c r="F846" s="1186" t="s">
        <v>129</v>
      </c>
      <c r="G846" s="1187">
        <v>150</v>
      </c>
      <c r="H846" s="922" t="s">
        <v>131</v>
      </c>
      <c r="I846" s="1188"/>
      <c r="J846" s="926">
        <v>150</v>
      </c>
      <c r="K846" s="920"/>
    </row>
    <row r="847" spans="1:11" ht="18.75" customHeight="1">
      <c r="A847" s="1171" t="str">
        <f>Таблица301715[[#This Row],[Группа]]&amp;Таблица301715[[#This Row],[Номенклатура]]&amp;Таблица301715[[#This Row],[ЕИ]]</f>
        <v>МетизыБолт М16-6gх100.58.12Х18Н10Т ГОСТ 7798-70 (DIN 931, DIN 933) шт</v>
      </c>
      <c r="B847" s="921" t="s">
        <v>69</v>
      </c>
      <c r="C847" s="921"/>
      <c r="D847" s="1185" t="s">
        <v>1556</v>
      </c>
      <c r="E847" s="1185"/>
      <c r="F847" s="1186" t="s">
        <v>129</v>
      </c>
      <c r="G847" s="1187">
        <v>165</v>
      </c>
      <c r="H847" s="922" t="s">
        <v>131</v>
      </c>
      <c r="I847" s="1188"/>
      <c r="J847" s="926">
        <v>165</v>
      </c>
      <c r="K847" s="920"/>
    </row>
    <row r="848" spans="1:11" ht="18.75" customHeight="1">
      <c r="A848" s="1171" t="str">
        <f>Таблица301715[[#This Row],[Группа]]&amp;Таблица301715[[#This Row],[Номенклатура]]&amp;Таблица301715[[#This Row],[ЕИ]]</f>
        <v>МетизыБолт М16-6gх110.58.12Х18Н10Т ГОСТ 7798-70 (DIN 931, DIN 933) шт</v>
      </c>
      <c r="B848" s="921" t="s">
        <v>69</v>
      </c>
      <c r="C848" s="921"/>
      <c r="D848" s="1185" t="s">
        <v>1557</v>
      </c>
      <c r="E848" s="1185"/>
      <c r="F848" s="1186" t="s">
        <v>129</v>
      </c>
      <c r="G848" s="1187">
        <v>180</v>
      </c>
      <c r="H848" s="922" t="s">
        <v>131</v>
      </c>
      <c r="I848" s="1188"/>
      <c r="J848" s="926">
        <v>180</v>
      </c>
      <c r="K848" s="920"/>
    </row>
    <row r="849" spans="1:11" ht="18.75" customHeight="1">
      <c r="A849" s="1171" t="str">
        <f>Таблица301715[[#This Row],[Группа]]&amp;Таблица301715[[#This Row],[Номенклатура]]&amp;Таблица301715[[#This Row],[ЕИ]]</f>
        <v>МетизыБолт М16-6gх120.58.12Х18Н10Т ГОСТ 7798-70 (DIN 931, DIN 933) шт</v>
      </c>
      <c r="B849" s="921" t="s">
        <v>69</v>
      </c>
      <c r="C849" s="921"/>
      <c r="D849" s="1185" t="s">
        <v>741</v>
      </c>
      <c r="E849" s="1185"/>
      <c r="F849" s="1186" t="s">
        <v>129</v>
      </c>
      <c r="G849" s="1187">
        <v>195</v>
      </c>
      <c r="H849" s="922" t="s">
        <v>131</v>
      </c>
      <c r="I849" s="1188"/>
      <c r="J849" s="926">
        <v>195</v>
      </c>
      <c r="K849" s="920"/>
    </row>
    <row r="850" spans="1:11" ht="18.75" customHeight="1">
      <c r="A850" s="1171" t="str">
        <f>Таблица301715[[#This Row],[Группа]]&amp;Таблица301715[[#This Row],[Номенклатура]]&amp;Таблица301715[[#This Row],[ЕИ]]</f>
        <v>МетизыБолт М16-6gх130.58.12Х18Н10Т ГОСТ 7798-70 (DIN 931, DIN 933) шт</v>
      </c>
      <c r="B850" s="921" t="s">
        <v>69</v>
      </c>
      <c r="C850" s="921"/>
      <c r="D850" s="1185" t="s">
        <v>1558</v>
      </c>
      <c r="E850" s="1185"/>
      <c r="F850" s="1186" t="s">
        <v>129</v>
      </c>
      <c r="G850" s="1187">
        <v>210</v>
      </c>
      <c r="H850" s="922" t="s">
        <v>131</v>
      </c>
      <c r="I850" s="1188"/>
      <c r="J850" s="926">
        <v>210</v>
      </c>
      <c r="K850" s="920"/>
    </row>
    <row r="851" spans="1:11" ht="18.75" customHeight="1">
      <c r="A851" s="1171" t="str">
        <f>Таблица301715[[#This Row],[Группа]]&amp;Таблица301715[[#This Row],[Номенклатура]]&amp;Таблица301715[[#This Row],[ЕИ]]</f>
        <v>МетизыБолт М16-6gх140.58.12Х18Н10Т ГОСТ 7798-70 (DIN 931, DIN 933) шт</v>
      </c>
      <c r="B851" s="921" t="s">
        <v>69</v>
      </c>
      <c r="C851" s="921"/>
      <c r="D851" s="1185" t="s">
        <v>1559</v>
      </c>
      <c r="E851" s="1185"/>
      <c r="F851" s="1186" t="s">
        <v>129</v>
      </c>
      <c r="G851" s="1187">
        <v>225</v>
      </c>
      <c r="H851" s="922" t="s">
        <v>131</v>
      </c>
      <c r="I851" s="1188"/>
      <c r="J851" s="926">
        <v>225</v>
      </c>
      <c r="K851" s="920"/>
    </row>
    <row r="852" spans="1:11" ht="18.75" customHeight="1">
      <c r="A852" s="1171" t="str">
        <f>Таблица301715[[#This Row],[Группа]]&amp;Таблица301715[[#This Row],[Номенклатура]]&amp;Таблица301715[[#This Row],[ЕИ]]</f>
        <v>МетизыБолт М16-6gх150.58.12Х18Н10Т ГОСТ 7798-70 (DIN 931, DIN 933) шт</v>
      </c>
      <c r="B852" s="921" t="s">
        <v>69</v>
      </c>
      <c r="C852" s="921"/>
      <c r="D852" s="1185" t="s">
        <v>1560</v>
      </c>
      <c r="E852" s="1185"/>
      <c r="F852" s="1186" t="s">
        <v>129</v>
      </c>
      <c r="G852" s="1187">
        <v>240</v>
      </c>
      <c r="H852" s="922" t="s">
        <v>131</v>
      </c>
      <c r="I852" s="1188"/>
      <c r="J852" s="926">
        <v>240</v>
      </c>
      <c r="K852" s="920"/>
    </row>
    <row r="853" spans="1:11" ht="18.75" customHeight="1">
      <c r="A853" s="1171" t="str">
        <f>Таблица301715[[#This Row],[Группа]]&amp;Таблица301715[[#This Row],[Номенклатура]]&amp;Таблица301715[[#This Row],[ЕИ]]</f>
        <v>МетизыБолт М16-6gх160.58.12Х18Н10Т ГОСТ 7798-70 (DIN 931, DIN 933) шт</v>
      </c>
      <c r="B853" s="921" t="s">
        <v>69</v>
      </c>
      <c r="C853" s="921"/>
      <c r="D853" s="1185" t="s">
        <v>1561</v>
      </c>
      <c r="E853" s="1185"/>
      <c r="F853" s="1186" t="s">
        <v>129</v>
      </c>
      <c r="G853" s="1187">
        <v>268</v>
      </c>
      <c r="H853" s="922" t="s">
        <v>131</v>
      </c>
      <c r="I853" s="1188"/>
      <c r="J853" s="926">
        <v>268</v>
      </c>
      <c r="K853" s="920"/>
    </row>
    <row r="854" spans="1:11" ht="18.75" customHeight="1">
      <c r="A854" s="1171" t="str">
        <f>Таблица301715[[#This Row],[Группа]]&amp;Таблица301715[[#This Row],[Номенклатура]]&amp;Таблица301715[[#This Row],[ЕИ]]</f>
        <v>МетизыБолт М16-6gх170.58.12Х18Н10Т ГОСТ 7798-70 (DIN 931, DIN 933) шт</v>
      </c>
      <c r="B854" s="921" t="s">
        <v>69</v>
      </c>
      <c r="C854" s="921"/>
      <c r="D854" s="1185" t="s">
        <v>1562</v>
      </c>
      <c r="E854" s="1185"/>
      <c r="F854" s="1186" t="s">
        <v>129</v>
      </c>
      <c r="G854" s="1187">
        <v>280</v>
      </c>
      <c r="H854" s="922" t="s">
        <v>131</v>
      </c>
      <c r="I854" s="1188"/>
      <c r="J854" s="926">
        <v>280</v>
      </c>
      <c r="K854" s="920"/>
    </row>
    <row r="855" spans="1:11" ht="18.75" customHeight="1">
      <c r="A855" s="1171" t="str">
        <f>Таблица301715[[#This Row],[Группа]]&amp;Таблица301715[[#This Row],[Номенклатура]]&amp;Таблица301715[[#This Row],[ЕИ]]</f>
        <v>МетизыБолт М16-6gх180.58.12Х18Н10Т ГОСТ 7798-70 (DIN 931, DIN 933) шт</v>
      </c>
      <c r="B855" s="921" t="s">
        <v>69</v>
      </c>
      <c r="C855" s="921"/>
      <c r="D855" s="1185" t="s">
        <v>1563</v>
      </c>
      <c r="E855" s="1185"/>
      <c r="F855" s="1186" t="s">
        <v>129</v>
      </c>
      <c r="G855" s="1187">
        <v>305</v>
      </c>
      <c r="H855" s="922" t="s">
        <v>131</v>
      </c>
      <c r="I855" s="1188"/>
      <c r="J855" s="926">
        <v>305</v>
      </c>
      <c r="K855" s="920"/>
    </row>
    <row r="856" spans="1:11" ht="18.75" customHeight="1">
      <c r="A856" s="1171" t="str">
        <f>Таблица301715[[#This Row],[Группа]]&amp;Таблица301715[[#This Row],[Номенклатура]]&amp;Таблица301715[[#This Row],[ЕИ]]</f>
        <v>МетизыБолт М16-6gх190.58.12Х18Н10Т ГОСТ 7798-70 (DIN 931, DIN 933) шт</v>
      </c>
      <c r="B856" s="921" t="s">
        <v>69</v>
      </c>
      <c r="C856" s="921"/>
      <c r="D856" s="1185" t="s">
        <v>1564</v>
      </c>
      <c r="E856" s="1185"/>
      <c r="F856" s="1186" t="s">
        <v>129</v>
      </c>
      <c r="G856" s="1187">
        <v>315</v>
      </c>
      <c r="H856" s="922" t="s">
        <v>131</v>
      </c>
      <c r="I856" s="1188"/>
      <c r="J856" s="926">
        <v>315</v>
      </c>
      <c r="K856" s="920"/>
    </row>
    <row r="857" spans="1:11" ht="18.75" customHeight="1">
      <c r="A857" s="1171" t="str">
        <f>Таблица301715[[#This Row],[Группа]]&amp;Таблица301715[[#This Row],[Номенклатура]]&amp;Таблица301715[[#This Row],[ЕИ]]</f>
        <v>МетизыБолт М16-6gх200.58.12Х18Н10Т ГОСТ 7798-70 (DIN 931, DIN 933) шт</v>
      </c>
      <c r="B857" s="921" t="s">
        <v>69</v>
      </c>
      <c r="C857" s="921"/>
      <c r="D857" s="1185" t="s">
        <v>1565</v>
      </c>
      <c r="E857" s="1185"/>
      <c r="F857" s="1186" t="s">
        <v>129</v>
      </c>
      <c r="G857" s="1187">
        <v>345</v>
      </c>
      <c r="H857" s="922" t="s">
        <v>131</v>
      </c>
      <c r="I857" s="1188"/>
      <c r="J857" s="926">
        <v>345</v>
      </c>
      <c r="K857" s="920"/>
    </row>
    <row r="858" spans="1:11" ht="18.75" customHeight="1">
      <c r="A858" s="1171" t="str">
        <f>Таблица301715[[#This Row],[Группа]]&amp;Таблица301715[[#This Row],[Номенклатура]]&amp;Таблица301715[[#This Row],[ЕИ]]</f>
        <v>МетизыБолт М18-6gх80.58.12Х18Н10Т ГОСТ 7798-70 (DIN 931, DIN 933) шт</v>
      </c>
      <c r="B858" s="921" t="s">
        <v>69</v>
      </c>
      <c r="C858" s="921"/>
      <c r="D858" s="1185" t="s">
        <v>1566</v>
      </c>
      <c r="E858" s="1185"/>
      <c r="F858" s="1186" t="s">
        <v>129</v>
      </c>
      <c r="G858" s="1187">
        <v>125.2</v>
      </c>
      <c r="H858" s="922" t="s">
        <v>131</v>
      </c>
      <c r="I858" s="1188"/>
      <c r="J858" s="926">
        <v>125.2</v>
      </c>
      <c r="K858" s="920"/>
    </row>
    <row r="859" spans="1:11" ht="18.75" customHeight="1">
      <c r="A859" s="1171" t="str">
        <f>Таблица301715[[#This Row],[Группа]]&amp;Таблица301715[[#This Row],[Номенклатура]]&amp;Таблица301715[[#This Row],[ЕИ]]</f>
        <v>МетизыБолт М18-6gх90.58.12Х18Н10Т ГОСТ 7798-70 (DIN 931, DIN 933) шт</v>
      </c>
      <c r="B859" s="921" t="s">
        <v>69</v>
      </c>
      <c r="C859" s="921"/>
      <c r="D859" s="1185" t="s">
        <v>1567</v>
      </c>
      <c r="E859" s="1185"/>
      <c r="F859" s="1186" t="s">
        <v>129</v>
      </c>
      <c r="G859" s="1187">
        <v>144.72999999999999</v>
      </c>
      <c r="H859" s="922" t="s">
        <v>131</v>
      </c>
      <c r="I859" s="1188"/>
      <c r="J859" s="926">
        <v>144.72999999999999</v>
      </c>
      <c r="K859" s="920"/>
    </row>
    <row r="860" spans="1:11" ht="18.75" customHeight="1">
      <c r="A860" s="1171" t="str">
        <f>Таблица301715[[#This Row],[Группа]]&amp;Таблица301715[[#This Row],[Номенклатура]]&amp;Таблица301715[[#This Row],[ЕИ]]</f>
        <v>МетизыБолт М18-6gх100.58.12Х18Н10Т ГОСТ 7798-70 (DIN 931, DIN 933) шт</v>
      </c>
      <c r="B860" s="921" t="s">
        <v>69</v>
      </c>
      <c r="C860" s="921"/>
      <c r="D860" s="1185" t="s">
        <v>1568</v>
      </c>
      <c r="E860" s="1185"/>
      <c r="F860" s="1186" t="s">
        <v>129</v>
      </c>
      <c r="G860" s="1187">
        <v>143.19999999999999</v>
      </c>
      <c r="H860" s="922" t="s">
        <v>131</v>
      </c>
      <c r="I860" s="1188"/>
      <c r="J860" s="926">
        <v>143.19999999999999</v>
      </c>
      <c r="K860" s="920"/>
    </row>
    <row r="861" spans="1:11" ht="18.75" customHeight="1">
      <c r="A861" s="1171" t="str">
        <f>Таблица301715[[#This Row],[Группа]]&amp;Таблица301715[[#This Row],[Номенклатура]]&amp;Таблица301715[[#This Row],[ЕИ]]</f>
        <v>МетизыБолт М18-6gх110.58.12Х18Н10Т ГОСТ 7798-70 (DIN 931, DIN 933) шт</v>
      </c>
      <c r="B861" s="921" t="s">
        <v>69</v>
      </c>
      <c r="C861" s="921"/>
      <c r="D861" s="1185" t="s">
        <v>1569</v>
      </c>
      <c r="E861" s="1185"/>
      <c r="F861" s="1186" t="s">
        <v>129</v>
      </c>
      <c r="G861" s="1187">
        <v>190.29</v>
      </c>
      <c r="H861" s="922" t="s">
        <v>131</v>
      </c>
      <c r="I861" s="1188"/>
      <c r="J861" s="926">
        <v>190.29</v>
      </c>
      <c r="K861" s="920"/>
    </row>
    <row r="862" spans="1:11" ht="18.75" customHeight="1">
      <c r="A862" s="1171" t="str">
        <f>Таблица301715[[#This Row],[Группа]]&amp;Таблица301715[[#This Row],[Номенклатура]]&amp;Таблица301715[[#This Row],[ЕИ]]</f>
        <v>МетизыБолт М18-6gх120.12Х18Н10Т ГОСТ 7798-70 (DIN 931, DIN 933) шт</v>
      </c>
      <c r="B862" s="921" t="s">
        <v>69</v>
      </c>
      <c r="C862" s="921"/>
      <c r="D862" s="1185" t="s">
        <v>1570</v>
      </c>
      <c r="E862" s="1185"/>
      <c r="F862" s="1186" t="s">
        <v>129</v>
      </c>
      <c r="G862" s="1187">
        <v>178.2</v>
      </c>
      <c r="H862" s="922" t="s">
        <v>131</v>
      </c>
      <c r="I862" s="1188"/>
      <c r="J862" s="926">
        <v>178.2</v>
      </c>
      <c r="K862" s="920"/>
    </row>
    <row r="863" spans="1:11" ht="18.75" customHeight="1">
      <c r="A863" s="1171" t="str">
        <f>Таблица301715[[#This Row],[Группа]]&amp;Таблица301715[[#This Row],[Номенклатура]]&amp;Таблица301715[[#This Row],[ЕИ]]</f>
        <v>МетизыБолт М18-6gх130.12Х18Н10Т ГОСТ 7798-70 (DIN 931, DIN 933) шт</v>
      </c>
      <c r="B863" s="921" t="s">
        <v>69</v>
      </c>
      <c r="C863" s="921"/>
      <c r="D863" s="1185" t="s">
        <v>1571</v>
      </c>
      <c r="E863" s="1185"/>
      <c r="F863" s="1186" t="s">
        <v>129</v>
      </c>
      <c r="G863" s="1187">
        <v>217.3</v>
      </c>
      <c r="H863" s="922" t="s">
        <v>131</v>
      </c>
      <c r="I863" s="1188"/>
      <c r="J863" s="926">
        <v>217.3</v>
      </c>
      <c r="K863" s="920"/>
    </row>
    <row r="864" spans="1:11" ht="18.75" customHeight="1">
      <c r="A864" s="1171" t="str">
        <f>Таблица301715[[#This Row],[Группа]]&amp;Таблица301715[[#This Row],[Номенклатура]]&amp;Таблица301715[[#This Row],[ЕИ]]</f>
        <v>МетизыБолт М18-6gх140.12Х18Н10Т ГОСТ 7798-70 (DIN 931, DIN 933) шт</v>
      </c>
      <c r="B864" s="921" t="s">
        <v>69</v>
      </c>
      <c r="C864" s="921"/>
      <c r="D864" s="1185" t="s">
        <v>1572</v>
      </c>
      <c r="E864" s="1185"/>
      <c r="F864" s="1186" t="s">
        <v>129</v>
      </c>
      <c r="G864" s="1187">
        <v>228.58</v>
      </c>
      <c r="H864" s="922" t="s">
        <v>131</v>
      </c>
      <c r="I864" s="1188"/>
      <c r="J864" s="926">
        <v>228.58</v>
      </c>
      <c r="K864" s="920"/>
    </row>
    <row r="865" spans="1:11" ht="18.75" customHeight="1">
      <c r="A865" s="1171" t="str">
        <f>Таблица301715[[#This Row],[Группа]]&amp;Таблица301715[[#This Row],[Номенклатура]]&amp;Таблица301715[[#This Row],[ЕИ]]</f>
        <v>МетизыБолт М18-6gх150.12Х18Н10Т ГОСТ 7798-70 (DIN 931, DIN 933) шт</v>
      </c>
      <c r="B865" s="921" t="s">
        <v>69</v>
      </c>
      <c r="C865" s="921"/>
      <c r="D865" s="1185" t="s">
        <v>1573</v>
      </c>
      <c r="E865" s="1185"/>
      <c r="F865" s="1186" t="s">
        <v>129</v>
      </c>
      <c r="G865" s="1187">
        <v>207.5</v>
      </c>
      <c r="H865" s="922" t="s">
        <v>131</v>
      </c>
      <c r="I865" s="1188"/>
      <c r="J865" s="926">
        <v>207.5</v>
      </c>
      <c r="K865" s="920"/>
    </row>
    <row r="866" spans="1:11" ht="18.75" customHeight="1">
      <c r="A866" s="1171" t="str">
        <f>Таблица301715[[#This Row],[Группа]]&amp;Таблица301715[[#This Row],[Номенклатура]]&amp;Таблица301715[[#This Row],[ЕИ]]</f>
        <v>МетизыБолт М18-6gх160.12Х18Н10Т ГОСТ 7798-70 (DIN 931, DIN 933) шт</v>
      </c>
      <c r="B866" s="921" t="s">
        <v>69</v>
      </c>
      <c r="C866" s="921"/>
      <c r="D866" s="1185" t="s">
        <v>2168</v>
      </c>
      <c r="E866" s="1185"/>
      <c r="F866" s="1186" t="s">
        <v>129</v>
      </c>
      <c r="G866" s="1187">
        <v>349.2</v>
      </c>
      <c r="H866" s="922" t="s">
        <v>131</v>
      </c>
      <c r="I866" s="1188"/>
      <c r="J866" s="926">
        <v>349.2</v>
      </c>
      <c r="K866" s="920"/>
    </row>
    <row r="867" spans="1:11" ht="18.75" customHeight="1">
      <c r="A867" s="1171" t="str">
        <f>Таблица301715[[#This Row],[Группа]]&amp;Таблица301715[[#This Row],[Номенклатура]]&amp;Таблица301715[[#This Row],[ЕИ]]</f>
        <v>МетизыБолт М18-6gх170.12Х18Н10Т ГОСТ 7798-70 (DIN 931, DIN 933) шт</v>
      </c>
      <c r="B867" s="921" t="s">
        <v>69</v>
      </c>
      <c r="C867" s="921"/>
      <c r="D867" s="1185" t="s">
        <v>2169</v>
      </c>
      <c r="E867" s="1185"/>
      <c r="F867" s="1186" t="s">
        <v>129</v>
      </c>
      <c r="G867" s="1187">
        <v>372.2</v>
      </c>
      <c r="H867" s="922" t="s">
        <v>131</v>
      </c>
      <c r="I867" s="1188"/>
      <c r="J867" s="926">
        <v>372.2</v>
      </c>
      <c r="K867" s="920"/>
    </row>
    <row r="868" spans="1:11" ht="18.75" customHeight="1">
      <c r="A868" s="1171" t="str">
        <f>Таблица301715[[#This Row],[Группа]]&amp;Таблица301715[[#This Row],[Номенклатура]]&amp;Таблица301715[[#This Row],[ЕИ]]</f>
        <v>МетизыБолт М18-6gх180.12Х18Н10Т ГОСТ 7798-70 (DIN 931, DIN 933) шт</v>
      </c>
      <c r="B868" s="921" t="s">
        <v>69</v>
      </c>
      <c r="C868" s="921"/>
      <c r="D868" s="1185" t="s">
        <v>2170</v>
      </c>
      <c r="E868" s="1185"/>
      <c r="F868" s="1186" t="s">
        <v>129</v>
      </c>
      <c r="G868" s="1187">
        <v>397.59</v>
      </c>
      <c r="H868" s="922" t="s">
        <v>131</v>
      </c>
      <c r="I868" s="1188"/>
      <c r="J868" s="926">
        <v>397.59</v>
      </c>
      <c r="K868" s="920"/>
    </row>
    <row r="869" spans="1:11" ht="18.75" customHeight="1">
      <c r="A869" s="1171" t="str">
        <f>Таблица301715[[#This Row],[Группа]]&amp;Таблица301715[[#This Row],[Номенклатура]]&amp;Таблица301715[[#This Row],[ЕИ]]</f>
        <v>МетизыБолт М18-6gх190.12Х18Н10Т ГОСТ 7798-70 (DIN 931, DIN 933) шт</v>
      </c>
      <c r="B869" s="921" t="s">
        <v>69</v>
      </c>
      <c r="C869" s="921"/>
      <c r="D869" s="1185" t="s">
        <v>2171</v>
      </c>
      <c r="E869" s="1185"/>
      <c r="F869" s="1186" t="s">
        <v>129</v>
      </c>
      <c r="G869" s="1187">
        <v>421.2</v>
      </c>
      <c r="H869" s="922" t="s">
        <v>131</v>
      </c>
      <c r="I869" s="1188"/>
      <c r="J869" s="926">
        <v>421.2</v>
      </c>
      <c r="K869" s="920"/>
    </row>
    <row r="870" spans="1:11" ht="18.75" customHeight="1">
      <c r="A870" s="1171" t="str">
        <f>Таблица301715[[#This Row],[Группа]]&amp;Таблица301715[[#This Row],[Номенклатура]]&amp;Таблица301715[[#This Row],[ЕИ]]</f>
        <v>МетизыБолт М18-6gх200.12Х18Н10Т ГОСТ 7798-70 (DIN 931, DIN 933) шт</v>
      </c>
      <c r="B870" s="921" t="s">
        <v>69</v>
      </c>
      <c r="C870" s="921"/>
      <c r="D870" s="1185" t="s">
        <v>2172</v>
      </c>
      <c r="E870" s="1185"/>
      <c r="F870" s="1186" t="s">
        <v>129</v>
      </c>
      <c r="G870" s="1187">
        <v>440.98</v>
      </c>
      <c r="H870" s="922" t="s">
        <v>131</v>
      </c>
      <c r="I870" s="1188"/>
      <c r="J870" s="926">
        <v>440.98</v>
      </c>
      <c r="K870" s="920"/>
    </row>
    <row r="871" spans="1:11" ht="18.75" customHeight="1">
      <c r="A871" s="1171" t="str">
        <f>Таблица301715[[#This Row],[Группа]]&amp;Таблица301715[[#This Row],[Номенклатура]]&amp;Таблица301715[[#This Row],[ЕИ]]</f>
        <v>МетизыБолт М20-6gх65.58.12Х18Н10Т ГОСТ 7798-70 (DIN 931, DIN 933) шт</v>
      </c>
      <c r="B871" s="921" t="s">
        <v>69</v>
      </c>
      <c r="C871" s="921"/>
      <c r="D871" s="1185" t="s">
        <v>1574</v>
      </c>
      <c r="E871" s="1185"/>
      <c r="F871" s="1186" t="s">
        <v>129</v>
      </c>
      <c r="G871" s="1187">
        <v>198</v>
      </c>
      <c r="H871" s="922" t="s">
        <v>131</v>
      </c>
      <c r="I871" s="1188"/>
      <c r="J871" s="926">
        <v>198</v>
      </c>
      <c r="K871" s="920"/>
    </row>
    <row r="872" spans="1:11" ht="18.75" customHeight="1">
      <c r="A872" s="1171" t="str">
        <f>Таблица301715[[#This Row],[Группа]]&amp;Таблица301715[[#This Row],[Номенклатура]]&amp;Таблица301715[[#This Row],[ЕИ]]</f>
        <v>МетизыБолт М20-6gх70.58.12Х18Н10Т ГОСТ 7798-70 (DIN 931, DIN 933) шт</v>
      </c>
      <c r="B872" s="921" t="s">
        <v>69</v>
      </c>
      <c r="C872" s="921"/>
      <c r="D872" s="1185" t="s">
        <v>1575</v>
      </c>
      <c r="E872" s="1185"/>
      <c r="F872" s="1186" t="s">
        <v>129</v>
      </c>
      <c r="G872" s="1187">
        <v>201</v>
      </c>
      <c r="H872" s="922" t="s">
        <v>131</v>
      </c>
      <c r="I872" s="1188"/>
      <c r="J872" s="926">
        <v>201</v>
      </c>
      <c r="K872" s="920"/>
    </row>
    <row r="873" spans="1:11" ht="18.75" customHeight="1">
      <c r="A873" s="1171" t="str">
        <f>Таблица301715[[#This Row],[Группа]]&amp;Таблица301715[[#This Row],[Номенклатура]]&amp;Таблица301715[[#This Row],[ЕИ]]</f>
        <v>МетизыБолт М20-6gх80.58.12Х18Н10Т ГОСТ 7798-70 (DIN 931, DIN 933) шт</v>
      </c>
      <c r="B873" s="921" t="s">
        <v>69</v>
      </c>
      <c r="C873" s="921"/>
      <c r="D873" s="1185" t="s">
        <v>1576</v>
      </c>
      <c r="E873" s="1185"/>
      <c r="F873" s="1186" t="s">
        <v>129</v>
      </c>
      <c r="G873" s="1187">
        <v>220</v>
      </c>
      <c r="H873" s="922" t="s">
        <v>131</v>
      </c>
      <c r="I873" s="1188"/>
      <c r="J873" s="926">
        <v>220</v>
      </c>
      <c r="K873" s="920"/>
    </row>
    <row r="874" spans="1:11" ht="18.75" customHeight="1">
      <c r="A874" s="1171" t="str">
        <f>Таблица301715[[#This Row],[Группа]]&amp;Таблица301715[[#This Row],[Номенклатура]]&amp;Таблица301715[[#This Row],[ЕИ]]</f>
        <v>МетизыБолт М20-6gх90.58.12Х18Н10Т ГОСТ 7798-70 (DIN 931, DIN 933) шт</v>
      </c>
      <c r="B874" s="921" t="s">
        <v>69</v>
      </c>
      <c r="C874" s="921"/>
      <c r="D874" s="1185" t="s">
        <v>1577</v>
      </c>
      <c r="E874" s="1185"/>
      <c r="F874" s="1186" t="s">
        <v>129</v>
      </c>
      <c r="G874" s="1187">
        <v>270</v>
      </c>
      <c r="H874" s="922" t="s">
        <v>131</v>
      </c>
      <c r="I874" s="1188"/>
      <c r="J874" s="926">
        <v>270</v>
      </c>
      <c r="K874" s="920"/>
    </row>
    <row r="875" spans="1:11" ht="18.75" customHeight="1">
      <c r="A875" s="1171" t="str">
        <f>Таблица301715[[#This Row],[Группа]]&amp;Таблица301715[[#This Row],[Номенклатура]]&amp;Таблица301715[[#This Row],[ЕИ]]</f>
        <v>МетизыБолт М20-6gх100.58.12Х18Н10Т ГОСТ 7798-70 (DIN 931, DIN 933) шт</v>
      </c>
      <c r="B875" s="921" t="s">
        <v>69</v>
      </c>
      <c r="C875" s="921"/>
      <c r="D875" s="1185" t="s">
        <v>1578</v>
      </c>
      <c r="E875" s="1185"/>
      <c r="F875" s="1186" t="s">
        <v>129</v>
      </c>
      <c r="G875" s="1187">
        <v>281</v>
      </c>
      <c r="H875" s="922" t="s">
        <v>131</v>
      </c>
      <c r="I875" s="1188"/>
      <c r="J875" s="926">
        <v>281</v>
      </c>
      <c r="K875" s="920"/>
    </row>
    <row r="876" spans="1:11" ht="18.75" customHeight="1">
      <c r="A876" s="1171" t="str">
        <f>Таблица301715[[#This Row],[Группа]]&amp;Таблица301715[[#This Row],[Номенклатура]]&amp;Таблица301715[[#This Row],[ЕИ]]</f>
        <v>МетизыБолт М20-6gх110.58.12Х18Н10Т ГОСТ 7798-70 (DIN 931, DIN 933) шт</v>
      </c>
      <c r="B876" s="921" t="s">
        <v>69</v>
      </c>
      <c r="C876" s="921"/>
      <c r="D876" s="1185" t="s">
        <v>1579</v>
      </c>
      <c r="E876" s="1185"/>
      <c r="F876" s="1186" t="s">
        <v>129</v>
      </c>
      <c r="G876" s="1187">
        <v>295</v>
      </c>
      <c r="H876" s="922" t="s">
        <v>131</v>
      </c>
      <c r="I876" s="1188"/>
      <c r="J876" s="926">
        <v>295</v>
      </c>
      <c r="K876" s="920"/>
    </row>
    <row r="877" spans="1:11" ht="18.75" customHeight="1">
      <c r="A877" s="1171" t="str">
        <f>Таблица301715[[#This Row],[Группа]]&amp;Таблица301715[[#This Row],[Номенклатура]]&amp;Таблица301715[[#This Row],[ЕИ]]</f>
        <v>МетизыБолт М20-6gх120.58.12Х18Н10Т ГОСТ 7798-70 (DIN 931, DIN 933) шт</v>
      </c>
      <c r="B877" s="921" t="s">
        <v>69</v>
      </c>
      <c r="C877" s="921"/>
      <c r="D877" s="1185" t="s">
        <v>1580</v>
      </c>
      <c r="E877" s="1185"/>
      <c r="F877" s="1186" t="s">
        <v>129</v>
      </c>
      <c r="G877" s="1187">
        <v>301</v>
      </c>
      <c r="H877" s="922" t="s">
        <v>131</v>
      </c>
      <c r="I877" s="1188"/>
      <c r="J877" s="926">
        <v>301</v>
      </c>
      <c r="K877" s="920"/>
    </row>
    <row r="878" spans="1:11" ht="18.75" customHeight="1">
      <c r="A878" s="1171" t="str">
        <f>Таблица301715[[#This Row],[Группа]]&amp;Таблица301715[[#This Row],[Номенклатура]]&amp;Таблица301715[[#This Row],[ЕИ]]</f>
        <v>МетизыБолт М20-6gх130.58.12Х18Н10Т ГОСТ 7798-70 (DIN 931, DIN 933) шт</v>
      </c>
      <c r="B878" s="921" t="s">
        <v>69</v>
      </c>
      <c r="C878" s="921"/>
      <c r="D878" s="1185" t="s">
        <v>1581</v>
      </c>
      <c r="E878" s="1185"/>
      <c r="F878" s="1186" t="s">
        <v>129</v>
      </c>
      <c r="G878" s="1187">
        <v>321</v>
      </c>
      <c r="H878" s="922" t="s">
        <v>131</v>
      </c>
      <c r="I878" s="1188"/>
      <c r="J878" s="926">
        <v>321</v>
      </c>
      <c r="K878" s="920"/>
    </row>
    <row r="879" spans="1:11" ht="18.75" customHeight="1">
      <c r="A879" s="1171" t="str">
        <f>Таблица301715[[#This Row],[Группа]]&amp;Таблица301715[[#This Row],[Номенклатура]]&amp;Таблица301715[[#This Row],[ЕИ]]</f>
        <v>МетизыБолт М20-6gх140.58.12Х18Н10Т ГОСТ 7798-70 (DIN 931, DIN 933) шт</v>
      </c>
      <c r="B879" s="921" t="s">
        <v>69</v>
      </c>
      <c r="C879" s="921"/>
      <c r="D879" s="1185" t="s">
        <v>737</v>
      </c>
      <c r="E879" s="1185"/>
      <c r="F879" s="1186" t="s">
        <v>129</v>
      </c>
      <c r="G879" s="1187">
        <v>332</v>
      </c>
      <c r="H879" s="922" t="s">
        <v>131</v>
      </c>
      <c r="I879" s="1188"/>
      <c r="J879" s="926">
        <v>332</v>
      </c>
      <c r="K879" s="920"/>
    </row>
    <row r="880" spans="1:11" ht="18.75" customHeight="1">
      <c r="A880" s="1171" t="str">
        <f>Таблица301715[[#This Row],[Группа]]&amp;Таблица301715[[#This Row],[Номенклатура]]&amp;Таблица301715[[#This Row],[ЕИ]]</f>
        <v>МетизыБолт М20-6gх150.58.12Х18Н10Т ГОСТ 7798-70 (DIN 931, DIN 933) шт</v>
      </c>
      <c r="B880" s="921" t="s">
        <v>69</v>
      </c>
      <c r="C880" s="921"/>
      <c r="D880" s="1185" t="s">
        <v>1582</v>
      </c>
      <c r="E880" s="1185"/>
      <c r="F880" s="1186" t="s">
        <v>129</v>
      </c>
      <c r="G880" s="1187">
        <v>346</v>
      </c>
      <c r="H880" s="922" t="s">
        <v>131</v>
      </c>
      <c r="I880" s="1188"/>
      <c r="J880" s="926">
        <v>346</v>
      </c>
      <c r="K880" s="920"/>
    </row>
    <row r="881" spans="1:11" ht="18.75" customHeight="1">
      <c r="A881" s="1171" t="str">
        <f>Таблица301715[[#This Row],[Группа]]&amp;Таблица301715[[#This Row],[Номенклатура]]&amp;Таблица301715[[#This Row],[ЕИ]]</f>
        <v>МетизыБолт М20-6gх160.58.12Х18Н10Т ГОСТ 7798-70 (DIN 931, DIN 933) шт</v>
      </c>
      <c r="B881" s="921" t="s">
        <v>69</v>
      </c>
      <c r="C881" s="921"/>
      <c r="D881" s="1185" t="s">
        <v>1583</v>
      </c>
      <c r="E881" s="1185"/>
      <c r="F881" s="1186" t="s">
        <v>129</v>
      </c>
      <c r="G881" s="1187">
        <v>359</v>
      </c>
      <c r="H881" s="922" t="s">
        <v>131</v>
      </c>
      <c r="I881" s="1188"/>
      <c r="J881" s="926">
        <v>359</v>
      </c>
      <c r="K881" s="920"/>
    </row>
    <row r="882" spans="1:11" ht="18.75" customHeight="1">
      <c r="A882" s="1171" t="str">
        <f>Таблица301715[[#This Row],[Группа]]&amp;Таблица301715[[#This Row],[Номенклатура]]&amp;Таблица301715[[#This Row],[ЕИ]]</f>
        <v>МетизыБолт М20-6gх170.58.12Х18Н10Т ГОСТ 7798-70 (DIN 931, DIN 933) шт</v>
      </c>
      <c r="B882" s="921" t="s">
        <v>69</v>
      </c>
      <c r="C882" s="921"/>
      <c r="D882" s="1185" t="s">
        <v>1584</v>
      </c>
      <c r="E882" s="1185"/>
      <c r="F882" s="1186" t="s">
        <v>129</v>
      </c>
      <c r="G882" s="1187">
        <v>387</v>
      </c>
      <c r="H882" s="922" t="s">
        <v>131</v>
      </c>
      <c r="I882" s="1188"/>
      <c r="J882" s="926">
        <v>387</v>
      </c>
      <c r="K882" s="920"/>
    </row>
    <row r="883" spans="1:11" ht="18.75" customHeight="1">
      <c r="A883" s="1171" t="str">
        <f>Таблица301715[[#This Row],[Группа]]&amp;Таблица301715[[#This Row],[Номенклатура]]&amp;Таблица301715[[#This Row],[ЕИ]]</f>
        <v>МетизыБолт М20-6gх180.58.12Х18Н10Т ГОСТ 7798-70 (DIN 931, DIN 933) шт</v>
      </c>
      <c r="B883" s="921" t="s">
        <v>69</v>
      </c>
      <c r="C883" s="921"/>
      <c r="D883" s="1185" t="s">
        <v>1585</v>
      </c>
      <c r="E883" s="1185"/>
      <c r="F883" s="1186" t="s">
        <v>129</v>
      </c>
      <c r="G883" s="1187">
        <v>391</v>
      </c>
      <c r="H883" s="922" t="s">
        <v>131</v>
      </c>
      <c r="I883" s="1188"/>
      <c r="J883" s="926">
        <v>391</v>
      </c>
      <c r="K883" s="920"/>
    </row>
    <row r="884" spans="1:11" ht="18.75" customHeight="1">
      <c r="A884" s="1171" t="str">
        <f>Таблица301715[[#This Row],[Группа]]&amp;Таблица301715[[#This Row],[Номенклатура]]&amp;Таблица301715[[#This Row],[ЕИ]]</f>
        <v>МетизыБолт М20-6gх190.58.12Х18Н10Т ГОСТ 7798-70 (DIN 931, DIN 933) шт</v>
      </c>
      <c r="B884" s="921" t="s">
        <v>69</v>
      </c>
      <c r="C884" s="921"/>
      <c r="D884" s="1185" t="s">
        <v>1586</v>
      </c>
      <c r="E884" s="1185"/>
      <c r="F884" s="1186" t="s">
        <v>129</v>
      </c>
      <c r="G884" s="1187">
        <v>421</v>
      </c>
      <c r="H884" s="922" t="s">
        <v>131</v>
      </c>
      <c r="I884" s="1188"/>
      <c r="J884" s="926">
        <v>421</v>
      </c>
      <c r="K884" s="920"/>
    </row>
    <row r="885" spans="1:11" ht="18.75" customHeight="1">
      <c r="A885" s="1171" t="str">
        <f>Таблица301715[[#This Row],[Группа]]&amp;Таблица301715[[#This Row],[Номенклатура]]&amp;Таблица301715[[#This Row],[ЕИ]]</f>
        <v>МетизыБолт М20-6gх200.58.12Х18Н10Т ГОСТ 7798-70 (DIN 931, DIN 933) шт</v>
      </c>
      <c r="B885" s="921" t="s">
        <v>69</v>
      </c>
      <c r="C885" s="921"/>
      <c r="D885" s="1185" t="s">
        <v>736</v>
      </c>
      <c r="E885" s="1185"/>
      <c r="F885" s="1186" t="s">
        <v>129</v>
      </c>
      <c r="G885" s="1187">
        <v>449</v>
      </c>
      <c r="H885" s="922" t="s">
        <v>131</v>
      </c>
      <c r="I885" s="1188"/>
      <c r="J885" s="926">
        <v>449</v>
      </c>
      <c r="K885" s="920"/>
    </row>
    <row r="886" spans="1:11" ht="18.75" customHeight="1">
      <c r="A886" s="1171" t="str">
        <f>Таблица301715[[#This Row],[Группа]]&amp;Таблица301715[[#This Row],[Номенклатура]]&amp;Таблица301715[[#This Row],[ЕИ]]</f>
        <v>МетизыБолт М20-6gх210.58.12Х18Н10Т ГОСТ 7798-70 (DIN 931, DIN 933) шт</v>
      </c>
      <c r="B886" s="921" t="s">
        <v>69</v>
      </c>
      <c r="C886" s="921"/>
      <c r="D886" s="1185" t="s">
        <v>2173</v>
      </c>
      <c r="E886" s="1185"/>
      <c r="F886" s="1186" t="s">
        <v>129</v>
      </c>
      <c r="G886" s="1187">
        <v>502</v>
      </c>
      <c r="H886" s="922" t="s">
        <v>131</v>
      </c>
      <c r="I886" s="1188"/>
      <c r="J886" s="926">
        <v>502</v>
      </c>
      <c r="K886" s="920"/>
    </row>
    <row r="887" spans="1:11" ht="18.75" customHeight="1">
      <c r="A887" s="1171" t="str">
        <f>Таблица301715[[#This Row],[Группа]]&amp;Таблица301715[[#This Row],[Номенклатура]]&amp;Таблица301715[[#This Row],[ЕИ]]</f>
        <v>МетизыБолт М20-6gх220.58.12Х18Н10Т ГОСТ 7798-70 (DIN 931, DIN 933) шт</v>
      </c>
      <c r="B887" s="921" t="s">
        <v>69</v>
      </c>
      <c r="C887" s="921"/>
      <c r="D887" s="1185" t="s">
        <v>2174</v>
      </c>
      <c r="E887" s="1185"/>
      <c r="F887" s="1186" t="s">
        <v>129</v>
      </c>
      <c r="G887" s="1187">
        <v>510</v>
      </c>
      <c r="H887" s="922" t="s">
        <v>131</v>
      </c>
      <c r="I887" s="1188"/>
      <c r="J887" s="926">
        <v>510</v>
      </c>
      <c r="K887" s="920"/>
    </row>
    <row r="888" spans="1:11" ht="18.75" customHeight="1">
      <c r="A888" s="1171" t="str">
        <f>Таблица301715[[#This Row],[Группа]]&amp;Таблица301715[[#This Row],[Номенклатура]]&amp;Таблица301715[[#This Row],[ЕИ]]</f>
        <v>МетизыБолт М24-6gх100.58.12Х18Н10Т ГОСТ 7798-70 (DIN 931, DIN 933) шт</v>
      </c>
      <c r="B888" s="921" t="s">
        <v>69</v>
      </c>
      <c r="C888" s="921"/>
      <c r="D888" s="1185" t="s">
        <v>1587</v>
      </c>
      <c r="E888" s="1185"/>
      <c r="F888" s="1186" t="s">
        <v>129</v>
      </c>
      <c r="G888" s="1187">
        <v>390</v>
      </c>
      <c r="H888" s="922" t="s">
        <v>131</v>
      </c>
      <c r="I888" s="1188"/>
      <c r="J888" s="926">
        <v>390</v>
      </c>
      <c r="K888" s="920"/>
    </row>
    <row r="889" spans="1:11" ht="18.75" customHeight="1">
      <c r="A889" s="1171" t="str">
        <f>Таблица301715[[#This Row],[Группа]]&amp;Таблица301715[[#This Row],[Номенклатура]]&amp;Таблица301715[[#This Row],[ЕИ]]</f>
        <v>МетизыБолт М24-6gх110.58.12Х18Н10Т ГОСТ 7798-70 (DIN 931, DIN 933) шт</v>
      </c>
      <c r="B889" s="921" t="s">
        <v>69</v>
      </c>
      <c r="C889" s="921"/>
      <c r="D889" s="1185" t="s">
        <v>1588</v>
      </c>
      <c r="E889" s="1185"/>
      <c r="F889" s="1186" t="s">
        <v>129</v>
      </c>
      <c r="G889" s="1187">
        <v>401</v>
      </c>
      <c r="H889" s="922" t="s">
        <v>131</v>
      </c>
      <c r="I889" s="1188"/>
      <c r="J889" s="926">
        <v>401</v>
      </c>
      <c r="K889" s="920"/>
    </row>
    <row r="890" spans="1:11" ht="18.75" customHeight="1">
      <c r="A890" s="1171" t="str">
        <f>Таблица301715[[#This Row],[Группа]]&amp;Таблица301715[[#This Row],[Номенклатура]]&amp;Таблица301715[[#This Row],[ЕИ]]</f>
        <v>МетизыБолт М24-6gх120.58.12Х18Н10Т ГОСТ 7798-70 (DIN 931, DIN 933) шт</v>
      </c>
      <c r="B890" s="921" t="s">
        <v>69</v>
      </c>
      <c r="C890" s="921"/>
      <c r="D890" s="1185" t="s">
        <v>1589</v>
      </c>
      <c r="E890" s="1185"/>
      <c r="F890" s="1186" t="s">
        <v>129</v>
      </c>
      <c r="G890" s="1187">
        <v>410</v>
      </c>
      <c r="H890" s="922" t="s">
        <v>131</v>
      </c>
      <c r="I890" s="1188"/>
      <c r="J890" s="926">
        <v>410</v>
      </c>
      <c r="K890" s="920"/>
    </row>
    <row r="891" spans="1:11" ht="18.75" customHeight="1">
      <c r="A891" s="1171" t="str">
        <f>Таблица301715[[#This Row],[Группа]]&amp;Таблица301715[[#This Row],[Номенклатура]]&amp;Таблица301715[[#This Row],[ЕИ]]</f>
        <v>МетизыБолт М24-6gх130.58.12Х18Н10Т ГОСТ 7798-70 (DIN 931, DIN 933) шт</v>
      </c>
      <c r="B891" s="921" t="s">
        <v>69</v>
      </c>
      <c r="C891" s="921"/>
      <c r="D891" s="1185" t="s">
        <v>1590</v>
      </c>
      <c r="E891" s="1185"/>
      <c r="F891" s="1186" t="s">
        <v>129</v>
      </c>
      <c r="G891" s="1187">
        <v>438</v>
      </c>
      <c r="H891" s="922" t="s">
        <v>131</v>
      </c>
      <c r="I891" s="1188"/>
      <c r="J891" s="926">
        <v>438</v>
      </c>
      <c r="K891" s="920"/>
    </row>
    <row r="892" spans="1:11" ht="18.75" customHeight="1">
      <c r="A892" s="1171" t="str">
        <f>Таблица301715[[#This Row],[Группа]]&amp;Таблица301715[[#This Row],[Номенклатура]]&amp;Таблица301715[[#This Row],[ЕИ]]</f>
        <v>МетизыБолт М24-6gх140.58.12Х18Н10Т ГОСТ 7798-70 (DIN 931, DIN 933) шт</v>
      </c>
      <c r="B892" s="921" t="s">
        <v>69</v>
      </c>
      <c r="C892" s="921"/>
      <c r="D892" s="1185" t="s">
        <v>1591</v>
      </c>
      <c r="E892" s="1185"/>
      <c r="F892" s="1186" t="s">
        <v>129</v>
      </c>
      <c r="G892" s="1187">
        <v>469</v>
      </c>
      <c r="H892" s="922" t="s">
        <v>131</v>
      </c>
      <c r="I892" s="1188"/>
      <c r="J892" s="926">
        <v>469</v>
      </c>
      <c r="K892" s="920"/>
    </row>
    <row r="893" spans="1:11" ht="18.75" customHeight="1">
      <c r="A893" s="1171" t="str">
        <f>Таблица301715[[#This Row],[Группа]]&amp;Таблица301715[[#This Row],[Номенклатура]]&amp;Таблица301715[[#This Row],[ЕИ]]</f>
        <v>МетизыБолт М27-6gх110.58.12Х18Н10Т ГОСТ 7798-70 (DIN 931, DIN 933) шт</v>
      </c>
      <c r="B893" s="921" t="s">
        <v>69</v>
      </c>
      <c r="C893" s="921"/>
      <c r="D893" s="1185" t="s">
        <v>1592</v>
      </c>
      <c r="E893" s="1185"/>
      <c r="F893" s="1186" t="s">
        <v>129</v>
      </c>
      <c r="G893" s="1187">
        <v>501</v>
      </c>
      <c r="H893" s="922" t="s">
        <v>131</v>
      </c>
      <c r="I893" s="1188"/>
      <c r="J893" s="926">
        <v>501</v>
      </c>
      <c r="K893" s="920"/>
    </row>
    <row r="894" spans="1:11" ht="18.75" customHeight="1">
      <c r="A894" s="1171" t="str">
        <f>Таблица301715[[#This Row],[Группа]]&amp;Таблица301715[[#This Row],[Номенклатура]]&amp;Таблица301715[[#This Row],[ЕИ]]</f>
        <v>МетизыБолт М27-6gх210.58.12Х18Н10Т ГОСТ 7798-70 (DIN 931, DIN 933) шт</v>
      </c>
      <c r="B894" s="921" t="s">
        <v>69</v>
      </c>
      <c r="C894" s="921"/>
      <c r="D894" s="1185" t="s">
        <v>2175</v>
      </c>
      <c r="E894" s="1185"/>
      <c r="F894" s="1186" t="s">
        <v>129</v>
      </c>
      <c r="G894" s="1187">
        <v>1350</v>
      </c>
      <c r="H894" s="922" t="s">
        <v>131</v>
      </c>
      <c r="I894" s="1188"/>
      <c r="J894" s="926">
        <v>1350</v>
      </c>
      <c r="K894" s="920"/>
    </row>
    <row r="895" spans="1:11" ht="18.75" customHeight="1">
      <c r="A895" s="1171" t="str">
        <f>Таблица301715[[#This Row],[Группа]]&amp;Таблица301715[[#This Row],[Номенклатура]]&amp;Таблица301715[[#This Row],[ЕИ]]</f>
        <v>МетизыБолт М30-6gх150.58.12Х18Н10Т ГОСТ 7798-70 (DIN 931, DIN 933) шт</v>
      </c>
      <c r="B895" s="921" t="s">
        <v>69</v>
      </c>
      <c r="C895" s="921"/>
      <c r="D895" s="1185" t="s">
        <v>1593</v>
      </c>
      <c r="E895" s="1185"/>
      <c r="F895" s="1186" t="s">
        <v>129</v>
      </c>
      <c r="G895" s="1187">
        <v>1150</v>
      </c>
      <c r="H895" s="922" t="s">
        <v>131</v>
      </c>
      <c r="I895" s="1188"/>
      <c r="J895" s="926">
        <v>1150</v>
      </c>
      <c r="K895" s="920"/>
    </row>
    <row r="896" spans="1:11" ht="18.75" customHeight="1">
      <c r="A896" s="1171" t="str">
        <f>Таблица301715[[#This Row],[Группа]]&amp;Таблица301715[[#This Row],[Номенклатура]]&amp;Таблица301715[[#This Row],[ЕИ]]</f>
        <v>МетизыБолт М30-6gх250.58.12Х18Н10Т ГОСТ 7798-70 (DIN 931, DIN 933) шт</v>
      </c>
      <c r="B896" s="921" t="s">
        <v>69</v>
      </c>
      <c r="C896" s="921"/>
      <c r="D896" s="1185" t="s">
        <v>2176</v>
      </c>
      <c r="E896" s="1185"/>
      <c r="F896" s="1186" t="s">
        <v>129</v>
      </c>
      <c r="G896" s="1187">
        <v>1501</v>
      </c>
      <c r="H896" s="922" t="s">
        <v>131</v>
      </c>
      <c r="I896" s="1188"/>
      <c r="J896" s="926">
        <v>1501</v>
      </c>
      <c r="K896" s="920"/>
    </row>
    <row r="897" spans="1:11" ht="18.75" customHeight="1">
      <c r="A897" s="1171" t="str">
        <f>Таблица301715[[#This Row],[Группа]]&amp;Таблица301715[[#This Row],[Номенклатура]]&amp;Таблица301715[[#This Row],[ЕИ]]</f>
        <v>МетизыБолт М36-6gх300.58.12Х18Н10Т ГОСТ 7798-70 (DIN 931, DIN 933) шт</v>
      </c>
      <c r="B897" s="921" t="s">
        <v>69</v>
      </c>
      <c r="C897" s="921"/>
      <c r="D897" s="1185" t="s">
        <v>2177</v>
      </c>
      <c r="E897" s="1185"/>
      <c r="F897" s="1186" t="s">
        <v>129</v>
      </c>
      <c r="G897" s="1187">
        <v>3950</v>
      </c>
      <c r="H897" s="922" t="s">
        <v>131</v>
      </c>
      <c r="I897" s="1188"/>
      <c r="J897" s="926">
        <v>3950</v>
      </c>
      <c r="K897" s="920"/>
    </row>
    <row r="898" spans="1:11" ht="18.75" customHeight="1">
      <c r="A898" s="1171" t="str">
        <f>Таблица301715[[#This Row],[Группа]]&amp;Таблица301715[[#This Row],[Номенклатура]]&amp;Таблица301715[[#This Row],[ЕИ]]</f>
        <v>МетизыГайка М6-6Н.5.12Х18Н10Т ГОСТ 5915-70 (DIN 934) шт</v>
      </c>
      <c r="B898" s="921" t="s">
        <v>69</v>
      </c>
      <c r="C898" s="921"/>
      <c r="D898" s="1185" t="s">
        <v>620</v>
      </c>
      <c r="E898" s="1185"/>
      <c r="F898" s="1186" t="s">
        <v>129</v>
      </c>
      <c r="G898" s="1187">
        <v>3.1</v>
      </c>
      <c r="H898" s="922" t="s">
        <v>131</v>
      </c>
      <c r="I898" s="1188"/>
      <c r="J898" s="926">
        <v>3.1</v>
      </c>
      <c r="K898" s="920"/>
    </row>
    <row r="899" spans="1:11" ht="18.75" customHeight="1">
      <c r="A899" s="1171" t="str">
        <f>Таблица301715[[#This Row],[Группа]]&amp;Таблица301715[[#This Row],[Номенклатура]]&amp;Таблица301715[[#This Row],[ЕИ]]</f>
        <v>МетизыГайка М8-6Н.5.12Х18Н10Т ГОСТ 5915-70 (DIN 934) шт</v>
      </c>
      <c r="B899" s="921" t="s">
        <v>69</v>
      </c>
      <c r="C899" s="921"/>
      <c r="D899" s="1185" t="s">
        <v>1594</v>
      </c>
      <c r="E899" s="1185"/>
      <c r="F899" s="1186" t="s">
        <v>129</v>
      </c>
      <c r="G899" s="1187">
        <v>5.21</v>
      </c>
      <c r="H899" s="922" t="s">
        <v>131</v>
      </c>
      <c r="I899" s="1188"/>
      <c r="J899" s="926">
        <v>5.21</v>
      </c>
      <c r="K899" s="920"/>
    </row>
    <row r="900" spans="1:11" ht="18.75" customHeight="1">
      <c r="A900" s="1171" t="str">
        <f>Таблица301715[[#This Row],[Группа]]&amp;Таблица301715[[#This Row],[Номенклатура]]&amp;Таблица301715[[#This Row],[ЕИ]]</f>
        <v>МетизыГайка М10-6Н.5.12Х18Н10Т ГОСТ 5915-70 (DIN 934) шт</v>
      </c>
      <c r="B900" s="921" t="s">
        <v>69</v>
      </c>
      <c r="C900" s="921"/>
      <c r="D900" s="1185" t="s">
        <v>708</v>
      </c>
      <c r="E900" s="1185"/>
      <c r="F900" s="1186" t="s">
        <v>129</v>
      </c>
      <c r="G900" s="1187">
        <v>10.1</v>
      </c>
      <c r="H900" s="922" t="s">
        <v>131</v>
      </c>
      <c r="I900" s="1188"/>
      <c r="J900" s="926">
        <v>10.1</v>
      </c>
      <c r="K900" s="920"/>
    </row>
    <row r="901" spans="1:11" ht="18.75" customHeight="1">
      <c r="A901" s="1171" t="str">
        <f>Таблица301715[[#This Row],[Группа]]&amp;Таблица301715[[#This Row],[Номенклатура]]&amp;Таблица301715[[#This Row],[ЕИ]]</f>
        <v>МетизыГайка М12-6Н.5.12Х18Н10Т ГОСТ 5915-70 (DIN 934) шт</v>
      </c>
      <c r="B901" s="921" t="s">
        <v>69</v>
      </c>
      <c r="C901" s="921"/>
      <c r="D901" s="1185" t="s">
        <v>486</v>
      </c>
      <c r="E901" s="1185"/>
      <c r="F901" s="1186" t="s">
        <v>129</v>
      </c>
      <c r="G901" s="1187">
        <v>14.98</v>
      </c>
      <c r="H901" s="922" t="s">
        <v>131</v>
      </c>
      <c r="I901" s="1188"/>
      <c r="J901" s="926">
        <v>14.98</v>
      </c>
      <c r="K901" s="920"/>
    </row>
    <row r="902" spans="1:11" ht="18.75" customHeight="1">
      <c r="A902" s="1171" t="str">
        <f>Таблица301715[[#This Row],[Группа]]&amp;Таблица301715[[#This Row],[Номенклатура]]&amp;Таблица301715[[#This Row],[ЕИ]]</f>
        <v>МетизыГайка М14-6Н.5.12Х18Н10Т ГОСТ 5915-70 (DIN 934) шт</v>
      </c>
      <c r="B902" s="921" t="s">
        <v>69</v>
      </c>
      <c r="C902" s="921"/>
      <c r="D902" s="1186" t="s">
        <v>1595</v>
      </c>
      <c r="E902" s="1189"/>
      <c r="F902" s="1186" t="s">
        <v>129</v>
      </c>
      <c r="G902" s="1187">
        <v>16.87</v>
      </c>
      <c r="H902" s="1190" t="s">
        <v>131</v>
      </c>
      <c r="I902" s="1188"/>
      <c r="J902" s="926">
        <v>16.87</v>
      </c>
      <c r="K902" s="920"/>
    </row>
    <row r="903" spans="1:11" ht="15">
      <c r="A903" s="1171" t="str">
        <f>Таблица301715[[#This Row],[Группа]]&amp;Таблица301715[[#This Row],[Номенклатура]]&amp;Таблица301715[[#This Row],[ЕИ]]</f>
        <v>МетизыГайка М16-6Н.5.12Х18Н10Т ГОСТ 5915-70 (DIN 934) шт</v>
      </c>
      <c r="B903" s="921" t="s">
        <v>69</v>
      </c>
      <c r="C903" s="921"/>
      <c r="D903" s="1186" t="s">
        <v>616</v>
      </c>
      <c r="E903" s="1189"/>
      <c r="F903" s="1186" t="s">
        <v>129</v>
      </c>
      <c r="G903" s="1187">
        <v>18.899999999999999</v>
      </c>
      <c r="H903" s="1190" t="s">
        <v>131</v>
      </c>
      <c r="I903" s="1188"/>
      <c r="J903" s="926">
        <v>18.899999999999999</v>
      </c>
      <c r="K903" s="920"/>
    </row>
    <row r="904" spans="1:11" ht="15">
      <c r="A904" s="1171" t="str">
        <f>Таблица301715[[#This Row],[Группа]]&amp;Таблица301715[[#This Row],[Номенклатура]]&amp;Таблица301715[[#This Row],[ЕИ]]</f>
        <v>МетизыГайка М18-6Н.5.12Х18Н10Т ГОСТ 5915-70 (DIN 934) шт</v>
      </c>
      <c r="B904" s="921" t="s">
        <v>69</v>
      </c>
      <c r="C904" s="921"/>
      <c r="D904" s="1186" t="s">
        <v>1596</v>
      </c>
      <c r="E904" s="1189"/>
      <c r="F904" s="1186" t="s">
        <v>129</v>
      </c>
      <c r="G904" s="1187">
        <v>33</v>
      </c>
      <c r="H904" s="1190" t="s">
        <v>131</v>
      </c>
      <c r="I904" s="1188"/>
      <c r="J904" s="926">
        <v>33</v>
      </c>
      <c r="K904" s="920"/>
    </row>
    <row r="905" spans="1:11" ht="15">
      <c r="A905" s="1171" t="str">
        <f>Таблица301715[[#This Row],[Группа]]&amp;Таблица301715[[#This Row],[Номенклатура]]&amp;Таблица301715[[#This Row],[ЕИ]]</f>
        <v>МетизыГайка М20-6Н.5.12Х18Н10Т ГОСТ 5915-70 (DIN 934) шт</v>
      </c>
      <c r="B905" s="921" t="s">
        <v>69</v>
      </c>
      <c r="C905" s="921"/>
      <c r="D905" s="1186" t="s">
        <v>740</v>
      </c>
      <c r="E905" s="1189"/>
      <c r="F905" s="1186" t="s">
        <v>129</v>
      </c>
      <c r="G905" s="1187">
        <v>51</v>
      </c>
      <c r="H905" s="1190" t="s">
        <v>131</v>
      </c>
      <c r="I905" s="1188"/>
      <c r="J905" s="926">
        <v>51</v>
      </c>
      <c r="K905" s="920"/>
    </row>
    <row r="906" spans="1:11" ht="15">
      <c r="A906" s="1171" t="str">
        <f>Таблица301715[[#This Row],[Группа]]&amp;Таблица301715[[#This Row],[Номенклатура]]&amp;Таблица301715[[#This Row],[ЕИ]]</f>
        <v>МетизыГайка М24-6Н.5.12Х18Н10Т ГОСТ 5915-70 (DIN 934) шт</v>
      </c>
      <c r="B906" s="921" t="s">
        <v>69</v>
      </c>
      <c r="C906" s="921"/>
      <c r="D906" s="1186" t="s">
        <v>695</v>
      </c>
      <c r="E906" s="1189"/>
      <c r="F906" s="1186" t="s">
        <v>129</v>
      </c>
      <c r="G906" s="1187">
        <v>79</v>
      </c>
      <c r="H906" s="1190" t="s">
        <v>131</v>
      </c>
      <c r="I906" s="1188"/>
      <c r="J906" s="926">
        <v>79</v>
      </c>
      <c r="K906" s="920"/>
    </row>
    <row r="907" spans="1:11" ht="15">
      <c r="A907" s="1171" t="str">
        <f>Таблица301715[[#This Row],[Группа]]&amp;Таблица301715[[#This Row],[Номенклатура]]&amp;Таблица301715[[#This Row],[ЕИ]]</f>
        <v>МетизыГайка М27-6Н.5.12Х18Н10Т ГОСТ 5915-70 (DIN 934) шт</v>
      </c>
      <c r="B907" s="921" t="s">
        <v>69</v>
      </c>
      <c r="C907" s="921"/>
      <c r="D907" s="1186" t="s">
        <v>1597</v>
      </c>
      <c r="E907" s="1189"/>
      <c r="F907" s="1186" t="s">
        <v>129</v>
      </c>
      <c r="G907" s="1187">
        <v>132</v>
      </c>
      <c r="H907" s="1190" t="s">
        <v>131</v>
      </c>
      <c r="I907" s="1188"/>
      <c r="J907" s="926">
        <v>132</v>
      </c>
      <c r="K907" s="920"/>
    </row>
    <row r="908" spans="1:11" ht="15">
      <c r="A908" s="1171" t="str">
        <f>Таблица301715[[#This Row],[Группа]]&amp;Таблица301715[[#This Row],[Номенклатура]]&amp;Таблица301715[[#This Row],[ЕИ]]</f>
        <v>МетизыГайка М30-6Н.5.12Х18Н10Т ГОСТ 5915-70 (DIN 934) шт</v>
      </c>
      <c r="B908" s="921" t="s">
        <v>69</v>
      </c>
      <c r="C908" s="921"/>
      <c r="D908" s="1186" t="s">
        <v>1598</v>
      </c>
      <c r="E908" s="1189"/>
      <c r="F908" s="1186" t="s">
        <v>129</v>
      </c>
      <c r="G908" s="1187">
        <v>240</v>
      </c>
      <c r="H908" s="1190" t="s">
        <v>131</v>
      </c>
      <c r="I908" s="1188"/>
      <c r="J908" s="926">
        <v>240</v>
      </c>
      <c r="K908" s="920"/>
    </row>
    <row r="909" spans="1:11" ht="15">
      <c r="A909" s="1171" t="str">
        <f>Таблица301715[[#This Row],[Группа]]&amp;Таблица301715[[#This Row],[Номенклатура]]&amp;Таблица301715[[#This Row],[ЕИ]]</f>
        <v>МетизыГайка М36-6Н.5.12Х18Н10Т ГОСТ 5915-70 (DIN 934) шт</v>
      </c>
      <c r="B909" s="921" t="s">
        <v>69</v>
      </c>
      <c r="C909" s="921"/>
      <c r="D909" s="1186" t="s">
        <v>1599</v>
      </c>
      <c r="E909" s="1189"/>
      <c r="F909" s="1186" t="s">
        <v>129</v>
      </c>
      <c r="G909" s="1187">
        <v>360</v>
      </c>
      <c r="H909" s="1190" t="s">
        <v>131</v>
      </c>
      <c r="I909" s="1188"/>
      <c r="J909" s="926">
        <v>360</v>
      </c>
      <c r="K909" s="920"/>
    </row>
    <row r="910" spans="1:11" ht="15">
      <c r="A910" s="1171" t="str">
        <f>Таблица301715[[#This Row],[Группа]]&amp;Таблица301715[[#This Row],[Номенклатура]]&amp;Таблица301715[[#This Row],[ЕИ]]</f>
        <v>МетизыГайка М42-6Н.5.12Х18Н10Т ГОСТ 5915-70 (DIN 934) шт</v>
      </c>
      <c r="B910" s="921" t="s">
        <v>69</v>
      </c>
      <c r="C910" s="921"/>
      <c r="D910" s="1186" t="s">
        <v>1600</v>
      </c>
      <c r="E910" s="1189"/>
      <c r="F910" s="1186" t="s">
        <v>129</v>
      </c>
      <c r="G910" s="1187">
        <v>502</v>
      </c>
      <c r="H910" s="1190" t="s">
        <v>131</v>
      </c>
      <c r="I910" s="1188"/>
      <c r="J910" s="926">
        <v>502</v>
      </c>
      <c r="K910" s="920"/>
    </row>
    <row r="911" spans="1:11" ht="15">
      <c r="A911" s="1171" t="str">
        <f>Таблица301715[[#This Row],[Группа]]&amp;Таблица301715[[#This Row],[Номенклатура]]&amp;Таблица301715[[#This Row],[ЕИ]]</f>
        <v>МетизыШайба 2.М6.12Х18Н10Т ГОСТ 11371-78 (DIN125)  шт</v>
      </c>
      <c r="B911" s="921" t="s">
        <v>69</v>
      </c>
      <c r="C911" s="921"/>
      <c r="D911" s="1186" t="s">
        <v>618</v>
      </c>
      <c r="E911" s="1189"/>
      <c r="F911" s="1186" t="s">
        <v>129</v>
      </c>
      <c r="G911" s="1187">
        <v>1.39</v>
      </c>
      <c r="H911" s="1190" t="s">
        <v>131</v>
      </c>
      <c r="I911" s="1188"/>
      <c r="J911" s="926">
        <v>1.39</v>
      </c>
      <c r="K911" s="920"/>
    </row>
    <row r="912" spans="1:11" ht="15">
      <c r="A912" s="1171" t="str">
        <f>Таблица301715[[#This Row],[Группа]]&amp;Таблица301715[[#This Row],[Номенклатура]]&amp;Таблица301715[[#This Row],[ЕИ]]</f>
        <v>МетизыШайба М6 12Х18Н10Т ГОСТ 6402-70 (DIN 127) шт</v>
      </c>
      <c r="B912" s="921" t="s">
        <v>69</v>
      </c>
      <c r="C912" s="921"/>
      <c r="D912" s="1186" t="s">
        <v>619</v>
      </c>
      <c r="E912" s="1189"/>
      <c r="F912" s="1186" t="s">
        <v>129</v>
      </c>
      <c r="G912" s="1187">
        <v>1.49</v>
      </c>
      <c r="H912" s="1190" t="s">
        <v>131</v>
      </c>
      <c r="I912" s="1188"/>
      <c r="J912" s="926">
        <v>1.49</v>
      </c>
      <c r="K912" s="920"/>
    </row>
    <row r="913" spans="1:11" ht="15">
      <c r="A913" s="1171" t="str">
        <f>Таблица301715[[#This Row],[Группа]]&amp;Таблица301715[[#This Row],[Номенклатура]]&amp;Таблица301715[[#This Row],[ЕИ]]</f>
        <v>МетизыШайба 2.М8.12Х18Н10Т ГОСТ 11371-78 (DIN125)  шт</v>
      </c>
      <c r="B913" s="921" t="s">
        <v>69</v>
      </c>
      <c r="C913" s="921"/>
      <c r="D913" s="1186" t="s">
        <v>1601</v>
      </c>
      <c r="E913" s="1189"/>
      <c r="F913" s="1186" t="s">
        <v>129</v>
      </c>
      <c r="G913" s="1187">
        <v>1.91</v>
      </c>
      <c r="H913" s="1190" t="s">
        <v>131</v>
      </c>
      <c r="I913" s="1188"/>
      <c r="J913" s="926">
        <v>1.91</v>
      </c>
      <c r="K913" s="920"/>
    </row>
    <row r="914" spans="1:11" ht="15">
      <c r="A914" s="1171" t="str">
        <f>Таблица301715[[#This Row],[Группа]]&amp;Таблица301715[[#This Row],[Номенклатура]]&amp;Таблица301715[[#This Row],[ЕИ]]</f>
        <v>МетизыШайба М8 12Х18Н10Т ГОСТ 6402-70 (DIN 127) шт</v>
      </c>
      <c r="B914" s="921" t="s">
        <v>69</v>
      </c>
      <c r="C914" s="921"/>
      <c r="D914" s="1186" t="s">
        <v>1602</v>
      </c>
      <c r="E914" s="1189"/>
      <c r="F914" s="1186" t="s">
        <v>129</v>
      </c>
      <c r="G914" s="1187">
        <v>1.85</v>
      </c>
      <c r="H914" s="1190" t="s">
        <v>131</v>
      </c>
      <c r="I914" s="1188"/>
      <c r="J914" s="926">
        <v>1.85</v>
      </c>
      <c r="K914" s="920"/>
    </row>
    <row r="915" spans="1:11" ht="15">
      <c r="A915" s="1171" t="str">
        <f>Таблица301715[[#This Row],[Группа]]&amp;Таблица301715[[#This Row],[Номенклатура]]&amp;Таблица301715[[#This Row],[ЕИ]]</f>
        <v>МетизыШайба 2.М10.12Х18Н10Т ГОСТ 11371-78 (DIN125) шт</v>
      </c>
      <c r="B915" s="921" t="s">
        <v>69</v>
      </c>
      <c r="C915" s="921"/>
      <c r="D915" s="1186" t="s">
        <v>1603</v>
      </c>
      <c r="E915" s="1189"/>
      <c r="F915" s="1186" t="s">
        <v>129</v>
      </c>
      <c r="G915" s="1187">
        <v>3.21</v>
      </c>
      <c r="H915" s="1190" t="s">
        <v>131</v>
      </c>
      <c r="I915" s="1188"/>
      <c r="J915" s="926">
        <v>3.21</v>
      </c>
      <c r="K915" s="920"/>
    </row>
    <row r="916" spans="1:11" ht="15">
      <c r="A916" s="1171" t="str">
        <f>Таблица301715[[#This Row],[Группа]]&amp;Таблица301715[[#This Row],[Номенклатура]]&amp;Таблица301715[[#This Row],[ЕИ]]</f>
        <v>МетизыШайба М10 12Х18Н10Т ГОСТ 6402-70 (DIN 127) шт</v>
      </c>
      <c r="B916" s="921" t="s">
        <v>69</v>
      </c>
      <c r="C916" s="921"/>
      <c r="D916" s="1186" t="s">
        <v>1604</v>
      </c>
      <c r="E916" s="1189"/>
      <c r="F916" s="1186" t="s">
        <v>129</v>
      </c>
      <c r="G916" s="1187">
        <v>3.26</v>
      </c>
      <c r="H916" s="1190" t="s">
        <v>131</v>
      </c>
      <c r="I916" s="1188"/>
      <c r="J916" s="926">
        <v>3.26</v>
      </c>
      <c r="K916" s="920"/>
    </row>
    <row r="917" spans="1:11" ht="15">
      <c r="A917" s="1171" t="str">
        <f>Таблица301715[[#This Row],[Группа]]&amp;Таблица301715[[#This Row],[Номенклатура]]&amp;Таблица301715[[#This Row],[ЕИ]]</f>
        <v>МетизыШайба 2.М12.12Х18Н10Т ГОСТ 11371-78 (DIN125) шт</v>
      </c>
      <c r="B917" s="921" t="s">
        <v>69</v>
      </c>
      <c r="C917" s="921"/>
      <c r="D917" s="1186" t="s">
        <v>484</v>
      </c>
      <c r="E917" s="1189"/>
      <c r="F917" s="1186" t="s">
        <v>129</v>
      </c>
      <c r="G917" s="1187">
        <v>4.41</v>
      </c>
      <c r="H917" s="1190" t="s">
        <v>131</v>
      </c>
      <c r="I917" s="1188"/>
      <c r="J917" s="926">
        <v>4.41</v>
      </c>
      <c r="K917" s="920"/>
    </row>
    <row r="918" spans="1:11" ht="15">
      <c r="A918" s="1171" t="str">
        <f>Таблица301715[[#This Row],[Группа]]&amp;Таблица301715[[#This Row],[Номенклатура]]&amp;Таблица301715[[#This Row],[ЕИ]]</f>
        <v>МетизыШайба М12 12Х18Н10Т ГОСТ 6402-70 (DIN 127) шт</v>
      </c>
      <c r="B918" s="921" t="s">
        <v>69</v>
      </c>
      <c r="C918" s="921"/>
      <c r="D918" s="1186" t="s">
        <v>485</v>
      </c>
      <c r="E918" s="1189"/>
      <c r="F918" s="1186" t="s">
        <v>129</v>
      </c>
      <c r="G918" s="1187">
        <v>4.24</v>
      </c>
      <c r="H918" s="1190" t="s">
        <v>131</v>
      </c>
      <c r="I918" s="1188"/>
      <c r="J918" s="926">
        <v>4.24</v>
      </c>
      <c r="K918" s="920"/>
    </row>
    <row r="919" spans="1:11" ht="15">
      <c r="A919" s="1171" t="str">
        <f>Таблица301715[[#This Row],[Группа]]&amp;Таблица301715[[#This Row],[Номенклатура]]&amp;Таблица301715[[#This Row],[ЕИ]]</f>
        <v>МетизыШайба 2.М14.12Х18Н10Т ГОСТ 11371-78 (DIN125) шт</v>
      </c>
      <c r="B919" s="921" t="s">
        <v>69</v>
      </c>
      <c r="C919" s="921"/>
      <c r="D919" s="1186" t="s">
        <v>1605</v>
      </c>
      <c r="E919" s="1189"/>
      <c r="F919" s="1186" t="s">
        <v>129</v>
      </c>
      <c r="G919" s="1187">
        <v>5.89</v>
      </c>
      <c r="H919" s="1190" t="s">
        <v>131</v>
      </c>
      <c r="I919" s="1188"/>
      <c r="J919" s="926">
        <v>5.89</v>
      </c>
      <c r="K919" s="920"/>
    </row>
    <row r="920" spans="1:11" ht="15">
      <c r="A920" s="1171" t="str">
        <f>Таблица301715[[#This Row],[Группа]]&amp;Таблица301715[[#This Row],[Номенклатура]]&amp;Таблица301715[[#This Row],[ЕИ]]</f>
        <v>МетизыШайба М14 12Х18Н10Т ГОСТ 6402-70 (DIN 127) шт</v>
      </c>
      <c r="B920" s="921" t="s">
        <v>69</v>
      </c>
      <c r="C920" s="921"/>
      <c r="D920" s="1186" t="s">
        <v>1606</v>
      </c>
      <c r="E920" s="1189"/>
      <c r="F920" s="1186" t="s">
        <v>129</v>
      </c>
      <c r="G920" s="1187">
        <v>5.76</v>
      </c>
      <c r="H920" s="1190" t="s">
        <v>131</v>
      </c>
      <c r="I920" s="1188"/>
      <c r="J920" s="926">
        <v>5.76</v>
      </c>
      <c r="K920" s="920"/>
    </row>
    <row r="921" spans="1:11" ht="15">
      <c r="A921" s="1171" t="str">
        <f>Таблица301715[[#This Row],[Группа]]&amp;Таблица301715[[#This Row],[Номенклатура]]&amp;Таблица301715[[#This Row],[ЕИ]]</f>
        <v>МетизыШайба 2.М16.12Х18Н10Т ГОСТ 11371-78 (DIN125) шт</v>
      </c>
      <c r="B921" s="921" t="s">
        <v>69</v>
      </c>
      <c r="C921" s="921"/>
      <c r="D921" s="1186" t="s">
        <v>614</v>
      </c>
      <c r="E921" s="1189"/>
      <c r="F921" s="1186" t="s">
        <v>129</v>
      </c>
      <c r="G921" s="1187">
        <v>6.9</v>
      </c>
      <c r="H921" s="1190" t="s">
        <v>131</v>
      </c>
      <c r="I921" s="1188"/>
      <c r="J921" s="926">
        <v>6.9</v>
      </c>
      <c r="K921" s="920"/>
    </row>
    <row r="922" spans="1:11" ht="15">
      <c r="A922" s="1171" t="str">
        <f>Таблица301715[[#This Row],[Группа]]&amp;Таблица301715[[#This Row],[Номенклатура]]&amp;Таблица301715[[#This Row],[ЕИ]]</f>
        <v>МетизыШайба М16 12Х18Н10Т ГОСТ 6402-70 (DIN 127) шт</v>
      </c>
      <c r="B922" s="921" t="s">
        <v>69</v>
      </c>
      <c r="C922" s="921"/>
      <c r="D922" s="1186" t="s">
        <v>615</v>
      </c>
      <c r="E922" s="1189"/>
      <c r="F922" s="1186" t="s">
        <v>129</v>
      </c>
      <c r="G922" s="1187">
        <v>6.83</v>
      </c>
      <c r="H922" s="1190" t="s">
        <v>131</v>
      </c>
      <c r="I922" s="1188"/>
      <c r="J922" s="926">
        <v>6.83</v>
      </c>
      <c r="K922" s="920"/>
    </row>
    <row r="923" spans="1:11" ht="15">
      <c r="A923" s="1171" t="str">
        <f>Таблица301715[[#This Row],[Группа]]&amp;Таблица301715[[#This Row],[Номенклатура]]&amp;Таблица301715[[#This Row],[ЕИ]]</f>
        <v>МетизыШайба 2.М18.12Х18Н10Т ГОСТ 11371-78 (DIN125) шт</v>
      </c>
      <c r="B923" s="921" t="s">
        <v>69</v>
      </c>
      <c r="C923" s="921"/>
      <c r="D923" s="1186" t="s">
        <v>1607</v>
      </c>
      <c r="E923" s="1189"/>
      <c r="F923" s="1186" t="s">
        <v>129</v>
      </c>
      <c r="G923" s="1187">
        <v>8.91</v>
      </c>
      <c r="H923" s="1190" t="s">
        <v>131</v>
      </c>
      <c r="I923" s="1188"/>
      <c r="J923" s="926">
        <v>8.91</v>
      </c>
      <c r="K923" s="920"/>
    </row>
    <row r="924" spans="1:11" ht="15">
      <c r="A924" s="1171" t="str">
        <f>Таблица301715[[#This Row],[Группа]]&amp;Таблица301715[[#This Row],[Номенклатура]]&amp;Таблица301715[[#This Row],[ЕИ]]</f>
        <v>МетизыШайба М18 12Х18Н10Т ГОСТ 6402-70 (DIN 127) шт</v>
      </c>
      <c r="B924" s="921" t="s">
        <v>69</v>
      </c>
      <c r="C924" s="921"/>
      <c r="D924" s="1186" t="s">
        <v>1608</v>
      </c>
      <c r="E924" s="1189"/>
      <c r="F924" s="1186" t="s">
        <v>129</v>
      </c>
      <c r="G924" s="1187">
        <v>8.76</v>
      </c>
      <c r="H924" s="1190" t="s">
        <v>131</v>
      </c>
      <c r="I924" s="1188"/>
      <c r="J924" s="926">
        <v>8.76</v>
      </c>
      <c r="K924" s="920"/>
    </row>
    <row r="925" spans="1:11" ht="15">
      <c r="A925" s="1171" t="str">
        <f>Таблица301715[[#This Row],[Группа]]&amp;Таблица301715[[#This Row],[Номенклатура]]&amp;Таблица301715[[#This Row],[ЕИ]]</f>
        <v>МетизыШайба 2.М20.12Х18Н10Т ГОСТ 11371-78 (DIN125) шт</v>
      </c>
      <c r="B925" s="921" t="s">
        <v>69</v>
      </c>
      <c r="C925" s="921"/>
      <c r="D925" s="1186" t="s">
        <v>738</v>
      </c>
      <c r="E925" s="1189"/>
      <c r="F925" s="1186" t="s">
        <v>129</v>
      </c>
      <c r="G925" s="1187">
        <v>10.01</v>
      </c>
      <c r="H925" s="1190" t="s">
        <v>131</v>
      </c>
      <c r="I925" s="1188"/>
      <c r="J925" s="926">
        <v>10.01</v>
      </c>
      <c r="K925" s="920"/>
    </row>
    <row r="926" spans="1:11" ht="15">
      <c r="A926" s="1171" t="str">
        <f>Таблица301715[[#This Row],[Группа]]&amp;Таблица301715[[#This Row],[Номенклатура]]&amp;Таблица301715[[#This Row],[ЕИ]]</f>
        <v>МетизыШайба М20 12Х18Н10Т ГОСТ 6402-70 (DIN 127) шт</v>
      </c>
      <c r="B926" s="921" t="s">
        <v>69</v>
      </c>
      <c r="C926" s="921"/>
      <c r="D926" s="1186" t="s">
        <v>739</v>
      </c>
      <c r="E926" s="1189"/>
      <c r="F926" s="1186" t="s">
        <v>129</v>
      </c>
      <c r="G926" s="1187">
        <v>9.9700000000000006</v>
      </c>
      <c r="H926" s="1190" t="s">
        <v>131</v>
      </c>
      <c r="I926" s="1188"/>
      <c r="J926" s="926">
        <v>9.9700000000000006</v>
      </c>
      <c r="K926" s="920"/>
    </row>
    <row r="927" spans="1:11" ht="15">
      <c r="A927" s="1171" t="str">
        <f>Таблица301715[[#This Row],[Группа]]&amp;Таблица301715[[#This Row],[Номенклатура]]&amp;Таблица301715[[#This Row],[ЕИ]]</f>
        <v>МетизыШайба 2.М24.12Х18Н10Т ГОСТ 11371-78 (DIN125) шт</v>
      </c>
      <c r="B927" s="921" t="s">
        <v>69</v>
      </c>
      <c r="C927" s="921"/>
      <c r="D927" s="1186" t="s">
        <v>1609</v>
      </c>
      <c r="E927" s="1189"/>
      <c r="F927" s="1186" t="s">
        <v>129</v>
      </c>
      <c r="G927" s="1187">
        <v>21</v>
      </c>
      <c r="H927" s="1190" t="s">
        <v>131</v>
      </c>
      <c r="I927" s="1188"/>
      <c r="J927" s="926">
        <v>21</v>
      </c>
      <c r="K927" s="920"/>
    </row>
    <row r="928" spans="1:11" ht="15">
      <c r="A928" s="1171" t="str">
        <f>Таблица301715[[#This Row],[Группа]]&amp;Таблица301715[[#This Row],[Номенклатура]]&amp;Таблица301715[[#This Row],[ЕИ]]</f>
        <v>МетизыШайба М24 12Х18Н10Т ГОСТ 6402-70 (DIN 127) шт</v>
      </c>
      <c r="B928" s="921" t="s">
        <v>69</v>
      </c>
      <c r="C928" s="921"/>
      <c r="D928" s="1186" t="s">
        <v>1610</v>
      </c>
      <c r="E928" s="1189"/>
      <c r="F928" s="1186" t="s">
        <v>129</v>
      </c>
      <c r="G928" s="1187">
        <v>19</v>
      </c>
      <c r="H928" s="1190" t="s">
        <v>131</v>
      </c>
      <c r="I928" s="1188"/>
      <c r="J928" s="926">
        <v>19</v>
      </c>
      <c r="K928" s="920"/>
    </row>
    <row r="929" spans="1:11" ht="15">
      <c r="A929" s="1171" t="str">
        <f>Таблица301715[[#This Row],[Группа]]&amp;Таблица301715[[#This Row],[Номенклатура]]&amp;Таблица301715[[#This Row],[ЕИ]]</f>
        <v>МетизыШайба 2.М27.12Х18Н10Т ГОСТ 11371-78 (DIN125) шт</v>
      </c>
      <c r="B929" s="921" t="s">
        <v>69</v>
      </c>
      <c r="C929" s="921"/>
      <c r="D929" s="1186" t="s">
        <v>1611</v>
      </c>
      <c r="E929" s="1189"/>
      <c r="F929" s="1186" t="s">
        <v>129</v>
      </c>
      <c r="G929" s="1187">
        <v>26</v>
      </c>
      <c r="H929" s="1190" t="s">
        <v>131</v>
      </c>
      <c r="I929" s="1188"/>
      <c r="J929" s="926">
        <v>26</v>
      </c>
      <c r="K929" s="920"/>
    </row>
    <row r="930" spans="1:11" ht="15">
      <c r="A930" s="1171" t="str">
        <f>Таблица301715[[#This Row],[Группа]]&amp;Таблица301715[[#This Row],[Номенклатура]]&amp;Таблица301715[[#This Row],[ЕИ]]</f>
        <v>МетизыШайба М27 12Х18Н10Т ГОСТ 6402-70 (DIN 127) шт</v>
      </c>
      <c r="B930" s="921" t="s">
        <v>69</v>
      </c>
      <c r="C930" s="921"/>
      <c r="D930" s="1186" t="s">
        <v>1612</v>
      </c>
      <c r="E930" s="1189"/>
      <c r="F930" s="1186" t="s">
        <v>129</v>
      </c>
      <c r="G930" s="1187">
        <v>24</v>
      </c>
      <c r="H930" s="1190" t="s">
        <v>131</v>
      </c>
      <c r="I930" s="1188"/>
      <c r="J930" s="926">
        <v>24</v>
      </c>
      <c r="K930" s="920"/>
    </row>
    <row r="931" spans="1:11" ht="15">
      <c r="A931" s="1171" t="str">
        <f>Таблица301715[[#This Row],[Группа]]&amp;Таблица301715[[#This Row],[Номенклатура]]&amp;Таблица301715[[#This Row],[ЕИ]]</f>
        <v>МетизыШайба 2.М30.12Х18Н10Т ГОСТ 11371-78 (DIN125) шт</v>
      </c>
      <c r="B931" s="921" t="s">
        <v>69</v>
      </c>
      <c r="C931" s="921"/>
      <c r="D931" s="1186" t="s">
        <v>1613</v>
      </c>
      <c r="E931" s="1189"/>
      <c r="F931" s="1186" t="s">
        <v>129</v>
      </c>
      <c r="G931" s="1187">
        <v>24.81</v>
      </c>
      <c r="H931" s="1190" t="s">
        <v>131</v>
      </c>
      <c r="I931" s="1188"/>
      <c r="J931" s="926">
        <v>24.81</v>
      </c>
      <c r="K931" s="920"/>
    </row>
    <row r="932" spans="1:11" ht="15">
      <c r="A932" s="1171" t="str">
        <f>Таблица301715[[#This Row],[Группа]]&amp;Таблица301715[[#This Row],[Номенклатура]]&amp;Таблица301715[[#This Row],[ЕИ]]</f>
        <v>МетизыШайба М30 12Х18Н10Т ГОСТ 6402-70 (DIN 127) шт</v>
      </c>
      <c r="B932" s="921" t="s">
        <v>69</v>
      </c>
      <c r="C932" s="921"/>
      <c r="D932" s="1186" t="s">
        <v>1614</v>
      </c>
      <c r="E932" s="1189"/>
      <c r="F932" s="1186" t="s">
        <v>129</v>
      </c>
      <c r="G932" s="1187">
        <v>25.48</v>
      </c>
      <c r="H932" s="1190" t="s">
        <v>131</v>
      </c>
      <c r="I932" s="1188"/>
      <c r="J932" s="926">
        <v>25.48</v>
      </c>
      <c r="K932" s="920"/>
    </row>
    <row r="933" spans="1:11" ht="15">
      <c r="A933" s="1171" t="str">
        <f>Таблица301715[[#This Row],[Группа]]&amp;Таблица301715[[#This Row],[Номенклатура]]&amp;Таблица301715[[#This Row],[ЕИ]]</f>
        <v>МетизыШайба 2.М36.12Х18Н10Т ГОСТ 11371-78 (DIN125) шт</v>
      </c>
      <c r="B933" s="921" t="s">
        <v>69</v>
      </c>
      <c r="C933" s="921"/>
      <c r="D933" s="1186" t="s">
        <v>1615</v>
      </c>
      <c r="E933" s="1189"/>
      <c r="F933" s="1186" t="s">
        <v>129</v>
      </c>
      <c r="G933" s="1187">
        <v>43.92</v>
      </c>
      <c r="H933" s="1190" t="s">
        <v>131</v>
      </c>
      <c r="I933" s="1188"/>
      <c r="J933" s="926">
        <v>43.92</v>
      </c>
      <c r="K933" s="920"/>
    </row>
    <row r="934" spans="1:11" ht="15">
      <c r="A934" s="1171" t="str">
        <f>Таблица301715[[#This Row],[Группа]]&amp;Таблица301715[[#This Row],[Номенклатура]]&amp;Таблица301715[[#This Row],[ЕИ]]</f>
        <v>МетизыШайба М36 12Х18Н10Т ГОСТ 6402-70 (DIN 127) шт</v>
      </c>
      <c r="B934" s="921" t="s">
        <v>69</v>
      </c>
      <c r="C934" s="921"/>
      <c r="D934" s="1186" t="s">
        <v>1616</v>
      </c>
      <c r="E934" s="1189"/>
      <c r="F934" s="1186" t="s">
        <v>129</v>
      </c>
      <c r="G934" s="1187">
        <v>44.9</v>
      </c>
      <c r="H934" s="1190" t="s">
        <v>131</v>
      </c>
      <c r="I934" s="1188"/>
      <c r="J934" s="926">
        <v>44.9</v>
      </c>
      <c r="K934" s="920"/>
    </row>
    <row r="935" spans="1:11" ht="15">
      <c r="A935" s="1171" t="str">
        <f>Таблица301715[[#This Row],[Группа]]&amp;Таблица301715[[#This Row],[Номенклатура]]&amp;Таблица301715[[#This Row],[ЕИ]]</f>
        <v>МетизыШайба 2.М42.12Х18Н10Т ГОСТ 11371-78 (DIN125) шт</v>
      </c>
      <c r="B935" s="921" t="s">
        <v>69</v>
      </c>
      <c r="C935" s="921"/>
      <c r="D935" s="1186" t="s">
        <v>1617</v>
      </c>
      <c r="E935" s="1189"/>
      <c r="F935" s="1186" t="s">
        <v>129</v>
      </c>
      <c r="G935" s="1187">
        <v>97.26</v>
      </c>
      <c r="H935" s="1190" t="s">
        <v>131</v>
      </c>
      <c r="I935" s="1188"/>
      <c r="J935" s="926">
        <v>97.26</v>
      </c>
      <c r="K935" s="920"/>
    </row>
    <row r="936" spans="1:11" ht="15">
      <c r="A936" s="1171" t="str">
        <f>Таблица301715[[#This Row],[Группа]]&amp;Таблица301715[[#This Row],[Номенклатура]]&amp;Таблица301715[[#This Row],[ЕИ]]</f>
        <v>МетизыШайба М42 12Х18Н10Т ГОСТ 6402-70 (DIN 127) шт</v>
      </c>
      <c r="B936" s="921" t="s">
        <v>69</v>
      </c>
      <c r="C936" s="921"/>
      <c r="D936" s="1186" t="s">
        <v>1618</v>
      </c>
      <c r="E936" s="1189"/>
      <c r="F936" s="1186" t="s">
        <v>129</v>
      </c>
      <c r="G936" s="1187">
        <v>103.6</v>
      </c>
      <c r="H936" s="1190" t="s">
        <v>131</v>
      </c>
      <c r="I936" s="1188"/>
      <c r="J936" s="926">
        <v>103.6</v>
      </c>
      <c r="K936" s="920"/>
    </row>
    <row r="937" spans="1:11" ht="15">
      <c r="A937" s="1171" t="str">
        <f>Таблица301715[[#This Row],[Группа]]&amp;Таблица301715[[#This Row],[Номенклатура]]&amp;Таблица301715[[#This Row],[ЕИ]]</f>
        <v>МетизыШпилька резьбовая М6х1000 12Х18Н10Т ГОСТ 22032-76 (DIN 938) шт</v>
      </c>
      <c r="B937" s="921" t="s">
        <v>69</v>
      </c>
      <c r="C937" s="921"/>
      <c r="D937" s="1186" t="s">
        <v>1619</v>
      </c>
      <c r="E937" s="1189"/>
      <c r="F937" s="1186" t="s">
        <v>129</v>
      </c>
      <c r="G937" s="1187">
        <v>99.14</v>
      </c>
      <c r="H937" s="1190" t="s">
        <v>131</v>
      </c>
      <c r="I937" s="1188"/>
      <c r="J937" s="926">
        <v>99.14</v>
      </c>
      <c r="K937" s="920"/>
    </row>
    <row r="938" spans="1:11" ht="15">
      <c r="A938" s="1171" t="str">
        <f>Таблица301715[[#This Row],[Группа]]&amp;Таблица301715[[#This Row],[Номенклатура]]&amp;Таблица301715[[#This Row],[ЕИ]]</f>
        <v>МетизыШпилька резьбовая М8х1000 12Х18Н10Т ГОСТ 22032-76 (DIN 938) шт</v>
      </c>
      <c r="B938" s="921" t="s">
        <v>69</v>
      </c>
      <c r="C938" s="921"/>
      <c r="D938" s="1186" t="s">
        <v>1620</v>
      </c>
      <c r="E938" s="1189"/>
      <c r="F938" s="1186" t="s">
        <v>129</v>
      </c>
      <c r="G938" s="1187">
        <v>144.38</v>
      </c>
      <c r="H938" s="1190" t="s">
        <v>131</v>
      </c>
      <c r="I938" s="1188"/>
      <c r="J938" s="926">
        <v>144.38</v>
      </c>
      <c r="K938" s="920"/>
    </row>
    <row r="939" spans="1:11" ht="15">
      <c r="A939" s="1171" t="str">
        <f>Таблица301715[[#This Row],[Группа]]&amp;Таблица301715[[#This Row],[Номенклатура]]&amp;Таблица301715[[#This Row],[ЕИ]]</f>
        <v>МетизыШпилька резьбовая М10х1000 12Х18Н10Т ГОСТ 22032-76 (DIN 938) шт</v>
      </c>
      <c r="B939" s="921" t="s">
        <v>69</v>
      </c>
      <c r="C939" s="921"/>
      <c r="D939" s="1186" t="s">
        <v>707</v>
      </c>
      <c r="E939" s="1189"/>
      <c r="F939" s="1186" t="s">
        <v>129</v>
      </c>
      <c r="G939" s="1187">
        <v>260</v>
      </c>
      <c r="H939" s="1190" t="s">
        <v>131</v>
      </c>
      <c r="I939" s="1188"/>
      <c r="J939" s="926">
        <v>260</v>
      </c>
      <c r="K939" s="920"/>
    </row>
    <row r="940" spans="1:11" ht="15">
      <c r="A940" s="1171" t="str">
        <f>Таблица301715[[#This Row],[Группа]]&amp;Таблица301715[[#This Row],[Номенклатура]]&amp;Таблица301715[[#This Row],[ЕИ]]</f>
        <v>МетизыШпилька резьбовая М12х1000 12Х18Н10Т ГОСТ 22032-76 (DIN 938) шт</v>
      </c>
      <c r="B940" s="921" t="s">
        <v>69</v>
      </c>
      <c r="C940" s="921"/>
      <c r="D940" s="1186" t="s">
        <v>1621</v>
      </c>
      <c r="E940" s="1189"/>
      <c r="F940" s="1186" t="s">
        <v>129</v>
      </c>
      <c r="G940" s="1187">
        <v>430</v>
      </c>
      <c r="H940" s="1190" t="s">
        <v>131</v>
      </c>
      <c r="I940" s="1188"/>
      <c r="J940" s="926">
        <v>430</v>
      </c>
      <c r="K940" s="920"/>
    </row>
    <row r="941" spans="1:11" ht="15">
      <c r="A941" s="1171" t="str">
        <f>Таблица301715[[#This Row],[Группа]]&amp;Таблица301715[[#This Row],[Номенклатура]]&amp;Таблица301715[[#This Row],[ЕИ]]</f>
        <v>МетизыШпилька резьбовая М14х1000 12Х18Н10Т ГОСТ 22032-76 (DIN 938) шт</v>
      </c>
      <c r="B941" s="921" t="s">
        <v>69</v>
      </c>
      <c r="C941" s="921"/>
      <c r="D941" s="1186" t="s">
        <v>1622</v>
      </c>
      <c r="E941" s="1189"/>
      <c r="F941" s="1186" t="s">
        <v>129</v>
      </c>
      <c r="G941" s="1187">
        <v>510</v>
      </c>
      <c r="H941" s="1190" t="s">
        <v>131</v>
      </c>
      <c r="I941" s="1188"/>
      <c r="J941" s="926">
        <v>510</v>
      </c>
      <c r="K941" s="920"/>
    </row>
    <row r="942" spans="1:11" ht="15">
      <c r="A942" s="1171" t="str">
        <f>Таблица301715[[#This Row],[Группа]]&amp;Таблица301715[[#This Row],[Номенклатура]]&amp;Таблица301715[[#This Row],[ЕИ]]</f>
        <v>МетизыШпилька резьбовая М16х1000 12Х18Н10Т ГОСТ 22032-76 (DIN 938) шт</v>
      </c>
      <c r="B942" s="921" t="s">
        <v>69</v>
      </c>
      <c r="C942" s="921"/>
      <c r="D942" s="1186" t="s">
        <v>1623</v>
      </c>
      <c r="E942" s="1189"/>
      <c r="F942" s="1186" t="s">
        <v>129</v>
      </c>
      <c r="G942" s="1187">
        <v>718.23</v>
      </c>
      <c r="H942" s="1190" t="s">
        <v>131</v>
      </c>
      <c r="I942" s="1188"/>
      <c r="J942" s="926">
        <v>718.23</v>
      </c>
      <c r="K942" s="920"/>
    </row>
    <row r="943" spans="1:11" ht="15">
      <c r="A943" s="1171" t="str">
        <f>Таблица301715[[#This Row],[Группа]]&amp;Таблица301715[[#This Row],[Номенклатура]]&amp;Таблица301715[[#This Row],[ЕИ]]</f>
        <v>МетизыШпилька резьбовая М18х1000 12Х18Н10Т ГОСТ 22032-76 (DIN 938) шт</v>
      </c>
      <c r="B943" s="921" t="s">
        <v>69</v>
      </c>
      <c r="C943" s="921"/>
      <c r="D943" s="1186" t="s">
        <v>1624</v>
      </c>
      <c r="E943" s="1189"/>
      <c r="F943" s="1186" t="s">
        <v>129</v>
      </c>
      <c r="G943" s="1187">
        <v>867.23</v>
      </c>
      <c r="H943" s="1190" t="s">
        <v>131</v>
      </c>
      <c r="I943" s="1188"/>
      <c r="J943" s="926">
        <v>867.23</v>
      </c>
      <c r="K943" s="920"/>
    </row>
    <row r="944" spans="1:11" ht="15">
      <c r="A944" s="1171" t="str">
        <f>Таблица301715[[#This Row],[Группа]]&amp;Таблица301715[[#This Row],[Номенклатура]]&amp;Таблица301715[[#This Row],[ЕИ]]</f>
        <v>МетизыШпилька резьбовая М20х1000 12Х18Н10Т ГОСТ 22032-76 (DIN 938) шт</v>
      </c>
      <c r="B944" s="921" t="s">
        <v>69</v>
      </c>
      <c r="C944" s="921"/>
      <c r="D944" s="1186" t="s">
        <v>1625</v>
      </c>
      <c r="E944" s="1189"/>
      <c r="F944" s="1186" t="s">
        <v>129</v>
      </c>
      <c r="G944" s="1187">
        <v>1250</v>
      </c>
      <c r="H944" s="1190" t="s">
        <v>131</v>
      </c>
      <c r="I944" s="1188"/>
      <c r="J944" s="926">
        <v>1250</v>
      </c>
      <c r="K944" s="920"/>
    </row>
    <row r="945" spans="1:11" ht="15">
      <c r="A945" s="1171" t="str">
        <f>Таблица301715[[#This Row],[Группа]]&amp;Таблица301715[[#This Row],[Номенклатура]]&amp;Таблица301715[[#This Row],[ЕИ]]</f>
        <v>МетизыСаморез кровельный оцинкованный 5,5х19шт</v>
      </c>
      <c r="B945" s="921" t="s">
        <v>69</v>
      </c>
      <c r="C945" s="921"/>
      <c r="D945" s="1186" t="s">
        <v>1626</v>
      </c>
      <c r="E945" s="1189"/>
      <c r="F945" s="1186" t="s">
        <v>129</v>
      </c>
      <c r="G945" s="1187">
        <v>3.03</v>
      </c>
      <c r="H945" s="1190" t="s">
        <v>131</v>
      </c>
      <c r="I945" s="1188"/>
      <c r="J945" s="926">
        <v>3.03</v>
      </c>
      <c r="K945" s="920"/>
    </row>
    <row r="946" spans="1:11" ht="15">
      <c r="A946" s="1171" t="str">
        <f>Таблица301715[[#This Row],[Группа]]&amp;Таблица301715[[#This Row],[Номенклатура]]&amp;Таблица301715[[#This Row],[ЕИ]]</f>
        <v>МетизыАнкерный болт распорный 16х100шт</v>
      </c>
      <c r="B946" s="921" t="s">
        <v>69</v>
      </c>
      <c r="C946" s="921"/>
      <c r="D946" s="1186" t="s">
        <v>443</v>
      </c>
      <c r="E946" s="1189"/>
      <c r="F946" s="1186" t="s">
        <v>129</v>
      </c>
      <c r="G946" s="1187">
        <v>150</v>
      </c>
      <c r="H946" s="1190" t="s">
        <v>131</v>
      </c>
      <c r="I946" s="1188"/>
      <c r="J946" s="926">
        <v>150</v>
      </c>
      <c r="K946" s="920"/>
    </row>
    <row r="947" spans="1:11" ht="15">
      <c r="A947" s="1171" t="str">
        <f>Таблица301715[[#This Row],[Группа]]&amp;Таблица301715[[#This Row],[Номенклатура]]&amp;Таблица301715[[#This Row],[ЕИ]]</f>
        <v>МетизыАнкерный болт распорный 20х200шт</v>
      </c>
      <c r="B947" s="921" t="s">
        <v>69</v>
      </c>
      <c r="C947" s="921"/>
      <c r="D947" s="1186" t="s">
        <v>1627</v>
      </c>
      <c r="E947" s="1189"/>
      <c r="F947" s="1186" t="s">
        <v>129</v>
      </c>
      <c r="G947" s="1187">
        <v>200</v>
      </c>
      <c r="H947" s="1190" t="s">
        <v>131</v>
      </c>
      <c r="I947" s="1188"/>
      <c r="J947" s="926">
        <v>200</v>
      </c>
      <c r="K947" s="920"/>
    </row>
    <row r="948" spans="1:11" ht="15">
      <c r="A948" s="1171" t="str">
        <f>Таблица301715[[#This Row],[Группа]]&amp;Таблица301715[[#This Row],[Номенклатура]]&amp;Таблица301715[[#This Row],[ЕИ]]</f>
        <v>МетизыБолты М20х90 ст20 ГОСТ 7798-70шт</v>
      </c>
      <c r="B948" s="921" t="s">
        <v>69</v>
      </c>
      <c r="C948" s="921"/>
      <c r="D948" s="1186" t="s">
        <v>1628</v>
      </c>
      <c r="E948" s="1189"/>
      <c r="F948" s="1186" t="s">
        <v>129</v>
      </c>
      <c r="G948" s="1187">
        <v>51</v>
      </c>
      <c r="H948" s="1190" t="s">
        <v>131</v>
      </c>
      <c r="I948" s="1188"/>
      <c r="J948" s="926">
        <v>51</v>
      </c>
      <c r="K948" s="920"/>
    </row>
    <row r="949" spans="1:11" ht="15">
      <c r="A949" s="1171" t="str">
        <f>Таблица301715[[#This Row],[Группа]]&amp;Таблица301715[[#This Row],[Номенклатура]]&amp;Таблица301715[[#This Row],[ЕИ]]</f>
        <v>МетизыБолт М24-6ɡх100.21.Ст20 ГОСТ 7798-70шт</v>
      </c>
      <c r="B949" s="921" t="s">
        <v>69</v>
      </c>
      <c r="C949" s="921"/>
      <c r="D949" s="1186" t="s">
        <v>780</v>
      </c>
      <c r="E949" s="1189"/>
      <c r="F949" s="1186" t="s">
        <v>129</v>
      </c>
      <c r="G949" s="1187">
        <v>105</v>
      </c>
      <c r="H949" s="1190" t="s">
        <v>131</v>
      </c>
      <c r="I949" s="1188"/>
      <c r="J949" s="926">
        <v>105</v>
      </c>
      <c r="K949" s="920"/>
    </row>
    <row r="950" spans="1:11" ht="15">
      <c r="A950" s="1171" t="str">
        <f>Таблица301715[[#This Row],[Группа]]&amp;Таблица301715[[#This Row],[Номенклатура]]&amp;Таблица301715[[#This Row],[ЕИ]]</f>
        <v>МетизыГайка М24-7Н.Ст20 ГОСТ 5915-70шт</v>
      </c>
      <c r="B950" s="921" t="s">
        <v>69</v>
      </c>
      <c r="C950" s="921"/>
      <c r="D950" s="1186" t="s">
        <v>783</v>
      </c>
      <c r="E950" s="1189"/>
      <c r="F950" s="1186" t="s">
        <v>129</v>
      </c>
      <c r="G950" s="1187">
        <v>28</v>
      </c>
      <c r="H950" s="1190" t="s">
        <v>131</v>
      </c>
      <c r="I950" s="1188"/>
      <c r="J950" s="926">
        <v>28</v>
      </c>
      <c r="K950" s="920"/>
    </row>
    <row r="951" spans="1:11" ht="15">
      <c r="A951" s="1171" t="str">
        <f>Таблица301715[[#This Row],[Группа]]&amp;Таблица301715[[#This Row],[Номенклатура]]&amp;Таблица301715[[#This Row],[ЕИ]]</f>
        <v>МетизыШайба 24.21.Ст20 ГОСТ 11371-78шт</v>
      </c>
      <c r="B951" s="921" t="s">
        <v>69</v>
      </c>
      <c r="C951" s="921"/>
      <c r="D951" s="1186" t="s">
        <v>781</v>
      </c>
      <c r="E951" s="1189"/>
      <c r="F951" s="1186" t="s">
        <v>129</v>
      </c>
      <c r="G951" s="1187">
        <v>6</v>
      </c>
      <c r="H951" s="1190" t="s">
        <v>131</v>
      </c>
      <c r="I951" s="1188"/>
      <c r="J951" s="926">
        <v>6</v>
      </c>
      <c r="K951" s="920"/>
    </row>
    <row r="952" spans="1:11" ht="15">
      <c r="A952" s="1171" t="str">
        <f>Таблица301715[[#This Row],[Группа]]&amp;Таблица301715[[#This Row],[Номенклатура]]&amp;Таблица301715[[#This Row],[ЕИ]]</f>
        <v>МетизыШайба 24.30х13 Ст20 ГОСТ 6402-70 шт</v>
      </c>
      <c r="B952" s="921" t="s">
        <v>69</v>
      </c>
      <c r="C952" s="921"/>
      <c r="D952" s="1186" t="s">
        <v>782</v>
      </c>
      <c r="E952" s="1189"/>
      <c r="F952" s="1186" t="s">
        <v>129</v>
      </c>
      <c r="G952" s="1187">
        <v>5.91</v>
      </c>
      <c r="H952" s="1190" t="s">
        <v>131</v>
      </c>
      <c r="I952" s="1188"/>
      <c r="J952" s="926">
        <v>5.91</v>
      </c>
      <c r="K952" s="920"/>
    </row>
    <row r="953" spans="1:11" ht="15">
      <c r="A953" s="1171" t="str">
        <f>Таблица301715[[#This Row],[Группа]]&amp;Таблица301715[[#This Row],[Номенклатура]]&amp;Таблица301715[[#This Row],[ЕИ]]</f>
        <v>МетизыБолт М12-6gх50.58.Ст20 ГОСТ 7798-70шт</v>
      </c>
      <c r="B953" s="921" t="s">
        <v>69</v>
      </c>
      <c r="C953" s="921"/>
      <c r="D953" s="1186" t="s">
        <v>1629</v>
      </c>
      <c r="E953" s="1189"/>
      <c r="F953" s="1186" t="s">
        <v>129</v>
      </c>
      <c r="G953" s="1187">
        <v>17</v>
      </c>
      <c r="H953" s="1190" t="s">
        <v>131</v>
      </c>
      <c r="I953" s="1188"/>
      <c r="J953" s="926">
        <v>17</v>
      </c>
      <c r="K953" s="920"/>
    </row>
    <row r="954" spans="1:11" ht="15">
      <c r="A954" s="1171" t="str">
        <f>Таблица301715[[#This Row],[Группа]]&amp;Таблица301715[[#This Row],[Номенклатура]]&amp;Таблица301715[[#This Row],[ЕИ]]</f>
        <v>МетизыГайка M12-7H.5.016.Ст20 ГОСТ 5915-70шт</v>
      </c>
      <c r="B954" s="921" t="s">
        <v>69</v>
      </c>
      <c r="C954" s="921"/>
      <c r="D954" s="1186" t="s">
        <v>788</v>
      </c>
      <c r="E954" s="1189"/>
      <c r="F954" s="1186" t="s">
        <v>129</v>
      </c>
      <c r="G954" s="1187">
        <v>7</v>
      </c>
      <c r="H954" s="1190" t="s">
        <v>131</v>
      </c>
      <c r="I954" s="1188"/>
      <c r="J954" s="926">
        <v>7</v>
      </c>
      <c r="K954" s="920"/>
    </row>
    <row r="955" spans="1:11" ht="15">
      <c r="A955" s="1171" t="str">
        <f>Таблица301715[[#This Row],[Группа]]&amp;Таблица301715[[#This Row],[Номенклатура]]&amp;Таблица301715[[#This Row],[ЕИ]]</f>
        <v>МетизыШайба 12.65Г.029.Ст20 ГОСТ 6402-70шт</v>
      </c>
      <c r="B955" s="921" t="s">
        <v>69</v>
      </c>
      <c r="C955" s="921"/>
      <c r="D955" s="1186" t="s">
        <v>789</v>
      </c>
      <c r="E955" s="1189"/>
      <c r="F955" s="1186" t="s">
        <v>129</v>
      </c>
      <c r="G955" s="1187">
        <v>3.21</v>
      </c>
      <c r="H955" s="1190" t="s">
        <v>131</v>
      </c>
      <c r="I955" s="1188"/>
      <c r="J955" s="926">
        <v>3.21</v>
      </c>
      <c r="K955" s="920"/>
    </row>
    <row r="956" spans="1:11" ht="15">
      <c r="A956" s="1171" t="str">
        <f>Таблица301715[[#This Row],[Группа]]&amp;Таблица301715[[#This Row],[Номенклатура]]&amp;Таблица301715[[#This Row],[ЕИ]]</f>
        <v>МетизыБолт анкерный М8х25 ГОСТ24379.1-80 с гайкой М8 ГОСТ 5915-70 (Ц) шт</v>
      </c>
      <c r="B956" s="921" t="s">
        <v>69</v>
      </c>
      <c r="C956" s="921"/>
      <c r="D956" s="1186" t="s">
        <v>1630</v>
      </c>
      <c r="E956" s="1189"/>
      <c r="F956" s="1186" t="s">
        <v>129</v>
      </c>
      <c r="G956" s="1187">
        <v>12.89</v>
      </c>
      <c r="H956" s="1190" t="s">
        <v>131</v>
      </c>
      <c r="I956" s="1188"/>
      <c r="J956" s="926">
        <v>12.89</v>
      </c>
      <c r="K956" s="920"/>
    </row>
    <row r="957" spans="1:11" ht="15">
      <c r="A957" s="1171" t="str">
        <f>Таблица301715[[#This Row],[Группа]]&amp;Таблица301715[[#This Row],[Номенклатура]]&amp;Таблица301715[[#This Row],[ЕИ]]</f>
        <v>МетизыБолт анкерный М8х40 ГОСТ24379.1-80 с гайкой М8 ГОСТ 5915-70 (Ц)шт</v>
      </c>
      <c r="B957" s="921" t="s">
        <v>69</v>
      </c>
      <c r="C957" s="921"/>
      <c r="D957" s="1186" t="s">
        <v>1631</v>
      </c>
      <c r="E957" s="1189"/>
      <c r="F957" s="1186" t="s">
        <v>129</v>
      </c>
      <c r="G957" s="1187">
        <v>7.83</v>
      </c>
      <c r="H957" s="1190" t="s">
        <v>131</v>
      </c>
      <c r="I957" s="1188"/>
      <c r="J957" s="926">
        <v>7.83</v>
      </c>
      <c r="K957" s="920"/>
    </row>
    <row r="958" spans="1:11" ht="15">
      <c r="A958" s="1171" t="str">
        <f>Таблица301715[[#This Row],[Группа]]&amp;Таблица301715[[#This Row],[Номенклатура]]&amp;Таблица301715[[#This Row],[ЕИ]]</f>
        <v>МетизыБолт М48-6gх200.58.ст20 ГОСТ 7798-70 (DIN 931, DIN 933)шт</v>
      </c>
      <c r="B958" s="921" t="s">
        <v>69</v>
      </c>
      <c r="C958" s="921"/>
      <c r="D958" s="920" t="s">
        <v>1632</v>
      </c>
      <c r="E958" s="1191"/>
      <c r="F958" s="1186" t="s">
        <v>129</v>
      </c>
      <c r="G958" s="1192">
        <v>2012</v>
      </c>
      <c r="H958" s="1190" t="s">
        <v>131</v>
      </c>
      <c r="I958" s="1188"/>
      <c r="J958" s="926">
        <v>2012</v>
      </c>
      <c r="K958" s="920"/>
    </row>
    <row r="959" spans="1:11" ht="15">
      <c r="A959" s="1171" t="str">
        <f>Таблица301715[[#This Row],[Группа]]&amp;Таблица301715[[#This Row],[Номенклатура]]&amp;Таблица301715[[#This Row],[ЕИ]]</f>
        <v>МетизыБолт М30-6gх240.58.ст20 ГОСТ 7798-70 (DIN 931, DIN 933)шт</v>
      </c>
      <c r="B959" s="921" t="s">
        <v>69</v>
      </c>
      <c r="C959" s="921"/>
      <c r="D959" s="920" t="s">
        <v>1633</v>
      </c>
      <c r="E959" s="1191"/>
      <c r="F959" s="1186" t="s">
        <v>129</v>
      </c>
      <c r="G959" s="1192">
        <v>645.20000000000005</v>
      </c>
      <c r="H959" s="1190" t="s">
        <v>131</v>
      </c>
      <c r="I959" s="1188"/>
      <c r="J959" s="926">
        <v>645.20000000000005</v>
      </c>
      <c r="K959" s="920"/>
    </row>
    <row r="960" spans="1:11" ht="15">
      <c r="A960" s="1171" t="str">
        <f>Таблица301715[[#This Row],[Группа]]&amp;Таблица301715[[#This Row],[Номенклатура]]&amp;Таблица301715[[#This Row],[ЕИ]]</f>
        <v>МетизыШайба 2.М48.ст20 ГОСТ 11371-78шт</v>
      </c>
      <c r="B960" s="920" t="s">
        <v>69</v>
      </c>
      <c r="C960" s="920"/>
      <c r="D960" s="921" t="s">
        <v>1634</v>
      </c>
      <c r="E960" s="921"/>
      <c r="F960" s="1186" t="s">
        <v>129</v>
      </c>
      <c r="G960" s="923">
        <v>180</v>
      </c>
      <c r="H960" s="927" t="s">
        <v>131</v>
      </c>
      <c r="I960" s="925"/>
      <c r="J960" s="926">
        <v>180</v>
      </c>
      <c r="K960" s="920"/>
    </row>
    <row r="961" spans="1:12" ht="15">
      <c r="A961" s="1171" t="str">
        <f>Таблица301715[[#This Row],[Группа]]&amp;Таблица301715[[#This Row],[Номенклатура]]&amp;Таблица301715[[#This Row],[ЕИ]]</f>
        <v>МетизыШайба 2.М30.ст20 ГОСТ 11371-78шт</v>
      </c>
      <c r="B961" s="920" t="s">
        <v>69</v>
      </c>
      <c r="C961" s="920"/>
      <c r="D961" s="921" t="s">
        <v>1635</v>
      </c>
      <c r="E961" s="921"/>
      <c r="F961" s="1186" t="s">
        <v>129</v>
      </c>
      <c r="G961" s="923">
        <v>140</v>
      </c>
      <c r="H961" s="927" t="s">
        <v>131</v>
      </c>
      <c r="I961" s="925"/>
      <c r="J961" s="926">
        <v>140</v>
      </c>
      <c r="K961" s="920"/>
    </row>
    <row r="962" spans="1:12" ht="15">
      <c r="A962" s="1171" t="str">
        <f>Таблица301715[[#This Row],[Группа]]&amp;Таблица301715[[#This Row],[Номенклатура]]&amp;Таблица301715[[#This Row],[ЕИ]]</f>
        <v>МетизыГайка М48-6Н.5.ст20 ГОСТ 5915-70 (DIN 934)шт</v>
      </c>
      <c r="B962" s="920" t="s">
        <v>69</v>
      </c>
      <c r="C962" s="920"/>
      <c r="D962" s="921" t="s">
        <v>1636</v>
      </c>
      <c r="E962" s="921"/>
      <c r="F962" s="1186" t="s">
        <v>129</v>
      </c>
      <c r="G962" s="923">
        <v>401.2</v>
      </c>
      <c r="H962" s="927" t="s">
        <v>131</v>
      </c>
      <c r="I962" s="925"/>
      <c r="J962" s="926">
        <v>401.2</v>
      </c>
      <c r="K962" s="920"/>
    </row>
    <row r="963" spans="1:12" ht="15">
      <c r="A963" s="1171" t="str">
        <f>Таблица301715[[#This Row],[Группа]]&amp;Таблица301715[[#This Row],[Номенклатура]]&amp;Таблица301715[[#This Row],[ЕИ]]</f>
        <v>МетизыГайка М30-6Н.5.ст20 ГОСТ 5915-70 (DIN 934)шт</v>
      </c>
      <c r="B963" s="920" t="s">
        <v>69</v>
      </c>
      <c r="C963" s="920"/>
      <c r="D963" s="921" t="s">
        <v>1637</v>
      </c>
      <c r="E963" s="921"/>
      <c r="F963" s="1186" t="s">
        <v>129</v>
      </c>
      <c r="G963" s="923">
        <v>310.2</v>
      </c>
      <c r="H963" s="927" t="s">
        <v>131</v>
      </c>
      <c r="I963" s="925"/>
      <c r="J963" s="926">
        <v>310.2</v>
      </c>
      <c r="K963" s="920"/>
    </row>
    <row r="964" spans="1:12" ht="15">
      <c r="A964" s="1171" t="str">
        <f>Таблица301715[[#This Row],[Группа]]&amp;Таблица301715[[#This Row],[Номенклатура]]&amp;Таблица301715[[#This Row],[ЕИ]]</f>
        <v>МетизыАнкерный болт с гайкой SZ-B MKT М20х165/30 высокой прочности (резьбовая часть М2шт</v>
      </c>
      <c r="B964" s="920" t="s">
        <v>69</v>
      </c>
      <c r="C964" s="920"/>
      <c r="D964" s="921" t="s">
        <v>584</v>
      </c>
      <c r="E964" s="921"/>
      <c r="F964" s="1186" t="s">
        <v>129</v>
      </c>
      <c r="G964" s="923">
        <v>2500</v>
      </c>
      <c r="H964" s="927" t="s">
        <v>131</v>
      </c>
      <c r="I964" s="925"/>
      <c r="J964" s="926">
        <v>2500</v>
      </c>
      <c r="K964" s="920"/>
    </row>
    <row r="965" spans="1:12" ht="15">
      <c r="A965" s="1171" t="str">
        <f>Таблица301715[[#This Row],[Группа]]&amp;Таблица301715[[#This Row],[Номенклатура]]&amp;Таблица301715[[#This Row],[ЕИ]]</f>
        <v>МетизыРым-гайка М20 DIN 582 оцинкованнаяшт</v>
      </c>
      <c r="B965" s="920" t="s">
        <v>69</v>
      </c>
      <c r="C965" s="920"/>
      <c r="D965" s="921" t="s">
        <v>585</v>
      </c>
      <c r="E965" s="921"/>
      <c r="F965" s="1186" t="s">
        <v>129</v>
      </c>
      <c r="G965" s="923">
        <v>310</v>
      </c>
      <c r="H965" s="927" t="s">
        <v>131</v>
      </c>
      <c r="I965" s="925"/>
      <c r="J965" s="926">
        <v>310</v>
      </c>
      <c r="K965" s="920"/>
    </row>
    <row r="966" spans="1:12" ht="15">
      <c r="A966" s="1171" t="str">
        <f>Таблица301715[[#This Row],[Группа]]&amp;Таблица301715[[#This Row],[Номенклатура]]&amp;Таблица301715[[#This Row],[ЕИ]]</f>
        <v>Прочее оборудованиеИзмельчитель ПОТОК П-200 - 80 м³/ч без барабана и без рамы с ШУ с кабелем 10мшт</v>
      </c>
      <c r="B966" s="920" t="s">
        <v>233</v>
      </c>
      <c r="C966" s="920"/>
      <c r="D966" s="921" t="s">
        <v>2103</v>
      </c>
      <c r="E966" s="921"/>
      <c r="F966" s="922" t="s">
        <v>129</v>
      </c>
      <c r="G966" s="923">
        <v>1160000</v>
      </c>
      <c r="H966" s="927" t="s">
        <v>131</v>
      </c>
      <c r="I966" s="925"/>
      <c r="J966" s="926">
        <v>1160000</v>
      </c>
      <c r="K966" s="920"/>
    </row>
    <row r="967" spans="1:12" ht="15">
      <c r="A967" s="1171" t="str">
        <f>Таблица301715[[#This Row],[Группа]]&amp;Таблица301715[[#This Row],[Номенклатура]]&amp;Таблица301715[[#This Row],[ЕИ]]</f>
        <v>Прочее оборудованиеИзмельчитель ПОТОК П-300 - 120 м³/ч без барабана и без рамы с ШУ с кабелем 10 мшт</v>
      </c>
      <c r="B967" s="920" t="s">
        <v>233</v>
      </c>
      <c r="C967" s="920"/>
      <c r="D967" s="921" t="s">
        <v>2104</v>
      </c>
      <c r="E967" s="921"/>
      <c r="F967" s="922" t="s">
        <v>129</v>
      </c>
      <c r="G967" s="923">
        <v>1300000</v>
      </c>
      <c r="H967" s="927" t="s">
        <v>131</v>
      </c>
      <c r="I967" s="925"/>
      <c r="J967" s="926">
        <v>1300000</v>
      </c>
      <c r="K967" s="920"/>
    </row>
    <row r="968" spans="1:12" ht="15">
      <c r="A968" s="1171" t="str">
        <f>Таблица301715[[#This Row],[Группа]]&amp;Таблица301715[[#This Row],[Номенклатура]]&amp;Таблица301715[[#This Row],[ЕИ]]</f>
        <v>Прочее оборудованиеИзмельчитель ПОТОК П-400 - 160 м³/ч без барабана и без рамы с ШУ кабелем 10 мшт</v>
      </c>
      <c r="B968" s="920" t="s">
        <v>233</v>
      </c>
      <c r="C968" s="920"/>
      <c r="D968" s="921" t="s">
        <v>2105</v>
      </c>
      <c r="E968" s="921"/>
      <c r="F968" s="922" t="s">
        <v>129</v>
      </c>
      <c r="G968" s="923">
        <v>1450000</v>
      </c>
      <c r="H968" s="927" t="s">
        <v>131</v>
      </c>
      <c r="I968" s="925"/>
      <c r="J968" s="926">
        <v>1450000</v>
      </c>
      <c r="K968" s="920"/>
    </row>
    <row r="969" spans="1:12" ht="15">
      <c r="A969" s="1171" t="str">
        <f>Таблица301715[[#This Row],[Группа]]&amp;Таблица301715[[#This Row],[Номенклатура]]&amp;Таблица301715[[#This Row],[ЕИ]]</f>
        <v>Прочее оборудованиеИзмельчитель ПОТОК П-500 - 210 м³/ч без барабана и без рамы  с ШУ кабелем 10 мшт</v>
      </c>
      <c r="B969" s="920" t="s">
        <v>233</v>
      </c>
      <c r="C969" s="920"/>
      <c r="D969" s="921" t="s">
        <v>2106</v>
      </c>
      <c r="E969" s="921"/>
      <c r="F969" s="922" t="s">
        <v>129</v>
      </c>
      <c r="G969" s="923">
        <v>1570000</v>
      </c>
      <c r="H969" s="927" t="s">
        <v>131</v>
      </c>
      <c r="I969" s="925"/>
      <c r="J969" s="926">
        <v>1570000</v>
      </c>
      <c r="K969" s="920"/>
    </row>
    <row r="970" spans="1:12" ht="15">
      <c r="A970" s="1171" t="str">
        <f>Таблица301715[[#This Row],[Группа]]&amp;Таблица301715[[#This Row],[Номенклатура]]&amp;Таблица301715[[#This Row],[ЕИ]]</f>
        <v>Прочее оборудованиеИзмельчитель ПОТОК П-600 - 260 м³/ч без барабана и без рамы с ШУ кабелем 10 м шт</v>
      </c>
      <c r="B970" s="920" t="s">
        <v>233</v>
      </c>
      <c r="C970" s="920"/>
      <c r="D970" s="921" t="s">
        <v>2107</v>
      </c>
      <c r="E970" s="921"/>
      <c r="F970" s="922" t="s">
        <v>129</v>
      </c>
      <c r="G970" s="923">
        <v>1630000</v>
      </c>
      <c r="H970" s="927" t="s">
        <v>131</v>
      </c>
      <c r="I970" s="925"/>
      <c r="J970" s="926">
        <v>1630000</v>
      </c>
      <c r="K970" s="920"/>
    </row>
    <row r="971" spans="1:12" ht="15">
      <c r="A971" s="1171" t="str">
        <f>Таблица301715[[#This Row],[Группа]]&amp;Таблица301715[[#This Row],[Номенклатура]]&amp;Таблица301715[[#This Row],[ЕИ]]</f>
        <v>Прочее оборудованиеИзмельчитель ПОТОК П-800 - 370 м³/ч без барабана и без рамы с  ШУ кабелем 10 м шт</v>
      </c>
      <c r="B971" s="1225" t="s">
        <v>233</v>
      </c>
      <c r="C971" s="1225"/>
      <c r="D971" s="1226" t="s">
        <v>2108</v>
      </c>
      <c r="E971" s="1226"/>
      <c r="F971" s="922" t="s">
        <v>129</v>
      </c>
      <c r="G971" s="923">
        <v>1800000</v>
      </c>
      <c r="H971" s="927" t="s">
        <v>131</v>
      </c>
      <c r="I971" s="925"/>
      <c r="J971" s="926">
        <v>1800000</v>
      </c>
      <c r="K971" s="1225"/>
    </row>
    <row r="972" spans="1:12" ht="15">
      <c r="A972" s="1171" t="str">
        <f>Таблица301715[[#This Row],[Группа]]&amp;Таблица301715[[#This Row],[Номенклатура]]&amp;Таблица301715[[#This Row],[ЕИ]]</f>
        <v>Прочее оборудованиеПереносной газоанализатор (CH4, H2S, CO, O2) шт</v>
      </c>
      <c r="B972" s="920" t="s">
        <v>233</v>
      </c>
      <c r="C972" s="920"/>
      <c r="D972" s="921" t="s">
        <v>2092</v>
      </c>
      <c r="E972" s="921"/>
      <c r="F972" s="922" t="s">
        <v>129</v>
      </c>
      <c r="G972" s="923">
        <v>320000</v>
      </c>
      <c r="H972" s="927" t="s">
        <v>131</v>
      </c>
      <c r="I972" s="925"/>
      <c r="J972" s="926">
        <v>320000</v>
      </c>
      <c r="K972" s="920"/>
      <c r="L972" s="738" t="s">
        <v>743</v>
      </c>
    </row>
    <row r="973" spans="1:12" ht="15">
      <c r="A973" s="1171" t="str">
        <f>Таблица301715[[#This Row],[Группа]]&amp;Таблица301715[[#This Row],[Номенклатура]]&amp;Таблица301715[[#This Row],[ЕИ]]</f>
        <v>Прочее оборудованиеУгольный фильтр производительностью до 160 м³/ч с патрубком DN100шт</v>
      </c>
      <c r="B973" s="920" t="s">
        <v>233</v>
      </c>
      <c r="C973" s="920"/>
      <c r="D973" s="921" t="s">
        <v>2096</v>
      </c>
      <c r="E973" s="921"/>
      <c r="F973" s="922" t="s">
        <v>129</v>
      </c>
      <c r="G973" s="923">
        <v>7000</v>
      </c>
      <c r="H973" s="927" t="s">
        <v>131</v>
      </c>
      <c r="I973" s="925"/>
      <c r="J973" s="926">
        <v>7000</v>
      </c>
      <c r="K973" s="920"/>
      <c r="L973" s="738" t="s">
        <v>2093</v>
      </c>
    </row>
    <row r="974" spans="1:12" ht="15">
      <c r="A974" s="1171" t="str">
        <f>Таблица301715[[#This Row],[Группа]]&amp;Таблица301715[[#This Row],[Номенклатура]]&amp;Таблица301715[[#This Row],[ЕИ]]</f>
        <v>Прочее оборудованиеУгольный фильтр производительностью до 250 м³/ч с патрубком DN100шт</v>
      </c>
      <c r="B974" s="920" t="s">
        <v>233</v>
      </c>
      <c r="C974" s="920"/>
      <c r="D974" s="921" t="s">
        <v>2097</v>
      </c>
      <c r="E974" s="921"/>
      <c r="F974" s="922" t="s">
        <v>129</v>
      </c>
      <c r="G974" s="923">
        <v>8500</v>
      </c>
      <c r="H974" s="927" t="s">
        <v>131</v>
      </c>
      <c r="I974" s="925"/>
      <c r="J974" s="926">
        <v>8500</v>
      </c>
      <c r="K974" s="920"/>
    </row>
    <row r="975" spans="1:12" ht="15">
      <c r="A975" s="1171" t="str">
        <f>Таблица301715[[#This Row],[Группа]]&amp;Таблица301715[[#This Row],[Номенклатура]]&amp;Таблица301715[[#This Row],[ЕИ]]</f>
        <v>Прочее оборудованиеУгольный фильтр производительностью до 350 м³/ч с патрубком DN125шт</v>
      </c>
      <c r="B975" s="920" t="s">
        <v>233</v>
      </c>
      <c r="C975" s="920"/>
      <c r="D975" s="921" t="s">
        <v>2098</v>
      </c>
      <c r="E975" s="921"/>
      <c r="F975" s="922" t="s">
        <v>129</v>
      </c>
      <c r="G975" s="923">
        <v>8500</v>
      </c>
      <c r="H975" s="927" t="s">
        <v>131</v>
      </c>
      <c r="I975" s="925"/>
      <c r="J975" s="926">
        <v>8500</v>
      </c>
      <c r="K975" s="1165"/>
    </row>
    <row r="976" spans="1:12" ht="15">
      <c r="A976" s="1171" t="str">
        <f>Таблица301715[[#This Row],[Группа]]&amp;Таблица301715[[#This Row],[Номенклатура]]&amp;Таблица301715[[#This Row],[ЕИ]]</f>
        <v>Прочее оборудованиеУгольный фильтр производительностью до 500 м³/ч с патрубком DN160шт</v>
      </c>
      <c r="B976" s="920" t="s">
        <v>233</v>
      </c>
      <c r="C976" s="920"/>
      <c r="D976" s="921" t="s">
        <v>2099</v>
      </c>
      <c r="E976" s="921"/>
      <c r="F976" s="922" t="s">
        <v>129</v>
      </c>
      <c r="G976" s="923">
        <v>10800</v>
      </c>
      <c r="H976" s="927" t="s">
        <v>131</v>
      </c>
      <c r="I976" s="925"/>
      <c r="J976" s="926">
        <v>10800</v>
      </c>
      <c r="K976" s="1165"/>
    </row>
    <row r="977" spans="1:12" ht="15">
      <c r="A977" s="1171" t="str">
        <f>Таблица301715[[#This Row],[Группа]]&amp;Таблица301715[[#This Row],[Номенклатура]]&amp;Таблица301715[[#This Row],[ЕИ]]</f>
        <v>Вентилятор осевой канальный  производительностью до 160 м³/ч шт</v>
      </c>
      <c r="B977" s="920"/>
      <c r="C977" s="920"/>
      <c r="D977" s="921" t="s">
        <v>2100</v>
      </c>
      <c r="E977" s="921"/>
      <c r="F977" s="922" t="s">
        <v>129</v>
      </c>
      <c r="G977" s="923">
        <v>5000</v>
      </c>
      <c r="H977" s="927" t="s">
        <v>131</v>
      </c>
      <c r="I977" s="925"/>
      <c r="J977" s="926">
        <v>5000</v>
      </c>
      <c r="K977" s="1165"/>
      <c r="L977" s="738" t="s">
        <v>2095</v>
      </c>
    </row>
    <row r="978" spans="1:12" ht="15">
      <c r="A978" s="1171" t="str">
        <f>Таблица301715[[#This Row],[Группа]]&amp;Таблица301715[[#This Row],[Номенклатура]]&amp;Таблица301715[[#This Row],[ЕИ]]</f>
        <v>Прочее оборудованиеВентилятор осевой канальный  производительностью до 250 м³/чшт</v>
      </c>
      <c r="B978" s="920" t="s">
        <v>233</v>
      </c>
      <c r="C978" s="920"/>
      <c r="D978" s="921" t="s">
        <v>2094</v>
      </c>
      <c r="E978" s="921"/>
      <c r="F978" s="922" t="s">
        <v>129</v>
      </c>
      <c r="G978" s="923">
        <v>7000</v>
      </c>
      <c r="H978" s="927" t="s">
        <v>131</v>
      </c>
      <c r="I978" s="925"/>
      <c r="J978" s="926">
        <v>7000</v>
      </c>
      <c r="K978" s="1165"/>
    </row>
    <row r="979" spans="1:12" ht="15">
      <c r="A979" s="1171" t="str">
        <f>Таблица301715[[#This Row],[Группа]]&amp;Таблица301715[[#This Row],[Номенклатура]]&amp;Таблица301715[[#This Row],[ЕИ]]</f>
        <v>Прочее оборудованиеВентилятор осевой канальный производительностью до 350 м³/чшт</v>
      </c>
      <c r="B979" s="920" t="s">
        <v>233</v>
      </c>
      <c r="C979" s="920"/>
      <c r="D979" s="921" t="s">
        <v>2102</v>
      </c>
      <c r="E979" s="921"/>
      <c r="F979" s="922" t="s">
        <v>129</v>
      </c>
      <c r="G979" s="923">
        <v>10000</v>
      </c>
      <c r="H979" s="927" t="s">
        <v>131</v>
      </c>
      <c r="I979" s="925"/>
      <c r="J979" s="926">
        <v>10000</v>
      </c>
      <c r="K979" s="1165"/>
    </row>
    <row r="980" spans="1:12" ht="15">
      <c r="A980" s="1171" t="str">
        <f>Таблица301715[[#This Row],[Группа]]&amp;Таблица301715[[#This Row],[Номенклатура]]&amp;Таблица301715[[#This Row],[ЕИ]]</f>
        <v>Прочее оборудованиеВентилятор осевой канальный производительностью до 500 м³/чшт</v>
      </c>
      <c r="B980" s="920" t="s">
        <v>233</v>
      </c>
      <c r="C980" s="920"/>
      <c r="D980" s="921" t="s">
        <v>2101</v>
      </c>
      <c r="E980" s="921"/>
      <c r="F980" s="922" t="s">
        <v>129</v>
      </c>
      <c r="G980" s="923">
        <v>15000</v>
      </c>
      <c r="H980" s="927" t="s">
        <v>131</v>
      </c>
      <c r="I980" s="925"/>
      <c r="J980" s="926">
        <v>15000</v>
      </c>
      <c r="K980" s="1165"/>
    </row>
    <row r="981" spans="1:12" ht="15">
      <c r="A981" s="1171" t="str">
        <f>Таблица301715[[#This Row],[Группа]]&amp;Таблица301715[[#This Row],[Номенклатура]]&amp;Таблица301715[[#This Row],[ЕИ]]</f>
        <v>Прочее оборудованиеТрехходовой кран со спусником DN25шт</v>
      </c>
      <c r="B981" s="920" t="s">
        <v>233</v>
      </c>
      <c r="C981" s="920"/>
      <c r="D981" s="921" t="s">
        <v>744</v>
      </c>
      <c r="E981" s="921"/>
      <c r="F981" s="920" t="s">
        <v>129</v>
      </c>
      <c r="G981" s="1192">
        <v>6000</v>
      </c>
      <c r="H981" s="924" t="s">
        <v>131</v>
      </c>
      <c r="I981" s="1188"/>
      <c r="J981" s="926">
        <v>6000</v>
      </c>
      <c r="K981" s="920"/>
    </row>
    <row r="982" spans="1:12" ht="15">
      <c r="A982" s="1171" t="str">
        <f>Таблица301715[[#This Row],[Группа]]&amp;Таблица301715[[#This Row],[Номенклатура]]&amp;Таблица301715[[#This Row],[ЕИ]]</f>
        <v>Прочее оборудованиеКран шаровой DN25 шт</v>
      </c>
      <c r="B982" s="920" t="s">
        <v>233</v>
      </c>
      <c r="C982" s="920"/>
      <c r="D982" s="921" t="s">
        <v>745</v>
      </c>
      <c r="E982" s="921"/>
      <c r="F982" s="920" t="s">
        <v>129</v>
      </c>
      <c r="G982" s="1192">
        <v>6000</v>
      </c>
      <c r="H982" s="924" t="s">
        <v>131</v>
      </c>
      <c r="I982" s="898"/>
      <c r="J982" s="899">
        <v>6000</v>
      </c>
      <c r="K982" s="1165"/>
    </row>
    <row r="983" spans="1:12" ht="15">
      <c r="A983" s="1171" t="str">
        <f>Таблица301715[[#This Row],[Группа]]&amp;Таблица301715[[#This Row],[Номенклатура]]&amp;Таблица301715[[#This Row],[ЕИ]]</f>
        <v>Прочее оборудованиеКран 3-х ходовой м/м, М20х1,5 (G1/2")шт</v>
      </c>
      <c r="B983" s="920" t="s">
        <v>233</v>
      </c>
      <c r="C983" s="920"/>
      <c r="D983" s="921" t="s">
        <v>1921</v>
      </c>
      <c r="E983" s="921"/>
      <c r="F983" s="920" t="s">
        <v>129</v>
      </c>
      <c r="G983" s="1192">
        <v>2000</v>
      </c>
      <c r="H983" s="924" t="s">
        <v>131</v>
      </c>
      <c r="I983" s="1188"/>
      <c r="J983" s="926">
        <v>2000</v>
      </c>
      <c r="K983" s="920"/>
    </row>
    <row r="984" spans="1:12" ht="15">
      <c r="A984" s="1171" t="str">
        <f>Таблица301715[[#This Row],[Группа]]&amp;Таблица301715[[#This Row],[Номенклатура]]&amp;Таблица301715[[#This Row],[ЕИ]]</f>
        <v>Прочее оборудованиеКран шаровый КШ.Ц.М.015.040.02шт</v>
      </c>
      <c r="B984" s="920" t="s">
        <v>233</v>
      </c>
      <c r="C984" s="920"/>
      <c r="D984" s="921" t="s">
        <v>1922</v>
      </c>
      <c r="E984" s="921"/>
      <c r="F984" s="920" t="s">
        <v>129</v>
      </c>
      <c r="G984" s="1192">
        <v>2000</v>
      </c>
      <c r="H984" s="924" t="s">
        <v>131</v>
      </c>
      <c r="I984" s="1188"/>
      <c r="J984" s="926">
        <v>2000</v>
      </c>
      <c r="K984" s="920"/>
    </row>
    <row r="985" spans="1:12" ht="15">
      <c r="A985" s="1171" t="str">
        <f>Таблица301715[[#This Row],[Группа]]&amp;Таблица301715[[#This Row],[Номенклатура]]&amp;Таблица301715[[#This Row],[ЕИ]]</f>
        <v>Прочее оборудованиеСгон 15-12Х18Н10Т ГОСТ 8969-75шт</v>
      </c>
      <c r="B985" s="920" t="s">
        <v>233</v>
      </c>
      <c r="C985" s="920"/>
      <c r="D985" s="921" t="s">
        <v>1923</v>
      </c>
      <c r="E985" s="921"/>
      <c r="F985" s="920" t="s">
        <v>129</v>
      </c>
      <c r="G985" s="1192">
        <v>2000</v>
      </c>
      <c r="H985" s="924" t="s">
        <v>131</v>
      </c>
      <c r="I985" s="1188"/>
      <c r="J985" s="926">
        <v>2000</v>
      </c>
      <c r="K985" s="920"/>
    </row>
    <row r="986" spans="1:12" ht="15">
      <c r="A986" s="1171" t="str">
        <f>Таблица301715[[#This Row],[Группа]]&amp;Таблица301715[[#This Row],[Номенклатура]]&amp;Таблица301715[[#This Row],[ЕИ]]</f>
        <v>Прочее оборудованиеБобышка DN25 шт</v>
      </c>
      <c r="B986" s="920" t="s">
        <v>233</v>
      </c>
      <c r="C986" s="920"/>
      <c r="D986" s="921" t="s">
        <v>746</v>
      </c>
      <c r="E986" s="921"/>
      <c r="F986" s="920" t="s">
        <v>129</v>
      </c>
      <c r="G986" s="1192">
        <v>500</v>
      </c>
      <c r="H986" s="924" t="s">
        <v>131</v>
      </c>
      <c r="I986" s="1188"/>
      <c r="J986" s="926">
        <v>500</v>
      </c>
      <c r="K986" s="920"/>
    </row>
    <row r="987" spans="1:12" ht="15">
      <c r="A987" s="1171" t="str">
        <f>Таблица301715[[#This Row],[Группа]]&amp;Таблица301715[[#This Row],[Номенклатура]]&amp;Таблица301715[[#This Row],[ЕИ]]</f>
        <v>Прочие материалыПетля приварная трехлепестковая АРТ 814754 А2 118Х88шт</v>
      </c>
      <c r="B987" s="920" t="s">
        <v>71</v>
      </c>
      <c r="C987" s="920"/>
      <c r="D987" s="921" t="s">
        <v>429</v>
      </c>
      <c r="E987" s="921"/>
      <c r="F987" s="920" t="s">
        <v>129</v>
      </c>
      <c r="G987" s="1192">
        <v>1015</v>
      </c>
      <c r="H987" s="924" t="s">
        <v>131</v>
      </c>
      <c r="I987" s="1188"/>
      <c r="J987" s="926">
        <v>1015</v>
      </c>
      <c r="K987" s="920"/>
    </row>
    <row r="988" spans="1:12" ht="15">
      <c r="A988" s="1171" t="str">
        <f>Таблица301715[[#This Row],[Группа]]&amp;Таблица301715[[#This Row],[Номенклатура]]&amp;Таблица301715[[#This Row],[ЕИ]]</f>
        <v>Прочие материалыГазовая пружина (упор) 805 мм / 350 мм / 400 Nшт</v>
      </c>
      <c r="B988" s="920" t="s">
        <v>71</v>
      </c>
      <c r="C988" s="920"/>
      <c r="D988" s="921" t="s">
        <v>747</v>
      </c>
      <c r="E988" s="921"/>
      <c r="F988" s="920" t="s">
        <v>129</v>
      </c>
      <c r="G988" s="1192"/>
      <c r="H988" s="924" t="s">
        <v>131</v>
      </c>
      <c r="I988" s="1188"/>
      <c r="J988" s="926"/>
      <c r="K988" s="920"/>
    </row>
    <row r="989" spans="1:12" ht="15">
      <c r="A989" s="1171" t="str">
        <f>Таблица301715[[#This Row],[Группа]]&amp;Таблица301715[[#This Row],[Номенклатура]]&amp;Таблица301715[[#This Row],[ЕИ]]</f>
        <v>Прочие материалыЗамок натяжной АРТ 8427 А2 115-125шт</v>
      </c>
      <c r="B989" s="920" t="s">
        <v>71</v>
      </c>
      <c r="C989" s="920"/>
      <c r="D989" s="921" t="s">
        <v>575</v>
      </c>
      <c r="E989" s="921"/>
      <c r="F989" s="920" t="s">
        <v>129</v>
      </c>
      <c r="G989" s="1192">
        <v>1600</v>
      </c>
      <c r="H989" s="924" t="s">
        <v>131</v>
      </c>
      <c r="I989" s="1188"/>
      <c r="J989" s="926">
        <v>1600</v>
      </c>
      <c r="K989" s="920"/>
    </row>
    <row r="990" spans="1:12" ht="15">
      <c r="A990" s="1171" t="str">
        <f>Таблица301715[[#This Row],[Группа]]&amp;Таблица301715[[#This Row],[Номенклатура]]&amp;Таблица301715[[#This Row],[ЕИ]]</f>
        <v>Прочие материалыЗамок натяжной АРТ 8427 А2 75-90шт</v>
      </c>
      <c r="B990" s="920" t="s">
        <v>71</v>
      </c>
      <c r="C990" s="920"/>
      <c r="D990" s="921" t="s">
        <v>1638</v>
      </c>
      <c r="E990" s="921"/>
      <c r="F990" s="920" t="s">
        <v>129</v>
      </c>
      <c r="G990" s="1192">
        <v>450</v>
      </c>
      <c r="H990" s="924" t="s">
        <v>131</v>
      </c>
      <c r="I990" s="1188"/>
      <c r="J990" s="926">
        <v>450</v>
      </c>
      <c r="K990" s="920"/>
    </row>
    <row r="991" spans="1:12" ht="15">
      <c r="A991" s="1171" t="str">
        <f>Таблица301715[[#This Row],[Группа]]&amp;Таблица301715[[#This Row],[Номенклатура]]&amp;Таблица301715[[#This Row],[ЕИ]]</f>
        <v>Прочие материалыКомпозитный решетчатый настил ISO-FR 30х997х2026шт</v>
      </c>
      <c r="B991" s="920" t="s">
        <v>71</v>
      </c>
      <c r="C991" s="920"/>
      <c r="D991" s="921" t="s">
        <v>431</v>
      </c>
      <c r="E991" s="921"/>
      <c r="F991" s="920" t="s">
        <v>129</v>
      </c>
      <c r="G991" s="1192">
        <v>16500</v>
      </c>
      <c r="H991" s="1193" t="s">
        <v>131</v>
      </c>
      <c r="I991" s="1188"/>
      <c r="J991" s="926">
        <v>16500</v>
      </c>
      <c r="K991" s="920"/>
    </row>
    <row r="992" spans="1:12" ht="15">
      <c r="A992" s="1171" t="str">
        <f>Таблица301715[[#This Row],[Группа]]&amp;Таблица301715[[#This Row],[Номенклатура]]&amp;Таблица301715[[#This Row],[ЕИ]]</f>
        <v>Прочие материалыРучка складная оцинкованнаяшт</v>
      </c>
      <c r="B992" s="920" t="s">
        <v>71</v>
      </c>
      <c r="C992" s="920"/>
      <c r="D992" s="921" t="s">
        <v>426</v>
      </c>
      <c r="E992" s="921"/>
      <c r="F992" s="920" t="s">
        <v>129</v>
      </c>
      <c r="G992" s="1192">
        <v>200</v>
      </c>
      <c r="H992" s="1193" t="s">
        <v>131</v>
      </c>
      <c r="I992" s="1188"/>
      <c r="J992" s="926">
        <v>200</v>
      </c>
      <c r="K992" s="920"/>
    </row>
    <row r="993" spans="1:11" ht="15">
      <c r="A993" s="1171" t="str">
        <f>Таблица301715[[#This Row],[Группа]]&amp;Таблица301715[[#This Row],[Номенклатура]]&amp;Таблица301715[[#This Row],[ЕИ]]</f>
        <v>Прочие материалыГайка пожарная ГМ100шт</v>
      </c>
      <c r="B993" s="920" t="s">
        <v>71</v>
      </c>
      <c r="C993" s="920"/>
      <c r="D993" s="921" t="s">
        <v>2178</v>
      </c>
      <c r="E993" s="921"/>
      <c r="F993" s="920" t="s">
        <v>129</v>
      </c>
      <c r="G993" s="1192">
        <v>600</v>
      </c>
      <c r="H993" s="1193" t="s">
        <v>131</v>
      </c>
      <c r="I993" s="1188"/>
      <c r="J993" s="926">
        <v>600</v>
      </c>
      <c r="K993" s="1194"/>
    </row>
    <row r="994" spans="1:11" ht="15">
      <c r="A994" s="1171" t="str">
        <f>Таблица301715[[#This Row],[Группа]]&amp;Таблица301715[[#This Row],[Номенклатура]]&amp;Таблица301715[[#This Row],[ЕИ]]</f>
        <v>Прочие материалыГайка пожарная ГМ50шт</v>
      </c>
      <c r="B994" s="920" t="s">
        <v>71</v>
      </c>
      <c r="C994" s="920"/>
      <c r="D994" s="921" t="s">
        <v>2179</v>
      </c>
      <c r="E994" s="921"/>
      <c r="F994" s="920" t="s">
        <v>129</v>
      </c>
      <c r="G994" s="1192">
        <v>250</v>
      </c>
      <c r="H994" s="1193"/>
      <c r="I994" s="1188"/>
      <c r="J994" s="926">
        <v>250</v>
      </c>
      <c r="K994" s="920"/>
    </row>
    <row r="995" spans="1:11" ht="15">
      <c r="A995" s="1171" t="str">
        <f>Таблица301715[[#This Row],[Группа]]&amp;Таблица301715[[#This Row],[Номенклатура]]&amp;Таблица301715[[#This Row],[ЕИ]]</f>
        <v>Прочие материалыГайка пожарная ГМ80шт</v>
      </c>
      <c r="B995" s="920" t="s">
        <v>71</v>
      </c>
      <c r="C995" s="920"/>
      <c r="D995" s="921" t="s">
        <v>2180</v>
      </c>
      <c r="E995" s="921"/>
      <c r="F995" s="920" t="s">
        <v>129</v>
      </c>
      <c r="G995" s="1192">
        <v>500</v>
      </c>
      <c r="H995" s="1193" t="s">
        <v>131</v>
      </c>
      <c r="I995" s="898"/>
      <c r="J995" s="899">
        <v>500</v>
      </c>
      <c r="K995" s="1165"/>
    </row>
    <row r="996" spans="1:11" ht="15">
      <c r="A996" s="1171" t="str">
        <f>Таблица301715[[#This Row],[Группа]]&amp;Таблица301715[[#This Row],[Номенклатура]]&amp;Таблица301715[[#This Row],[ЕИ]]</f>
        <v>Прочие материалыГайка пожарная ГМ125шт</v>
      </c>
      <c r="B996" s="920" t="s">
        <v>71</v>
      </c>
      <c r="C996" s="920"/>
      <c r="D996" s="921" t="s">
        <v>2181</v>
      </c>
      <c r="E996" s="921"/>
      <c r="F996" s="920" t="s">
        <v>129</v>
      </c>
      <c r="G996" s="1192">
        <v>1800</v>
      </c>
      <c r="H996" s="1193" t="s">
        <v>131</v>
      </c>
      <c r="I996" s="1188"/>
      <c r="J996" s="926">
        <v>1800</v>
      </c>
      <c r="K996" s="920"/>
    </row>
    <row r="997" spans="1:11" ht="15">
      <c r="A997" s="1171" t="str">
        <f>Таблица301715[[#This Row],[Группа]]&amp;Таблица301715[[#This Row],[Номенклатура]]&amp;Таблица301715[[#This Row],[ЕИ]]</f>
        <v>Прочие материалыГайка пожарная ГМ150шт</v>
      </c>
      <c r="B997" s="920" t="s">
        <v>71</v>
      </c>
      <c r="C997" s="920"/>
      <c r="D997" s="921" t="s">
        <v>2182</v>
      </c>
      <c r="E997" s="921"/>
      <c r="F997" s="920" t="s">
        <v>129</v>
      </c>
      <c r="G997" s="1192">
        <v>2000</v>
      </c>
      <c r="H997" s="920" t="s">
        <v>131</v>
      </c>
      <c r="I997" s="1188"/>
      <c r="J997" s="926">
        <v>2000</v>
      </c>
      <c r="K997" s="920"/>
    </row>
    <row r="998" spans="1:11" ht="15">
      <c r="A998" s="1171" t="str">
        <f>Таблица301715[[#This Row],[Группа]]&amp;Таблица301715[[#This Row],[Номенклатура]]&amp;Таблица301715[[#This Row],[ЕИ]]</f>
        <v>Прочие материалыТеплоизоляция - Изофом ППЭ ОР 15 1,5х40м²</v>
      </c>
      <c r="B998" s="920" t="s">
        <v>71</v>
      </c>
      <c r="C998" s="920"/>
      <c r="D998" s="921" t="s">
        <v>352</v>
      </c>
      <c r="E998" s="921"/>
      <c r="F998" s="920" t="s">
        <v>223</v>
      </c>
      <c r="G998" s="1192">
        <v>750</v>
      </c>
      <c r="H998" s="920" t="s">
        <v>131</v>
      </c>
      <c r="I998" s="898"/>
      <c r="J998" s="899">
        <v>750</v>
      </c>
      <c r="K998" s="1165"/>
    </row>
    <row r="999" spans="1:11" ht="15">
      <c r="A999" s="1171" t="str">
        <f>Таблица301715[[#This Row],[Группа]]&amp;Таблица301715[[#This Row],[Номенклатура]]&amp;Таблица301715[[#This Row],[ЕИ]]</f>
        <v>Прочие материалыЛюк смотровых колодцев, полимер-песок Ду700 Арт.15813303шт</v>
      </c>
      <c r="B999" s="920" t="s">
        <v>71</v>
      </c>
      <c r="C999" s="920"/>
      <c r="D999" s="921" t="s">
        <v>1639</v>
      </c>
      <c r="E999" s="921"/>
      <c r="F999" s="920" t="s">
        <v>129</v>
      </c>
      <c r="G999" s="1192">
        <v>1400</v>
      </c>
      <c r="H999" s="920" t="s">
        <v>131</v>
      </c>
      <c r="I999" s="898"/>
      <c r="J999" s="899">
        <v>1400</v>
      </c>
      <c r="K999" s="1165"/>
    </row>
    <row r="1000" spans="1:11" ht="15">
      <c r="A1000" s="1171" t="str">
        <f>Таблица301715[[#This Row],[Группа]]&amp;Таблица301715[[#This Row],[Номенклатура]]&amp;Таблица301715[[#This Row],[ЕИ]]</f>
        <v>Прочие материалыЛюк чугунный ОУЭ-600 ТМ (Д400) шт</v>
      </c>
      <c r="B1000" s="920" t="s">
        <v>71</v>
      </c>
      <c r="C1000" s="920"/>
      <c r="D1000" s="921" t="s">
        <v>1925</v>
      </c>
      <c r="E1000" s="921"/>
      <c r="F1000" s="920" t="s">
        <v>129</v>
      </c>
      <c r="G1000" s="1192">
        <v>15000</v>
      </c>
      <c r="H1000" s="1193" t="s">
        <v>131</v>
      </c>
      <c r="I1000" s="1188"/>
      <c r="J1000" s="926">
        <v>15000</v>
      </c>
      <c r="K1000" s="920"/>
    </row>
    <row r="1001" spans="1:11" ht="15">
      <c r="A1001" s="1171" t="str">
        <f>Таблица301715[[#This Row],[Группа]]&amp;Таблица301715[[#This Row],[Номенклатура]]&amp;Таблица301715[[#This Row],[ЕИ]]</f>
        <v>Прочие материалыЗонт D110мм нерж. (AISI 430/0,5мм)шт</v>
      </c>
      <c r="B1001" s="920" t="s">
        <v>71</v>
      </c>
      <c r="C1001" s="920"/>
      <c r="D1001" s="921" t="s">
        <v>704</v>
      </c>
      <c r="E1001" s="921"/>
      <c r="F1001" s="920" t="s">
        <v>129</v>
      </c>
      <c r="G1001" s="1192">
        <v>672</v>
      </c>
      <c r="H1001" s="1193" t="s">
        <v>131</v>
      </c>
      <c r="I1001" s="1188"/>
      <c r="J1001" s="926">
        <v>672</v>
      </c>
      <c r="K1001" s="920"/>
    </row>
    <row r="1002" spans="1:11" ht="15">
      <c r="A1002" s="1171" t="str">
        <f>Таблица301715[[#This Row],[Группа]]&amp;Таблица301715[[#This Row],[Номенклатура]]&amp;Таблица301715[[#This Row],[ЕИ]]</f>
        <v>Прочие материалыЗонт D110мм нерж. (AISI 321/0,5мм)шт</v>
      </c>
      <c r="B1002" s="920" t="s">
        <v>71</v>
      </c>
      <c r="C1002" s="920"/>
      <c r="D1002" s="921" t="s">
        <v>1640</v>
      </c>
      <c r="E1002" s="921"/>
      <c r="F1002" s="920" t="s">
        <v>129</v>
      </c>
      <c r="G1002" s="1192"/>
      <c r="H1002" s="1193" t="s">
        <v>131</v>
      </c>
      <c r="I1002" s="898"/>
      <c r="J1002" s="899"/>
      <c r="K1002" s="1165"/>
    </row>
    <row r="1003" spans="1:11" ht="15">
      <c r="A1003" s="1171" t="str">
        <f>Таблица301715[[#This Row],[Группа]]&amp;Таблица301715[[#This Row],[Номенклатура]]&amp;Таблица301715[[#This Row],[ЕИ]]</f>
        <v>Прочие материалыДымоход D110 мм. 0,5 м. (AISI 430/0,5 мм)шт</v>
      </c>
      <c r="B1003" s="920" t="s">
        <v>71</v>
      </c>
      <c r="C1003" s="920"/>
      <c r="D1003" s="921" t="s">
        <v>1641</v>
      </c>
      <c r="E1003" s="921"/>
      <c r="F1003" s="920" t="s">
        <v>129</v>
      </c>
      <c r="G1003" s="1192">
        <v>620</v>
      </c>
      <c r="H1003" s="1193" t="s">
        <v>131</v>
      </c>
      <c r="I1003" s="1188"/>
      <c r="J1003" s="926">
        <v>620</v>
      </c>
      <c r="K1003" s="920"/>
    </row>
    <row r="1004" spans="1:11" ht="15">
      <c r="A1004" s="1171" t="str">
        <f>Таблица301715[[#This Row],[Группа]]&amp;Таблица301715[[#This Row],[Номенклатура]]&amp;Таблица301715[[#This Row],[ЕИ]]</f>
        <v>Прочие материалыДымоход D110 мм. 1 м. (AISI 430/0,5 мм)шт</v>
      </c>
      <c r="B1004" s="920" t="s">
        <v>71</v>
      </c>
      <c r="C1004" s="920"/>
      <c r="D1004" s="921" t="s">
        <v>705</v>
      </c>
      <c r="E1004" s="921"/>
      <c r="F1004" s="920" t="s">
        <v>129</v>
      </c>
      <c r="G1004" s="1192">
        <v>950</v>
      </c>
      <c r="H1004" s="1193" t="s">
        <v>131</v>
      </c>
      <c r="I1004" s="898"/>
      <c r="J1004" s="899">
        <v>950</v>
      </c>
      <c r="K1004" s="1165"/>
    </row>
    <row r="1005" spans="1:11" ht="15">
      <c r="A1005" s="1171" t="str">
        <f>Таблица301715[[#This Row],[Группа]]&amp;Таблица301715[[#This Row],[Номенклатура]]&amp;Таблица301715[[#This Row],[ЕИ]]</f>
        <v>Прочие материалыДымоход D110 мм. 1 м. (AISI 321/0,5 мм)шт</v>
      </c>
      <c r="B1005" s="920" t="s">
        <v>71</v>
      </c>
      <c r="C1005" s="920"/>
      <c r="D1005" s="921" t="s">
        <v>1642</v>
      </c>
      <c r="E1005" s="921"/>
      <c r="F1005" s="920" t="s">
        <v>129</v>
      </c>
      <c r="G1005" s="1192"/>
      <c r="H1005" s="1193" t="s">
        <v>131</v>
      </c>
      <c r="I1005" s="1188"/>
      <c r="J1005" s="926"/>
      <c r="K1005" s="920"/>
    </row>
    <row r="1006" spans="1:11" ht="15">
      <c r="A1006" s="1171" t="str">
        <f>Таблица301715[[#This Row],[Группа]]&amp;Таблица301715[[#This Row],[Номенклатура]]&amp;Таблица301715[[#This Row],[ЕИ]]</f>
        <v>Прочие материалыОбратный клапан D110 мм. (AISI 321/0,5 мм)шт</v>
      </c>
      <c r="B1006" s="920" t="s">
        <v>71</v>
      </c>
      <c r="C1006" s="920"/>
      <c r="D1006" s="921" t="s">
        <v>1926</v>
      </c>
      <c r="E1006" s="921"/>
      <c r="F1006" s="920" t="s">
        <v>129</v>
      </c>
      <c r="G1006" s="1192"/>
      <c r="H1006" s="1193" t="s">
        <v>131</v>
      </c>
      <c r="I1006" s="1188"/>
      <c r="J1006" s="926"/>
      <c r="K1006" s="920"/>
    </row>
    <row r="1007" spans="1:11" ht="15">
      <c r="A1007" s="1171" t="str">
        <f>Таблица301715[[#This Row],[Группа]]&amp;Таблица301715[[#This Row],[Номенклатура]]&amp;Таблица301715[[#This Row],[ЕИ]]</f>
        <v>Прочие материалыАдаптер D110 мм. 0,5 м. (AISI 430/0,5 мм)шт</v>
      </c>
      <c r="B1007" s="920" t="s">
        <v>71</v>
      </c>
      <c r="C1007" s="920"/>
      <c r="D1007" s="921" t="s">
        <v>1643</v>
      </c>
      <c r="E1007" s="921"/>
      <c r="F1007" s="920" t="s">
        <v>129</v>
      </c>
      <c r="G1007" s="1192">
        <v>320</v>
      </c>
      <c r="H1007" s="1193" t="s">
        <v>131</v>
      </c>
      <c r="I1007" s="1188"/>
      <c r="J1007" s="926">
        <v>320</v>
      </c>
      <c r="K1007" s="920"/>
    </row>
    <row r="1008" spans="1:11" ht="15">
      <c r="A1008" s="1171" t="str">
        <f>Таблица301715[[#This Row],[Группа]]&amp;Таблица301715[[#This Row],[Номенклатура]]&amp;Таблица301715[[#This Row],[ЕИ]]</f>
        <v>Прочие материалыЗаглушка 100 нерж. 0,5мм с сеткойшт</v>
      </c>
      <c r="B1008" s="920" t="s">
        <v>71</v>
      </c>
      <c r="C1008" s="920"/>
      <c r="D1008" s="921" t="s">
        <v>1644</v>
      </c>
      <c r="E1008" s="921"/>
      <c r="F1008" s="920" t="s">
        <v>129</v>
      </c>
      <c r="G1008" s="1192">
        <v>300</v>
      </c>
      <c r="H1008" s="1193" t="s">
        <v>131</v>
      </c>
      <c r="I1008" s="1188"/>
      <c r="J1008" s="926">
        <v>300</v>
      </c>
      <c r="K1008" s="920"/>
    </row>
    <row r="1009" spans="1:11" ht="15">
      <c r="A1009" s="1171" t="str">
        <f>Таблица301715[[#This Row],[Группа]]&amp;Таблица301715[[#This Row],[Номенклатура]]&amp;Таблица301715[[#This Row],[ЕИ]]</f>
        <v>Прочие материалыХомут для трубы DN100 с приварным стержнем 12x55 мм AISI321шт</v>
      </c>
      <c r="B1009" s="920" t="s">
        <v>71</v>
      </c>
      <c r="C1009" s="920"/>
      <c r="D1009" s="921" t="s">
        <v>1645</v>
      </c>
      <c r="E1009" s="921"/>
      <c r="F1009" s="920" t="s">
        <v>129</v>
      </c>
      <c r="G1009" s="1192">
        <v>200</v>
      </c>
      <c r="H1009" s="1193" t="s">
        <v>131</v>
      </c>
      <c r="I1009" s="1188"/>
      <c r="J1009" s="926">
        <v>200</v>
      </c>
      <c r="K1009" s="920"/>
    </row>
    <row r="1010" spans="1:11" ht="15">
      <c r="A1010" s="1171" t="str">
        <f>Таблица301715[[#This Row],[Группа]]&amp;Таблица301715[[#This Row],[Номенклатура]]&amp;Таблица301715[[#This Row],[ЕИ]]</f>
        <v>Прочие материалыХомут обжимной D110 мм. 0,5 м. (AISI 430/0,5 мм)шт</v>
      </c>
      <c r="B1010" s="920" t="s">
        <v>71</v>
      </c>
      <c r="C1010" s="920"/>
      <c r="D1010" s="921" t="s">
        <v>703</v>
      </c>
      <c r="E1010" s="921"/>
      <c r="F1010" s="920" t="s">
        <v>129</v>
      </c>
      <c r="G1010" s="1192">
        <v>615</v>
      </c>
      <c r="H1010" s="1193" t="s">
        <v>131</v>
      </c>
      <c r="I1010" s="1188"/>
      <c r="J1010" s="926">
        <v>615</v>
      </c>
      <c r="K1010" s="920"/>
    </row>
    <row r="1011" spans="1:11" ht="15">
      <c r="A1011" s="1171" t="str">
        <f>Таблица301715[[#This Row],[Группа]]&amp;Таблица301715[[#This Row],[Номенклатура]]&amp;Таблица301715[[#This Row],[ЕИ]]</f>
        <v>Прочие материалыХомут обжимной D110 мм. 0,5 м. (AISI 321/0,5 мм)шт</v>
      </c>
      <c r="B1011" s="920" t="s">
        <v>71</v>
      </c>
      <c r="C1011" s="920"/>
      <c r="D1011" s="921" t="s">
        <v>1646</v>
      </c>
      <c r="E1011" s="921"/>
      <c r="F1011" s="920" t="s">
        <v>129</v>
      </c>
      <c r="G1011" s="1192"/>
      <c r="H1011" s="1193" t="s">
        <v>131</v>
      </c>
      <c r="I1011" s="1188"/>
      <c r="J1011" s="926"/>
      <c r="K1011" s="920"/>
    </row>
    <row r="1012" spans="1:11" ht="15">
      <c r="A1012" s="1171" t="str">
        <f>Таблица301715[[#This Row],[Группа]]&amp;Таблица301715[[#This Row],[Номенклатура]]&amp;Таблица301715[[#This Row],[ЕИ]]</f>
        <v>Прочие материалыХомут для трубы DN100 с приварным стержнем 12x55 мм AISI304шт</v>
      </c>
      <c r="B1012" s="920" t="s">
        <v>71</v>
      </c>
      <c r="C1012" s="920"/>
      <c r="D1012" s="921" t="s">
        <v>706</v>
      </c>
      <c r="E1012" s="921"/>
      <c r="F1012" s="920" t="s">
        <v>129</v>
      </c>
      <c r="G1012" s="1192">
        <v>377</v>
      </c>
      <c r="H1012" s="1193" t="s">
        <v>131</v>
      </c>
      <c r="I1012" s="1188"/>
      <c r="J1012" s="926">
        <v>377</v>
      </c>
      <c r="K1012" s="920"/>
    </row>
    <row r="1013" spans="1:11" ht="15">
      <c r="A1013" s="1171" t="str">
        <f>Таблица301715[[#This Row],[Группа]]&amp;Таблица301715[[#This Row],[Номенклатура]]&amp;Таблица301715[[#This Row],[ЕИ]]</f>
        <v>Прочие материалыХомут для трубы DN 200 с приварным стержнем 20x133 AISI304шт</v>
      </c>
      <c r="B1013" s="920" t="s">
        <v>71</v>
      </c>
      <c r="C1013" s="920"/>
      <c r="D1013" s="921" t="s">
        <v>1647</v>
      </c>
      <c r="E1013" s="921"/>
      <c r="F1013" s="920" t="s">
        <v>129</v>
      </c>
      <c r="G1013" s="1192">
        <v>1397</v>
      </c>
      <c r="H1013" s="1193" t="s">
        <v>131</v>
      </c>
      <c r="I1013" s="1188"/>
      <c r="J1013" s="926">
        <v>1397</v>
      </c>
      <c r="K1013" s="920"/>
    </row>
    <row r="1014" spans="1:11" ht="15">
      <c r="A1014" s="1171" t="str">
        <f>Таблица301715[[#This Row],[Группа]]&amp;Таблица301715[[#This Row],[Номенклатура]]&amp;Таблица301715[[#This Row],[ЕИ]]</f>
        <v>Прочие материалыХомут 107-112 мм с винтовым креплением 4",  с резиновым профилемшт</v>
      </c>
      <c r="B1014" s="920" t="s">
        <v>71</v>
      </c>
      <c r="C1014" s="920"/>
      <c r="D1014" s="921" t="s">
        <v>1648</v>
      </c>
      <c r="E1014" s="921"/>
      <c r="F1014" s="920" t="s">
        <v>129</v>
      </c>
      <c r="G1014" s="1192">
        <v>68</v>
      </c>
      <c r="H1014" s="1193" t="s">
        <v>131</v>
      </c>
      <c r="I1014" s="1188"/>
      <c r="J1014" s="926">
        <v>68</v>
      </c>
      <c r="K1014" s="920"/>
    </row>
    <row r="1015" spans="1:11" ht="15">
      <c r="A1015" s="1171" t="str">
        <f>Таблица301715[[#This Row],[Группа]]&amp;Таблица301715[[#This Row],[Номенклатура]]&amp;Таблица301715[[#This Row],[ЕИ]]</f>
        <v>Прочие материалыХОМУТ-СКОБА U-ОБРАЗНЫЙ 228 DN200 (8") 216-219.1 ММ M16 ЦИНКшт</v>
      </c>
      <c r="B1015" s="920" t="s">
        <v>71</v>
      </c>
      <c r="C1015" s="920"/>
      <c r="D1015" s="921" t="s">
        <v>1649</v>
      </c>
      <c r="E1015" s="921"/>
      <c r="F1015" s="920" t="s">
        <v>129</v>
      </c>
      <c r="G1015" s="1192">
        <v>400</v>
      </c>
      <c r="H1015" s="1193" t="s">
        <v>131</v>
      </c>
      <c r="I1015" s="1188"/>
      <c r="J1015" s="926">
        <v>400</v>
      </c>
      <c r="K1015" s="920"/>
    </row>
    <row r="1016" spans="1:11" ht="15">
      <c r="A1016" s="1171" t="str">
        <f>Таблица301715[[#This Row],[Группа]]&amp;Таблица301715[[#This Row],[Номенклатура]]&amp;Таблица301715[[#This Row],[ЕИ]]</f>
        <v>Прочие материалыХОМУТ-СКОБА U-ОБРАЗНЫЙ 332 DN300 (12") 318-323.9 ММ M16 ЦИНКшт</v>
      </c>
      <c r="B1016" s="920" t="s">
        <v>71</v>
      </c>
      <c r="C1016" s="920"/>
      <c r="D1016" s="921" t="s">
        <v>1650</v>
      </c>
      <c r="E1016" s="921"/>
      <c r="F1016" s="920" t="s">
        <v>129</v>
      </c>
      <c r="G1016" s="1192">
        <v>662</v>
      </c>
      <c r="H1016" s="1193" t="s">
        <v>131</v>
      </c>
      <c r="I1016" s="1188"/>
      <c r="J1016" s="926">
        <v>662</v>
      </c>
      <c r="K1016" s="920"/>
    </row>
    <row r="1017" spans="1:11" ht="15">
      <c r="A1017" s="1171" t="str">
        <f>Таблица301715[[#This Row],[Группа]]&amp;Таблица301715[[#This Row],[Номенклатура]]&amp;Таблица301715[[#This Row],[ЕИ]]</f>
        <v>Прочие материалыДатчик магнитно-контактный ИО 102-26 исп.0шт</v>
      </c>
      <c r="B1017" s="920" t="s">
        <v>71</v>
      </c>
      <c r="C1017" s="920"/>
      <c r="D1017" s="921" t="s">
        <v>1651</v>
      </c>
      <c r="E1017" s="921"/>
      <c r="F1017" s="920" t="s">
        <v>129</v>
      </c>
      <c r="G1017" s="1192">
        <v>500</v>
      </c>
      <c r="H1017" s="1193" t="s">
        <v>131</v>
      </c>
      <c r="I1017" s="1188"/>
      <c r="J1017" s="926">
        <v>500</v>
      </c>
      <c r="K1017" s="920"/>
    </row>
    <row r="1018" spans="1:11" ht="15">
      <c r="A1018" s="1171" t="str">
        <f>Таблица301715[[#This Row],[Группа]]&amp;Таблица301715[[#This Row],[Номенклатура]]&amp;Таблица301715[[#This Row],[ЕИ]]</f>
        <v>Прочие материалыКонцевой выключатель KZ 81-08шт</v>
      </c>
      <c r="B1018" s="920" t="s">
        <v>71</v>
      </c>
      <c r="C1018" s="920"/>
      <c r="D1018" s="921" t="s">
        <v>576</v>
      </c>
      <c r="E1018" s="921"/>
      <c r="F1018" s="920" t="s">
        <v>129</v>
      </c>
      <c r="G1018" s="1192">
        <v>500</v>
      </c>
      <c r="H1018" s="1193" t="s">
        <v>131</v>
      </c>
      <c r="I1018" s="1188"/>
      <c r="J1018" s="926">
        <v>500</v>
      </c>
      <c r="K1018" s="920"/>
    </row>
    <row r="1019" spans="1:11" ht="15">
      <c r="A1019" s="1171" t="str">
        <f>Таблица301715[[#This Row],[Группа]]&amp;Таблица301715[[#This Row],[Номенклатура]]&amp;Таблица301715[[#This Row],[ЕИ]]</f>
        <v>Прочие материалыФонарь светодиодный 12 Вольт, IP65, с проводом ПВС 2х075шт</v>
      </c>
      <c r="B1019" s="920" t="s">
        <v>71</v>
      </c>
      <c r="C1019" s="920"/>
      <c r="D1019" s="921" t="s">
        <v>1652</v>
      </c>
      <c r="E1019" s="921"/>
      <c r="F1019" s="920" t="s">
        <v>129</v>
      </c>
      <c r="G1019" s="1192">
        <v>2599</v>
      </c>
      <c r="H1019" s="1193" t="s">
        <v>131</v>
      </c>
      <c r="I1019" s="1188"/>
      <c r="J1019" s="926">
        <v>2599</v>
      </c>
      <c r="K1019" s="920"/>
    </row>
    <row r="1020" spans="1:11" ht="15">
      <c r="A1020" s="1171" t="str">
        <f>Таблица301715[[#This Row],[Группа]]&amp;Таблица301715[[#This Row],[Номенклатура]]&amp;Таблица301715[[#This Row],[ЕИ]]</f>
        <v>Прочие материалыСорбент Мегасорб марка Ф полотно (25мм, рулон 1000х20000мм)м²</v>
      </c>
      <c r="B1020" s="920" t="s">
        <v>71</v>
      </c>
      <c r="C1020" s="920"/>
      <c r="D1020" s="921" t="s">
        <v>1653</v>
      </c>
      <c r="E1020" s="921"/>
      <c r="F1020" s="920" t="s">
        <v>223</v>
      </c>
      <c r="G1020" s="1192">
        <v>650</v>
      </c>
      <c r="H1020" s="1193" t="s">
        <v>131</v>
      </c>
      <c r="I1020" s="1188"/>
      <c r="J1020" s="926">
        <v>650</v>
      </c>
      <c r="K1020" s="920"/>
    </row>
    <row r="1021" spans="1:11" ht="15">
      <c r="A1021" s="1171" t="str">
        <f>Таблица301715[[#This Row],[Группа]]&amp;Таблица301715[[#This Row],[Номенклатура]]&amp;Таблица301715[[#This Row],[ЕИ]]</f>
        <v>Прочие материалыСорбент Активированный уголь марки АГ-3кг</v>
      </c>
      <c r="B1021" s="920" t="s">
        <v>71</v>
      </c>
      <c r="C1021" s="920"/>
      <c r="D1021" s="921" t="s">
        <v>1654</v>
      </c>
      <c r="E1021" s="921"/>
      <c r="F1021" s="920" t="s">
        <v>193</v>
      </c>
      <c r="G1021" s="1192">
        <v>200</v>
      </c>
      <c r="H1021" s="1193" t="s">
        <v>131</v>
      </c>
      <c r="I1021" s="1188"/>
      <c r="J1021" s="926">
        <v>200</v>
      </c>
      <c r="K1021" s="920"/>
    </row>
    <row r="1022" spans="1:11" ht="15">
      <c r="A1022" s="1171" t="str">
        <f>Таблица301715[[#This Row],[Группа]]&amp;Таблица301715[[#This Row],[Номенклатура]]&amp;Таблица301715[[#This Row],[ЕИ]]</f>
        <v>Прочие материалыСетчатые мешки для активированного угля по 20 кгшт</v>
      </c>
      <c r="B1022" s="920" t="s">
        <v>71</v>
      </c>
      <c r="C1022" s="920"/>
      <c r="D1022" s="921" t="s">
        <v>1655</v>
      </c>
      <c r="E1022" s="921"/>
      <c r="F1022" s="920" t="s">
        <v>129</v>
      </c>
      <c r="G1022" s="1192">
        <v>400</v>
      </c>
      <c r="H1022" s="1193" t="s">
        <v>131</v>
      </c>
      <c r="I1022" s="1188"/>
      <c r="J1022" s="926">
        <v>400</v>
      </c>
      <c r="K1022" s="920"/>
    </row>
    <row r="1023" spans="1:11" ht="15">
      <c r="A1023" s="1171" t="str">
        <f>Таблица301715[[#This Row],[Группа]]&amp;Таблица301715[[#This Row],[Номенклатура]]&amp;Таблица301715[[#This Row],[ЕИ]]</f>
        <v>Прочие материалыЩебень 5-20 мм кг</v>
      </c>
      <c r="B1023" s="920" t="s">
        <v>71</v>
      </c>
      <c r="C1023" s="920"/>
      <c r="D1023" s="921" t="s">
        <v>2183</v>
      </c>
      <c r="E1023" s="921"/>
      <c r="F1023" s="920" t="s">
        <v>193</v>
      </c>
      <c r="G1023" s="1192"/>
      <c r="H1023" s="1193" t="s">
        <v>131</v>
      </c>
      <c r="I1023" s="1188"/>
      <c r="J1023" s="926"/>
      <c r="K1023" s="920"/>
    </row>
    <row r="1024" spans="1:11" ht="15">
      <c r="A1024" s="1171" t="str">
        <f>Таблица301715[[#This Row],[Группа]]&amp;Таблица301715[[#This Row],[Номенклатура]]&amp;Таблица301715[[#This Row],[ЕИ]]</f>
        <v>Прочие материалыСетка нержавеющая 2,2х0,7 м2м²</v>
      </c>
      <c r="B1024" s="920" t="s">
        <v>71</v>
      </c>
      <c r="C1024" s="920"/>
      <c r="D1024" s="921" t="s">
        <v>1656</v>
      </c>
      <c r="E1024" s="921"/>
      <c r="F1024" s="920" t="s">
        <v>223</v>
      </c>
      <c r="G1024" s="1192">
        <v>2600</v>
      </c>
      <c r="H1024" s="1193" t="s">
        <v>131</v>
      </c>
      <c r="I1024" s="898"/>
      <c r="J1024" s="899">
        <v>2600</v>
      </c>
      <c r="K1024" s="1165"/>
    </row>
    <row r="1025" spans="1:12" ht="15">
      <c r="A1025" s="1171" t="str">
        <f>Таблица301715[[#This Row],[Группа]]&amp;Таблица301715[[#This Row],[Номенклатура]]&amp;Таблица301715[[#This Row],[ЕИ]]</f>
        <v>Прочие материалыКоалесцентный модуль Авестпласт 1200/350/300 с рем комплектомшт</v>
      </c>
      <c r="B1025" s="920" t="s">
        <v>71</v>
      </c>
      <c r="C1025" s="920"/>
      <c r="D1025" s="921" t="s">
        <v>1657</v>
      </c>
      <c r="E1025" s="921"/>
      <c r="F1025" s="920" t="s">
        <v>129</v>
      </c>
      <c r="G1025" s="1192">
        <v>6500</v>
      </c>
      <c r="H1025" s="1193" t="s">
        <v>131</v>
      </c>
      <c r="I1025" s="898"/>
      <c r="J1025" s="899">
        <v>6500</v>
      </c>
      <c r="K1025" s="1176"/>
    </row>
    <row r="1026" spans="1:12" ht="12.75" customHeight="1">
      <c r="A1026" s="1171" t="str">
        <f>Таблица301715[[#This Row],[Группа]]&amp;Таблица301715[[#This Row],[Номенклатура]]&amp;Таблица301715[[#This Row],[ЕИ]]</f>
        <v>Прочие материалыЛестница приставная односекционная 14 ступеней 3,98 м (алюминиевая)шт</v>
      </c>
      <c r="B1026" s="920" t="s">
        <v>71</v>
      </c>
      <c r="C1026" s="920"/>
      <c r="D1026" s="921" t="s">
        <v>684</v>
      </c>
      <c r="E1026" s="921"/>
      <c r="F1026" s="920" t="s">
        <v>129</v>
      </c>
      <c r="G1026" s="1192">
        <v>6000</v>
      </c>
      <c r="H1026" s="1193" t="s">
        <v>131</v>
      </c>
      <c r="I1026" s="1188"/>
      <c r="J1026" s="926">
        <v>6000</v>
      </c>
      <c r="K1026" s="920"/>
    </row>
    <row r="1027" spans="1:12" ht="15">
      <c r="A1027" s="1171" t="str">
        <f>Таблица301715[[#This Row],[Группа]]&amp;Таблица301715[[#This Row],[Номенклатура]]&amp;Таблица301715[[#This Row],[ЕИ]]</f>
        <v>Прочие материалыЛестница приставная односекционная 12 ступеней 3,42 м (алюминиевая)шт</v>
      </c>
      <c r="B1027" s="920" t="s">
        <v>71</v>
      </c>
      <c r="C1027" s="920"/>
      <c r="D1027" s="921" t="s">
        <v>1658</v>
      </c>
      <c r="E1027" s="921"/>
      <c r="F1027" s="920" t="s">
        <v>129</v>
      </c>
      <c r="G1027" s="1192">
        <v>5500</v>
      </c>
      <c r="H1027" s="1193" t="s">
        <v>131</v>
      </c>
      <c r="I1027" s="1188"/>
      <c r="J1027" s="926">
        <v>5500</v>
      </c>
      <c r="K1027" s="920"/>
    </row>
    <row r="1028" spans="1:12" ht="15">
      <c r="A1028" s="1171" t="str">
        <f>Таблица301715[[#This Row],[Группа]]&amp;Таблица301715[[#This Row],[Номенклатура]]&amp;Таблица301715[[#This Row],[ЕИ]]</f>
        <v>Прочие материалыЛестница приставная односекционная 11 ступеней 3,14 м (алюминиевая)шт</v>
      </c>
      <c r="B1028" s="920" t="s">
        <v>71</v>
      </c>
      <c r="C1028" s="920"/>
      <c r="D1028" s="921" t="s">
        <v>1659</v>
      </c>
      <c r="E1028" s="921"/>
      <c r="F1028" s="920" t="s">
        <v>129</v>
      </c>
      <c r="G1028" s="1192">
        <v>5000</v>
      </c>
      <c r="H1028" s="1193" t="s">
        <v>131</v>
      </c>
      <c r="I1028" s="1188"/>
      <c r="J1028" s="926">
        <v>5000</v>
      </c>
      <c r="K1028" s="920"/>
    </row>
    <row r="1029" spans="1:12" ht="15">
      <c r="A1029" s="1171" t="str">
        <f>Таблица301715[[#This Row],[Группа]]&amp;Таблица301715[[#This Row],[Номенклатура]]&amp;Таблица301715[[#This Row],[ЕИ]]</f>
        <v>Прочие материалыЛестница приставная односекционная 10 ступеней 2,86 м (алюминиевая)шт</v>
      </c>
      <c r="B1029" s="920" t="s">
        <v>71</v>
      </c>
      <c r="C1029" s="920"/>
      <c r="D1029" s="921" t="s">
        <v>1660</v>
      </c>
      <c r="E1029" s="921"/>
      <c r="F1029" s="920" t="s">
        <v>129</v>
      </c>
      <c r="G1029" s="1192">
        <v>4500</v>
      </c>
      <c r="H1029" s="1193" t="s">
        <v>131</v>
      </c>
      <c r="I1029" s="1188"/>
      <c r="J1029" s="926">
        <v>4500</v>
      </c>
      <c r="K1029" s="920"/>
    </row>
    <row r="1030" spans="1:12" ht="15">
      <c r="A1030" s="1171" t="str">
        <f>Таблица301715[[#This Row],[Группа]]&amp;Таблица301715[[#This Row],[Номенклатура]]&amp;Таблица301715[[#This Row],[ЕИ]]</f>
        <v>Прочие материалыПатрубок резьбовой М95х4-6ɡ из трубы 98х4-12Х18Н10Т ГОСТ 9940-81 длиной 65 ммшт</v>
      </c>
      <c r="B1030" s="920" t="s">
        <v>71</v>
      </c>
      <c r="C1030" s="920"/>
      <c r="D1030" s="921" t="s">
        <v>1661</v>
      </c>
      <c r="E1030" s="921"/>
      <c r="F1030" s="920" t="s">
        <v>129</v>
      </c>
      <c r="G1030" s="1192">
        <v>7000</v>
      </c>
      <c r="H1030" s="1193" t="s">
        <v>131</v>
      </c>
      <c r="I1030" s="1188"/>
      <c r="J1030" s="926">
        <v>7000</v>
      </c>
      <c r="K1030" s="920"/>
    </row>
    <row r="1031" spans="1:12" ht="26.25" customHeight="1">
      <c r="A1031" s="1171" t="str">
        <f>Таблица301715[[#This Row],[Группа]]&amp;Таблица301715[[#This Row],[Номенклатура]]&amp;Таблица301715[[#This Row],[ЕИ]]</f>
        <v>Прочие материалыПатрубок резьбовой М150х6-6ɡ из трубы 152х8-12Х18Н10Т ГОСТ 9940-81 длиной 130 ммшт</v>
      </c>
      <c r="B1031" s="920" t="s">
        <v>71</v>
      </c>
      <c r="C1031" s="920"/>
      <c r="D1031" s="921" t="s">
        <v>1662</v>
      </c>
      <c r="E1031" s="921"/>
      <c r="F1031" s="922" t="s">
        <v>129</v>
      </c>
      <c r="G1031" s="923">
        <v>15000</v>
      </c>
      <c r="H1031" s="1193" t="s">
        <v>131</v>
      </c>
      <c r="I1031" s="925"/>
      <c r="J1031" s="926">
        <v>15000</v>
      </c>
      <c r="K1031" s="920"/>
    </row>
    <row r="1032" spans="1:12" ht="15">
      <c r="A1032" s="1171" t="str">
        <f>Таблица301715[[#This Row],[Группа]]&amp;Таблица301715[[#This Row],[Номенклатура]]&amp;Таблица301715[[#This Row],[ЕИ]]</f>
        <v>Прочие материалыПатрубок резьбовой 3 дюйма из трубы 89х3-12Х18Н10Т ГОСТ 9940-81 длиной 70 ммшт</v>
      </c>
      <c r="B1032" s="920" t="s">
        <v>71</v>
      </c>
      <c r="C1032" s="920"/>
      <c r="D1032" s="921" t="s">
        <v>1914</v>
      </c>
      <c r="E1032" s="921"/>
      <c r="F1032" s="922" t="s">
        <v>129</v>
      </c>
      <c r="G1032" s="923"/>
      <c r="H1032" s="1193" t="s">
        <v>131</v>
      </c>
      <c r="I1032" s="925"/>
      <c r="J1032" s="926"/>
      <c r="K1032" s="920"/>
    </row>
    <row r="1033" spans="1:12" ht="15">
      <c r="A1033" s="1171" t="str">
        <f>Таблица301715[[#This Row],[Группа]]&amp;Таблица301715[[#This Row],[Номенклатура]]&amp;Таблица301715[[#This Row],[ЕИ]]</f>
        <v>Прочие материалыПатрубок резьбовой  из трубы 168х8-12Х18Н10Т ГОСТ 9940-81 длиной 100 ммшт</v>
      </c>
      <c r="B1033" s="920" t="s">
        <v>71</v>
      </c>
      <c r="C1033" s="920"/>
      <c r="D1033" s="921" t="s">
        <v>728</v>
      </c>
      <c r="E1033" s="921"/>
      <c r="F1033" s="922" t="s">
        <v>129</v>
      </c>
      <c r="G1033" s="923">
        <v>10000</v>
      </c>
      <c r="H1033" s="1193" t="s">
        <v>131</v>
      </c>
      <c r="I1033" s="925"/>
      <c r="J1033" s="926">
        <v>10000</v>
      </c>
      <c r="K1033" s="920"/>
    </row>
    <row r="1034" spans="1:12" ht="15">
      <c r="A1034" s="1171" t="str">
        <f>Таблица301715[[#This Row],[Группа]]&amp;Таблица301715[[#This Row],[Номенклатура]]&amp;Таблица301715[[#This Row],[ЕИ]]</f>
        <v>Прочие материалыГермоввод для труб 50/57 (комплектация 2-1)шт</v>
      </c>
      <c r="B1034" s="920" t="s">
        <v>71</v>
      </c>
      <c r="C1034" s="920"/>
      <c r="D1034" s="921" t="s">
        <v>2046</v>
      </c>
      <c r="E1034" s="921"/>
      <c r="F1034" s="922" t="s">
        <v>129</v>
      </c>
      <c r="G1034" s="923">
        <v>1161</v>
      </c>
      <c r="H1034" s="1193" t="s">
        <v>131</v>
      </c>
      <c r="I1034" s="925"/>
      <c r="J1034" s="926">
        <v>1161</v>
      </c>
      <c r="K1034" s="920"/>
    </row>
    <row r="1035" spans="1:12" ht="15">
      <c r="A1035" s="1171" t="str">
        <f>Таблица301715[[#This Row],[Группа]]&amp;Таблица301715[[#This Row],[Номенклатура]]&amp;Таблица301715[[#This Row],[ЕИ]]</f>
        <v>Прочие материалыГермоввод для труб 89/110 (комплектация 1)шт</v>
      </c>
      <c r="B1035" s="920" t="s">
        <v>71</v>
      </c>
      <c r="C1035" s="920"/>
      <c r="D1035" s="921" t="s">
        <v>2184</v>
      </c>
      <c r="E1035" s="921"/>
      <c r="F1035" s="922" t="s">
        <v>129</v>
      </c>
      <c r="G1035" s="923">
        <v>1450</v>
      </c>
      <c r="H1035" s="1193" t="s">
        <v>131</v>
      </c>
      <c r="I1035" s="925"/>
      <c r="J1035" s="926">
        <v>1450</v>
      </c>
      <c r="K1035" s="920"/>
    </row>
    <row r="1036" spans="1:12" ht="15">
      <c r="A1036" s="1171" t="str">
        <f>Таблица301715[[#This Row],[Группа]]&amp;Таблица301715[[#This Row],[Номенклатура]]&amp;Таблица301715[[#This Row],[ЕИ]]</f>
        <v>Прочие материалыГермоввод 50/57 (комплектация 1) шт</v>
      </c>
      <c r="B1036" s="920" t="s">
        <v>71</v>
      </c>
      <c r="C1036" s="920"/>
      <c r="D1036" s="921" t="s">
        <v>1663</v>
      </c>
      <c r="E1036" s="921"/>
      <c r="F1036" s="922" t="s">
        <v>129</v>
      </c>
      <c r="G1036" s="923">
        <v>980</v>
      </c>
      <c r="H1036" s="1193" t="s">
        <v>131</v>
      </c>
      <c r="I1036" s="925"/>
      <c r="J1036" s="926">
        <v>980</v>
      </c>
      <c r="K1036" s="920"/>
    </row>
    <row r="1037" spans="1:12" ht="22.5">
      <c r="A1037" s="1171" t="str">
        <f>Таблица301715[[#This Row],[Группа]]&amp;Таблица301715[[#This Row],[Номенклатура]]&amp;Таблица301715[[#This Row],[ЕИ]]</f>
        <v>РасходомерыРасходомер электромагнитный DN50 с фланцевым типом присоединения, с раздельным конструкционным исполнением, со степенью защиты IP68 шт</v>
      </c>
      <c r="B1037" s="920" t="s">
        <v>236</v>
      </c>
      <c r="C1037" s="920"/>
      <c r="D1037" s="921" t="s">
        <v>2110</v>
      </c>
      <c r="E1037" s="921"/>
      <c r="F1037" s="922" t="s">
        <v>129</v>
      </c>
      <c r="G1037" s="923">
        <v>300000</v>
      </c>
      <c r="H1037" s="1193" t="s">
        <v>131</v>
      </c>
      <c r="I1037" s="925"/>
      <c r="J1037" s="926">
        <v>300000</v>
      </c>
      <c r="K1037" s="920" t="s">
        <v>1665</v>
      </c>
      <c r="L1037" s="738" t="s">
        <v>2109</v>
      </c>
    </row>
    <row r="1038" spans="1:12" ht="22.5">
      <c r="A1038" s="1171" t="str">
        <f>Таблица301715[[#This Row],[Группа]]&amp;Таблица301715[[#This Row],[Номенклатура]]&amp;Таблица301715[[#This Row],[ЕИ]]</f>
        <v>РасходомерыРасходомер электромагнитный DN65 с фланцевым типом присоединения, с раздельным конструкционным исполнением, со степенью защиты IP68 шт</v>
      </c>
      <c r="B1038" s="920" t="s">
        <v>236</v>
      </c>
      <c r="C1038" s="920"/>
      <c r="D1038" s="921" t="s">
        <v>2111</v>
      </c>
      <c r="E1038" s="921"/>
      <c r="F1038" s="922" t="s">
        <v>129</v>
      </c>
      <c r="G1038" s="923">
        <v>300000</v>
      </c>
      <c r="H1038" s="1193" t="s">
        <v>131</v>
      </c>
      <c r="I1038" s="925"/>
      <c r="J1038" s="926">
        <v>300000</v>
      </c>
      <c r="K1038" s="920" t="s">
        <v>1665</v>
      </c>
    </row>
    <row r="1039" spans="1:12" ht="22.5">
      <c r="A1039" s="1171" t="str">
        <f>Таблица301715[[#This Row],[Группа]]&amp;Таблица301715[[#This Row],[Номенклатура]]&amp;Таблица301715[[#This Row],[ЕИ]]</f>
        <v>РасходомерыРасходомер электромагнитный DN80 с фланцевым типом присоединения, с раздельным конструкционным исполнением, со степенью защиты IP68 шт</v>
      </c>
      <c r="B1039" s="920" t="s">
        <v>236</v>
      </c>
      <c r="C1039" s="920"/>
      <c r="D1039" s="921" t="s">
        <v>2112</v>
      </c>
      <c r="E1039" s="921"/>
      <c r="F1039" s="922" t="s">
        <v>129</v>
      </c>
      <c r="G1039" s="923">
        <v>315000</v>
      </c>
      <c r="H1039" s="1193" t="s">
        <v>131</v>
      </c>
      <c r="I1039" s="925"/>
      <c r="J1039" s="926">
        <v>315000</v>
      </c>
      <c r="K1039" s="920" t="s">
        <v>1665</v>
      </c>
    </row>
    <row r="1040" spans="1:12" ht="22.5">
      <c r="A1040" s="1171" t="str">
        <f>Таблица301715[[#This Row],[Группа]]&amp;Таблица301715[[#This Row],[Номенклатура]]&amp;Таблица301715[[#This Row],[ЕИ]]</f>
        <v>РасходомерыРасходомер электромагнитный DN100 с фланцевым типом присоединения, с раздельным конструкционным исполнением, со степенью защиты IP68 шт</v>
      </c>
      <c r="B1040" s="1165" t="s">
        <v>236</v>
      </c>
      <c r="C1040" s="1165"/>
      <c r="D1040" s="1281" t="s">
        <v>2113</v>
      </c>
      <c r="E1040" s="1281"/>
      <c r="F1040" s="838" t="s">
        <v>129</v>
      </c>
      <c r="G1040" s="1282">
        <v>320000</v>
      </c>
      <c r="H1040" s="1283" t="s">
        <v>131</v>
      </c>
      <c r="I1040" s="1284"/>
      <c r="J1040" s="899">
        <v>320000</v>
      </c>
      <c r="K1040" s="1165" t="s">
        <v>1665</v>
      </c>
    </row>
    <row r="1041" spans="1:11" ht="22.5">
      <c r="A1041" s="1171" t="str">
        <f>Таблица301715[[#This Row],[Группа]]&amp;Таблица301715[[#This Row],[Номенклатура]]&amp;Таблица301715[[#This Row],[ЕИ]]</f>
        <v>РасходомерыРасходомер электромагнитный DN150 с фланцевым типом присоединения, с раздельным конструкционным исполнением, со степенью защиты IP68 шт</v>
      </c>
      <c r="B1041" s="1165" t="s">
        <v>236</v>
      </c>
      <c r="C1041" s="1165"/>
      <c r="D1041" s="1281" t="s">
        <v>2114</v>
      </c>
      <c r="E1041" s="1281"/>
      <c r="F1041" s="838" t="s">
        <v>129</v>
      </c>
      <c r="G1041" s="1282">
        <v>360000</v>
      </c>
      <c r="H1041" s="1283" t="s">
        <v>131</v>
      </c>
      <c r="I1041" s="1284"/>
      <c r="J1041" s="899">
        <v>360000</v>
      </c>
      <c r="K1041" s="1165" t="s">
        <v>1665</v>
      </c>
    </row>
    <row r="1042" spans="1:11" ht="22.5">
      <c r="A1042" s="1171" t="str">
        <f>Таблица301715[[#This Row],[Группа]]&amp;Таблица301715[[#This Row],[Номенклатура]]&amp;Таблица301715[[#This Row],[ЕИ]]</f>
        <v>РасходомерыРасходомер электромагнитный DN200 с фланцевым типом присоединения, с раздельным конструкционным исполнением, со степенью защиты IP68 шт</v>
      </c>
      <c r="B1042" s="1165" t="s">
        <v>236</v>
      </c>
      <c r="C1042" s="1165"/>
      <c r="D1042" s="1281" t="s">
        <v>2115</v>
      </c>
      <c r="E1042" s="1281"/>
      <c r="F1042" s="838" t="s">
        <v>129</v>
      </c>
      <c r="G1042" s="1282">
        <v>400000</v>
      </c>
      <c r="H1042" s="1283" t="s">
        <v>131</v>
      </c>
      <c r="I1042" s="1284"/>
      <c r="J1042" s="899">
        <v>400000</v>
      </c>
      <c r="K1042" s="1165" t="s">
        <v>1665</v>
      </c>
    </row>
    <row r="1043" spans="1:11" ht="22.5">
      <c r="A1043" s="1171" t="str">
        <f>Таблица301715[[#This Row],[Группа]]&amp;Таблица301715[[#This Row],[Номенклатура]]&amp;Таблица301715[[#This Row],[ЕИ]]</f>
        <v>РасходомерыРасходомер электромагнитный DN250 с фланцевым типом присоединения, с раздельным конструкционным исполнением, со степенью защиты IP68 шт</v>
      </c>
      <c r="B1043" s="1165" t="s">
        <v>236</v>
      </c>
      <c r="C1043" s="1165"/>
      <c r="D1043" s="1281" t="s">
        <v>2116</v>
      </c>
      <c r="E1043" s="1281"/>
      <c r="F1043" s="838" t="s">
        <v>129</v>
      </c>
      <c r="G1043" s="1282">
        <v>430000</v>
      </c>
      <c r="H1043" s="1283" t="s">
        <v>131</v>
      </c>
      <c r="I1043" s="1284"/>
      <c r="J1043" s="899">
        <v>430000</v>
      </c>
      <c r="K1043" s="1165" t="s">
        <v>1665</v>
      </c>
    </row>
    <row r="1044" spans="1:11" ht="22.5">
      <c r="A1044" s="1171" t="str">
        <f>Таблица301715[[#This Row],[Группа]]&amp;Таблица301715[[#This Row],[Номенклатура]]&amp;Таблица301715[[#This Row],[ЕИ]]</f>
        <v>РасходомерыРасходомер электромагнитный DN300 с фланцевым типом присоединения, с раздельным конструкционным исполнением, со степенью защиты IP68 шт</v>
      </c>
      <c r="B1044" s="1165" t="s">
        <v>236</v>
      </c>
      <c r="C1044" s="1165"/>
      <c r="D1044" s="1281" t="s">
        <v>2117</v>
      </c>
      <c r="E1044" s="1281"/>
      <c r="F1044" s="838" t="s">
        <v>129</v>
      </c>
      <c r="G1044" s="1282">
        <v>500000</v>
      </c>
      <c r="H1044" s="1283" t="s">
        <v>131</v>
      </c>
      <c r="I1044" s="1284"/>
      <c r="J1044" s="899">
        <v>500000</v>
      </c>
      <c r="K1044" s="1165" t="s">
        <v>1665</v>
      </c>
    </row>
    <row r="1045" spans="1:11" ht="22.5">
      <c r="A1045" s="1171" t="str">
        <f>Таблица301715[[#This Row],[Группа]]&amp;Таблица301715[[#This Row],[Номенклатура]]&amp;Таблица301715[[#This Row],[ЕИ]]</f>
        <v>РасходомерыРасходомер электромагнитный DN400 с фланцевым типом присоединения, с раздельным конструкционным исполнением, со степенью защиты IP68 шт</v>
      </c>
      <c r="B1045" s="1165" t="s">
        <v>236</v>
      </c>
      <c r="C1045" s="1165"/>
      <c r="D1045" s="1281" t="s">
        <v>2118</v>
      </c>
      <c r="E1045" s="1281"/>
      <c r="F1045" s="838" t="s">
        <v>129</v>
      </c>
      <c r="G1045" s="1282"/>
      <c r="H1045" s="1283" t="s">
        <v>131</v>
      </c>
      <c r="I1045" s="1284"/>
      <c r="J1045" s="899">
        <v>0</v>
      </c>
      <c r="K1045" s="1165" t="s">
        <v>1665</v>
      </c>
    </row>
  </sheetData>
  <dataValidations count="2">
    <dataValidation type="list" allowBlank="1" showInputMessage="1" showErrorMessage="1" sqref="H337:H338 F2:F1045" xr:uid="{00DF0001-0094-4DE9-8575-0004003B0046}">
      <formula1>ЕИ</formula1>
    </dataValidation>
    <dataValidation type="list" allowBlank="1" showInputMessage="1" showErrorMessage="1" sqref="H339:H1045 H2:H336" xr:uid="{000F0015-0036-4BA0-A95B-007F00A70004}">
      <formula1>Валюта</formula1>
    </dataValidation>
  </dataValidations>
  <hyperlinks>
    <hyperlink ref="N1" location="'Содержание'!A1" display="к содержанию" xr:uid="{00000000-0004-0000-0F00-000000000000}"/>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I223"/>
  <sheetViews>
    <sheetView workbookViewId="0">
      <selection activeCell="B2" sqref="B2:I2"/>
    </sheetView>
  </sheetViews>
  <sheetFormatPr defaultRowHeight="15"/>
  <cols>
    <col min="2" max="2" width="22" customWidth="1"/>
    <col min="3" max="3" width="6.5703125" customWidth="1"/>
    <col min="4" max="4" width="20.7109375" customWidth="1"/>
    <col min="5" max="5" width="8.7109375" customWidth="1"/>
    <col min="6" max="6" width="7" customWidth="1"/>
    <col min="7" max="8" width="6.85546875" customWidth="1"/>
    <col min="9" max="9" width="21" customWidth="1"/>
  </cols>
  <sheetData>
    <row r="2" spans="2:9" ht="38.25" customHeight="1">
      <c r="B2" s="1476" t="s">
        <v>1666</v>
      </c>
      <c r="C2" s="1476"/>
      <c r="D2" s="1476"/>
      <c r="E2" s="1476"/>
      <c r="F2" s="1476"/>
      <c r="G2" s="1476"/>
      <c r="H2" s="1476"/>
      <c r="I2" s="1476"/>
    </row>
    <row r="3" spans="2:9">
      <c r="B3" s="1468" t="s">
        <v>1667</v>
      </c>
      <c r="C3" s="1470" t="s">
        <v>1668</v>
      </c>
      <c r="D3" s="1472" t="s">
        <v>1669</v>
      </c>
      <c r="E3" s="1474" t="s">
        <v>1670</v>
      </c>
      <c r="F3" s="1465" t="s">
        <v>1671</v>
      </c>
      <c r="G3" s="1466"/>
      <c r="H3" s="1467"/>
    </row>
    <row r="4" spans="2:9">
      <c r="B4" s="1469"/>
      <c r="C4" s="1471"/>
      <c r="D4" s="1473"/>
      <c r="E4" s="1475"/>
      <c r="F4" s="929" t="s">
        <v>1672</v>
      </c>
      <c r="G4" s="929" t="s">
        <v>1673</v>
      </c>
      <c r="H4" s="929" t="s">
        <v>1674</v>
      </c>
    </row>
    <row r="5" spans="2:9">
      <c r="B5" s="930" t="s">
        <v>1675</v>
      </c>
      <c r="C5" s="1458">
        <v>0.37</v>
      </c>
      <c r="D5" s="1461" t="s">
        <v>1676</v>
      </c>
      <c r="E5" s="931">
        <v>1</v>
      </c>
      <c r="F5" s="932">
        <v>500</v>
      </c>
      <c r="G5" s="933">
        <v>400</v>
      </c>
      <c r="H5" s="934">
        <v>210</v>
      </c>
    </row>
    <row r="6" spans="2:9">
      <c r="B6" s="935" t="s">
        <v>1677</v>
      </c>
      <c r="C6" s="1459"/>
      <c r="D6" s="1462"/>
      <c r="E6" s="936">
        <v>2</v>
      </c>
      <c r="F6" s="937">
        <v>500</v>
      </c>
      <c r="G6" s="938">
        <v>400</v>
      </c>
      <c r="H6" s="939">
        <v>210</v>
      </c>
    </row>
    <row r="7" spans="2:9">
      <c r="B7" s="935" t="s">
        <v>1678</v>
      </c>
      <c r="C7" s="1459"/>
      <c r="D7" s="1462"/>
      <c r="E7" s="940">
        <v>3</v>
      </c>
      <c r="F7" s="941">
        <v>700</v>
      </c>
      <c r="G7" s="942">
        <v>500</v>
      </c>
      <c r="H7" s="943">
        <v>250</v>
      </c>
    </row>
    <row r="8" spans="2:9">
      <c r="B8" s="930" t="s">
        <v>1679</v>
      </c>
      <c r="C8" s="1458">
        <v>0.55000000000000004</v>
      </c>
      <c r="D8" s="1461" t="s">
        <v>1680</v>
      </c>
      <c r="E8" s="944">
        <v>1</v>
      </c>
      <c r="F8" s="945">
        <v>500</v>
      </c>
      <c r="G8" s="946">
        <v>400</v>
      </c>
      <c r="H8" s="947">
        <v>210</v>
      </c>
    </row>
    <row r="9" spans="2:9">
      <c r="B9" s="948" t="s">
        <v>1681</v>
      </c>
      <c r="C9" s="1459"/>
      <c r="D9" s="1462"/>
      <c r="E9" s="936">
        <v>2</v>
      </c>
      <c r="F9" s="937">
        <v>500</v>
      </c>
      <c r="G9" s="938">
        <v>400</v>
      </c>
      <c r="H9" s="939">
        <v>210</v>
      </c>
    </row>
    <row r="10" spans="2:9">
      <c r="B10" s="948" t="s">
        <v>1682</v>
      </c>
      <c r="C10" s="1459"/>
      <c r="D10" s="1462"/>
      <c r="E10" s="949">
        <v>3</v>
      </c>
      <c r="F10" s="950">
        <v>700</v>
      </c>
      <c r="G10" s="951">
        <v>500</v>
      </c>
      <c r="H10" s="952">
        <v>250</v>
      </c>
    </row>
    <row r="11" spans="2:9">
      <c r="B11" s="930" t="s">
        <v>1683</v>
      </c>
      <c r="C11" s="1458">
        <v>0.75</v>
      </c>
      <c r="D11" s="1461" t="s">
        <v>1684</v>
      </c>
      <c r="E11" s="931">
        <v>1</v>
      </c>
      <c r="F11" s="932">
        <v>500</v>
      </c>
      <c r="G11" s="933">
        <v>400</v>
      </c>
      <c r="H11" s="934">
        <v>210</v>
      </c>
    </row>
    <row r="12" spans="2:9">
      <c r="B12" s="948" t="s">
        <v>1685</v>
      </c>
      <c r="C12" s="1459"/>
      <c r="D12" s="1462"/>
      <c r="E12" s="936">
        <v>2</v>
      </c>
      <c r="F12" s="937">
        <v>500</v>
      </c>
      <c r="G12" s="938">
        <v>400</v>
      </c>
      <c r="H12" s="939">
        <v>210</v>
      </c>
    </row>
    <row r="13" spans="2:9">
      <c r="B13" s="948" t="s">
        <v>1686</v>
      </c>
      <c r="C13" s="1459"/>
      <c r="D13" s="1462"/>
      <c r="E13" s="940">
        <v>3</v>
      </c>
      <c r="F13" s="941">
        <v>700</v>
      </c>
      <c r="G13" s="942">
        <v>500</v>
      </c>
      <c r="H13" s="943">
        <v>250</v>
      </c>
    </row>
    <row r="14" spans="2:9">
      <c r="B14" s="930" t="s">
        <v>1687</v>
      </c>
      <c r="C14" s="1458">
        <v>1.5</v>
      </c>
      <c r="D14" s="1461" t="s">
        <v>1688</v>
      </c>
      <c r="E14" s="944">
        <v>1</v>
      </c>
      <c r="F14" s="945">
        <v>500</v>
      </c>
      <c r="G14" s="946">
        <v>400</v>
      </c>
      <c r="H14" s="947">
        <v>210</v>
      </c>
    </row>
    <row r="15" spans="2:9">
      <c r="B15" s="948" t="s">
        <v>1689</v>
      </c>
      <c r="C15" s="1459"/>
      <c r="D15" s="1462"/>
      <c r="E15" s="936">
        <v>2</v>
      </c>
      <c r="F15" s="937">
        <v>500</v>
      </c>
      <c r="G15" s="938">
        <v>400</v>
      </c>
      <c r="H15" s="939">
        <v>210</v>
      </c>
    </row>
    <row r="16" spans="2:9">
      <c r="B16" s="948" t="s">
        <v>1690</v>
      </c>
      <c r="C16" s="1459"/>
      <c r="D16" s="1462"/>
      <c r="E16" s="949">
        <v>3</v>
      </c>
      <c r="F16" s="950">
        <v>700</v>
      </c>
      <c r="G16" s="951">
        <v>500</v>
      </c>
      <c r="H16" s="952">
        <v>250</v>
      </c>
    </row>
    <row r="17" spans="2:8">
      <c r="B17" s="930" t="s">
        <v>1691</v>
      </c>
      <c r="C17" s="1458">
        <v>2.2000000000000002</v>
      </c>
      <c r="D17" s="1461" t="s">
        <v>1692</v>
      </c>
      <c r="E17" s="931">
        <v>1</v>
      </c>
      <c r="F17" s="932">
        <v>500</v>
      </c>
      <c r="G17" s="933">
        <v>400</v>
      </c>
      <c r="H17" s="934">
        <v>210</v>
      </c>
    </row>
    <row r="18" spans="2:8">
      <c r="B18" s="948" t="s">
        <v>1693</v>
      </c>
      <c r="C18" s="1459"/>
      <c r="D18" s="1462"/>
      <c r="E18" s="936">
        <v>2</v>
      </c>
      <c r="F18" s="937">
        <v>500</v>
      </c>
      <c r="G18" s="938">
        <v>400</v>
      </c>
      <c r="H18" s="939">
        <v>210</v>
      </c>
    </row>
    <row r="19" spans="2:8">
      <c r="B19" s="948" t="s">
        <v>1694</v>
      </c>
      <c r="C19" s="1459"/>
      <c r="D19" s="1462"/>
      <c r="E19" s="940">
        <v>3</v>
      </c>
      <c r="F19" s="941">
        <v>700</v>
      </c>
      <c r="G19" s="942">
        <v>500</v>
      </c>
      <c r="H19" s="943">
        <v>250</v>
      </c>
    </row>
    <row r="20" spans="2:8">
      <c r="B20" s="930" t="s">
        <v>1695</v>
      </c>
      <c r="C20" s="1458">
        <v>3</v>
      </c>
      <c r="D20" s="1461" t="s">
        <v>1696</v>
      </c>
      <c r="E20" s="944">
        <v>1</v>
      </c>
      <c r="F20" s="945">
        <v>500</v>
      </c>
      <c r="G20" s="946">
        <v>400</v>
      </c>
      <c r="H20" s="947">
        <v>210</v>
      </c>
    </row>
    <row r="21" spans="2:8">
      <c r="B21" s="948" t="s">
        <v>1697</v>
      </c>
      <c r="C21" s="1459"/>
      <c r="D21" s="1462"/>
      <c r="E21" s="936">
        <v>2</v>
      </c>
      <c r="F21" s="937">
        <v>500</v>
      </c>
      <c r="G21" s="938">
        <v>400</v>
      </c>
      <c r="H21" s="939">
        <v>210</v>
      </c>
    </row>
    <row r="22" spans="2:8">
      <c r="B22" s="948" t="s">
        <v>1698</v>
      </c>
      <c r="C22" s="1459"/>
      <c r="D22" s="1462"/>
      <c r="E22" s="949">
        <v>3</v>
      </c>
      <c r="F22" s="950">
        <v>700</v>
      </c>
      <c r="G22" s="951">
        <v>500</v>
      </c>
      <c r="H22" s="952">
        <v>250</v>
      </c>
    </row>
    <row r="23" spans="2:8">
      <c r="B23" s="930" t="s">
        <v>1699</v>
      </c>
      <c r="C23" s="1458">
        <v>4</v>
      </c>
      <c r="D23" s="1464" t="s">
        <v>1700</v>
      </c>
      <c r="E23" s="931">
        <v>1</v>
      </c>
      <c r="F23" s="932">
        <v>500</v>
      </c>
      <c r="G23" s="933">
        <v>400</v>
      </c>
      <c r="H23" s="934">
        <v>210</v>
      </c>
    </row>
    <row r="24" spans="2:8">
      <c r="B24" s="948" t="s">
        <v>1701</v>
      </c>
      <c r="C24" s="1459"/>
      <c r="D24" s="1462"/>
      <c r="E24" s="936">
        <v>2</v>
      </c>
      <c r="F24" s="937">
        <v>500</v>
      </c>
      <c r="G24" s="938">
        <v>400</v>
      </c>
      <c r="H24" s="939">
        <v>210</v>
      </c>
    </row>
    <row r="25" spans="2:8">
      <c r="B25" s="948" t="s">
        <v>1702</v>
      </c>
      <c r="C25" s="1459"/>
      <c r="D25" s="1462"/>
      <c r="E25" s="940">
        <v>3</v>
      </c>
      <c r="F25" s="941">
        <v>700</v>
      </c>
      <c r="G25" s="942">
        <v>500</v>
      </c>
      <c r="H25" s="943">
        <v>250</v>
      </c>
    </row>
    <row r="26" spans="2:8">
      <c r="B26" s="930" t="s">
        <v>1703</v>
      </c>
      <c r="C26" s="1458">
        <v>5.5</v>
      </c>
      <c r="D26" s="1461" t="s">
        <v>1704</v>
      </c>
      <c r="E26" s="944">
        <v>1</v>
      </c>
      <c r="F26" s="945">
        <v>500</v>
      </c>
      <c r="G26" s="946">
        <v>400</v>
      </c>
      <c r="H26" s="947">
        <v>210</v>
      </c>
    </row>
    <row r="27" spans="2:8">
      <c r="B27" s="948" t="s">
        <v>1705</v>
      </c>
      <c r="C27" s="1459"/>
      <c r="D27" s="1462"/>
      <c r="E27" s="936">
        <v>2</v>
      </c>
      <c r="F27" s="937">
        <v>500</v>
      </c>
      <c r="G27" s="938">
        <v>400</v>
      </c>
      <c r="H27" s="939">
        <v>210</v>
      </c>
    </row>
    <row r="28" spans="2:8">
      <c r="B28" s="948" t="s">
        <v>1706</v>
      </c>
      <c r="C28" s="1459"/>
      <c r="D28" s="1462"/>
      <c r="E28" s="949">
        <v>3</v>
      </c>
      <c r="F28" s="950">
        <v>700</v>
      </c>
      <c r="G28" s="951">
        <v>500</v>
      </c>
      <c r="H28" s="952">
        <v>250</v>
      </c>
    </row>
    <row r="29" spans="2:8">
      <c r="B29" s="930" t="s">
        <v>1707</v>
      </c>
      <c r="C29" s="1458">
        <v>7.5</v>
      </c>
      <c r="D29" s="1461" t="s">
        <v>1708</v>
      </c>
      <c r="E29" s="931">
        <v>1</v>
      </c>
      <c r="F29" s="932">
        <v>500</v>
      </c>
      <c r="G29" s="933">
        <v>400</v>
      </c>
      <c r="H29" s="934">
        <v>210</v>
      </c>
    </row>
    <row r="30" spans="2:8">
      <c r="B30" s="948" t="s">
        <v>1709</v>
      </c>
      <c r="C30" s="1459"/>
      <c r="D30" s="1462"/>
      <c r="E30" s="936">
        <v>2</v>
      </c>
      <c r="F30" s="937">
        <v>500</v>
      </c>
      <c r="G30" s="938">
        <v>400</v>
      </c>
      <c r="H30" s="939">
        <v>210</v>
      </c>
    </row>
    <row r="31" spans="2:8">
      <c r="B31" s="948" t="s">
        <v>1710</v>
      </c>
      <c r="C31" s="1459"/>
      <c r="D31" s="1462"/>
      <c r="E31" s="940">
        <v>3</v>
      </c>
      <c r="F31" s="941">
        <v>700</v>
      </c>
      <c r="G31" s="942">
        <v>500</v>
      </c>
      <c r="H31" s="943">
        <v>250</v>
      </c>
    </row>
    <row r="32" spans="2:8">
      <c r="B32" s="930" t="s">
        <v>1711</v>
      </c>
      <c r="C32" s="1458">
        <v>9.1999999999999993</v>
      </c>
      <c r="D32" s="1461" t="s">
        <v>1712</v>
      </c>
      <c r="E32" s="944">
        <v>1</v>
      </c>
      <c r="F32" s="945">
        <v>500</v>
      </c>
      <c r="G32" s="946">
        <v>400</v>
      </c>
      <c r="H32" s="947">
        <v>210</v>
      </c>
    </row>
    <row r="33" spans="2:8">
      <c r="B33" s="948" t="s">
        <v>1713</v>
      </c>
      <c r="C33" s="1459"/>
      <c r="D33" s="1462"/>
      <c r="E33" s="936">
        <v>2</v>
      </c>
      <c r="F33" s="937">
        <v>500</v>
      </c>
      <c r="G33" s="938">
        <v>400</v>
      </c>
      <c r="H33" s="939">
        <v>210</v>
      </c>
    </row>
    <row r="34" spans="2:8">
      <c r="B34" s="948" t="s">
        <v>1714</v>
      </c>
      <c r="C34" s="1459"/>
      <c r="D34" s="1462"/>
      <c r="E34" s="949">
        <v>3</v>
      </c>
      <c r="F34" s="950">
        <v>800</v>
      </c>
      <c r="G34" s="951">
        <v>600</v>
      </c>
      <c r="H34" s="952">
        <v>300</v>
      </c>
    </row>
    <row r="35" spans="2:8">
      <c r="B35" s="930" t="s">
        <v>1715</v>
      </c>
      <c r="C35" s="1458">
        <v>11</v>
      </c>
      <c r="D35" s="1461" t="s">
        <v>1716</v>
      </c>
      <c r="E35" s="931">
        <v>1</v>
      </c>
      <c r="F35" s="932">
        <v>500</v>
      </c>
      <c r="G35" s="933">
        <v>400</v>
      </c>
      <c r="H35" s="934">
        <v>210</v>
      </c>
    </row>
    <row r="36" spans="2:8">
      <c r="B36" s="948" t="s">
        <v>1717</v>
      </c>
      <c r="C36" s="1459"/>
      <c r="D36" s="1462"/>
      <c r="E36" s="936">
        <v>2</v>
      </c>
      <c r="F36" s="937">
        <v>700</v>
      </c>
      <c r="G36" s="938">
        <v>500</v>
      </c>
      <c r="H36" s="939">
        <v>250</v>
      </c>
    </row>
    <row r="37" spans="2:8">
      <c r="B37" s="948" t="s">
        <v>1718</v>
      </c>
      <c r="C37" s="1459"/>
      <c r="D37" s="1462"/>
      <c r="E37" s="940">
        <v>3</v>
      </c>
      <c r="F37" s="941">
        <v>800</v>
      </c>
      <c r="G37" s="942">
        <v>600</v>
      </c>
      <c r="H37" s="943">
        <v>300</v>
      </c>
    </row>
    <row r="38" spans="2:8">
      <c r="B38" s="930" t="s">
        <v>1719</v>
      </c>
      <c r="C38" s="1458">
        <v>15</v>
      </c>
      <c r="D38" s="1461" t="s">
        <v>1720</v>
      </c>
      <c r="E38" s="944">
        <v>1</v>
      </c>
      <c r="F38" s="945">
        <v>500</v>
      </c>
      <c r="G38" s="946">
        <v>400</v>
      </c>
      <c r="H38" s="947">
        <v>210</v>
      </c>
    </row>
    <row r="39" spans="2:8">
      <c r="B39" s="948" t="s">
        <v>1721</v>
      </c>
      <c r="C39" s="1459"/>
      <c r="D39" s="1462"/>
      <c r="E39" s="936">
        <v>2</v>
      </c>
      <c r="F39" s="937">
        <v>700</v>
      </c>
      <c r="G39" s="938">
        <v>500</v>
      </c>
      <c r="H39" s="939">
        <v>250</v>
      </c>
    </row>
    <row r="40" spans="2:8">
      <c r="B40" s="948" t="s">
        <v>1722</v>
      </c>
      <c r="C40" s="1459"/>
      <c r="D40" s="1462"/>
      <c r="E40" s="949">
        <v>3</v>
      </c>
      <c r="F40" s="950">
        <v>800</v>
      </c>
      <c r="G40" s="951">
        <v>600</v>
      </c>
      <c r="H40" s="952">
        <v>300</v>
      </c>
    </row>
    <row r="41" spans="2:8">
      <c r="B41" s="930" t="s">
        <v>1723</v>
      </c>
      <c r="C41" s="1458">
        <v>18.5</v>
      </c>
      <c r="D41" s="1461" t="s">
        <v>1724</v>
      </c>
      <c r="E41" s="931">
        <v>1</v>
      </c>
      <c r="F41" s="932">
        <v>500</v>
      </c>
      <c r="G41" s="933">
        <v>400</v>
      </c>
      <c r="H41" s="934">
        <v>210</v>
      </c>
    </row>
    <row r="42" spans="2:8">
      <c r="B42" s="948" t="s">
        <v>1725</v>
      </c>
      <c r="C42" s="1459"/>
      <c r="D42" s="1462"/>
      <c r="E42" s="936">
        <v>2</v>
      </c>
      <c r="F42" s="937">
        <v>700</v>
      </c>
      <c r="G42" s="938">
        <v>500</v>
      </c>
      <c r="H42" s="939">
        <v>250</v>
      </c>
    </row>
    <row r="43" spans="2:8">
      <c r="B43" s="948" t="s">
        <v>1726</v>
      </c>
      <c r="C43" s="1459"/>
      <c r="D43" s="1462"/>
      <c r="E43" s="940">
        <v>3</v>
      </c>
      <c r="F43" s="941">
        <v>800</v>
      </c>
      <c r="G43" s="942">
        <v>600</v>
      </c>
      <c r="H43" s="943">
        <v>300</v>
      </c>
    </row>
    <row r="44" spans="2:8">
      <c r="B44" s="930" t="s">
        <v>1727</v>
      </c>
      <c r="C44" s="1458">
        <v>22</v>
      </c>
      <c r="D44" s="1461" t="s">
        <v>1728</v>
      </c>
      <c r="E44" s="944">
        <v>1</v>
      </c>
      <c r="F44" s="945">
        <v>700</v>
      </c>
      <c r="G44" s="946">
        <v>500</v>
      </c>
      <c r="H44" s="947">
        <v>250</v>
      </c>
    </row>
    <row r="45" spans="2:8">
      <c r="B45" s="935" t="s">
        <v>1729</v>
      </c>
      <c r="C45" s="1459"/>
      <c r="D45" s="1462"/>
      <c r="E45" s="936">
        <v>2</v>
      </c>
      <c r="F45" s="937">
        <v>700</v>
      </c>
      <c r="G45" s="938">
        <v>500</v>
      </c>
      <c r="H45" s="939">
        <v>250</v>
      </c>
    </row>
    <row r="46" spans="2:8">
      <c r="B46" s="948" t="s">
        <v>1730</v>
      </c>
      <c r="C46" s="1460"/>
      <c r="D46" s="1463"/>
      <c r="E46" s="949">
        <v>3</v>
      </c>
      <c r="F46" s="950">
        <v>800</v>
      </c>
      <c r="G46" s="951">
        <v>600</v>
      </c>
      <c r="H46" s="952">
        <v>300</v>
      </c>
    </row>
    <row r="47" spans="2:8">
      <c r="B47" s="930" t="s">
        <v>1731</v>
      </c>
      <c r="C47" s="1458">
        <v>30</v>
      </c>
      <c r="D47" s="1461" t="s">
        <v>1732</v>
      </c>
      <c r="E47" s="931">
        <v>1</v>
      </c>
      <c r="F47" s="932">
        <v>700</v>
      </c>
      <c r="G47" s="933">
        <v>500</v>
      </c>
      <c r="H47" s="934">
        <v>250</v>
      </c>
    </row>
    <row r="48" spans="2:8">
      <c r="B48" s="948" t="s">
        <v>1733</v>
      </c>
      <c r="C48" s="1459"/>
      <c r="D48" s="1462"/>
      <c r="E48" s="936">
        <v>2</v>
      </c>
      <c r="F48" s="937">
        <v>700</v>
      </c>
      <c r="G48" s="938">
        <v>500</v>
      </c>
      <c r="H48" s="939">
        <v>250</v>
      </c>
    </row>
    <row r="49" spans="2:8">
      <c r="B49" s="948" t="s">
        <v>1734</v>
      </c>
      <c r="C49" s="1460"/>
      <c r="D49" s="1463"/>
      <c r="E49" s="940">
        <v>3</v>
      </c>
      <c r="F49" s="941">
        <v>800</v>
      </c>
      <c r="G49" s="942">
        <v>600</v>
      </c>
      <c r="H49" s="943">
        <v>300</v>
      </c>
    </row>
    <row r="50" spans="2:8">
      <c r="B50" s="930" t="s">
        <v>1735</v>
      </c>
      <c r="C50" s="1458">
        <v>37</v>
      </c>
      <c r="D50" s="1461" t="s">
        <v>1736</v>
      </c>
      <c r="E50" s="944">
        <v>1</v>
      </c>
      <c r="F50" s="945">
        <v>700</v>
      </c>
      <c r="G50" s="946">
        <v>500</v>
      </c>
      <c r="H50" s="947">
        <v>250</v>
      </c>
    </row>
    <row r="51" spans="2:8">
      <c r="B51" s="948" t="s">
        <v>1737</v>
      </c>
      <c r="C51" s="1459"/>
      <c r="D51" s="1462"/>
      <c r="E51" s="936">
        <v>2</v>
      </c>
      <c r="F51" s="937">
        <v>700</v>
      </c>
      <c r="G51" s="938">
        <v>500</v>
      </c>
      <c r="H51" s="939">
        <v>250</v>
      </c>
    </row>
    <row r="52" spans="2:8">
      <c r="B52" s="948" t="s">
        <v>1738</v>
      </c>
      <c r="C52" s="1460"/>
      <c r="D52" s="1463"/>
      <c r="E52" s="949">
        <v>3</v>
      </c>
      <c r="F52" s="950">
        <v>800</v>
      </c>
      <c r="G52" s="951">
        <v>600</v>
      </c>
      <c r="H52" s="952">
        <v>300</v>
      </c>
    </row>
    <row r="53" spans="2:8">
      <c r="B53" s="930" t="s">
        <v>1739</v>
      </c>
      <c r="C53" s="1458">
        <v>45</v>
      </c>
      <c r="D53" s="1461" t="s">
        <v>1740</v>
      </c>
      <c r="E53" s="931">
        <v>1</v>
      </c>
      <c r="F53" s="932">
        <v>800</v>
      </c>
      <c r="G53" s="933">
        <v>600</v>
      </c>
      <c r="H53" s="934">
        <v>300</v>
      </c>
    </row>
    <row r="54" spans="2:8">
      <c r="B54" s="935" t="s">
        <v>1741</v>
      </c>
      <c r="C54" s="1459"/>
      <c r="D54" s="1462"/>
      <c r="E54" s="936">
        <v>2</v>
      </c>
      <c r="F54" s="937">
        <v>800</v>
      </c>
      <c r="G54" s="938">
        <v>600</v>
      </c>
      <c r="H54" s="939">
        <v>300</v>
      </c>
    </row>
    <row r="55" spans="2:8">
      <c r="B55" s="953" t="s">
        <v>1742</v>
      </c>
      <c r="C55" s="1460"/>
      <c r="D55" s="1463"/>
      <c r="E55" s="940">
        <v>3</v>
      </c>
      <c r="F55" s="941">
        <v>800</v>
      </c>
      <c r="G55" s="942">
        <v>600</v>
      </c>
      <c r="H55" s="943">
        <v>300</v>
      </c>
    </row>
    <row r="56" spans="2:8">
      <c r="B56" s="928"/>
      <c r="C56" s="928"/>
      <c r="D56" s="928"/>
      <c r="E56" s="928"/>
      <c r="F56" s="928"/>
      <c r="G56" s="928"/>
      <c r="H56" s="928"/>
    </row>
    <row r="57" spans="2:8">
      <c r="B57" s="954" t="s">
        <v>1743</v>
      </c>
      <c r="C57" s="928"/>
      <c r="D57" s="928"/>
      <c r="E57" s="928"/>
      <c r="F57" s="928"/>
      <c r="G57" s="928"/>
      <c r="H57" s="928"/>
    </row>
    <row r="58" spans="2:8">
      <c r="B58" s="928"/>
      <c r="C58" s="928"/>
      <c r="D58" s="928"/>
      <c r="E58" s="928"/>
      <c r="F58" s="928"/>
      <c r="G58" s="928"/>
      <c r="H58" s="928"/>
    </row>
    <row r="59" spans="2:8">
      <c r="B59" s="1468" t="s">
        <v>1667</v>
      </c>
      <c r="C59" s="1470" t="s">
        <v>1668</v>
      </c>
      <c r="D59" s="1472" t="s">
        <v>1669</v>
      </c>
      <c r="E59" s="1474" t="s">
        <v>1670</v>
      </c>
      <c r="F59" s="1465" t="s">
        <v>1744</v>
      </c>
      <c r="G59" s="1466"/>
      <c r="H59" s="1467"/>
    </row>
    <row r="60" spans="2:8">
      <c r="B60" s="1469"/>
      <c r="C60" s="1471"/>
      <c r="D60" s="1473"/>
      <c r="E60" s="1475"/>
      <c r="F60" s="929" t="s">
        <v>1672</v>
      </c>
      <c r="G60" s="929" t="s">
        <v>1673</v>
      </c>
      <c r="H60" s="929" t="s">
        <v>1674</v>
      </c>
    </row>
    <row r="61" spans="2:8">
      <c r="B61" s="930" t="s">
        <v>1745</v>
      </c>
      <c r="C61" s="1458">
        <v>0.37</v>
      </c>
      <c r="D61" s="1461" t="s">
        <v>1676</v>
      </c>
      <c r="E61" s="931">
        <v>1</v>
      </c>
      <c r="F61" s="932">
        <v>500</v>
      </c>
      <c r="G61" s="933">
        <v>400</v>
      </c>
      <c r="H61" s="934">
        <v>210</v>
      </c>
    </row>
    <row r="62" spans="2:8">
      <c r="B62" s="935" t="s">
        <v>1746</v>
      </c>
      <c r="C62" s="1459"/>
      <c r="D62" s="1462"/>
      <c r="E62" s="936">
        <v>2</v>
      </c>
      <c r="F62" s="937">
        <v>500</v>
      </c>
      <c r="G62" s="938">
        <v>400</v>
      </c>
      <c r="H62" s="939">
        <v>210</v>
      </c>
    </row>
    <row r="63" spans="2:8">
      <c r="B63" s="935" t="s">
        <v>1747</v>
      </c>
      <c r="C63" s="1459"/>
      <c r="D63" s="1462"/>
      <c r="E63" s="949">
        <v>3</v>
      </c>
      <c r="F63" s="950">
        <v>700</v>
      </c>
      <c r="G63" s="951">
        <v>500</v>
      </c>
      <c r="H63" s="952">
        <v>250</v>
      </c>
    </row>
    <row r="64" spans="2:8">
      <c r="B64" s="930" t="s">
        <v>1748</v>
      </c>
      <c r="C64" s="1458">
        <v>0.55000000000000004</v>
      </c>
      <c r="D64" s="1461" t="s">
        <v>1680</v>
      </c>
      <c r="E64" s="931">
        <v>1</v>
      </c>
      <c r="F64" s="932">
        <v>500</v>
      </c>
      <c r="G64" s="933">
        <v>400</v>
      </c>
      <c r="H64" s="934">
        <v>210</v>
      </c>
    </row>
    <row r="65" spans="2:8">
      <c r="B65" s="948" t="s">
        <v>1749</v>
      </c>
      <c r="C65" s="1459"/>
      <c r="D65" s="1462"/>
      <c r="E65" s="936">
        <v>2</v>
      </c>
      <c r="F65" s="937">
        <v>500</v>
      </c>
      <c r="G65" s="938">
        <v>400</v>
      </c>
      <c r="H65" s="939">
        <v>210</v>
      </c>
    </row>
    <row r="66" spans="2:8">
      <c r="B66" s="948" t="s">
        <v>1750</v>
      </c>
      <c r="C66" s="1459"/>
      <c r="D66" s="1462"/>
      <c r="E66" s="940">
        <v>3</v>
      </c>
      <c r="F66" s="941">
        <v>700</v>
      </c>
      <c r="G66" s="942">
        <v>500</v>
      </c>
      <c r="H66" s="943">
        <v>250</v>
      </c>
    </row>
    <row r="67" spans="2:8">
      <c r="B67" s="930" t="s">
        <v>1751</v>
      </c>
      <c r="C67" s="1458">
        <v>0.75</v>
      </c>
      <c r="D67" s="1461" t="s">
        <v>1684</v>
      </c>
      <c r="E67" s="944">
        <v>1</v>
      </c>
      <c r="F67" s="945">
        <v>500</v>
      </c>
      <c r="G67" s="946">
        <v>400</v>
      </c>
      <c r="H67" s="947">
        <v>210</v>
      </c>
    </row>
    <row r="68" spans="2:8">
      <c r="B68" s="948" t="s">
        <v>1752</v>
      </c>
      <c r="C68" s="1459"/>
      <c r="D68" s="1462"/>
      <c r="E68" s="936">
        <v>2</v>
      </c>
      <c r="F68" s="937">
        <v>500</v>
      </c>
      <c r="G68" s="938">
        <v>400</v>
      </c>
      <c r="H68" s="939">
        <v>210</v>
      </c>
    </row>
    <row r="69" spans="2:8">
      <c r="B69" s="948" t="s">
        <v>1753</v>
      </c>
      <c r="C69" s="1459"/>
      <c r="D69" s="1462"/>
      <c r="E69" s="949">
        <v>3</v>
      </c>
      <c r="F69" s="950">
        <v>700</v>
      </c>
      <c r="G69" s="951">
        <v>500</v>
      </c>
      <c r="H69" s="952">
        <v>250</v>
      </c>
    </row>
    <row r="70" spans="2:8">
      <c r="B70" s="930" t="s">
        <v>1754</v>
      </c>
      <c r="C70" s="1458">
        <v>1.5</v>
      </c>
      <c r="D70" s="1461" t="s">
        <v>1688</v>
      </c>
      <c r="E70" s="931">
        <v>1</v>
      </c>
      <c r="F70" s="932">
        <v>500</v>
      </c>
      <c r="G70" s="933">
        <v>400</v>
      </c>
      <c r="H70" s="934">
        <v>210</v>
      </c>
    </row>
    <row r="71" spans="2:8">
      <c r="B71" s="948" t="s">
        <v>1755</v>
      </c>
      <c r="C71" s="1459"/>
      <c r="D71" s="1462"/>
      <c r="E71" s="936">
        <v>2</v>
      </c>
      <c r="F71" s="937">
        <v>500</v>
      </c>
      <c r="G71" s="938">
        <v>400</v>
      </c>
      <c r="H71" s="939">
        <v>210</v>
      </c>
    </row>
    <row r="72" spans="2:8">
      <c r="B72" s="948" t="s">
        <v>1756</v>
      </c>
      <c r="C72" s="1459"/>
      <c r="D72" s="1462"/>
      <c r="E72" s="940">
        <v>3</v>
      </c>
      <c r="F72" s="941">
        <v>700</v>
      </c>
      <c r="G72" s="942">
        <v>500</v>
      </c>
      <c r="H72" s="943">
        <v>250</v>
      </c>
    </row>
    <row r="73" spans="2:8">
      <c r="B73" s="930" t="s">
        <v>1757</v>
      </c>
      <c r="C73" s="1458">
        <v>2.2000000000000002</v>
      </c>
      <c r="D73" s="1461" t="s">
        <v>1692</v>
      </c>
      <c r="E73" s="944">
        <v>1</v>
      </c>
      <c r="F73" s="945">
        <v>500</v>
      </c>
      <c r="G73" s="946">
        <v>400</v>
      </c>
      <c r="H73" s="947">
        <v>210</v>
      </c>
    </row>
    <row r="74" spans="2:8">
      <c r="B74" s="948" t="s">
        <v>1758</v>
      </c>
      <c r="C74" s="1459"/>
      <c r="D74" s="1462"/>
      <c r="E74" s="936">
        <v>2</v>
      </c>
      <c r="F74" s="937">
        <v>500</v>
      </c>
      <c r="G74" s="938">
        <v>400</v>
      </c>
      <c r="H74" s="939">
        <v>210</v>
      </c>
    </row>
    <row r="75" spans="2:8">
      <c r="B75" s="948" t="s">
        <v>1759</v>
      </c>
      <c r="C75" s="1459"/>
      <c r="D75" s="1462"/>
      <c r="E75" s="949">
        <v>3</v>
      </c>
      <c r="F75" s="950">
        <v>700</v>
      </c>
      <c r="G75" s="951">
        <v>500</v>
      </c>
      <c r="H75" s="952">
        <v>250</v>
      </c>
    </row>
    <row r="76" spans="2:8">
      <c r="B76" s="930" t="s">
        <v>1760</v>
      </c>
      <c r="C76" s="1458">
        <v>3</v>
      </c>
      <c r="D76" s="1461" t="s">
        <v>1696</v>
      </c>
      <c r="E76" s="931">
        <v>1</v>
      </c>
      <c r="F76" s="932">
        <v>500</v>
      </c>
      <c r="G76" s="933">
        <v>400</v>
      </c>
      <c r="H76" s="934">
        <v>210</v>
      </c>
    </row>
    <row r="77" spans="2:8">
      <c r="B77" s="948" t="s">
        <v>1761</v>
      </c>
      <c r="C77" s="1459"/>
      <c r="D77" s="1462"/>
      <c r="E77" s="936">
        <v>2</v>
      </c>
      <c r="F77" s="937">
        <v>500</v>
      </c>
      <c r="G77" s="938">
        <v>400</v>
      </c>
      <c r="H77" s="939">
        <v>210</v>
      </c>
    </row>
    <row r="78" spans="2:8">
      <c r="B78" s="948" t="s">
        <v>1762</v>
      </c>
      <c r="C78" s="1459"/>
      <c r="D78" s="1462"/>
      <c r="E78" s="940">
        <v>3</v>
      </c>
      <c r="F78" s="941">
        <v>700</v>
      </c>
      <c r="G78" s="942">
        <v>500</v>
      </c>
      <c r="H78" s="943">
        <v>250</v>
      </c>
    </row>
    <row r="79" spans="2:8">
      <c r="B79" s="930" t="s">
        <v>1763</v>
      </c>
      <c r="C79" s="1458">
        <v>4</v>
      </c>
      <c r="D79" s="1464" t="s">
        <v>1700</v>
      </c>
      <c r="E79" s="944">
        <v>1</v>
      </c>
      <c r="F79" s="945">
        <v>500</v>
      </c>
      <c r="G79" s="946">
        <v>400</v>
      </c>
      <c r="H79" s="947">
        <v>210</v>
      </c>
    </row>
    <row r="80" spans="2:8">
      <c r="B80" s="948" t="s">
        <v>1764</v>
      </c>
      <c r="C80" s="1459"/>
      <c r="D80" s="1462"/>
      <c r="E80" s="936">
        <v>2</v>
      </c>
      <c r="F80" s="937">
        <v>500</v>
      </c>
      <c r="G80" s="938">
        <v>400</v>
      </c>
      <c r="H80" s="939">
        <v>210</v>
      </c>
    </row>
    <row r="81" spans="2:8">
      <c r="B81" s="948" t="s">
        <v>1765</v>
      </c>
      <c r="C81" s="1459"/>
      <c r="D81" s="1462"/>
      <c r="E81" s="949">
        <v>3</v>
      </c>
      <c r="F81" s="950">
        <v>700</v>
      </c>
      <c r="G81" s="951">
        <v>500</v>
      </c>
      <c r="H81" s="952">
        <v>250</v>
      </c>
    </row>
    <row r="82" spans="2:8">
      <c r="B82" s="930" t="s">
        <v>1766</v>
      </c>
      <c r="C82" s="1458">
        <v>5.5</v>
      </c>
      <c r="D82" s="1461" t="s">
        <v>1704</v>
      </c>
      <c r="E82" s="931">
        <v>1</v>
      </c>
      <c r="F82" s="932">
        <v>500</v>
      </c>
      <c r="G82" s="933">
        <v>400</v>
      </c>
      <c r="H82" s="934">
        <v>210</v>
      </c>
    </row>
    <row r="83" spans="2:8">
      <c r="B83" s="948" t="s">
        <v>1767</v>
      </c>
      <c r="C83" s="1459"/>
      <c r="D83" s="1462"/>
      <c r="E83" s="936">
        <v>2</v>
      </c>
      <c r="F83" s="937">
        <v>500</v>
      </c>
      <c r="G83" s="938">
        <v>400</v>
      </c>
      <c r="H83" s="939">
        <v>210</v>
      </c>
    </row>
    <row r="84" spans="2:8">
      <c r="B84" s="948" t="s">
        <v>1768</v>
      </c>
      <c r="C84" s="1459"/>
      <c r="D84" s="1462"/>
      <c r="E84" s="940">
        <v>3</v>
      </c>
      <c r="F84" s="941">
        <v>700</v>
      </c>
      <c r="G84" s="942">
        <v>500</v>
      </c>
      <c r="H84" s="943">
        <v>250</v>
      </c>
    </row>
    <row r="85" spans="2:8">
      <c r="B85" s="930" t="s">
        <v>1769</v>
      </c>
      <c r="C85" s="1458">
        <v>7.5</v>
      </c>
      <c r="D85" s="1461" t="s">
        <v>1708</v>
      </c>
      <c r="E85" s="944">
        <v>1</v>
      </c>
      <c r="F85" s="945">
        <v>500</v>
      </c>
      <c r="G85" s="946">
        <v>400</v>
      </c>
      <c r="H85" s="947">
        <v>210</v>
      </c>
    </row>
    <row r="86" spans="2:8">
      <c r="B86" s="948" t="s">
        <v>1770</v>
      </c>
      <c r="C86" s="1459"/>
      <c r="D86" s="1462"/>
      <c r="E86" s="936">
        <v>2</v>
      </c>
      <c r="F86" s="937">
        <v>500</v>
      </c>
      <c r="G86" s="938">
        <v>400</v>
      </c>
      <c r="H86" s="939">
        <v>210</v>
      </c>
    </row>
    <row r="87" spans="2:8">
      <c r="B87" s="948" t="s">
        <v>1771</v>
      </c>
      <c r="C87" s="1459"/>
      <c r="D87" s="1462"/>
      <c r="E87" s="949">
        <v>3</v>
      </c>
      <c r="F87" s="950">
        <v>700</v>
      </c>
      <c r="G87" s="951">
        <v>500</v>
      </c>
      <c r="H87" s="952">
        <v>250</v>
      </c>
    </row>
    <row r="88" spans="2:8">
      <c r="B88" s="930" t="s">
        <v>1772</v>
      </c>
      <c r="C88" s="1458">
        <v>9.1999999999999993</v>
      </c>
      <c r="D88" s="1461" t="s">
        <v>1712</v>
      </c>
      <c r="E88" s="931">
        <v>1</v>
      </c>
      <c r="F88" s="932">
        <v>500</v>
      </c>
      <c r="G88" s="933">
        <v>400</v>
      </c>
      <c r="H88" s="934">
        <v>210</v>
      </c>
    </row>
    <row r="89" spans="2:8">
      <c r="B89" s="948" t="s">
        <v>1773</v>
      </c>
      <c r="C89" s="1459"/>
      <c r="D89" s="1462"/>
      <c r="E89" s="936">
        <v>2</v>
      </c>
      <c r="F89" s="937">
        <v>500</v>
      </c>
      <c r="G89" s="938">
        <v>400</v>
      </c>
      <c r="H89" s="939">
        <v>210</v>
      </c>
    </row>
    <row r="90" spans="2:8">
      <c r="B90" s="948" t="s">
        <v>1774</v>
      </c>
      <c r="C90" s="1459"/>
      <c r="D90" s="1462"/>
      <c r="E90" s="940">
        <v>3</v>
      </c>
      <c r="F90" s="941">
        <v>800</v>
      </c>
      <c r="G90" s="942">
        <v>600</v>
      </c>
      <c r="H90" s="943">
        <v>300</v>
      </c>
    </row>
    <row r="91" spans="2:8">
      <c r="B91" s="930" t="s">
        <v>1775</v>
      </c>
      <c r="C91" s="1458">
        <v>11</v>
      </c>
      <c r="D91" s="1461" t="s">
        <v>1716</v>
      </c>
      <c r="E91" s="944">
        <v>1</v>
      </c>
      <c r="F91" s="945">
        <v>500</v>
      </c>
      <c r="G91" s="946">
        <v>400</v>
      </c>
      <c r="H91" s="947">
        <v>210</v>
      </c>
    </row>
    <row r="92" spans="2:8">
      <c r="B92" s="948" t="s">
        <v>1776</v>
      </c>
      <c r="C92" s="1459"/>
      <c r="D92" s="1462"/>
      <c r="E92" s="936">
        <v>2</v>
      </c>
      <c r="F92" s="937">
        <v>700</v>
      </c>
      <c r="G92" s="938">
        <v>500</v>
      </c>
      <c r="H92" s="939">
        <v>250</v>
      </c>
    </row>
    <row r="93" spans="2:8">
      <c r="B93" s="948" t="s">
        <v>1777</v>
      </c>
      <c r="C93" s="1459"/>
      <c r="D93" s="1462"/>
      <c r="E93" s="949">
        <v>3</v>
      </c>
      <c r="F93" s="950">
        <v>800</v>
      </c>
      <c r="G93" s="951">
        <v>600</v>
      </c>
      <c r="H93" s="952">
        <v>300</v>
      </c>
    </row>
    <row r="94" spans="2:8">
      <c r="B94" s="930" t="s">
        <v>1778</v>
      </c>
      <c r="C94" s="1458">
        <v>15</v>
      </c>
      <c r="D94" s="1461" t="s">
        <v>1779</v>
      </c>
      <c r="E94" s="931">
        <v>1</v>
      </c>
      <c r="F94" s="932">
        <v>500</v>
      </c>
      <c r="G94" s="933">
        <v>400</v>
      </c>
      <c r="H94" s="934">
        <v>210</v>
      </c>
    </row>
    <row r="95" spans="2:8">
      <c r="B95" s="948" t="s">
        <v>1780</v>
      </c>
      <c r="C95" s="1459"/>
      <c r="D95" s="1462"/>
      <c r="E95" s="936">
        <v>2</v>
      </c>
      <c r="F95" s="937">
        <v>700</v>
      </c>
      <c r="G95" s="938">
        <v>500</v>
      </c>
      <c r="H95" s="939">
        <v>250</v>
      </c>
    </row>
    <row r="96" spans="2:8">
      <c r="B96" s="948" t="s">
        <v>1781</v>
      </c>
      <c r="C96" s="1459"/>
      <c r="D96" s="1462"/>
      <c r="E96" s="940">
        <v>3</v>
      </c>
      <c r="F96" s="941">
        <v>800</v>
      </c>
      <c r="G96" s="942">
        <v>600</v>
      </c>
      <c r="H96" s="943">
        <v>300</v>
      </c>
    </row>
    <row r="97" spans="2:8">
      <c r="B97" s="930" t="s">
        <v>1782</v>
      </c>
      <c r="C97" s="1458">
        <v>18.5</v>
      </c>
      <c r="D97" s="1461" t="s">
        <v>1783</v>
      </c>
      <c r="E97" s="944">
        <v>1</v>
      </c>
      <c r="F97" s="945">
        <v>500</v>
      </c>
      <c r="G97" s="946">
        <v>400</v>
      </c>
      <c r="H97" s="947">
        <v>210</v>
      </c>
    </row>
    <row r="98" spans="2:8">
      <c r="B98" s="948" t="s">
        <v>1784</v>
      </c>
      <c r="C98" s="1459"/>
      <c r="D98" s="1462"/>
      <c r="E98" s="936">
        <v>2</v>
      </c>
      <c r="F98" s="937">
        <v>700</v>
      </c>
      <c r="G98" s="938">
        <v>500</v>
      </c>
      <c r="H98" s="939">
        <v>250</v>
      </c>
    </row>
    <row r="99" spans="2:8">
      <c r="B99" s="948" t="s">
        <v>1785</v>
      </c>
      <c r="C99" s="1459"/>
      <c r="D99" s="1462"/>
      <c r="E99" s="949">
        <v>3</v>
      </c>
      <c r="F99" s="950">
        <v>800</v>
      </c>
      <c r="G99" s="951">
        <v>600</v>
      </c>
      <c r="H99" s="952">
        <v>300</v>
      </c>
    </row>
    <row r="100" spans="2:8">
      <c r="B100" s="930" t="s">
        <v>1786</v>
      </c>
      <c r="C100" s="1458">
        <v>22</v>
      </c>
      <c r="D100" s="1461" t="s">
        <v>1787</v>
      </c>
      <c r="E100" s="931">
        <v>1</v>
      </c>
      <c r="F100" s="932">
        <v>700</v>
      </c>
      <c r="G100" s="933">
        <v>500</v>
      </c>
      <c r="H100" s="934">
        <v>250</v>
      </c>
    </row>
    <row r="101" spans="2:8">
      <c r="B101" s="948" t="s">
        <v>1788</v>
      </c>
      <c r="C101" s="1459"/>
      <c r="D101" s="1462"/>
      <c r="E101" s="936">
        <v>2</v>
      </c>
      <c r="F101" s="937">
        <v>700</v>
      </c>
      <c r="G101" s="938">
        <v>500</v>
      </c>
      <c r="H101" s="939">
        <v>250</v>
      </c>
    </row>
    <row r="102" spans="2:8">
      <c r="B102" s="948" t="s">
        <v>1789</v>
      </c>
      <c r="C102" s="1460"/>
      <c r="D102" s="1463"/>
      <c r="E102" s="940">
        <v>3</v>
      </c>
      <c r="F102" s="941">
        <v>800</v>
      </c>
      <c r="G102" s="942">
        <v>600</v>
      </c>
      <c r="H102" s="943">
        <v>300</v>
      </c>
    </row>
    <row r="103" spans="2:8">
      <c r="B103" s="930" t="s">
        <v>1790</v>
      </c>
      <c r="C103" s="1458">
        <v>30</v>
      </c>
      <c r="D103" s="1461" t="s">
        <v>1791</v>
      </c>
      <c r="E103" s="944">
        <v>1</v>
      </c>
      <c r="F103" s="945">
        <v>700</v>
      </c>
      <c r="G103" s="946">
        <v>500</v>
      </c>
      <c r="H103" s="947">
        <v>250</v>
      </c>
    </row>
    <row r="104" spans="2:8">
      <c r="B104" s="948" t="s">
        <v>1792</v>
      </c>
      <c r="C104" s="1459"/>
      <c r="D104" s="1462"/>
      <c r="E104" s="936">
        <v>2</v>
      </c>
      <c r="F104" s="937">
        <v>700</v>
      </c>
      <c r="G104" s="938">
        <v>500</v>
      </c>
      <c r="H104" s="939">
        <v>250</v>
      </c>
    </row>
    <row r="105" spans="2:8">
      <c r="B105" s="948" t="s">
        <v>1793</v>
      </c>
      <c r="C105" s="1460"/>
      <c r="D105" s="1463"/>
      <c r="E105" s="949">
        <v>3</v>
      </c>
      <c r="F105" s="950">
        <v>800</v>
      </c>
      <c r="G105" s="951">
        <v>600</v>
      </c>
      <c r="H105" s="952">
        <v>300</v>
      </c>
    </row>
    <row r="106" spans="2:8">
      <c r="B106" s="930" t="s">
        <v>1794</v>
      </c>
      <c r="C106" s="1458">
        <v>37</v>
      </c>
      <c r="D106" s="1461" t="s">
        <v>1795</v>
      </c>
      <c r="E106" s="931">
        <v>1</v>
      </c>
      <c r="F106" s="932">
        <v>700</v>
      </c>
      <c r="G106" s="933">
        <v>500</v>
      </c>
      <c r="H106" s="934">
        <v>250</v>
      </c>
    </row>
    <row r="107" spans="2:8">
      <c r="B107" s="948" t="s">
        <v>1796</v>
      </c>
      <c r="C107" s="1459"/>
      <c r="D107" s="1462"/>
      <c r="E107" s="936">
        <v>2</v>
      </c>
      <c r="F107" s="937">
        <v>700</v>
      </c>
      <c r="G107" s="938">
        <v>500</v>
      </c>
      <c r="H107" s="939">
        <v>250</v>
      </c>
    </row>
    <row r="108" spans="2:8">
      <c r="B108" s="948" t="s">
        <v>1797</v>
      </c>
      <c r="C108" s="1460"/>
      <c r="D108" s="1463"/>
      <c r="E108" s="940">
        <v>3</v>
      </c>
      <c r="F108" s="941">
        <v>800</v>
      </c>
      <c r="G108" s="942">
        <v>600</v>
      </c>
      <c r="H108" s="943">
        <v>300</v>
      </c>
    </row>
    <row r="109" spans="2:8">
      <c r="B109" s="930" t="s">
        <v>1798</v>
      </c>
      <c r="C109" s="1458">
        <v>45</v>
      </c>
      <c r="D109" s="1461" t="s">
        <v>1799</v>
      </c>
      <c r="E109" s="944">
        <v>1</v>
      </c>
      <c r="F109" s="945">
        <v>800</v>
      </c>
      <c r="G109" s="946">
        <v>600</v>
      </c>
      <c r="H109" s="947">
        <v>300</v>
      </c>
    </row>
    <row r="110" spans="2:8">
      <c r="B110" s="948" t="s">
        <v>1800</v>
      </c>
      <c r="C110" s="1459"/>
      <c r="D110" s="1462"/>
      <c r="E110" s="936">
        <v>2</v>
      </c>
      <c r="F110" s="937">
        <v>800</v>
      </c>
      <c r="G110" s="938">
        <v>600</v>
      </c>
      <c r="H110" s="939">
        <v>300</v>
      </c>
    </row>
    <row r="111" spans="2:8">
      <c r="B111" s="953" t="s">
        <v>1801</v>
      </c>
      <c r="C111" s="1460"/>
      <c r="D111" s="1463"/>
      <c r="E111" s="940">
        <v>3</v>
      </c>
      <c r="F111" s="941">
        <v>800</v>
      </c>
      <c r="G111" s="942">
        <v>600</v>
      </c>
      <c r="H111" s="943">
        <v>300</v>
      </c>
    </row>
    <row r="113" spans="2:8">
      <c r="B113" s="954" t="s">
        <v>1802</v>
      </c>
      <c r="C113" s="928"/>
      <c r="D113" s="928"/>
      <c r="E113" s="928"/>
      <c r="F113" s="928"/>
      <c r="G113" s="928"/>
      <c r="H113" s="928"/>
    </row>
    <row r="114" spans="2:8">
      <c r="B114" s="928"/>
      <c r="C114" s="928"/>
      <c r="D114" s="928"/>
      <c r="E114" s="928"/>
      <c r="F114" s="928"/>
      <c r="G114" s="928"/>
      <c r="H114" s="928"/>
    </row>
    <row r="115" spans="2:8">
      <c r="B115" s="1468" t="s">
        <v>1667</v>
      </c>
      <c r="C115" s="1470" t="s">
        <v>1668</v>
      </c>
      <c r="D115" s="1472" t="s">
        <v>1669</v>
      </c>
      <c r="E115" s="1474" t="s">
        <v>1670</v>
      </c>
      <c r="F115" s="1465" t="s">
        <v>1671</v>
      </c>
      <c r="G115" s="1466"/>
      <c r="H115" s="1467"/>
    </row>
    <row r="116" spans="2:8">
      <c r="B116" s="1469"/>
      <c r="C116" s="1471"/>
      <c r="D116" s="1473"/>
      <c r="E116" s="1475"/>
      <c r="F116" s="929" t="s">
        <v>1672</v>
      </c>
      <c r="G116" s="929" t="s">
        <v>1673</v>
      </c>
      <c r="H116" s="929" t="s">
        <v>1674</v>
      </c>
    </row>
    <row r="117" spans="2:8">
      <c r="B117" s="930" t="s">
        <v>1803</v>
      </c>
      <c r="C117" s="1458">
        <v>0.37</v>
      </c>
      <c r="D117" s="1461" t="s">
        <v>1676</v>
      </c>
      <c r="E117" s="931">
        <v>1</v>
      </c>
      <c r="F117" s="932">
        <v>500</v>
      </c>
      <c r="G117" s="933">
        <v>400</v>
      </c>
      <c r="H117" s="934">
        <v>210</v>
      </c>
    </row>
    <row r="118" spans="2:8">
      <c r="B118" s="935" t="s">
        <v>1804</v>
      </c>
      <c r="C118" s="1459"/>
      <c r="D118" s="1462"/>
      <c r="E118" s="936">
        <v>2</v>
      </c>
      <c r="F118" s="937">
        <v>500</v>
      </c>
      <c r="G118" s="938">
        <v>400</v>
      </c>
      <c r="H118" s="939">
        <v>210</v>
      </c>
    </row>
    <row r="119" spans="2:8">
      <c r="B119" s="935" t="s">
        <v>1805</v>
      </c>
      <c r="C119" s="1459"/>
      <c r="D119" s="1462"/>
      <c r="E119" s="949">
        <v>3</v>
      </c>
      <c r="F119" s="950">
        <v>700</v>
      </c>
      <c r="G119" s="951">
        <v>500</v>
      </c>
      <c r="H119" s="952">
        <v>250</v>
      </c>
    </row>
    <row r="120" spans="2:8">
      <c r="B120" s="930" t="s">
        <v>1806</v>
      </c>
      <c r="C120" s="1458">
        <v>0.55000000000000004</v>
      </c>
      <c r="D120" s="1461" t="s">
        <v>1680</v>
      </c>
      <c r="E120" s="931">
        <v>1</v>
      </c>
      <c r="F120" s="932">
        <v>500</v>
      </c>
      <c r="G120" s="933">
        <v>400</v>
      </c>
      <c r="H120" s="934">
        <v>210</v>
      </c>
    </row>
    <row r="121" spans="2:8">
      <c r="B121" s="948" t="s">
        <v>1807</v>
      </c>
      <c r="C121" s="1459"/>
      <c r="D121" s="1462"/>
      <c r="E121" s="936">
        <v>2</v>
      </c>
      <c r="F121" s="937">
        <v>500</v>
      </c>
      <c r="G121" s="938">
        <v>400</v>
      </c>
      <c r="H121" s="939">
        <v>210</v>
      </c>
    </row>
    <row r="122" spans="2:8">
      <c r="B122" s="948" t="s">
        <v>1808</v>
      </c>
      <c r="C122" s="1459"/>
      <c r="D122" s="1462"/>
      <c r="E122" s="940">
        <v>3</v>
      </c>
      <c r="F122" s="941">
        <v>700</v>
      </c>
      <c r="G122" s="942">
        <v>500</v>
      </c>
      <c r="H122" s="943">
        <v>250</v>
      </c>
    </row>
    <row r="123" spans="2:8">
      <c r="B123" s="930" t="s">
        <v>1809</v>
      </c>
      <c r="C123" s="1458">
        <v>0.75</v>
      </c>
      <c r="D123" s="1461" t="s">
        <v>1684</v>
      </c>
      <c r="E123" s="944">
        <v>1</v>
      </c>
      <c r="F123" s="945">
        <v>500</v>
      </c>
      <c r="G123" s="946">
        <v>400</v>
      </c>
      <c r="H123" s="947">
        <v>210</v>
      </c>
    </row>
    <row r="124" spans="2:8">
      <c r="B124" s="948" t="s">
        <v>1810</v>
      </c>
      <c r="C124" s="1459"/>
      <c r="D124" s="1462"/>
      <c r="E124" s="936">
        <v>2</v>
      </c>
      <c r="F124" s="937">
        <v>500</v>
      </c>
      <c r="G124" s="951">
        <v>400</v>
      </c>
      <c r="H124" s="939">
        <v>210</v>
      </c>
    </row>
    <row r="125" spans="2:8">
      <c r="B125" s="948" t="s">
        <v>1811</v>
      </c>
      <c r="C125" s="1459"/>
      <c r="D125" s="1462"/>
      <c r="E125" s="949">
        <v>3</v>
      </c>
      <c r="F125" s="955">
        <v>700</v>
      </c>
      <c r="G125" s="942">
        <v>500</v>
      </c>
      <c r="H125" s="956">
        <v>250</v>
      </c>
    </row>
    <row r="126" spans="2:8">
      <c r="B126" s="930" t="s">
        <v>1812</v>
      </c>
      <c r="C126" s="1458">
        <v>1.5</v>
      </c>
      <c r="D126" s="1461" t="s">
        <v>1688</v>
      </c>
      <c r="E126" s="931">
        <v>1</v>
      </c>
      <c r="F126" s="932">
        <v>500</v>
      </c>
      <c r="G126" s="946">
        <v>400</v>
      </c>
      <c r="H126" s="934">
        <v>210</v>
      </c>
    </row>
    <row r="127" spans="2:8">
      <c r="B127" s="948" t="s">
        <v>1813</v>
      </c>
      <c r="C127" s="1459"/>
      <c r="D127" s="1462"/>
      <c r="E127" s="936">
        <v>2</v>
      </c>
      <c r="F127" s="937">
        <v>500</v>
      </c>
      <c r="G127" s="938">
        <v>400</v>
      </c>
      <c r="H127" s="939">
        <v>210</v>
      </c>
    </row>
    <row r="128" spans="2:8">
      <c r="B128" s="948" t="s">
        <v>1814</v>
      </c>
      <c r="C128" s="1459"/>
      <c r="D128" s="1462"/>
      <c r="E128" s="940">
        <v>3</v>
      </c>
      <c r="F128" s="941">
        <v>700</v>
      </c>
      <c r="G128" s="942">
        <v>500</v>
      </c>
      <c r="H128" s="943">
        <v>250</v>
      </c>
    </row>
    <row r="129" spans="2:8">
      <c r="B129" s="930" t="s">
        <v>1815</v>
      </c>
      <c r="C129" s="1458">
        <v>2.2000000000000002</v>
      </c>
      <c r="D129" s="1461" t="s">
        <v>1692</v>
      </c>
      <c r="E129" s="944">
        <v>1</v>
      </c>
      <c r="F129" s="945">
        <v>500</v>
      </c>
      <c r="G129" s="946">
        <v>400</v>
      </c>
      <c r="H129" s="947">
        <v>210</v>
      </c>
    </row>
    <row r="130" spans="2:8">
      <c r="B130" s="948" t="s">
        <v>1816</v>
      </c>
      <c r="C130" s="1459"/>
      <c r="D130" s="1462"/>
      <c r="E130" s="936">
        <v>2</v>
      </c>
      <c r="F130" s="937">
        <v>500</v>
      </c>
      <c r="G130" s="938">
        <v>400</v>
      </c>
      <c r="H130" s="939">
        <v>210</v>
      </c>
    </row>
    <row r="131" spans="2:8">
      <c r="B131" s="948" t="s">
        <v>1817</v>
      </c>
      <c r="C131" s="1459"/>
      <c r="D131" s="1462"/>
      <c r="E131" s="949">
        <v>3</v>
      </c>
      <c r="F131" s="950">
        <v>700</v>
      </c>
      <c r="G131" s="951">
        <v>500</v>
      </c>
      <c r="H131" s="952">
        <v>250</v>
      </c>
    </row>
    <row r="132" spans="2:8">
      <c r="B132" s="930" t="s">
        <v>1818</v>
      </c>
      <c r="C132" s="1458">
        <v>3</v>
      </c>
      <c r="D132" s="1461" t="s">
        <v>1696</v>
      </c>
      <c r="E132" s="931">
        <v>1</v>
      </c>
      <c r="F132" s="932">
        <v>500</v>
      </c>
      <c r="G132" s="933">
        <v>400</v>
      </c>
      <c r="H132" s="934">
        <v>210</v>
      </c>
    </row>
    <row r="133" spans="2:8">
      <c r="B133" s="948" t="s">
        <v>1819</v>
      </c>
      <c r="C133" s="1459"/>
      <c r="D133" s="1462"/>
      <c r="E133" s="936">
        <v>2</v>
      </c>
      <c r="F133" s="937">
        <v>500</v>
      </c>
      <c r="G133" s="938">
        <v>400</v>
      </c>
      <c r="H133" s="939">
        <v>210</v>
      </c>
    </row>
    <row r="134" spans="2:8">
      <c r="B134" s="948" t="s">
        <v>1820</v>
      </c>
      <c r="C134" s="1459"/>
      <c r="D134" s="1462"/>
      <c r="E134" s="940">
        <v>3</v>
      </c>
      <c r="F134" s="941">
        <v>700</v>
      </c>
      <c r="G134" s="942">
        <v>500</v>
      </c>
      <c r="H134" s="943">
        <v>250</v>
      </c>
    </row>
    <row r="135" spans="2:8">
      <c r="B135" s="930" t="s">
        <v>1821</v>
      </c>
      <c r="C135" s="1458">
        <v>4</v>
      </c>
      <c r="D135" s="1464" t="s">
        <v>1700</v>
      </c>
      <c r="E135" s="944">
        <v>1</v>
      </c>
      <c r="F135" s="945">
        <v>500</v>
      </c>
      <c r="G135" s="946">
        <v>400</v>
      </c>
      <c r="H135" s="947">
        <v>210</v>
      </c>
    </row>
    <row r="136" spans="2:8">
      <c r="B136" s="948" t="s">
        <v>1822</v>
      </c>
      <c r="C136" s="1459"/>
      <c r="D136" s="1462"/>
      <c r="E136" s="936">
        <v>2</v>
      </c>
      <c r="F136" s="937">
        <v>500</v>
      </c>
      <c r="G136" s="938">
        <v>400</v>
      </c>
      <c r="H136" s="939">
        <v>210</v>
      </c>
    </row>
    <row r="137" spans="2:8">
      <c r="B137" s="948" t="s">
        <v>1823</v>
      </c>
      <c r="C137" s="1459"/>
      <c r="D137" s="1462"/>
      <c r="E137" s="949">
        <v>3</v>
      </c>
      <c r="F137" s="950">
        <v>700</v>
      </c>
      <c r="G137" s="951">
        <v>500</v>
      </c>
      <c r="H137" s="952">
        <v>250</v>
      </c>
    </row>
    <row r="138" spans="2:8">
      <c r="B138" s="930" t="s">
        <v>1824</v>
      </c>
      <c r="C138" s="1458">
        <v>5.5</v>
      </c>
      <c r="D138" s="1461" t="s">
        <v>1704</v>
      </c>
      <c r="E138" s="931">
        <v>1</v>
      </c>
      <c r="F138" s="932">
        <v>500</v>
      </c>
      <c r="G138" s="933">
        <v>400</v>
      </c>
      <c r="H138" s="934">
        <v>210</v>
      </c>
    </row>
    <row r="139" spans="2:8">
      <c r="B139" s="948" t="s">
        <v>1825</v>
      </c>
      <c r="C139" s="1459"/>
      <c r="D139" s="1462"/>
      <c r="E139" s="936">
        <v>2</v>
      </c>
      <c r="F139" s="937">
        <v>500</v>
      </c>
      <c r="G139" s="938">
        <v>400</v>
      </c>
      <c r="H139" s="939">
        <v>210</v>
      </c>
    </row>
    <row r="140" spans="2:8">
      <c r="B140" s="948" t="s">
        <v>1826</v>
      </c>
      <c r="C140" s="1459"/>
      <c r="D140" s="1462"/>
      <c r="E140" s="940">
        <v>3</v>
      </c>
      <c r="F140" s="941">
        <v>700</v>
      </c>
      <c r="G140" s="942">
        <v>500</v>
      </c>
      <c r="H140" s="943">
        <v>250</v>
      </c>
    </row>
    <row r="141" spans="2:8">
      <c r="B141" s="930" t="s">
        <v>1827</v>
      </c>
      <c r="C141" s="1458">
        <v>7.5</v>
      </c>
      <c r="D141" s="1461" t="s">
        <v>1708</v>
      </c>
      <c r="E141" s="944">
        <v>1</v>
      </c>
      <c r="F141" s="945">
        <v>500</v>
      </c>
      <c r="G141" s="946">
        <v>400</v>
      </c>
      <c r="H141" s="947">
        <v>210</v>
      </c>
    </row>
    <row r="142" spans="2:8">
      <c r="B142" s="948" t="s">
        <v>1828</v>
      </c>
      <c r="C142" s="1459"/>
      <c r="D142" s="1462"/>
      <c r="E142" s="936">
        <v>2</v>
      </c>
      <c r="F142" s="937">
        <v>500</v>
      </c>
      <c r="G142" s="938">
        <v>400</v>
      </c>
      <c r="H142" s="939">
        <v>210</v>
      </c>
    </row>
    <row r="143" spans="2:8">
      <c r="B143" s="948" t="s">
        <v>1829</v>
      </c>
      <c r="C143" s="1459"/>
      <c r="D143" s="1462"/>
      <c r="E143" s="949">
        <v>3</v>
      </c>
      <c r="F143" s="950">
        <v>700</v>
      </c>
      <c r="G143" s="951">
        <v>500</v>
      </c>
      <c r="H143" s="952">
        <v>250</v>
      </c>
    </row>
    <row r="144" spans="2:8">
      <c r="B144" s="930" t="s">
        <v>1830</v>
      </c>
      <c r="C144" s="1458">
        <v>9.1999999999999993</v>
      </c>
      <c r="D144" s="1461" t="s">
        <v>1712</v>
      </c>
      <c r="E144" s="931">
        <v>1</v>
      </c>
      <c r="F144" s="932">
        <v>500</v>
      </c>
      <c r="G144" s="933">
        <v>400</v>
      </c>
      <c r="H144" s="934">
        <v>210</v>
      </c>
    </row>
    <row r="145" spans="2:8">
      <c r="B145" s="948" t="s">
        <v>1831</v>
      </c>
      <c r="C145" s="1459"/>
      <c r="D145" s="1462"/>
      <c r="E145" s="936">
        <v>2</v>
      </c>
      <c r="F145" s="937">
        <v>500</v>
      </c>
      <c r="G145" s="938">
        <v>400</v>
      </c>
      <c r="H145" s="939">
        <v>210</v>
      </c>
    </row>
    <row r="146" spans="2:8">
      <c r="B146" s="948" t="s">
        <v>1832</v>
      </c>
      <c r="C146" s="1459"/>
      <c r="D146" s="1462"/>
      <c r="E146" s="940">
        <v>3</v>
      </c>
      <c r="F146" s="941">
        <v>800</v>
      </c>
      <c r="G146" s="942">
        <v>600</v>
      </c>
      <c r="H146" s="943">
        <v>300</v>
      </c>
    </row>
    <row r="147" spans="2:8">
      <c r="B147" s="930" t="s">
        <v>1833</v>
      </c>
      <c r="C147" s="1458">
        <v>11</v>
      </c>
      <c r="D147" s="1461" t="s">
        <v>1716</v>
      </c>
      <c r="E147" s="944">
        <v>1</v>
      </c>
      <c r="F147" s="945">
        <v>500</v>
      </c>
      <c r="G147" s="946">
        <v>400</v>
      </c>
      <c r="H147" s="947">
        <v>210</v>
      </c>
    </row>
    <row r="148" spans="2:8">
      <c r="B148" s="948" t="s">
        <v>1834</v>
      </c>
      <c r="C148" s="1459"/>
      <c r="D148" s="1462"/>
      <c r="E148" s="936">
        <v>2</v>
      </c>
      <c r="F148" s="937">
        <v>700</v>
      </c>
      <c r="G148" s="938">
        <v>500</v>
      </c>
      <c r="H148" s="939">
        <v>250</v>
      </c>
    </row>
    <row r="149" spans="2:8">
      <c r="B149" s="948" t="s">
        <v>1835</v>
      </c>
      <c r="C149" s="1459"/>
      <c r="D149" s="1462"/>
      <c r="E149" s="949">
        <v>3</v>
      </c>
      <c r="F149" s="950">
        <v>800</v>
      </c>
      <c r="G149" s="951">
        <v>600</v>
      </c>
      <c r="H149" s="952">
        <v>300</v>
      </c>
    </row>
    <row r="150" spans="2:8">
      <c r="B150" s="930" t="s">
        <v>1836</v>
      </c>
      <c r="C150" s="1458">
        <v>15</v>
      </c>
      <c r="D150" s="1461" t="s">
        <v>1720</v>
      </c>
      <c r="E150" s="931">
        <v>1</v>
      </c>
      <c r="F150" s="932">
        <v>500</v>
      </c>
      <c r="G150" s="933">
        <v>400</v>
      </c>
      <c r="H150" s="934">
        <v>210</v>
      </c>
    </row>
    <row r="151" spans="2:8">
      <c r="B151" s="948" t="s">
        <v>1837</v>
      </c>
      <c r="C151" s="1459"/>
      <c r="D151" s="1462"/>
      <c r="E151" s="936">
        <v>2</v>
      </c>
      <c r="F151" s="937">
        <v>700</v>
      </c>
      <c r="G151" s="938">
        <v>500</v>
      </c>
      <c r="H151" s="939">
        <v>250</v>
      </c>
    </row>
    <row r="152" spans="2:8">
      <c r="B152" s="948" t="s">
        <v>1838</v>
      </c>
      <c r="C152" s="1459"/>
      <c r="D152" s="1462"/>
      <c r="E152" s="940">
        <v>3</v>
      </c>
      <c r="F152" s="941">
        <v>800</v>
      </c>
      <c r="G152" s="942">
        <v>600</v>
      </c>
      <c r="H152" s="943">
        <v>300</v>
      </c>
    </row>
    <row r="153" spans="2:8">
      <c r="B153" s="930" t="s">
        <v>1839</v>
      </c>
      <c r="C153" s="1458">
        <v>18.5</v>
      </c>
      <c r="D153" s="1461" t="s">
        <v>1724</v>
      </c>
      <c r="E153" s="944">
        <v>1</v>
      </c>
      <c r="F153" s="945">
        <v>500</v>
      </c>
      <c r="G153" s="946">
        <v>400</v>
      </c>
      <c r="H153" s="947">
        <v>210</v>
      </c>
    </row>
    <row r="154" spans="2:8">
      <c r="B154" s="948" t="s">
        <v>1840</v>
      </c>
      <c r="C154" s="1459"/>
      <c r="D154" s="1462"/>
      <c r="E154" s="936">
        <v>2</v>
      </c>
      <c r="F154" s="937">
        <v>700</v>
      </c>
      <c r="G154" s="938">
        <v>500</v>
      </c>
      <c r="H154" s="939">
        <v>250</v>
      </c>
    </row>
    <row r="155" spans="2:8">
      <c r="B155" s="948" t="s">
        <v>1841</v>
      </c>
      <c r="C155" s="1459"/>
      <c r="D155" s="1462"/>
      <c r="E155" s="949">
        <v>3</v>
      </c>
      <c r="F155" s="950">
        <v>800</v>
      </c>
      <c r="G155" s="951">
        <v>600</v>
      </c>
      <c r="H155" s="952">
        <v>300</v>
      </c>
    </row>
    <row r="156" spans="2:8">
      <c r="B156" s="930" t="s">
        <v>1842</v>
      </c>
      <c r="C156" s="1458">
        <v>22</v>
      </c>
      <c r="D156" s="1461" t="s">
        <v>1728</v>
      </c>
      <c r="E156" s="931">
        <v>1</v>
      </c>
      <c r="F156" s="932">
        <v>700</v>
      </c>
      <c r="G156" s="933">
        <v>500</v>
      </c>
      <c r="H156" s="934">
        <v>250</v>
      </c>
    </row>
    <row r="157" spans="2:8">
      <c r="B157" s="948" t="s">
        <v>1843</v>
      </c>
      <c r="C157" s="1459"/>
      <c r="D157" s="1462"/>
      <c r="E157" s="936">
        <v>2</v>
      </c>
      <c r="F157" s="937">
        <v>700</v>
      </c>
      <c r="G157" s="938">
        <v>500</v>
      </c>
      <c r="H157" s="939">
        <v>250</v>
      </c>
    </row>
    <row r="158" spans="2:8">
      <c r="B158" s="948" t="s">
        <v>1844</v>
      </c>
      <c r="C158" s="1460"/>
      <c r="D158" s="1463"/>
      <c r="E158" s="940">
        <v>3</v>
      </c>
      <c r="F158" s="941">
        <v>800</v>
      </c>
      <c r="G158" s="942">
        <v>600</v>
      </c>
      <c r="H158" s="943">
        <v>300</v>
      </c>
    </row>
    <row r="159" spans="2:8">
      <c r="B159" s="930" t="s">
        <v>1845</v>
      </c>
      <c r="C159" s="1458">
        <v>30</v>
      </c>
      <c r="D159" s="1461" t="s">
        <v>1732</v>
      </c>
      <c r="E159" s="944">
        <v>1</v>
      </c>
      <c r="F159" s="945">
        <v>700</v>
      </c>
      <c r="G159" s="946">
        <v>500</v>
      </c>
      <c r="H159" s="947">
        <v>250</v>
      </c>
    </row>
    <row r="160" spans="2:8">
      <c r="B160" s="948" t="s">
        <v>1846</v>
      </c>
      <c r="C160" s="1459"/>
      <c r="D160" s="1462"/>
      <c r="E160" s="936">
        <v>2</v>
      </c>
      <c r="F160" s="937">
        <v>700</v>
      </c>
      <c r="G160" s="938">
        <v>500</v>
      </c>
      <c r="H160" s="939">
        <v>250</v>
      </c>
    </row>
    <row r="161" spans="2:8">
      <c r="B161" s="948" t="s">
        <v>1847</v>
      </c>
      <c r="C161" s="1460"/>
      <c r="D161" s="1463"/>
      <c r="E161" s="949">
        <v>3</v>
      </c>
      <c r="F161" s="950">
        <v>800</v>
      </c>
      <c r="G161" s="951">
        <v>600</v>
      </c>
      <c r="H161" s="952">
        <v>300</v>
      </c>
    </row>
    <row r="162" spans="2:8">
      <c r="B162" s="930" t="s">
        <v>1848</v>
      </c>
      <c r="C162" s="1458">
        <v>37</v>
      </c>
      <c r="D162" s="1461" t="s">
        <v>1736</v>
      </c>
      <c r="E162" s="931">
        <v>1</v>
      </c>
      <c r="F162" s="932">
        <v>700</v>
      </c>
      <c r="G162" s="933">
        <v>500</v>
      </c>
      <c r="H162" s="934">
        <v>250</v>
      </c>
    </row>
    <row r="163" spans="2:8">
      <c r="B163" s="948" t="s">
        <v>1849</v>
      </c>
      <c r="C163" s="1459"/>
      <c r="D163" s="1462"/>
      <c r="E163" s="936">
        <v>2</v>
      </c>
      <c r="F163" s="937">
        <v>700</v>
      </c>
      <c r="G163" s="938">
        <v>500</v>
      </c>
      <c r="H163" s="939">
        <v>250</v>
      </c>
    </row>
    <row r="164" spans="2:8">
      <c r="B164" s="948" t="s">
        <v>1850</v>
      </c>
      <c r="C164" s="1460"/>
      <c r="D164" s="1463"/>
      <c r="E164" s="940">
        <v>3</v>
      </c>
      <c r="F164" s="941">
        <v>800</v>
      </c>
      <c r="G164" s="942">
        <v>600</v>
      </c>
      <c r="H164" s="943">
        <v>300</v>
      </c>
    </row>
    <row r="165" spans="2:8">
      <c r="B165" s="930" t="s">
        <v>1851</v>
      </c>
      <c r="C165" s="1458">
        <v>45</v>
      </c>
      <c r="D165" s="1461" t="s">
        <v>1740</v>
      </c>
      <c r="E165" s="944">
        <v>1</v>
      </c>
      <c r="F165" s="945">
        <v>800</v>
      </c>
      <c r="G165" s="946">
        <v>600</v>
      </c>
      <c r="H165" s="947">
        <v>300</v>
      </c>
    </row>
    <row r="166" spans="2:8">
      <c r="B166" s="948" t="s">
        <v>1852</v>
      </c>
      <c r="C166" s="1459"/>
      <c r="D166" s="1462"/>
      <c r="E166" s="936">
        <v>2</v>
      </c>
      <c r="F166" s="937">
        <v>800</v>
      </c>
      <c r="G166" s="938">
        <v>600</v>
      </c>
      <c r="H166" s="939">
        <v>300</v>
      </c>
    </row>
    <row r="167" spans="2:8">
      <c r="B167" s="953" t="s">
        <v>1853</v>
      </c>
      <c r="C167" s="1460"/>
      <c r="D167" s="1463"/>
      <c r="E167" s="940">
        <v>3</v>
      </c>
      <c r="F167" s="941">
        <v>800</v>
      </c>
      <c r="G167" s="942">
        <v>600</v>
      </c>
      <c r="H167" s="943">
        <v>300</v>
      </c>
    </row>
    <row r="168" spans="2:8">
      <c r="B168" s="928"/>
      <c r="C168" s="928"/>
      <c r="D168" s="928"/>
      <c r="E168" s="928"/>
      <c r="F168" s="928"/>
      <c r="G168" s="928"/>
      <c r="H168" s="928"/>
    </row>
    <row r="169" spans="2:8">
      <c r="B169" s="954" t="s">
        <v>1854</v>
      </c>
      <c r="C169" s="928"/>
      <c r="D169" s="928"/>
      <c r="E169" s="928"/>
      <c r="F169" s="928"/>
      <c r="G169" s="928"/>
      <c r="H169" s="928"/>
    </row>
    <row r="170" spans="2:8">
      <c r="B170" s="928"/>
      <c r="C170" s="928"/>
      <c r="D170" s="928"/>
      <c r="E170" s="928"/>
      <c r="F170" s="928"/>
      <c r="G170" s="928"/>
      <c r="H170" s="928"/>
    </row>
    <row r="171" spans="2:8">
      <c r="B171" s="1468" t="s">
        <v>1667</v>
      </c>
      <c r="C171" s="1470" t="s">
        <v>1668</v>
      </c>
      <c r="D171" s="1472" t="s">
        <v>1669</v>
      </c>
      <c r="E171" s="1474" t="s">
        <v>1670</v>
      </c>
      <c r="F171" s="1465" t="s">
        <v>1744</v>
      </c>
      <c r="G171" s="1466"/>
      <c r="H171" s="1467"/>
    </row>
    <row r="172" spans="2:8">
      <c r="B172" s="1469"/>
      <c r="C172" s="1471"/>
      <c r="D172" s="1473"/>
      <c r="E172" s="1475"/>
      <c r="F172" s="929" t="s">
        <v>1672</v>
      </c>
      <c r="G172" s="929" t="s">
        <v>1673</v>
      </c>
      <c r="H172" s="929" t="s">
        <v>1674</v>
      </c>
    </row>
    <row r="173" spans="2:8">
      <c r="B173" s="930" t="s">
        <v>1855</v>
      </c>
      <c r="C173" s="1458">
        <v>0.37</v>
      </c>
      <c r="D173" s="1461" t="s">
        <v>1676</v>
      </c>
      <c r="E173" s="931">
        <v>1</v>
      </c>
      <c r="F173" s="932">
        <v>500</v>
      </c>
      <c r="G173" s="933">
        <v>400</v>
      </c>
      <c r="H173" s="934">
        <v>210</v>
      </c>
    </row>
    <row r="174" spans="2:8">
      <c r="B174" s="935" t="s">
        <v>1856</v>
      </c>
      <c r="C174" s="1459"/>
      <c r="D174" s="1462"/>
      <c r="E174" s="936">
        <v>2</v>
      </c>
      <c r="F174" s="937">
        <v>500</v>
      </c>
      <c r="G174" s="938">
        <v>400</v>
      </c>
      <c r="H174" s="939">
        <v>210</v>
      </c>
    </row>
    <row r="175" spans="2:8">
      <c r="B175" s="935" t="s">
        <v>1857</v>
      </c>
      <c r="C175" s="1459"/>
      <c r="D175" s="1462"/>
      <c r="E175" s="949">
        <v>3</v>
      </c>
      <c r="F175" s="950">
        <v>700</v>
      </c>
      <c r="G175" s="951">
        <v>500</v>
      </c>
      <c r="H175" s="952">
        <v>250</v>
      </c>
    </row>
    <row r="176" spans="2:8">
      <c r="B176" s="930" t="s">
        <v>1858</v>
      </c>
      <c r="C176" s="1458">
        <v>0.55000000000000004</v>
      </c>
      <c r="D176" s="1461" t="s">
        <v>1680</v>
      </c>
      <c r="E176" s="931">
        <v>1</v>
      </c>
      <c r="F176" s="932">
        <v>500</v>
      </c>
      <c r="G176" s="933">
        <v>400</v>
      </c>
      <c r="H176" s="934">
        <v>210</v>
      </c>
    </row>
    <row r="177" spans="2:8">
      <c r="B177" s="948" t="s">
        <v>1859</v>
      </c>
      <c r="C177" s="1459"/>
      <c r="D177" s="1462"/>
      <c r="E177" s="936">
        <v>2</v>
      </c>
      <c r="F177" s="937">
        <v>500</v>
      </c>
      <c r="G177" s="938">
        <v>400</v>
      </c>
      <c r="H177" s="939">
        <v>210</v>
      </c>
    </row>
    <row r="178" spans="2:8">
      <c r="B178" s="948" t="s">
        <v>1860</v>
      </c>
      <c r="C178" s="1459"/>
      <c r="D178" s="1462"/>
      <c r="E178" s="940">
        <v>3</v>
      </c>
      <c r="F178" s="941">
        <v>700</v>
      </c>
      <c r="G178" s="942">
        <v>500</v>
      </c>
      <c r="H178" s="943">
        <v>250</v>
      </c>
    </row>
    <row r="179" spans="2:8">
      <c r="B179" s="930" t="s">
        <v>1861</v>
      </c>
      <c r="C179" s="1458">
        <v>0.75</v>
      </c>
      <c r="D179" s="1461" t="s">
        <v>1684</v>
      </c>
      <c r="E179" s="944">
        <v>1</v>
      </c>
      <c r="F179" s="945">
        <v>500</v>
      </c>
      <c r="G179" s="946">
        <v>400</v>
      </c>
      <c r="H179" s="947">
        <v>210</v>
      </c>
    </row>
    <row r="180" spans="2:8">
      <c r="B180" s="948" t="s">
        <v>1862</v>
      </c>
      <c r="C180" s="1459"/>
      <c r="D180" s="1462"/>
      <c r="E180" s="936">
        <v>2</v>
      </c>
      <c r="F180" s="937">
        <v>500</v>
      </c>
      <c r="G180" s="938">
        <v>400</v>
      </c>
      <c r="H180" s="939">
        <v>210</v>
      </c>
    </row>
    <row r="181" spans="2:8">
      <c r="B181" s="948" t="s">
        <v>1863</v>
      </c>
      <c r="C181" s="1459"/>
      <c r="D181" s="1462"/>
      <c r="E181" s="949">
        <v>3</v>
      </c>
      <c r="F181" s="950">
        <v>700</v>
      </c>
      <c r="G181" s="951">
        <v>500</v>
      </c>
      <c r="H181" s="952">
        <v>250</v>
      </c>
    </row>
    <row r="182" spans="2:8">
      <c r="B182" s="930" t="s">
        <v>1864</v>
      </c>
      <c r="C182" s="1458">
        <v>1.5</v>
      </c>
      <c r="D182" s="1461" t="s">
        <v>1688</v>
      </c>
      <c r="E182" s="931">
        <v>1</v>
      </c>
      <c r="F182" s="932">
        <v>500</v>
      </c>
      <c r="G182" s="933">
        <v>400</v>
      </c>
      <c r="H182" s="934">
        <v>210</v>
      </c>
    </row>
    <row r="183" spans="2:8">
      <c r="B183" s="948" t="s">
        <v>1865</v>
      </c>
      <c r="C183" s="1459"/>
      <c r="D183" s="1462"/>
      <c r="E183" s="936">
        <v>2</v>
      </c>
      <c r="F183" s="937">
        <v>500</v>
      </c>
      <c r="G183" s="938">
        <v>400</v>
      </c>
      <c r="H183" s="939">
        <v>210</v>
      </c>
    </row>
    <row r="184" spans="2:8">
      <c r="B184" s="948" t="s">
        <v>1866</v>
      </c>
      <c r="C184" s="1459"/>
      <c r="D184" s="1462"/>
      <c r="E184" s="940">
        <v>3</v>
      </c>
      <c r="F184" s="941">
        <v>700</v>
      </c>
      <c r="G184" s="942">
        <v>500</v>
      </c>
      <c r="H184" s="943">
        <v>250</v>
      </c>
    </row>
    <row r="185" spans="2:8">
      <c r="B185" s="930" t="s">
        <v>1867</v>
      </c>
      <c r="C185" s="1458">
        <v>2.2000000000000002</v>
      </c>
      <c r="D185" s="1461" t="s">
        <v>1692</v>
      </c>
      <c r="E185" s="944">
        <v>1</v>
      </c>
      <c r="F185" s="945">
        <v>500</v>
      </c>
      <c r="G185" s="946">
        <v>400</v>
      </c>
      <c r="H185" s="947">
        <v>210</v>
      </c>
    </row>
    <row r="186" spans="2:8">
      <c r="B186" s="948" t="s">
        <v>1868</v>
      </c>
      <c r="C186" s="1459"/>
      <c r="D186" s="1462"/>
      <c r="E186" s="936">
        <v>2</v>
      </c>
      <c r="F186" s="937">
        <v>500</v>
      </c>
      <c r="G186" s="938">
        <v>400</v>
      </c>
      <c r="H186" s="939">
        <v>210</v>
      </c>
    </row>
    <row r="187" spans="2:8">
      <c r="B187" s="948" t="s">
        <v>1869</v>
      </c>
      <c r="C187" s="1459"/>
      <c r="D187" s="1462"/>
      <c r="E187" s="949">
        <v>3</v>
      </c>
      <c r="F187" s="950">
        <v>700</v>
      </c>
      <c r="G187" s="951">
        <v>500</v>
      </c>
      <c r="H187" s="952">
        <v>250</v>
      </c>
    </row>
    <row r="188" spans="2:8">
      <c r="B188" s="930" t="s">
        <v>1870</v>
      </c>
      <c r="C188" s="1458">
        <v>3</v>
      </c>
      <c r="D188" s="1461" t="s">
        <v>1696</v>
      </c>
      <c r="E188" s="931">
        <v>1</v>
      </c>
      <c r="F188" s="932">
        <v>500</v>
      </c>
      <c r="G188" s="933">
        <v>400</v>
      </c>
      <c r="H188" s="934">
        <v>210</v>
      </c>
    </row>
    <row r="189" spans="2:8">
      <c r="B189" s="948" t="s">
        <v>1871</v>
      </c>
      <c r="C189" s="1459"/>
      <c r="D189" s="1462"/>
      <c r="E189" s="936">
        <v>2</v>
      </c>
      <c r="F189" s="937">
        <v>500</v>
      </c>
      <c r="G189" s="938">
        <v>400</v>
      </c>
      <c r="H189" s="939">
        <v>210</v>
      </c>
    </row>
    <row r="190" spans="2:8">
      <c r="B190" s="948" t="s">
        <v>1872</v>
      </c>
      <c r="C190" s="1459"/>
      <c r="D190" s="1462"/>
      <c r="E190" s="940">
        <v>3</v>
      </c>
      <c r="F190" s="941">
        <v>700</v>
      </c>
      <c r="G190" s="942">
        <v>500</v>
      </c>
      <c r="H190" s="943">
        <v>250</v>
      </c>
    </row>
    <row r="191" spans="2:8">
      <c r="B191" s="930" t="s">
        <v>1873</v>
      </c>
      <c r="C191" s="1458">
        <v>4</v>
      </c>
      <c r="D191" s="1464" t="s">
        <v>1700</v>
      </c>
      <c r="E191" s="944">
        <v>1</v>
      </c>
      <c r="F191" s="945">
        <v>500</v>
      </c>
      <c r="G191" s="946">
        <v>400</v>
      </c>
      <c r="H191" s="947">
        <v>210</v>
      </c>
    </row>
    <row r="192" spans="2:8">
      <c r="B192" s="948" t="s">
        <v>1874</v>
      </c>
      <c r="C192" s="1459"/>
      <c r="D192" s="1462"/>
      <c r="E192" s="936">
        <v>2</v>
      </c>
      <c r="F192" s="937">
        <v>500</v>
      </c>
      <c r="G192" s="938">
        <v>400</v>
      </c>
      <c r="H192" s="939">
        <v>210</v>
      </c>
    </row>
    <row r="193" spans="2:8">
      <c r="B193" s="948" t="s">
        <v>1875</v>
      </c>
      <c r="C193" s="1459"/>
      <c r="D193" s="1462"/>
      <c r="E193" s="949">
        <v>3</v>
      </c>
      <c r="F193" s="950">
        <v>700</v>
      </c>
      <c r="G193" s="951">
        <v>500</v>
      </c>
      <c r="H193" s="952">
        <v>250</v>
      </c>
    </row>
    <row r="194" spans="2:8">
      <c r="B194" s="930" t="s">
        <v>1876</v>
      </c>
      <c r="C194" s="1458">
        <v>5.5</v>
      </c>
      <c r="D194" s="1461" t="s">
        <v>1704</v>
      </c>
      <c r="E194" s="931">
        <v>1</v>
      </c>
      <c r="F194" s="932">
        <v>500</v>
      </c>
      <c r="G194" s="933">
        <v>400</v>
      </c>
      <c r="H194" s="934">
        <v>210</v>
      </c>
    </row>
    <row r="195" spans="2:8">
      <c r="B195" s="948" t="s">
        <v>1877</v>
      </c>
      <c r="C195" s="1459"/>
      <c r="D195" s="1462"/>
      <c r="E195" s="936">
        <v>2</v>
      </c>
      <c r="F195" s="937">
        <v>500</v>
      </c>
      <c r="G195" s="938">
        <v>400</v>
      </c>
      <c r="H195" s="939">
        <v>210</v>
      </c>
    </row>
    <row r="196" spans="2:8">
      <c r="B196" s="948" t="s">
        <v>1878</v>
      </c>
      <c r="C196" s="1459"/>
      <c r="D196" s="1462"/>
      <c r="E196" s="940">
        <v>3</v>
      </c>
      <c r="F196" s="941">
        <v>700</v>
      </c>
      <c r="G196" s="942">
        <v>500</v>
      </c>
      <c r="H196" s="943">
        <v>250</v>
      </c>
    </row>
    <row r="197" spans="2:8">
      <c r="B197" s="930" t="s">
        <v>1879</v>
      </c>
      <c r="C197" s="1458">
        <v>7.5</v>
      </c>
      <c r="D197" s="1461" t="s">
        <v>1708</v>
      </c>
      <c r="E197" s="944">
        <v>1</v>
      </c>
      <c r="F197" s="945">
        <v>500</v>
      </c>
      <c r="G197" s="946">
        <v>400</v>
      </c>
      <c r="H197" s="947">
        <v>210</v>
      </c>
    </row>
    <row r="198" spans="2:8">
      <c r="B198" s="948" t="s">
        <v>1880</v>
      </c>
      <c r="C198" s="1459"/>
      <c r="D198" s="1462"/>
      <c r="E198" s="936">
        <v>2</v>
      </c>
      <c r="F198" s="937">
        <v>500</v>
      </c>
      <c r="G198" s="938">
        <v>400</v>
      </c>
      <c r="H198" s="939">
        <v>210</v>
      </c>
    </row>
    <row r="199" spans="2:8">
      <c r="B199" s="948" t="s">
        <v>1881</v>
      </c>
      <c r="C199" s="1459"/>
      <c r="D199" s="1462"/>
      <c r="E199" s="949">
        <v>3</v>
      </c>
      <c r="F199" s="950">
        <v>700</v>
      </c>
      <c r="G199" s="951">
        <v>500</v>
      </c>
      <c r="H199" s="952">
        <v>250</v>
      </c>
    </row>
    <row r="200" spans="2:8">
      <c r="B200" s="930" t="s">
        <v>1882</v>
      </c>
      <c r="C200" s="1458">
        <v>9.1999999999999993</v>
      </c>
      <c r="D200" s="1461" t="s">
        <v>1712</v>
      </c>
      <c r="E200" s="931">
        <v>1</v>
      </c>
      <c r="F200" s="932">
        <v>500</v>
      </c>
      <c r="G200" s="933">
        <v>400</v>
      </c>
      <c r="H200" s="934">
        <v>210</v>
      </c>
    </row>
    <row r="201" spans="2:8">
      <c r="B201" s="948" t="s">
        <v>1883</v>
      </c>
      <c r="C201" s="1459"/>
      <c r="D201" s="1462"/>
      <c r="E201" s="936">
        <v>2</v>
      </c>
      <c r="F201" s="937">
        <v>500</v>
      </c>
      <c r="G201" s="938">
        <v>400</v>
      </c>
      <c r="H201" s="939">
        <v>210</v>
      </c>
    </row>
    <row r="202" spans="2:8">
      <c r="B202" s="948" t="s">
        <v>1884</v>
      </c>
      <c r="C202" s="1459"/>
      <c r="D202" s="1462"/>
      <c r="E202" s="940">
        <v>3</v>
      </c>
      <c r="F202" s="941">
        <v>800</v>
      </c>
      <c r="G202" s="942">
        <v>600</v>
      </c>
      <c r="H202" s="943">
        <v>300</v>
      </c>
    </row>
    <row r="203" spans="2:8">
      <c r="B203" s="930" t="s">
        <v>1885</v>
      </c>
      <c r="C203" s="1458">
        <v>11</v>
      </c>
      <c r="D203" s="1461" t="s">
        <v>1716</v>
      </c>
      <c r="E203" s="944">
        <v>1</v>
      </c>
      <c r="F203" s="945">
        <v>500</v>
      </c>
      <c r="G203" s="946">
        <v>400</v>
      </c>
      <c r="H203" s="947">
        <v>210</v>
      </c>
    </row>
    <row r="204" spans="2:8">
      <c r="B204" s="948" t="s">
        <v>1886</v>
      </c>
      <c r="C204" s="1459"/>
      <c r="D204" s="1462"/>
      <c r="E204" s="936">
        <v>2</v>
      </c>
      <c r="F204" s="937">
        <v>700</v>
      </c>
      <c r="G204" s="938">
        <v>500</v>
      </c>
      <c r="H204" s="939">
        <v>250</v>
      </c>
    </row>
    <row r="205" spans="2:8">
      <c r="B205" s="948" t="s">
        <v>1887</v>
      </c>
      <c r="C205" s="1459"/>
      <c r="D205" s="1462"/>
      <c r="E205" s="949">
        <v>3</v>
      </c>
      <c r="F205" s="950">
        <v>800</v>
      </c>
      <c r="G205" s="951">
        <v>600</v>
      </c>
      <c r="H205" s="952">
        <v>300</v>
      </c>
    </row>
    <row r="206" spans="2:8">
      <c r="B206" s="930" t="s">
        <v>1888</v>
      </c>
      <c r="C206" s="1458">
        <v>15</v>
      </c>
      <c r="D206" s="1461" t="s">
        <v>1720</v>
      </c>
      <c r="E206" s="931">
        <v>1</v>
      </c>
      <c r="F206" s="932">
        <v>500</v>
      </c>
      <c r="G206" s="933">
        <v>400</v>
      </c>
      <c r="H206" s="934">
        <v>210</v>
      </c>
    </row>
    <row r="207" spans="2:8">
      <c r="B207" s="948" t="s">
        <v>1889</v>
      </c>
      <c r="C207" s="1459"/>
      <c r="D207" s="1462"/>
      <c r="E207" s="936">
        <v>2</v>
      </c>
      <c r="F207" s="937">
        <v>700</v>
      </c>
      <c r="G207" s="938">
        <v>500</v>
      </c>
      <c r="H207" s="939">
        <v>250</v>
      </c>
    </row>
    <row r="208" spans="2:8">
      <c r="B208" s="948" t="s">
        <v>1890</v>
      </c>
      <c r="C208" s="1459"/>
      <c r="D208" s="1462"/>
      <c r="E208" s="940">
        <v>3</v>
      </c>
      <c r="F208" s="941">
        <v>800</v>
      </c>
      <c r="G208" s="942">
        <v>600</v>
      </c>
      <c r="H208" s="943">
        <v>300</v>
      </c>
    </row>
    <row r="209" spans="2:8">
      <c r="B209" s="930" t="s">
        <v>1891</v>
      </c>
      <c r="C209" s="1458">
        <v>18.5</v>
      </c>
      <c r="D209" s="1461" t="s">
        <v>1724</v>
      </c>
      <c r="E209" s="944">
        <v>1</v>
      </c>
      <c r="F209" s="945">
        <v>500</v>
      </c>
      <c r="G209" s="946">
        <v>400</v>
      </c>
      <c r="H209" s="947">
        <v>210</v>
      </c>
    </row>
    <row r="210" spans="2:8">
      <c r="B210" s="948" t="s">
        <v>1892</v>
      </c>
      <c r="C210" s="1459"/>
      <c r="D210" s="1462"/>
      <c r="E210" s="936">
        <v>2</v>
      </c>
      <c r="F210" s="937">
        <v>700</v>
      </c>
      <c r="G210" s="938">
        <v>500</v>
      </c>
      <c r="H210" s="939">
        <v>250</v>
      </c>
    </row>
    <row r="211" spans="2:8">
      <c r="B211" s="948" t="s">
        <v>1893</v>
      </c>
      <c r="C211" s="1459"/>
      <c r="D211" s="1462"/>
      <c r="E211" s="949">
        <v>3</v>
      </c>
      <c r="F211" s="950">
        <v>800</v>
      </c>
      <c r="G211" s="951">
        <v>600</v>
      </c>
      <c r="H211" s="952">
        <v>300</v>
      </c>
    </row>
    <row r="212" spans="2:8">
      <c r="B212" s="930" t="s">
        <v>1894</v>
      </c>
      <c r="C212" s="1458">
        <v>22</v>
      </c>
      <c r="D212" s="1461" t="s">
        <v>1728</v>
      </c>
      <c r="E212" s="931">
        <v>1</v>
      </c>
      <c r="F212" s="932">
        <v>700</v>
      </c>
      <c r="G212" s="933">
        <v>500</v>
      </c>
      <c r="H212" s="934">
        <v>250</v>
      </c>
    </row>
    <row r="213" spans="2:8">
      <c r="B213" s="948" t="s">
        <v>1895</v>
      </c>
      <c r="C213" s="1459"/>
      <c r="D213" s="1462"/>
      <c r="E213" s="936">
        <v>2</v>
      </c>
      <c r="F213" s="937">
        <v>700</v>
      </c>
      <c r="G213" s="938">
        <v>500</v>
      </c>
      <c r="H213" s="939">
        <v>250</v>
      </c>
    </row>
    <row r="214" spans="2:8">
      <c r="B214" s="948" t="s">
        <v>1896</v>
      </c>
      <c r="C214" s="1460"/>
      <c r="D214" s="1463"/>
      <c r="E214" s="940">
        <v>3</v>
      </c>
      <c r="F214" s="941">
        <v>800</v>
      </c>
      <c r="G214" s="942">
        <v>600</v>
      </c>
      <c r="H214" s="943">
        <v>300</v>
      </c>
    </row>
    <row r="215" spans="2:8">
      <c r="B215" s="930" t="s">
        <v>1897</v>
      </c>
      <c r="C215" s="1458">
        <v>30</v>
      </c>
      <c r="D215" s="1461" t="s">
        <v>1732</v>
      </c>
      <c r="E215" s="944">
        <v>1</v>
      </c>
      <c r="F215" s="945">
        <v>700</v>
      </c>
      <c r="G215" s="946">
        <v>500</v>
      </c>
      <c r="H215" s="947">
        <v>250</v>
      </c>
    </row>
    <row r="216" spans="2:8">
      <c r="B216" s="948" t="s">
        <v>1898</v>
      </c>
      <c r="C216" s="1459"/>
      <c r="D216" s="1462"/>
      <c r="E216" s="936">
        <v>2</v>
      </c>
      <c r="F216" s="937">
        <v>700</v>
      </c>
      <c r="G216" s="938">
        <v>500</v>
      </c>
      <c r="H216" s="939">
        <v>250</v>
      </c>
    </row>
    <row r="217" spans="2:8">
      <c r="B217" s="948" t="s">
        <v>1899</v>
      </c>
      <c r="C217" s="1460"/>
      <c r="D217" s="1463"/>
      <c r="E217" s="949">
        <v>3</v>
      </c>
      <c r="F217" s="950">
        <v>800</v>
      </c>
      <c r="G217" s="951">
        <v>600</v>
      </c>
      <c r="H217" s="952">
        <v>300</v>
      </c>
    </row>
    <row r="218" spans="2:8">
      <c r="B218" s="930" t="s">
        <v>1900</v>
      </c>
      <c r="C218" s="1458">
        <v>37</v>
      </c>
      <c r="D218" s="1461" t="s">
        <v>1736</v>
      </c>
      <c r="E218" s="931">
        <v>1</v>
      </c>
      <c r="F218" s="932">
        <v>700</v>
      </c>
      <c r="G218" s="933">
        <v>500</v>
      </c>
      <c r="H218" s="934">
        <v>250</v>
      </c>
    </row>
    <row r="219" spans="2:8">
      <c r="B219" s="948" t="s">
        <v>1901</v>
      </c>
      <c r="C219" s="1459"/>
      <c r="D219" s="1462"/>
      <c r="E219" s="936">
        <v>2</v>
      </c>
      <c r="F219" s="937">
        <v>700</v>
      </c>
      <c r="G219" s="938">
        <v>500</v>
      </c>
      <c r="H219" s="939">
        <v>250</v>
      </c>
    </row>
    <row r="220" spans="2:8">
      <c r="B220" s="948" t="s">
        <v>1902</v>
      </c>
      <c r="C220" s="1460"/>
      <c r="D220" s="1463"/>
      <c r="E220" s="940">
        <v>3</v>
      </c>
      <c r="F220" s="941">
        <v>800</v>
      </c>
      <c r="G220" s="942">
        <v>600</v>
      </c>
      <c r="H220" s="943">
        <v>300</v>
      </c>
    </row>
    <row r="221" spans="2:8">
      <c r="B221" s="930" t="s">
        <v>1903</v>
      </c>
      <c r="C221" s="1458">
        <v>45</v>
      </c>
      <c r="D221" s="1461" t="s">
        <v>1740</v>
      </c>
      <c r="E221" s="944">
        <v>1</v>
      </c>
      <c r="F221" s="945">
        <v>800</v>
      </c>
      <c r="G221" s="946">
        <v>600</v>
      </c>
      <c r="H221" s="947">
        <v>300</v>
      </c>
    </row>
    <row r="222" spans="2:8">
      <c r="B222" s="948" t="s">
        <v>1904</v>
      </c>
      <c r="C222" s="1459"/>
      <c r="D222" s="1462"/>
      <c r="E222" s="936">
        <v>2</v>
      </c>
      <c r="F222" s="937">
        <v>800</v>
      </c>
      <c r="G222" s="938">
        <v>600</v>
      </c>
      <c r="H222" s="939">
        <v>300</v>
      </c>
    </row>
    <row r="223" spans="2:8">
      <c r="B223" s="953" t="s">
        <v>1905</v>
      </c>
      <c r="C223" s="1460"/>
      <c r="D223" s="1463"/>
      <c r="E223" s="940">
        <v>3</v>
      </c>
      <c r="F223" s="941">
        <v>800</v>
      </c>
      <c r="G223" s="942">
        <v>600</v>
      </c>
      <c r="H223" s="943">
        <v>300</v>
      </c>
    </row>
  </sheetData>
  <mergeCells count="157">
    <mergeCell ref="B2:I2"/>
    <mergeCell ref="B3:B4"/>
    <mergeCell ref="C3:C4"/>
    <mergeCell ref="D3:D4"/>
    <mergeCell ref="E3:E4"/>
    <mergeCell ref="F3:H3"/>
    <mergeCell ref="C14:C16"/>
    <mergeCell ref="D14:D16"/>
    <mergeCell ref="C17:C19"/>
    <mergeCell ref="D17:D19"/>
    <mergeCell ref="C20:C22"/>
    <mergeCell ref="D20:D22"/>
    <mergeCell ref="C5:C7"/>
    <mergeCell ref="D5:D7"/>
    <mergeCell ref="C8:C10"/>
    <mergeCell ref="D8:D10"/>
    <mergeCell ref="C11:C13"/>
    <mergeCell ref="D11:D13"/>
    <mergeCell ref="C32:C34"/>
    <mergeCell ref="D32:D34"/>
    <mergeCell ref="C35:C37"/>
    <mergeCell ref="D35:D37"/>
    <mergeCell ref="C38:C40"/>
    <mergeCell ref="D38:D40"/>
    <mergeCell ref="C23:C25"/>
    <mergeCell ref="D23:D25"/>
    <mergeCell ref="C26:C28"/>
    <mergeCell ref="D26:D28"/>
    <mergeCell ref="C29:C31"/>
    <mergeCell ref="D29:D31"/>
    <mergeCell ref="B59:B60"/>
    <mergeCell ref="C59:C60"/>
    <mergeCell ref="D59:D60"/>
    <mergeCell ref="C41:C43"/>
    <mergeCell ref="D41:D43"/>
    <mergeCell ref="C44:C46"/>
    <mergeCell ref="D44:D46"/>
    <mergeCell ref="C47:C49"/>
    <mergeCell ref="D47:D49"/>
    <mergeCell ref="E59:E60"/>
    <mergeCell ref="F59:H59"/>
    <mergeCell ref="C61:C63"/>
    <mergeCell ref="D61:D63"/>
    <mergeCell ref="C64:C66"/>
    <mergeCell ref="D64:D66"/>
    <mergeCell ref="C50:C52"/>
    <mergeCell ref="D50:D52"/>
    <mergeCell ref="C53:C55"/>
    <mergeCell ref="D53:D55"/>
    <mergeCell ref="C76:C78"/>
    <mergeCell ref="D76:D78"/>
    <mergeCell ref="C79:C81"/>
    <mergeCell ref="D79:D81"/>
    <mergeCell ref="C82:C84"/>
    <mergeCell ref="D82:D84"/>
    <mergeCell ref="C67:C69"/>
    <mergeCell ref="D67:D69"/>
    <mergeCell ref="C70:C72"/>
    <mergeCell ref="D70:D72"/>
    <mergeCell ref="C73:C75"/>
    <mergeCell ref="D73:D75"/>
    <mergeCell ref="C94:C96"/>
    <mergeCell ref="D94:D96"/>
    <mergeCell ref="C97:C99"/>
    <mergeCell ref="D97:D99"/>
    <mergeCell ref="C100:C102"/>
    <mergeCell ref="D100:D102"/>
    <mergeCell ref="C85:C87"/>
    <mergeCell ref="D85:D87"/>
    <mergeCell ref="C88:C90"/>
    <mergeCell ref="D88:D90"/>
    <mergeCell ref="C91:C93"/>
    <mergeCell ref="D91:D93"/>
    <mergeCell ref="B115:B116"/>
    <mergeCell ref="C115:C116"/>
    <mergeCell ref="D115:D116"/>
    <mergeCell ref="E115:E116"/>
    <mergeCell ref="F115:H115"/>
    <mergeCell ref="C117:C119"/>
    <mergeCell ref="D117:D119"/>
    <mergeCell ref="C103:C105"/>
    <mergeCell ref="D103:D105"/>
    <mergeCell ref="C106:C108"/>
    <mergeCell ref="D106:D108"/>
    <mergeCell ref="C109:C111"/>
    <mergeCell ref="D109:D111"/>
    <mergeCell ref="C129:C131"/>
    <mergeCell ref="D129:D131"/>
    <mergeCell ref="C132:C134"/>
    <mergeCell ref="D132:D134"/>
    <mergeCell ref="C135:C137"/>
    <mergeCell ref="D135:D137"/>
    <mergeCell ref="C120:C122"/>
    <mergeCell ref="D120:D122"/>
    <mergeCell ref="C123:C125"/>
    <mergeCell ref="D123:D125"/>
    <mergeCell ref="C126:C128"/>
    <mergeCell ref="D126:D128"/>
    <mergeCell ref="C147:C149"/>
    <mergeCell ref="D147:D149"/>
    <mergeCell ref="C150:C152"/>
    <mergeCell ref="D150:D152"/>
    <mergeCell ref="C153:C155"/>
    <mergeCell ref="D153:D155"/>
    <mergeCell ref="C138:C140"/>
    <mergeCell ref="D138:D140"/>
    <mergeCell ref="C141:C143"/>
    <mergeCell ref="D141:D143"/>
    <mergeCell ref="C144:C146"/>
    <mergeCell ref="D144:D146"/>
    <mergeCell ref="C165:C167"/>
    <mergeCell ref="D165:D167"/>
    <mergeCell ref="B171:B172"/>
    <mergeCell ref="C171:C172"/>
    <mergeCell ref="D171:D172"/>
    <mergeCell ref="E171:E172"/>
    <mergeCell ref="C156:C158"/>
    <mergeCell ref="D156:D158"/>
    <mergeCell ref="C159:C161"/>
    <mergeCell ref="D159:D161"/>
    <mergeCell ref="C162:C164"/>
    <mergeCell ref="D162:D164"/>
    <mergeCell ref="C182:C184"/>
    <mergeCell ref="D182:D184"/>
    <mergeCell ref="C185:C187"/>
    <mergeCell ref="D185:D187"/>
    <mergeCell ref="C188:C190"/>
    <mergeCell ref="D188:D190"/>
    <mergeCell ref="F171:H171"/>
    <mergeCell ref="C173:C175"/>
    <mergeCell ref="D173:D175"/>
    <mergeCell ref="C176:C178"/>
    <mergeCell ref="D176:D178"/>
    <mergeCell ref="C179:C181"/>
    <mergeCell ref="D179:D181"/>
    <mergeCell ref="C200:C202"/>
    <mergeCell ref="D200:D202"/>
    <mergeCell ref="C203:C205"/>
    <mergeCell ref="D203:D205"/>
    <mergeCell ref="C206:C208"/>
    <mergeCell ref="D206:D208"/>
    <mergeCell ref="C191:C193"/>
    <mergeCell ref="D191:D193"/>
    <mergeCell ref="C194:C196"/>
    <mergeCell ref="D194:D196"/>
    <mergeCell ref="C197:C199"/>
    <mergeCell ref="D197:D199"/>
    <mergeCell ref="C218:C220"/>
    <mergeCell ref="D218:D220"/>
    <mergeCell ref="C221:C223"/>
    <mergeCell ref="D221:D223"/>
    <mergeCell ref="C209:C211"/>
    <mergeCell ref="D209:D211"/>
    <mergeCell ref="C212:C214"/>
    <mergeCell ref="D212:D214"/>
    <mergeCell ref="C215:C217"/>
    <mergeCell ref="D215:D2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19</vt:i4>
      </vt:variant>
      <vt:variant>
        <vt:lpstr>Именованные диапазоны</vt:lpstr>
      </vt:variant>
      <vt:variant>
        <vt:i4>66</vt:i4>
      </vt:variant>
    </vt:vector>
  </HeadingPairs>
  <TitlesOfParts>
    <vt:vector size="85" baseType="lpstr">
      <vt:lpstr>Инструкции</vt:lpstr>
      <vt:lpstr>Содержание</vt:lpstr>
      <vt:lpstr>Списки</vt:lpstr>
      <vt:lpstr>Инструкции1</vt:lpstr>
      <vt:lpstr>ОЛ_КОЛОДЦА</vt:lpstr>
      <vt:lpstr>Калькулятор колодца</vt:lpstr>
      <vt:lpstr>ОЛ_ЕМКОСТИ</vt:lpstr>
      <vt:lpstr>Калькулятор ЕМК</vt:lpstr>
      <vt:lpstr>для шапки</vt:lpstr>
      <vt:lpstr>ОЛ_НАСОСНАЯ_СТАНЦИЯ</vt:lpstr>
      <vt:lpstr>Калькулятор КНС</vt:lpstr>
      <vt:lpstr>Заявка</vt:lpstr>
      <vt:lpstr>Вспомогат. таблицы</vt:lpstr>
      <vt:lpstr>Цветовая библиотека</vt:lpstr>
      <vt:lpstr>Гидравл. расчет</vt:lpstr>
      <vt:lpstr>Для расчетов</vt:lpstr>
      <vt:lpstr>Вес трубы, ПЭ трубы</vt:lpstr>
      <vt:lpstr>НН</vt:lpstr>
      <vt:lpstr>Справка по подбору АШУ Омега</vt:lpstr>
      <vt:lpstr>'Гидравл. расчет'!_Hlk149905875</vt:lpstr>
      <vt:lpstr>'Калькулятор колодца'!DN_подвод_патрубка</vt:lpstr>
      <vt:lpstr>DN_подвод_патрубка</vt:lpstr>
      <vt:lpstr>'Калькулятор ЕМК'!Асбестцемент</vt:lpstr>
      <vt:lpstr>'Калькулятор колодца'!Асбестцемент</vt:lpstr>
      <vt:lpstr>Асбестцемент</vt:lpstr>
      <vt:lpstr>'Калькулятор колодца'!Валюта</vt:lpstr>
      <vt:lpstr>Валюта</vt:lpstr>
      <vt:lpstr>Группа</vt:lpstr>
      <vt:lpstr>'Калькулятор ЕМК'!Давление</vt:lpstr>
      <vt:lpstr>'Калькулятор колодца'!Давление</vt:lpstr>
      <vt:lpstr>Давление</vt:lpstr>
      <vt:lpstr>'Калькулятор колодца'!Давление_для_проч_эл</vt:lpstr>
      <vt:lpstr>Давление_для_проч_эл</vt:lpstr>
      <vt:lpstr>'Калькулятор колодца'!Давление_для_фланцев</vt:lpstr>
      <vt:lpstr>Давление_для_фланцев</vt:lpstr>
      <vt:lpstr>'Калькулятор ЕМК'!Диаметр</vt:lpstr>
      <vt:lpstr>'Калькулятор колодца'!Диаметр</vt:lpstr>
      <vt:lpstr>Диаметр</vt:lpstr>
      <vt:lpstr>'Калькулятор ЕМК'!ЕИ</vt:lpstr>
      <vt:lpstr>'Калькулятор колодца'!ЕИ</vt:lpstr>
      <vt:lpstr>ЕИ</vt:lpstr>
      <vt:lpstr>'Калькулятор ЕМК'!Жесткость</vt:lpstr>
      <vt:lpstr>'Калькулятор колодца'!Жесткость</vt:lpstr>
      <vt:lpstr>Жесткость</vt:lpstr>
      <vt:lpstr>'Калькулятор ЕМК'!Изделие</vt:lpstr>
      <vt:lpstr>'Калькулятор колодца'!Изделие</vt:lpstr>
      <vt:lpstr>Изделие</vt:lpstr>
      <vt:lpstr>НН!Категории</vt:lpstr>
      <vt:lpstr>ОЛ_ЕМКОСТИ!Категории</vt:lpstr>
      <vt:lpstr>ОЛ_НАСОСНАЯ_СТАНЦИЯ!Категории</vt:lpstr>
      <vt:lpstr>Категории</vt:lpstr>
      <vt:lpstr>'Калькулятор ЕМК'!Материал</vt:lpstr>
      <vt:lpstr>'Калькулятор колодца'!Материал</vt:lpstr>
      <vt:lpstr>Материал</vt:lpstr>
      <vt:lpstr>Материал_трубы</vt:lpstr>
      <vt:lpstr>ОЛ_ЕМКОСТИ!Область_печати</vt:lpstr>
      <vt:lpstr>ОЛ_КОЛОДЦА!Область_печати</vt:lpstr>
      <vt:lpstr>ОЛ_НАСОСНАЯ_СТАНЦИЯ!Область_печати</vt:lpstr>
      <vt:lpstr>'Калькулятор колодца'!Отвод</vt:lpstr>
      <vt:lpstr>Отвод</vt:lpstr>
      <vt:lpstr>'Калькулятор ЕМК'!ПВХ</vt:lpstr>
      <vt:lpstr>'Калькулятор колодца'!ПВХ</vt:lpstr>
      <vt:lpstr>ПВХ</vt:lpstr>
      <vt:lpstr>'Калькулятор ЕМК'!ПНД</vt:lpstr>
      <vt:lpstr>'Калькулятор колодца'!ПНД</vt:lpstr>
      <vt:lpstr>ПНД</vt:lpstr>
      <vt:lpstr>'Калькулятор ЕМК'!ПП</vt:lpstr>
      <vt:lpstr>'Калькулятор колодца'!ПП</vt:lpstr>
      <vt:lpstr>ПП</vt:lpstr>
      <vt:lpstr>ПЭ</vt:lpstr>
      <vt:lpstr>'Калькулятор ЕМК'!Среда</vt:lpstr>
      <vt:lpstr>'Калькулятор колодца'!Среда</vt:lpstr>
      <vt:lpstr>Среда</vt:lpstr>
      <vt:lpstr>'Калькулятор колодца'!Тип_емкости</vt:lpstr>
      <vt:lpstr>Тип_емкости</vt:lpstr>
      <vt:lpstr>'Калькулятор колодца'!Тип_ОЛ</vt:lpstr>
      <vt:lpstr>Тип_ОЛ</vt:lpstr>
      <vt:lpstr>'Калькулятор колодца'!Тип_патрубка</vt:lpstr>
      <vt:lpstr>Тип_патрубка</vt:lpstr>
      <vt:lpstr>'Калькулятор колодца'!Тройник</vt:lpstr>
      <vt:lpstr>Тройник</vt:lpstr>
      <vt:lpstr>Труба_Корсис</vt:lpstr>
      <vt:lpstr>Труба_стеклокомпозитная</vt:lpstr>
      <vt:lpstr>'Калькулятор колодца'!Фланец</vt:lpstr>
      <vt:lpstr>Фланец</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Изюмова Инна Владимировна</cp:lastModifiedBy>
  <cp:revision>1</cp:revision>
  <dcterms:created xsi:type="dcterms:W3CDTF">2014-09-17T07:57:04Z</dcterms:created>
  <dcterms:modified xsi:type="dcterms:W3CDTF">2026-02-03T07:35:13Z</dcterms:modified>
</cp:coreProperties>
</file>