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65" windowWidth="15480" windowHeight="10020" tabRatio="794" firstSheet="2" activeTab="9"/>
  </bookViews>
  <sheets>
    <sheet name="SCS Input" sheetId="6" r:id="rId1"/>
    <sheet name="Past RHNA Performance" sheetId="8" r:id="rId2"/>
    <sheet name="Jobs" sheetId="9" r:id="rId3"/>
    <sheet name="Transit" sheetId="15" r:id="rId4"/>
    <sheet name="Scoring Summary" sheetId="11" r:id="rId5"/>
    <sheet name="RHNA Model" sheetId="12" r:id="rId6"/>
    <sheet name="Income Distribution" sheetId="16" r:id="rId7"/>
    <sheet name="Draft Summary" sheetId="17" r:id="rId8"/>
    <sheet name="Draft RHNA" sheetId="19" r:id="rId9"/>
    <sheet name="Final RHNA" sheetId="18" r:id="rId10"/>
  </sheets>
  <definedNames>
    <definedName name="_xlnm.Print_Area" localSheetId="2">Jobs!$A$1:$G$140</definedName>
    <definedName name="_xlnm.Print_Area" localSheetId="5">'RHNA Model'!$A$1:$AY$139</definedName>
    <definedName name="_xlnm.Print_Area" localSheetId="4">'Scoring Summary'!$A$1:$O$135</definedName>
    <definedName name="_xlnm.Print_Titles" localSheetId="8">'Draft RHNA'!$1:$4</definedName>
    <definedName name="_xlnm.Print_Titles" localSheetId="7">'Draft Summary'!$1:$5</definedName>
    <definedName name="_xlnm.Print_Titles" localSheetId="9">'Final RHNA'!$1:$4</definedName>
    <definedName name="_xlnm.Print_Titles" localSheetId="6">'Income Distribution'!$1:$8</definedName>
    <definedName name="_xlnm.Print_Titles" localSheetId="2">Jobs!$1:$7</definedName>
    <definedName name="_xlnm.Print_Titles" localSheetId="1">'Past RHNA Performance'!$1:$8</definedName>
    <definedName name="_xlnm.Print_Titles" localSheetId="5">'RHNA Model'!$A:$C,'RHNA Model'!$1:$11</definedName>
    <definedName name="_xlnm.Print_Titles" localSheetId="4">'Scoring Summary'!$A:$B,'Scoring Summary'!$1:$4</definedName>
    <definedName name="_xlnm.Print_Titles" localSheetId="0">'SCS Input'!$1:$5</definedName>
    <definedName name="_xlnm.Print_Titles" localSheetId="3">Transit!$1:$9</definedName>
    <definedName name="Z_BC08DE87_18C8_407E_8DD9_6A341751A826_.wvu.PrintTitles" localSheetId="0" hidden="1">'SCS Input'!$1:$5</definedName>
  </definedNames>
  <calcPr calcId="145621" concurrentCalc="0"/>
  <customWorkbookViews>
    <customWorkbookView name="JasonM - Personal View" guid="{BC08DE87-18C8-407E-8DD9-6A341751A826}" mergeInterval="0" personalView="1" maximized="1" windowWidth="1276" windowHeight="812" tabRatio="768" activeSheetId="7"/>
  </customWorkbookViews>
</workbook>
</file>

<file path=xl/calcChain.xml><?xml version="1.0" encoding="utf-8"?>
<calcChain xmlns="http://schemas.openxmlformats.org/spreadsheetml/2006/main">
  <c r="D7" i="11" l="1"/>
  <c r="M7" i="11"/>
  <c r="T14" i="12"/>
  <c r="U14" i="12"/>
  <c r="V14" i="12"/>
  <c r="W14" i="12"/>
  <c r="K7" i="11"/>
  <c r="O7" i="11"/>
  <c r="X14" i="12"/>
  <c r="Y14" i="12"/>
  <c r="Z14" i="12"/>
  <c r="AA14" i="12"/>
  <c r="D5" i="11"/>
  <c r="M5" i="11"/>
  <c r="T12" i="12"/>
  <c r="U12" i="12"/>
  <c r="V12" i="12"/>
  <c r="W12" i="12"/>
  <c r="K5" i="11"/>
  <c r="O5" i="11"/>
  <c r="X12" i="12"/>
  <c r="Y12" i="12"/>
  <c r="Z12" i="12"/>
  <c r="AA12" i="12"/>
  <c r="D6" i="11"/>
  <c r="M6" i="11"/>
  <c r="T13" i="12"/>
  <c r="U13" i="12"/>
  <c r="V13" i="12"/>
  <c r="W13" i="12"/>
  <c r="K6" i="11"/>
  <c r="O6" i="11"/>
  <c r="X13" i="12"/>
  <c r="Y13" i="12"/>
  <c r="Z13" i="12"/>
  <c r="AA13" i="12"/>
  <c r="D8" i="11"/>
  <c r="M8" i="11"/>
  <c r="T15" i="12"/>
  <c r="U15" i="12"/>
  <c r="V15" i="12"/>
  <c r="W15" i="12"/>
  <c r="K8" i="11"/>
  <c r="O8" i="11"/>
  <c r="X15" i="12"/>
  <c r="Y15" i="12"/>
  <c r="Z15" i="12"/>
  <c r="AA15" i="12"/>
  <c r="D9" i="11"/>
  <c r="M9" i="11"/>
  <c r="T16" i="12"/>
  <c r="U16" i="12"/>
  <c r="V16" i="12"/>
  <c r="W16" i="12"/>
  <c r="K9" i="11"/>
  <c r="O9" i="11"/>
  <c r="X16" i="12"/>
  <c r="Y16" i="12"/>
  <c r="Z16" i="12"/>
  <c r="AA16" i="12"/>
  <c r="D10" i="11"/>
  <c r="M10" i="11"/>
  <c r="T17" i="12"/>
  <c r="U17" i="12"/>
  <c r="V17" i="12"/>
  <c r="W17" i="12"/>
  <c r="K10" i="11"/>
  <c r="O10" i="11"/>
  <c r="X17" i="12"/>
  <c r="Y17" i="12"/>
  <c r="Z17" i="12"/>
  <c r="AA17" i="12"/>
  <c r="D11" i="11"/>
  <c r="M11" i="11"/>
  <c r="T18" i="12"/>
  <c r="U18" i="12"/>
  <c r="V18" i="12"/>
  <c r="W18" i="12"/>
  <c r="K11" i="11"/>
  <c r="O11" i="11"/>
  <c r="X18" i="12"/>
  <c r="Y18" i="12"/>
  <c r="Z18" i="12"/>
  <c r="AA18" i="12"/>
  <c r="D12" i="11"/>
  <c r="M12" i="11"/>
  <c r="T19" i="12"/>
  <c r="U19" i="12"/>
  <c r="V19" i="12"/>
  <c r="W19" i="12"/>
  <c r="K12" i="11"/>
  <c r="O12" i="11"/>
  <c r="X19" i="12"/>
  <c r="Y19" i="12"/>
  <c r="Z19" i="12"/>
  <c r="AA19" i="12"/>
  <c r="D13" i="11"/>
  <c r="M13" i="11"/>
  <c r="T20" i="12"/>
  <c r="U20" i="12"/>
  <c r="V20" i="12"/>
  <c r="W20" i="12"/>
  <c r="K13" i="11"/>
  <c r="O13" i="11"/>
  <c r="X20" i="12"/>
  <c r="Y20" i="12"/>
  <c r="Z20" i="12"/>
  <c r="AA20" i="12"/>
  <c r="D14" i="11"/>
  <c r="M14" i="11"/>
  <c r="T21" i="12"/>
  <c r="U21" i="12"/>
  <c r="V21" i="12"/>
  <c r="W21" i="12"/>
  <c r="K14" i="11"/>
  <c r="O14" i="11"/>
  <c r="X21" i="12"/>
  <c r="Y21" i="12"/>
  <c r="Z21" i="12"/>
  <c r="AA21" i="12"/>
  <c r="D15" i="11"/>
  <c r="M15" i="11"/>
  <c r="T22" i="12"/>
  <c r="U22" i="12"/>
  <c r="V22" i="12"/>
  <c r="W22" i="12"/>
  <c r="K15" i="11"/>
  <c r="O15" i="11"/>
  <c r="X22" i="12"/>
  <c r="Y22" i="12"/>
  <c r="Z22" i="12"/>
  <c r="AA22" i="12"/>
  <c r="D16" i="11"/>
  <c r="M16" i="11"/>
  <c r="T23" i="12"/>
  <c r="U23" i="12"/>
  <c r="V23" i="12"/>
  <c r="W23" i="12"/>
  <c r="K16" i="11"/>
  <c r="O16" i="11"/>
  <c r="X23" i="12"/>
  <c r="Y23" i="12"/>
  <c r="Z23" i="12"/>
  <c r="AA23" i="12"/>
  <c r="D17" i="11"/>
  <c r="M17" i="11"/>
  <c r="T24" i="12"/>
  <c r="U24" i="12"/>
  <c r="V24" i="12"/>
  <c r="W24" i="12"/>
  <c r="K17" i="11"/>
  <c r="O17" i="11"/>
  <c r="X24" i="12"/>
  <c r="Y24" i="12"/>
  <c r="Z24" i="12"/>
  <c r="AA24" i="12"/>
  <c r="D18" i="11"/>
  <c r="M18" i="11"/>
  <c r="T25" i="12"/>
  <c r="U25" i="12"/>
  <c r="V25" i="12"/>
  <c r="W25" i="12"/>
  <c r="K18" i="11"/>
  <c r="O18" i="11"/>
  <c r="X25" i="12"/>
  <c r="Y25" i="12"/>
  <c r="Z25" i="12"/>
  <c r="AA25" i="12"/>
  <c r="D19" i="11"/>
  <c r="M19" i="11"/>
  <c r="T26" i="12"/>
  <c r="U26" i="12"/>
  <c r="V26" i="12"/>
  <c r="W26" i="12"/>
  <c r="K19" i="11"/>
  <c r="O19" i="11"/>
  <c r="X26" i="12"/>
  <c r="Y26" i="12"/>
  <c r="Z26" i="12"/>
  <c r="AA26" i="12"/>
  <c r="D22" i="11"/>
  <c r="M22" i="11"/>
  <c r="T29" i="12"/>
  <c r="U29" i="12"/>
  <c r="V29" i="12"/>
  <c r="W29" i="12"/>
  <c r="K22" i="11"/>
  <c r="O22" i="11"/>
  <c r="X29" i="12"/>
  <c r="Y29" i="12"/>
  <c r="Z29" i="12"/>
  <c r="AA29" i="12"/>
  <c r="D23" i="11"/>
  <c r="M23" i="11"/>
  <c r="T30" i="12"/>
  <c r="U30" i="12"/>
  <c r="V30" i="12"/>
  <c r="W30" i="12"/>
  <c r="K23" i="11"/>
  <c r="O23" i="11"/>
  <c r="X30" i="12"/>
  <c r="Y30" i="12"/>
  <c r="Z30" i="12"/>
  <c r="AA30" i="12"/>
  <c r="D24" i="11"/>
  <c r="M24" i="11"/>
  <c r="T31" i="12"/>
  <c r="U31" i="12"/>
  <c r="V31" i="12"/>
  <c r="W31" i="12"/>
  <c r="K24" i="11"/>
  <c r="O24" i="11"/>
  <c r="X31" i="12"/>
  <c r="Y31" i="12"/>
  <c r="Z31" i="12"/>
  <c r="AA31" i="12"/>
  <c r="D25" i="11"/>
  <c r="M25" i="11"/>
  <c r="T32" i="12"/>
  <c r="U32" i="12"/>
  <c r="V32" i="12"/>
  <c r="W32" i="12"/>
  <c r="K25" i="11"/>
  <c r="O25" i="11"/>
  <c r="X32" i="12"/>
  <c r="Y32" i="12"/>
  <c r="Z32" i="12"/>
  <c r="AA32" i="12"/>
  <c r="D26" i="11"/>
  <c r="M26" i="11"/>
  <c r="T33" i="12"/>
  <c r="U33" i="12"/>
  <c r="V33" i="12"/>
  <c r="W33" i="12"/>
  <c r="K26" i="11"/>
  <c r="O26" i="11"/>
  <c r="X33" i="12"/>
  <c r="Y33" i="12"/>
  <c r="Z33" i="12"/>
  <c r="AA33" i="12"/>
  <c r="D27" i="11"/>
  <c r="M27" i="11"/>
  <c r="T34" i="12"/>
  <c r="U34" i="12"/>
  <c r="V34" i="12"/>
  <c r="W34" i="12"/>
  <c r="K27" i="11"/>
  <c r="O27" i="11"/>
  <c r="X34" i="12"/>
  <c r="Y34" i="12"/>
  <c r="Z34" i="12"/>
  <c r="AA34" i="12"/>
  <c r="D28" i="11"/>
  <c r="M28" i="11"/>
  <c r="T35" i="12"/>
  <c r="U35" i="12"/>
  <c r="V35" i="12"/>
  <c r="W35" i="12"/>
  <c r="K28" i="11"/>
  <c r="O28" i="11"/>
  <c r="X35" i="12"/>
  <c r="Y35" i="12"/>
  <c r="Z35" i="12"/>
  <c r="AA35" i="12"/>
  <c r="D29" i="11"/>
  <c r="M29" i="11"/>
  <c r="T36" i="12"/>
  <c r="U36" i="12"/>
  <c r="V36" i="12"/>
  <c r="W36" i="12"/>
  <c r="K29" i="11"/>
  <c r="O29" i="11"/>
  <c r="X36" i="12"/>
  <c r="Y36" i="12"/>
  <c r="Z36" i="12"/>
  <c r="AA36" i="12"/>
  <c r="D30" i="11"/>
  <c r="M30" i="11"/>
  <c r="T37" i="12"/>
  <c r="U37" i="12"/>
  <c r="V37" i="12"/>
  <c r="W37" i="12"/>
  <c r="K30" i="11"/>
  <c r="O30" i="11"/>
  <c r="X37" i="12"/>
  <c r="Y37" i="12"/>
  <c r="Z37" i="12"/>
  <c r="AA37" i="12"/>
  <c r="D31" i="11"/>
  <c r="M31" i="11"/>
  <c r="T38" i="12"/>
  <c r="U38" i="12"/>
  <c r="V38" i="12"/>
  <c r="W38" i="12"/>
  <c r="K31" i="11"/>
  <c r="O31" i="11"/>
  <c r="X38" i="12"/>
  <c r="Y38" i="12"/>
  <c r="Z38" i="12"/>
  <c r="AA38" i="12"/>
  <c r="D32" i="11"/>
  <c r="M32" i="11"/>
  <c r="T39" i="12"/>
  <c r="U39" i="12"/>
  <c r="V39" i="12"/>
  <c r="W39" i="12"/>
  <c r="K32" i="11"/>
  <c r="O32" i="11"/>
  <c r="X39" i="12"/>
  <c r="Y39" i="12"/>
  <c r="Z39" i="12"/>
  <c r="AA39" i="12"/>
  <c r="D33" i="11"/>
  <c r="M33" i="11"/>
  <c r="T40" i="12"/>
  <c r="U40" i="12"/>
  <c r="V40" i="12"/>
  <c r="W40" i="12"/>
  <c r="K33" i="11"/>
  <c r="O33" i="11"/>
  <c r="X40" i="12"/>
  <c r="Y40" i="12"/>
  <c r="Z40" i="12"/>
  <c r="AA40" i="12"/>
  <c r="D34" i="11"/>
  <c r="M34" i="11"/>
  <c r="T41" i="12"/>
  <c r="U41" i="12"/>
  <c r="V41" i="12"/>
  <c r="W41" i="12"/>
  <c r="K34" i="11"/>
  <c r="O34" i="11"/>
  <c r="X41" i="12"/>
  <c r="Y41" i="12"/>
  <c r="Z41" i="12"/>
  <c r="AA41" i="12"/>
  <c r="D35" i="11"/>
  <c r="M35" i="11"/>
  <c r="T42" i="12"/>
  <c r="U42" i="12"/>
  <c r="V42" i="12"/>
  <c r="W42" i="12"/>
  <c r="K35" i="11"/>
  <c r="O35" i="11"/>
  <c r="X42" i="12"/>
  <c r="Y42" i="12"/>
  <c r="Z42" i="12"/>
  <c r="AA42" i="12"/>
  <c r="D36" i="11"/>
  <c r="M36" i="11"/>
  <c r="T43" i="12"/>
  <c r="U43" i="12"/>
  <c r="V43" i="12"/>
  <c r="W43" i="12"/>
  <c r="K36" i="11"/>
  <c r="O36" i="11"/>
  <c r="X43" i="12"/>
  <c r="Y43" i="12"/>
  <c r="Z43" i="12"/>
  <c r="AA43" i="12"/>
  <c r="D37" i="11"/>
  <c r="M37" i="11"/>
  <c r="T44" i="12"/>
  <c r="U44" i="12"/>
  <c r="V44" i="12"/>
  <c r="W44" i="12"/>
  <c r="K37" i="11"/>
  <c r="O37" i="11"/>
  <c r="X44" i="12"/>
  <c r="Y44" i="12"/>
  <c r="Z44" i="12"/>
  <c r="AA44" i="12"/>
  <c r="D38" i="11"/>
  <c r="M38" i="11"/>
  <c r="T45" i="12"/>
  <c r="U45" i="12"/>
  <c r="V45" i="12"/>
  <c r="W45" i="12"/>
  <c r="K38" i="11"/>
  <c r="O38" i="11"/>
  <c r="X45" i="12"/>
  <c r="Y45" i="12"/>
  <c r="Z45" i="12"/>
  <c r="AA45" i="12"/>
  <c r="D39" i="11"/>
  <c r="M39" i="11"/>
  <c r="T46" i="12"/>
  <c r="U46" i="12"/>
  <c r="V46" i="12"/>
  <c r="W46" i="12"/>
  <c r="K39" i="11"/>
  <c r="O39" i="11"/>
  <c r="X46" i="12"/>
  <c r="Y46" i="12"/>
  <c r="Z46" i="12"/>
  <c r="AA46" i="12"/>
  <c r="D40" i="11"/>
  <c r="M40" i="11"/>
  <c r="T47" i="12"/>
  <c r="U47" i="12"/>
  <c r="V47" i="12"/>
  <c r="W47" i="12"/>
  <c r="K40" i="11"/>
  <c r="O40" i="11"/>
  <c r="X47" i="12"/>
  <c r="Y47" i="12"/>
  <c r="Z47" i="12"/>
  <c r="AA47" i="12"/>
  <c r="D41" i="11"/>
  <c r="M41" i="11"/>
  <c r="T48" i="12"/>
  <c r="U48" i="12"/>
  <c r="V48" i="12"/>
  <c r="W48" i="12"/>
  <c r="K41" i="11"/>
  <c r="O41" i="11"/>
  <c r="X48" i="12"/>
  <c r="Y48" i="12"/>
  <c r="Z48" i="12"/>
  <c r="AA48" i="12"/>
  <c r="D44" i="11"/>
  <c r="M44" i="11"/>
  <c r="T51" i="12"/>
  <c r="U51" i="12"/>
  <c r="V51" i="12"/>
  <c r="W51" i="12"/>
  <c r="K44" i="11"/>
  <c r="O44" i="11"/>
  <c r="X51" i="12"/>
  <c r="Y51" i="12"/>
  <c r="Z51" i="12"/>
  <c r="AA51" i="12"/>
  <c r="D45" i="11"/>
  <c r="M45" i="11"/>
  <c r="T52" i="12"/>
  <c r="U52" i="12"/>
  <c r="V52" i="12"/>
  <c r="W52" i="12"/>
  <c r="K45" i="11"/>
  <c r="O45" i="11"/>
  <c r="X52" i="12"/>
  <c r="Y52" i="12"/>
  <c r="Z52" i="12"/>
  <c r="AA52" i="12"/>
  <c r="D46" i="11"/>
  <c r="M46" i="11"/>
  <c r="T53" i="12"/>
  <c r="U53" i="12"/>
  <c r="V53" i="12"/>
  <c r="W53" i="12"/>
  <c r="K46" i="11"/>
  <c r="O46" i="11"/>
  <c r="X53" i="12"/>
  <c r="Y53" i="12"/>
  <c r="Z53" i="12"/>
  <c r="AA53" i="12"/>
  <c r="D47" i="11"/>
  <c r="M47" i="11"/>
  <c r="T54" i="12"/>
  <c r="U54" i="12"/>
  <c r="V54" i="12"/>
  <c r="W54" i="12"/>
  <c r="K47" i="11"/>
  <c r="O47" i="11"/>
  <c r="X54" i="12"/>
  <c r="Y54" i="12"/>
  <c r="Z54" i="12"/>
  <c r="AA54" i="12"/>
  <c r="D48" i="11"/>
  <c r="M48" i="11"/>
  <c r="T55" i="12"/>
  <c r="U55" i="12"/>
  <c r="V55" i="12"/>
  <c r="W55" i="12"/>
  <c r="K48" i="11"/>
  <c r="O48" i="11"/>
  <c r="X55" i="12"/>
  <c r="Y55" i="12"/>
  <c r="Z55" i="12"/>
  <c r="AA55" i="12"/>
  <c r="D49" i="11"/>
  <c r="M49" i="11"/>
  <c r="T56" i="12"/>
  <c r="U56" i="12"/>
  <c r="V56" i="12"/>
  <c r="W56" i="12"/>
  <c r="K49" i="11"/>
  <c r="O49" i="11"/>
  <c r="X56" i="12"/>
  <c r="Y56" i="12"/>
  <c r="Z56" i="12"/>
  <c r="AA56" i="12"/>
  <c r="D50" i="11"/>
  <c r="M50" i="11"/>
  <c r="T57" i="12"/>
  <c r="U57" i="12"/>
  <c r="V57" i="12"/>
  <c r="W57" i="12"/>
  <c r="K50" i="11"/>
  <c r="O50" i="11"/>
  <c r="X57" i="12"/>
  <c r="Y57" i="12"/>
  <c r="Z57" i="12"/>
  <c r="AA57" i="12"/>
  <c r="D51" i="11"/>
  <c r="M51" i="11"/>
  <c r="T58" i="12"/>
  <c r="U58" i="12"/>
  <c r="V58" i="12"/>
  <c r="W58" i="12"/>
  <c r="K51" i="11"/>
  <c r="O51" i="11"/>
  <c r="X58" i="12"/>
  <c r="Y58" i="12"/>
  <c r="Z58" i="12"/>
  <c r="AA58" i="12"/>
  <c r="D52" i="11"/>
  <c r="M52" i="11"/>
  <c r="T59" i="12"/>
  <c r="U59" i="12"/>
  <c r="V59" i="12"/>
  <c r="W59" i="12"/>
  <c r="K52" i="11"/>
  <c r="O52" i="11"/>
  <c r="X59" i="12"/>
  <c r="Y59" i="12"/>
  <c r="Z59" i="12"/>
  <c r="AA59" i="12"/>
  <c r="D53" i="11"/>
  <c r="M53" i="11"/>
  <c r="T60" i="12"/>
  <c r="U60" i="12"/>
  <c r="V60" i="12"/>
  <c r="W60" i="12"/>
  <c r="K53" i="11"/>
  <c r="O53" i="11"/>
  <c r="X60" i="12"/>
  <c r="Y60" i="12"/>
  <c r="Z60" i="12"/>
  <c r="AA60" i="12"/>
  <c r="D54" i="11"/>
  <c r="M54" i="11"/>
  <c r="T61" i="12"/>
  <c r="U61" i="12"/>
  <c r="V61" i="12"/>
  <c r="W61" i="12"/>
  <c r="K54" i="11"/>
  <c r="O54" i="11"/>
  <c r="X61" i="12"/>
  <c r="Y61" i="12"/>
  <c r="Z61" i="12"/>
  <c r="AA61" i="12"/>
  <c r="D55" i="11"/>
  <c r="M55" i="11"/>
  <c r="T62" i="12"/>
  <c r="U62" i="12"/>
  <c r="V62" i="12"/>
  <c r="W62" i="12"/>
  <c r="K55" i="11"/>
  <c r="O55" i="11"/>
  <c r="X62" i="12"/>
  <c r="Y62" i="12"/>
  <c r="Z62" i="12"/>
  <c r="AA62" i="12"/>
  <c r="D58" i="11"/>
  <c r="M58" i="11"/>
  <c r="T65" i="12"/>
  <c r="U65" i="12"/>
  <c r="V65" i="12"/>
  <c r="W65" i="12"/>
  <c r="K58" i="11"/>
  <c r="O58" i="11"/>
  <c r="X65" i="12"/>
  <c r="Y65" i="12"/>
  <c r="Z65" i="12"/>
  <c r="AA65" i="12"/>
  <c r="D59" i="11"/>
  <c r="M59" i="11"/>
  <c r="T66" i="12"/>
  <c r="U66" i="12"/>
  <c r="V66" i="12"/>
  <c r="W66" i="12"/>
  <c r="K59" i="11"/>
  <c r="O59" i="11"/>
  <c r="X66" i="12"/>
  <c r="Y66" i="12"/>
  <c r="Z66" i="12"/>
  <c r="AA66" i="12"/>
  <c r="D60" i="11"/>
  <c r="M60" i="11"/>
  <c r="T67" i="12"/>
  <c r="U67" i="12"/>
  <c r="V67" i="12"/>
  <c r="W67" i="12"/>
  <c r="K60" i="11"/>
  <c r="O60" i="11"/>
  <c r="X67" i="12"/>
  <c r="Y67" i="12"/>
  <c r="Z67" i="12"/>
  <c r="AA67" i="12"/>
  <c r="D61" i="11"/>
  <c r="M61" i="11"/>
  <c r="T68" i="12"/>
  <c r="U68" i="12"/>
  <c r="V68" i="12"/>
  <c r="W68" i="12"/>
  <c r="K61" i="11"/>
  <c r="O61" i="11"/>
  <c r="X68" i="12"/>
  <c r="Y68" i="12"/>
  <c r="Z68" i="12"/>
  <c r="AA68" i="12"/>
  <c r="D62" i="11"/>
  <c r="M62" i="11"/>
  <c r="T69" i="12"/>
  <c r="U69" i="12"/>
  <c r="V69" i="12"/>
  <c r="W69" i="12"/>
  <c r="K62" i="11"/>
  <c r="O62" i="11"/>
  <c r="X69" i="12"/>
  <c r="Y69" i="12"/>
  <c r="Z69" i="12"/>
  <c r="AA69" i="12"/>
  <c r="D63" i="11"/>
  <c r="M63" i="11"/>
  <c r="T70" i="12"/>
  <c r="U70" i="12"/>
  <c r="V70" i="12"/>
  <c r="W70" i="12"/>
  <c r="K63" i="11"/>
  <c r="O63" i="11"/>
  <c r="X70" i="12"/>
  <c r="Y70" i="12"/>
  <c r="Z70" i="12"/>
  <c r="AA70" i="12"/>
  <c r="D66" i="11"/>
  <c r="M66" i="11"/>
  <c r="T73" i="12"/>
  <c r="U73" i="12"/>
  <c r="V73" i="12"/>
  <c r="W73" i="12"/>
  <c r="K66" i="11"/>
  <c r="O66" i="11"/>
  <c r="X73" i="12"/>
  <c r="Y73" i="12"/>
  <c r="Z73" i="12"/>
  <c r="AA73" i="12"/>
  <c r="D69" i="11"/>
  <c r="M69" i="11"/>
  <c r="T76" i="12"/>
  <c r="U76" i="12"/>
  <c r="V76" i="12"/>
  <c r="W76" i="12"/>
  <c r="K69" i="11"/>
  <c r="O69" i="11"/>
  <c r="X76" i="12"/>
  <c r="Y76" i="12"/>
  <c r="Z76" i="12"/>
  <c r="AA76" i="12"/>
  <c r="D70" i="11"/>
  <c r="M70" i="11"/>
  <c r="T77" i="12"/>
  <c r="U77" i="12"/>
  <c r="V77" i="12"/>
  <c r="W77" i="12"/>
  <c r="K70" i="11"/>
  <c r="O70" i="11"/>
  <c r="X77" i="12"/>
  <c r="Y77" i="12"/>
  <c r="Z77" i="12"/>
  <c r="AA77" i="12"/>
  <c r="D71" i="11"/>
  <c r="M71" i="11"/>
  <c r="T78" i="12"/>
  <c r="U78" i="12"/>
  <c r="V78" i="12"/>
  <c r="W78" i="12"/>
  <c r="K71" i="11"/>
  <c r="O71" i="11"/>
  <c r="X78" i="12"/>
  <c r="Y78" i="12"/>
  <c r="Z78" i="12"/>
  <c r="AA78" i="12"/>
  <c r="D72" i="11"/>
  <c r="M72" i="11"/>
  <c r="T79" i="12"/>
  <c r="U79" i="12"/>
  <c r="V79" i="12"/>
  <c r="W79" i="12"/>
  <c r="K72" i="11"/>
  <c r="O72" i="11"/>
  <c r="X79" i="12"/>
  <c r="Y79" i="12"/>
  <c r="Z79" i="12"/>
  <c r="AA79" i="12"/>
  <c r="D73" i="11"/>
  <c r="M73" i="11"/>
  <c r="T80" i="12"/>
  <c r="U80" i="12"/>
  <c r="V80" i="12"/>
  <c r="W80" i="12"/>
  <c r="K73" i="11"/>
  <c r="O73" i="11"/>
  <c r="X80" i="12"/>
  <c r="Y80" i="12"/>
  <c r="Z80" i="12"/>
  <c r="AA80" i="12"/>
  <c r="D74" i="11"/>
  <c r="M74" i="11"/>
  <c r="T81" i="12"/>
  <c r="U81" i="12"/>
  <c r="V81" i="12"/>
  <c r="W81" i="12"/>
  <c r="K74" i="11"/>
  <c r="O74" i="11"/>
  <c r="X81" i="12"/>
  <c r="Y81" i="12"/>
  <c r="Z81" i="12"/>
  <c r="AA81" i="12"/>
  <c r="D75" i="11"/>
  <c r="M75" i="11"/>
  <c r="T82" i="12"/>
  <c r="U82" i="12"/>
  <c r="V82" i="12"/>
  <c r="W82" i="12"/>
  <c r="K75" i="11"/>
  <c r="O75" i="11"/>
  <c r="X82" i="12"/>
  <c r="Y82" i="12"/>
  <c r="Z82" i="12"/>
  <c r="AA82" i="12"/>
  <c r="D76" i="11"/>
  <c r="M76" i="11"/>
  <c r="T83" i="12"/>
  <c r="U83" i="12"/>
  <c r="V83" i="12"/>
  <c r="W83" i="12"/>
  <c r="K76" i="11"/>
  <c r="O76" i="11"/>
  <c r="X83" i="12"/>
  <c r="Y83" i="12"/>
  <c r="Z83" i="12"/>
  <c r="AA83" i="12"/>
  <c r="D77" i="11"/>
  <c r="M77" i="11"/>
  <c r="T84" i="12"/>
  <c r="U84" i="12"/>
  <c r="V84" i="12"/>
  <c r="W84" i="12"/>
  <c r="K77" i="11"/>
  <c r="O77" i="11"/>
  <c r="X84" i="12"/>
  <c r="Y84" i="12"/>
  <c r="Z84" i="12"/>
  <c r="AA84" i="12"/>
  <c r="D78" i="11"/>
  <c r="M78" i="11"/>
  <c r="T85" i="12"/>
  <c r="U85" i="12"/>
  <c r="V85" i="12"/>
  <c r="W85" i="12"/>
  <c r="K78" i="11"/>
  <c r="O78" i="11"/>
  <c r="X85" i="12"/>
  <c r="Y85" i="12"/>
  <c r="Z85" i="12"/>
  <c r="AA85" i="12"/>
  <c r="D79" i="11"/>
  <c r="M79" i="11"/>
  <c r="T86" i="12"/>
  <c r="U86" i="12"/>
  <c r="V86" i="12"/>
  <c r="W86" i="12"/>
  <c r="K79" i="11"/>
  <c r="O79" i="11"/>
  <c r="X86" i="12"/>
  <c r="Y86" i="12"/>
  <c r="Z86" i="12"/>
  <c r="AA86" i="12"/>
  <c r="D80" i="11"/>
  <c r="M80" i="11"/>
  <c r="T87" i="12"/>
  <c r="U87" i="12"/>
  <c r="V87" i="12"/>
  <c r="W87" i="12"/>
  <c r="K80" i="11"/>
  <c r="O80" i="11"/>
  <c r="X87" i="12"/>
  <c r="Y87" i="12"/>
  <c r="Z87" i="12"/>
  <c r="AA87" i="12"/>
  <c r="D81" i="11"/>
  <c r="M81" i="11"/>
  <c r="T88" i="12"/>
  <c r="U88" i="12"/>
  <c r="V88" i="12"/>
  <c r="W88" i="12"/>
  <c r="K81" i="11"/>
  <c r="O81" i="11"/>
  <c r="X88" i="12"/>
  <c r="Y88" i="12"/>
  <c r="Z88" i="12"/>
  <c r="AA88" i="12"/>
  <c r="D82" i="11"/>
  <c r="M82" i="11"/>
  <c r="T89" i="12"/>
  <c r="U89" i="12"/>
  <c r="V89" i="12"/>
  <c r="W89" i="12"/>
  <c r="K82" i="11"/>
  <c r="O82" i="11"/>
  <c r="X89" i="12"/>
  <c r="Y89" i="12"/>
  <c r="Z89" i="12"/>
  <c r="AA89" i="12"/>
  <c r="D83" i="11"/>
  <c r="M83" i="11"/>
  <c r="T90" i="12"/>
  <c r="U90" i="12"/>
  <c r="V90" i="12"/>
  <c r="W90" i="12"/>
  <c r="K83" i="11"/>
  <c r="O83" i="11"/>
  <c r="X90" i="12"/>
  <c r="Y90" i="12"/>
  <c r="Z90" i="12"/>
  <c r="AA90" i="12"/>
  <c r="D84" i="11"/>
  <c r="M84" i="11"/>
  <c r="T91" i="12"/>
  <c r="U91" i="12"/>
  <c r="V91" i="12"/>
  <c r="W91" i="12"/>
  <c r="K84" i="11"/>
  <c r="O84" i="11"/>
  <c r="X91" i="12"/>
  <c r="Y91" i="12"/>
  <c r="Z91" i="12"/>
  <c r="AA91" i="12"/>
  <c r="D85" i="11"/>
  <c r="M85" i="11"/>
  <c r="T92" i="12"/>
  <c r="U92" i="12"/>
  <c r="V92" i="12"/>
  <c r="W92" i="12"/>
  <c r="K85" i="11"/>
  <c r="O85" i="11"/>
  <c r="X92" i="12"/>
  <c r="Y92" i="12"/>
  <c r="Z92" i="12"/>
  <c r="AA92" i="12"/>
  <c r="D86" i="11"/>
  <c r="M86" i="11"/>
  <c r="T93" i="12"/>
  <c r="U93" i="12"/>
  <c r="V93" i="12"/>
  <c r="W93" i="12"/>
  <c r="K86" i="11"/>
  <c r="O86" i="11"/>
  <c r="X93" i="12"/>
  <c r="Y93" i="12"/>
  <c r="Z93" i="12"/>
  <c r="AA93" i="12"/>
  <c r="D87" i="11"/>
  <c r="M87" i="11"/>
  <c r="T94" i="12"/>
  <c r="U94" i="12"/>
  <c r="V94" i="12"/>
  <c r="W94" i="12"/>
  <c r="K87" i="11"/>
  <c r="O87" i="11"/>
  <c r="X94" i="12"/>
  <c r="Y94" i="12"/>
  <c r="Z94" i="12"/>
  <c r="AA94" i="12"/>
  <c r="D88" i="11"/>
  <c r="M88" i="11"/>
  <c r="T95" i="12"/>
  <c r="U95" i="12"/>
  <c r="V95" i="12"/>
  <c r="W95" i="12"/>
  <c r="K88" i="11"/>
  <c r="O88" i="11"/>
  <c r="X95" i="12"/>
  <c r="Y95" i="12"/>
  <c r="Z95" i="12"/>
  <c r="AA95" i="12"/>
  <c r="D89" i="11"/>
  <c r="M89" i="11"/>
  <c r="T96" i="12"/>
  <c r="U96" i="12"/>
  <c r="V96" i="12"/>
  <c r="W96" i="12"/>
  <c r="K89" i="11"/>
  <c r="O89" i="11"/>
  <c r="X96" i="12"/>
  <c r="Y96" i="12"/>
  <c r="Z96" i="12"/>
  <c r="AA96" i="12"/>
  <c r="D92" i="11"/>
  <c r="M92" i="11"/>
  <c r="T99" i="12"/>
  <c r="U99" i="12"/>
  <c r="V99" i="12"/>
  <c r="W99" i="12"/>
  <c r="K92" i="11"/>
  <c r="O92" i="11"/>
  <c r="X99" i="12"/>
  <c r="Y99" i="12"/>
  <c r="Z99" i="12"/>
  <c r="AA99" i="12"/>
  <c r="D93" i="11"/>
  <c r="M93" i="11"/>
  <c r="T100" i="12"/>
  <c r="U100" i="12"/>
  <c r="V100" i="12"/>
  <c r="W100" i="12"/>
  <c r="K93" i="11"/>
  <c r="O93" i="11"/>
  <c r="X100" i="12"/>
  <c r="Y100" i="12"/>
  <c r="Z100" i="12"/>
  <c r="AA100" i="12"/>
  <c r="D94" i="11"/>
  <c r="M94" i="11"/>
  <c r="T101" i="12"/>
  <c r="U101" i="12"/>
  <c r="V101" i="12"/>
  <c r="W101" i="12"/>
  <c r="K94" i="11"/>
  <c r="O94" i="11"/>
  <c r="X101" i="12"/>
  <c r="Y101" i="12"/>
  <c r="Z101" i="12"/>
  <c r="AA101" i="12"/>
  <c r="D95" i="11"/>
  <c r="M95" i="11"/>
  <c r="T102" i="12"/>
  <c r="U102" i="12"/>
  <c r="V102" i="12"/>
  <c r="W102" i="12"/>
  <c r="K95" i="11"/>
  <c r="O95" i="11"/>
  <c r="X102" i="12"/>
  <c r="Y102" i="12"/>
  <c r="Z102" i="12"/>
  <c r="AA102" i="12"/>
  <c r="D96" i="11"/>
  <c r="M96" i="11"/>
  <c r="T103" i="12"/>
  <c r="U103" i="12"/>
  <c r="V103" i="12"/>
  <c r="W103" i="12"/>
  <c r="K96" i="11"/>
  <c r="O96" i="11"/>
  <c r="X103" i="12"/>
  <c r="Y103" i="12"/>
  <c r="Z103" i="12"/>
  <c r="AA103" i="12"/>
  <c r="D97" i="11"/>
  <c r="M97" i="11"/>
  <c r="T104" i="12"/>
  <c r="U104" i="12"/>
  <c r="V104" i="12"/>
  <c r="W104" i="12"/>
  <c r="K97" i="11"/>
  <c r="O97" i="11"/>
  <c r="X104" i="12"/>
  <c r="Y104" i="12"/>
  <c r="Z104" i="12"/>
  <c r="AA104" i="12"/>
  <c r="D98" i="11"/>
  <c r="M98" i="11"/>
  <c r="T105" i="12"/>
  <c r="U105" i="12"/>
  <c r="V105" i="12"/>
  <c r="W105" i="12"/>
  <c r="K98" i="11"/>
  <c r="O98" i="11"/>
  <c r="X105" i="12"/>
  <c r="Y105" i="12"/>
  <c r="Z105" i="12"/>
  <c r="AA105" i="12"/>
  <c r="D99" i="11"/>
  <c r="M99" i="11"/>
  <c r="T106" i="12"/>
  <c r="U106" i="12"/>
  <c r="V106" i="12"/>
  <c r="W106" i="12"/>
  <c r="Z106" i="12"/>
  <c r="AA106" i="12"/>
  <c r="D100" i="11"/>
  <c r="M100" i="11"/>
  <c r="T107" i="12"/>
  <c r="U107" i="12"/>
  <c r="V107" i="12"/>
  <c r="W107" i="12"/>
  <c r="K100" i="11"/>
  <c r="O100" i="11"/>
  <c r="X107" i="12"/>
  <c r="Y107" i="12"/>
  <c r="Z107" i="12"/>
  <c r="AA107" i="12"/>
  <c r="D101" i="11"/>
  <c r="M101" i="11"/>
  <c r="T108" i="12"/>
  <c r="U108" i="12"/>
  <c r="V108" i="12"/>
  <c r="W108" i="12"/>
  <c r="K101" i="11"/>
  <c r="O101" i="11"/>
  <c r="X108" i="12"/>
  <c r="Y108" i="12"/>
  <c r="Z108" i="12"/>
  <c r="AA108" i="12"/>
  <c r="D102" i="11"/>
  <c r="M102" i="11"/>
  <c r="T109" i="12"/>
  <c r="U109" i="12"/>
  <c r="V109" i="12"/>
  <c r="W109" i="12"/>
  <c r="K102" i="11"/>
  <c r="O102" i="11"/>
  <c r="X109" i="12"/>
  <c r="Y109" i="12"/>
  <c r="Z109" i="12"/>
  <c r="AA109" i="12"/>
  <c r="D103" i="11"/>
  <c r="M103" i="11"/>
  <c r="T110" i="12"/>
  <c r="U110" i="12"/>
  <c r="V110" i="12"/>
  <c r="W110" i="12"/>
  <c r="K103" i="11"/>
  <c r="O103" i="11"/>
  <c r="X110" i="12"/>
  <c r="Y110" i="12"/>
  <c r="Z110" i="12"/>
  <c r="AA110" i="12"/>
  <c r="D104" i="11"/>
  <c r="M104" i="11"/>
  <c r="T111" i="12"/>
  <c r="U111" i="12"/>
  <c r="V111" i="12"/>
  <c r="W111" i="12"/>
  <c r="K104" i="11"/>
  <c r="O104" i="11"/>
  <c r="X111" i="12"/>
  <c r="Y111" i="12"/>
  <c r="Z111" i="12"/>
  <c r="AA111" i="12"/>
  <c r="D105" i="11"/>
  <c r="M105" i="11"/>
  <c r="T112" i="12"/>
  <c r="U112" i="12"/>
  <c r="V112" i="12"/>
  <c r="W112" i="12"/>
  <c r="K105" i="11"/>
  <c r="O105" i="11"/>
  <c r="X112" i="12"/>
  <c r="Y112" i="12"/>
  <c r="Z112" i="12"/>
  <c r="AA112" i="12"/>
  <c r="D106" i="11"/>
  <c r="M106" i="11"/>
  <c r="T113" i="12"/>
  <c r="U113" i="12"/>
  <c r="V113" i="12"/>
  <c r="W113" i="12"/>
  <c r="K106" i="11"/>
  <c r="O106" i="11"/>
  <c r="X113" i="12"/>
  <c r="Y113" i="12"/>
  <c r="Z113" i="12"/>
  <c r="AA113" i="12"/>
  <c r="D107" i="11"/>
  <c r="M107" i="11"/>
  <c r="T114" i="12"/>
  <c r="U114" i="12"/>
  <c r="V114" i="12"/>
  <c r="W114" i="12"/>
  <c r="K107" i="11"/>
  <c r="O107" i="11"/>
  <c r="X114" i="12"/>
  <c r="Y114" i="12"/>
  <c r="Z114" i="12"/>
  <c r="AA114" i="12"/>
  <c r="D110" i="11"/>
  <c r="M110" i="11"/>
  <c r="T117" i="12"/>
  <c r="U117" i="12"/>
  <c r="V117" i="12"/>
  <c r="W117" i="12"/>
  <c r="K110" i="11"/>
  <c r="O110" i="11"/>
  <c r="X117" i="12"/>
  <c r="Y117" i="12"/>
  <c r="Z117" i="12"/>
  <c r="AA117" i="12"/>
  <c r="D111" i="11"/>
  <c r="M111" i="11"/>
  <c r="T118" i="12"/>
  <c r="U118" i="12"/>
  <c r="V118" i="12"/>
  <c r="W118" i="12"/>
  <c r="K111" i="11"/>
  <c r="O111" i="11"/>
  <c r="X118" i="12"/>
  <c r="Y118" i="12"/>
  <c r="Z118" i="12"/>
  <c r="AA118" i="12"/>
  <c r="D112" i="11"/>
  <c r="M112" i="11"/>
  <c r="T119" i="12"/>
  <c r="U119" i="12"/>
  <c r="V119" i="12"/>
  <c r="W119" i="12"/>
  <c r="K112" i="11"/>
  <c r="O112" i="11"/>
  <c r="X119" i="12"/>
  <c r="Y119" i="12"/>
  <c r="Z119" i="12"/>
  <c r="AA119" i="12"/>
  <c r="D113" i="11"/>
  <c r="M113" i="11"/>
  <c r="T120" i="12"/>
  <c r="U120" i="12"/>
  <c r="V120" i="12"/>
  <c r="W120" i="12"/>
  <c r="K113" i="11"/>
  <c r="O113" i="11"/>
  <c r="X120" i="12"/>
  <c r="Y120" i="12"/>
  <c r="Z120" i="12"/>
  <c r="AA120" i="12"/>
  <c r="D114" i="11"/>
  <c r="M114" i="11"/>
  <c r="T121" i="12"/>
  <c r="U121" i="12"/>
  <c r="V121" i="12"/>
  <c r="W121" i="12"/>
  <c r="K114" i="11"/>
  <c r="O114" i="11"/>
  <c r="X121" i="12"/>
  <c r="Y121" i="12"/>
  <c r="Z121" i="12"/>
  <c r="AA121" i="12"/>
  <c r="D115" i="11"/>
  <c r="M115" i="11"/>
  <c r="T122" i="12"/>
  <c r="U122" i="12"/>
  <c r="V122" i="12"/>
  <c r="W122" i="12"/>
  <c r="K115" i="11"/>
  <c r="O115" i="11"/>
  <c r="X122" i="12"/>
  <c r="Y122" i="12"/>
  <c r="Z122" i="12"/>
  <c r="AA122" i="12"/>
  <c r="D116" i="11"/>
  <c r="M116" i="11"/>
  <c r="T123" i="12"/>
  <c r="U123" i="12"/>
  <c r="V123" i="12"/>
  <c r="W123" i="12"/>
  <c r="K116" i="11"/>
  <c r="O116" i="11"/>
  <c r="X123" i="12"/>
  <c r="Y123" i="12"/>
  <c r="Z123" i="12"/>
  <c r="AA123" i="12"/>
  <c r="D117" i="11"/>
  <c r="M117" i="11"/>
  <c r="T124" i="12"/>
  <c r="U124" i="12"/>
  <c r="V124" i="12"/>
  <c r="W124" i="12"/>
  <c r="K117" i="11"/>
  <c r="O117" i="11"/>
  <c r="X124" i="12"/>
  <c r="Y124" i="12"/>
  <c r="Z124" i="12"/>
  <c r="AA124" i="12"/>
  <c r="D120" i="11"/>
  <c r="M120" i="11"/>
  <c r="T127" i="12"/>
  <c r="U127" i="12"/>
  <c r="V127" i="12"/>
  <c r="W127" i="12"/>
  <c r="K120" i="11"/>
  <c r="O120" i="11"/>
  <c r="X127" i="12"/>
  <c r="Y127" i="12"/>
  <c r="Z127" i="12"/>
  <c r="AA127" i="12"/>
  <c r="D121" i="11"/>
  <c r="M121" i="11"/>
  <c r="T128" i="12"/>
  <c r="U128" i="12"/>
  <c r="V128" i="12"/>
  <c r="W128" i="12"/>
  <c r="K121" i="11"/>
  <c r="O121" i="11"/>
  <c r="X128" i="12"/>
  <c r="Y128" i="12"/>
  <c r="Z128" i="12"/>
  <c r="AA128" i="12"/>
  <c r="D122" i="11"/>
  <c r="M122" i="11"/>
  <c r="T129" i="12"/>
  <c r="U129" i="12"/>
  <c r="V129" i="12"/>
  <c r="W129" i="12"/>
  <c r="K122" i="11"/>
  <c r="O122" i="11"/>
  <c r="X129" i="12"/>
  <c r="Y129" i="12"/>
  <c r="Z129" i="12"/>
  <c r="AA129" i="12"/>
  <c r="D123" i="11"/>
  <c r="M123" i="11"/>
  <c r="T130" i="12"/>
  <c r="U130" i="12"/>
  <c r="V130" i="12"/>
  <c r="W130" i="12"/>
  <c r="K123" i="11"/>
  <c r="O123" i="11"/>
  <c r="X130" i="12"/>
  <c r="Y130" i="12"/>
  <c r="Z130" i="12"/>
  <c r="AA130" i="12"/>
  <c r="D124" i="11"/>
  <c r="M124" i="11"/>
  <c r="T131" i="12"/>
  <c r="U131" i="12"/>
  <c r="V131" i="12"/>
  <c r="W131" i="12"/>
  <c r="K124" i="11"/>
  <c r="O124" i="11"/>
  <c r="X131" i="12"/>
  <c r="Y131" i="12"/>
  <c r="Z131" i="12"/>
  <c r="AA131" i="12"/>
  <c r="D125" i="11"/>
  <c r="M125" i="11"/>
  <c r="T132" i="12"/>
  <c r="U132" i="12"/>
  <c r="V132" i="12"/>
  <c r="W132" i="12"/>
  <c r="K125" i="11"/>
  <c r="O125" i="11"/>
  <c r="X132" i="12"/>
  <c r="Y132" i="12"/>
  <c r="Z132" i="12"/>
  <c r="AA132" i="12"/>
  <c r="D126" i="11"/>
  <c r="M126" i="11"/>
  <c r="T133" i="12"/>
  <c r="U133" i="12"/>
  <c r="V133" i="12"/>
  <c r="W133" i="12"/>
  <c r="K126" i="11"/>
  <c r="O126" i="11"/>
  <c r="X133" i="12"/>
  <c r="Y133" i="12"/>
  <c r="Z133" i="12"/>
  <c r="AA133" i="12"/>
  <c r="D127" i="11"/>
  <c r="M127" i="11"/>
  <c r="T134" i="12"/>
  <c r="U134" i="12"/>
  <c r="V134" i="12"/>
  <c r="W134" i="12"/>
  <c r="K127" i="11"/>
  <c r="O127" i="11"/>
  <c r="X134" i="12"/>
  <c r="Y134" i="12"/>
  <c r="Z134" i="12"/>
  <c r="AA134" i="12"/>
  <c r="D128" i="11"/>
  <c r="M128" i="11"/>
  <c r="T135" i="12"/>
  <c r="U135" i="12"/>
  <c r="V135" i="12"/>
  <c r="W135" i="12"/>
  <c r="K128" i="11"/>
  <c r="O128" i="11"/>
  <c r="X135" i="12"/>
  <c r="Y135" i="12"/>
  <c r="Z135" i="12"/>
  <c r="AA135" i="12"/>
  <c r="D129" i="11"/>
  <c r="M129" i="11"/>
  <c r="T136" i="12"/>
  <c r="U136" i="12"/>
  <c r="V136" i="12"/>
  <c r="W136" i="12"/>
  <c r="K129" i="11"/>
  <c r="O129" i="11"/>
  <c r="X136" i="12"/>
  <c r="Y136" i="12"/>
  <c r="Z136" i="12"/>
  <c r="AA136" i="12"/>
  <c r="AA139" i="12"/>
  <c r="AB14" i="12"/>
  <c r="AD14" i="12"/>
  <c r="AE14" i="12"/>
  <c r="AF14" i="12"/>
  <c r="B25" i="19"/>
  <c r="B48" i="19"/>
  <c r="B63" i="19"/>
  <c r="B72" i="19"/>
  <c r="B76" i="19"/>
  <c r="B100" i="19"/>
  <c r="B119" i="19"/>
  <c r="B130" i="19"/>
  <c r="B143" i="19"/>
  <c r="B145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6" i="19"/>
  <c r="F67" i="19"/>
  <c r="F68" i="19"/>
  <c r="F69" i="19"/>
  <c r="F70" i="19"/>
  <c r="F71" i="19"/>
  <c r="F72" i="19"/>
  <c r="F75" i="19"/>
  <c r="F76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2" i="19"/>
  <c r="F123" i="19"/>
  <c r="F124" i="19"/>
  <c r="F125" i="19"/>
  <c r="F126" i="19"/>
  <c r="F127" i="19"/>
  <c r="F128" i="19"/>
  <c r="F129" i="19"/>
  <c r="F130" i="19"/>
  <c r="F133" i="19"/>
  <c r="F134" i="19"/>
  <c r="F135" i="19"/>
  <c r="F136" i="19"/>
  <c r="F137" i="19"/>
  <c r="F138" i="19"/>
  <c r="F139" i="19"/>
  <c r="F140" i="19"/>
  <c r="F141" i="19"/>
  <c r="F142" i="19"/>
  <c r="F143" i="19"/>
  <c r="F145" i="19"/>
  <c r="C25" i="19"/>
  <c r="C48" i="19"/>
  <c r="C63" i="19"/>
  <c r="C72" i="19"/>
  <c r="C76" i="19"/>
  <c r="C100" i="19"/>
  <c r="C119" i="19"/>
  <c r="C130" i="19"/>
  <c r="C143" i="19"/>
  <c r="C145" i="19"/>
  <c r="D25" i="19"/>
  <c r="D48" i="19"/>
  <c r="D63" i="19"/>
  <c r="D72" i="19"/>
  <c r="D76" i="19"/>
  <c r="D100" i="19"/>
  <c r="D119" i="19"/>
  <c r="D130" i="19"/>
  <c r="D143" i="19"/>
  <c r="D145" i="19"/>
  <c r="E25" i="19"/>
  <c r="E48" i="19"/>
  <c r="E63" i="19"/>
  <c r="E72" i="19"/>
  <c r="E76" i="19"/>
  <c r="E100" i="19"/>
  <c r="E119" i="19"/>
  <c r="E130" i="19"/>
  <c r="E143" i="19"/>
  <c r="E145" i="19"/>
  <c r="B6" i="19"/>
  <c r="F6" i="19"/>
  <c r="C6" i="19"/>
  <c r="D6" i="19"/>
  <c r="E6" i="19"/>
  <c r="B25" i="18"/>
  <c r="B48" i="18"/>
  <c r="B63" i="18"/>
  <c r="B72" i="18"/>
  <c r="B76" i="18"/>
  <c r="B100" i="18"/>
  <c r="B119" i="18"/>
  <c r="B130" i="18"/>
  <c r="B143" i="18"/>
  <c r="B145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6" i="18"/>
  <c r="F67" i="18"/>
  <c r="F68" i="18"/>
  <c r="F69" i="18"/>
  <c r="F70" i="18"/>
  <c r="F71" i="18"/>
  <c r="F72" i="18"/>
  <c r="F75" i="18"/>
  <c r="F76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2" i="18"/>
  <c r="F123" i="18"/>
  <c r="F124" i="18"/>
  <c r="F125" i="18"/>
  <c r="F126" i="18"/>
  <c r="F127" i="18"/>
  <c r="F128" i="18"/>
  <c r="F129" i="18"/>
  <c r="F130" i="18"/>
  <c r="F133" i="18"/>
  <c r="F134" i="18"/>
  <c r="F135" i="18"/>
  <c r="F136" i="18"/>
  <c r="F137" i="18"/>
  <c r="F138" i="18"/>
  <c r="F139" i="18"/>
  <c r="F140" i="18"/>
  <c r="F141" i="18"/>
  <c r="F142" i="18"/>
  <c r="F143" i="18"/>
  <c r="F145" i="18"/>
  <c r="C25" i="18"/>
  <c r="C48" i="18"/>
  <c r="C63" i="18"/>
  <c r="C72" i="18"/>
  <c r="C76" i="18"/>
  <c r="C100" i="18"/>
  <c r="C119" i="18"/>
  <c r="C130" i="18"/>
  <c r="C143" i="18"/>
  <c r="C145" i="18"/>
  <c r="D25" i="18"/>
  <c r="D48" i="18"/>
  <c r="D63" i="18"/>
  <c r="D72" i="18"/>
  <c r="D76" i="18"/>
  <c r="D100" i="18"/>
  <c r="D119" i="18"/>
  <c r="D130" i="18"/>
  <c r="D143" i="18"/>
  <c r="D145" i="18"/>
  <c r="E25" i="18"/>
  <c r="E48" i="18"/>
  <c r="E63" i="18"/>
  <c r="E72" i="18"/>
  <c r="E76" i="18"/>
  <c r="E100" i="18"/>
  <c r="E119" i="18"/>
  <c r="E130" i="18"/>
  <c r="E143" i="18"/>
  <c r="E145" i="18"/>
  <c r="B6" i="18"/>
  <c r="F6" i="18"/>
  <c r="C6" i="18"/>
  <c r="D6" i="18"/>
  <c r="E6" i="18"/>
  <c r="K10" i="8"/>
  <c r="J10" i="8"/>
  <c r="K11" i="8"/>
  <c r="J11" i="8"/>
  <c r="K12" i="8"/>
  <c r="J12" i="8"/>
  <c r="K13" i="8"/>
  <c r="J13" i="8"/>
  <c r="K14" i="8"/>
  <c r="J14" i="8"/>
  <c r="K15" i="8"/>
  <c r="J15" i="8"/>
  <c r="K16" i="8"/>
  <c r="J16" i="8"/>
  <c r="K17" i="8"/>
  <c r="J17" i="8"/>
  <c r="K18" i="8"/>
  <c r="J18" i="8"/>
  <c r="K19" i="8"/>
  <c r="J19" i="8"/>
  <c r="K20" i="8"/>
  <c r="J20" i="8"/>
  <c r="K21" i="8"/>
  <c r="J21" i="8"/>
  <c r="K22" i="8"/>
  <c r="J22" i="8"/>
  <c r="K23" i="8"/>
  <c r="J23" i="8"/>
  <c r="K24" i="8"/>
  <c r="J24" i="8"/>
  <c r="K27" i="8"/>
  <c r="J27" i="8"/>
  <c r="K28" i="8"/>
  <c r="J28" i="8"/>
  <c r="K29" i="8"/>
  <c r="J29" i="8"/>
  <c r="K30" i="8"/>
  <c r="J30" i="8"/>
  <c r="K31" i="8"/>
  <c r="J31" i="8"/>
  <c r="K32" i="8"/>
  <c r="J32" i="8"/>
  <c r="K33" i="8"/>
  <c r="J33" i="8"/>
  <c r="K34" i="8"/>
  <c r="J34" i="8"/>
  <c r="K35" i="8"/>
  <c r="J35" i="8"/>
  <c r="K36" i="8"/>
  <c r="J36" i="8"/>
  <c r="K37" i="8"/>
  <c r="J37" i="8"/>
  <c r="K38" i="8"/>
  <c r="J38" i="8"/>
  <c r="K39" i="8"/>
  <c r="J39" i="8"/>
  <c r="K40" i="8"/>
  <c r="J40" i="8"/>
  <c r="K41" i="8"/>
  <c r="J41" i="8"/>
  <c r="K42" i="8"/>
  <c r="J42" i="8"/>
  <c r="K43" i="8"/>
  <c r="J43" i="8"/>
  <c r="K44" i="8"/>
  <c r="J44" i="8"/>
  <c r="K45" i="8"/>
  <c r="J45" i="8"/>
  <c r="K46" i="8"/>
  <c r="J46" i="8"/>
  <c r="K49" i="8"/>
  <c r="J49" i="8"/>
  <c r="K50" i="8"/>
  <c r="J50" i="8"/>
  <c r="K51" i="8"/>
  <c r="J51" i="8"/>
  <c r="K52" i="8"/>
  <c r="J52" i="8"/>
  <c r="K53" i="8"/>
  <c r="J53" i="8"/>
  <c r="K54" i="8"/>
  <c r="J54" i="8"/>
  <c r="K55" i="8"/>
  <c r="J55" i="8"/>
  <c r="K56" i="8"/>
  <c r="J56" i="8"/>
  <c r="K57" i="8"/>
  <c r="J57" i="8"/>
  <c r="K58" i="8"/>
  <c r="J58" i="8"/>
  <c r="K59" i="8"/>
  <c r="J59" i="8"/>
  <c r="K60" i="8"/>
  <c r="J60" i="8"/>
  <c r="K63" i="8"/>
  <c r="J63" i="8"/>
  <c r="K64" i="8"/>
  <c r="J64" i="8"/>
  <c r="K65" i="8"/>
  <c r="J65" i="8"/>
  <c r="K66" i="8"/>
  <c r="J66" i="8"/>
  <c r="K67" i="8"/>
  <c r="J67" i="8"/>
  <c r="K68" i="8"/>
  <c r="J68" i="8"/>
  <c r="K71" i="8"/>
  <c r="J71" i="8"/>
  <c r="K74" i="8"/>
  <c r="J74" i="8"/>
  <c r="K75" i="8"/>
  <c r="J75" i="8"/>
  <c r="K76" i="8"/>
  <c r="J76" i="8"/>
  <c r="K77" i="8"/>
  <c r="J77" i="8"/>
  <c r="K78" i="8"/>
  <c r="J78" i="8"/>
  <c r="K79" i="8"/>
  <c r="J79" i="8"/>
  <c r="K80" i="8"/>
  <c r="J80" i="8"/>
  <c r="K81" i="8"/>
  <c r="J81" i="8"/>
  <c r="K82" i="8"/>
  <c r="J82" i="8"/>
  <c r="K83" i="8"/>
  <c r="J83" i="8"/>
  <c r="K84" i="8"/>
  <c r="J84" i="8"/>
  <c r="K85" i="8"/>
  <c r="J85" i="8"/>
  <c r="K86" i="8"/>
  <c r="J86" i="8"/>
  <c r="K87" i="8"/>
  <c r="J87" i="8"/>
  <c r="K88" i="8"/>
  <c r="J88" i="8"/>
  <c r="K89" i="8"/>
  <c r="J89" i="8"/>
  <c r="K90" i="8"/>
  <c r="J90" i="8"/>
  <c r="K91" i="8"/>
  <c r="J91" i="8"/>
  <c r="K92" i="8"/>
  <c r="J92" i="8"/>
  <c r="K93" i="8"/>
  <c r="J93" i="8"/>
  <c r="K94" i="8"/>
  <c r="J94" i="8"/>
  <c r="K97" i="8"/>
  <c r="J97" i="8"/>
  <c r="K98" i="8"/>
  <c r="J98" i="8"/>
  <c r="K99" i="8"/>
  <c r="J99" i="8"/>
  <c r="K100" i="8"/>
  <c r="J100" i="8"/>
  <c r="K101" i="8"/>
  <c r="J101" i="8"/>
  <c r="K102" i="8"/>
  <c r="J102" i="8"/>
  <c r="K103" i="8"/>
  <c r="J103" i="8"/>
  <c r="K104" i="8"/>
  <c r="J104" i="8"/>
  <c r="K105" i="8"/>
  <c r="J105" i="8"/>
  <c r="K106" i="8"/>
  <c r="J106" i="8"/>
  <c r="K107" i="8"/>
  <c r="J107" i="8"/>
  <c r="K108" i="8"/>
  <c r="J108" i="8"/>
  <c r="K109" i="8"/>
  <c r="J109" i="8"/>
  <c r="K110" i="8"/>
  <c r="J110" i="8"/>
  <c r="K111" i="8"/>
  <c r="J111" i="8"/>
  <c r="K112" i="8"/>
  <c r="J112" i="8"/>
  <c r="K115" i="8"/>
  <c r="J115" i="8"/>
  <c r="K116" i="8"/>
  <c r="J116" i="8"/>
  <c r="K117" i="8"/>
  <c r="J117" i="8"/>
  <c r="K118" i="8"/>
  <c r="J118" i="8"/>
  <c r="K119" i="8"/>
  <c r="J119" i="8"/>
  <c r="K120" i="8"/>
  <c r="J120" i="8"/>
  <c r="K121" i="8"/>
  <c r="J121" i="8"/>
  <c r="K122" i="8"/>
  <c r="J122" i="8"/>
  <c r="K125" i="8"/>
  <c r="J125" i="8"/>
  <c r="K126" i="8"/>
  <c r="J126" i="8"/>
  <c r="K127" i="8"/>
  <c r="J127" i="8"/>
  <c r="K128" i="8"/>
  <c r="J128" i="8"/>
  <c r="K129" i="8"/>
  <c r="J129" i="8"/>
  <c r="K130" i="8"/>
  <c r="J130" i="8"/>
  <c r="K131" i="8"/>
  <c r="J131" i="8"/>
  <c r="K132" i="8"/>
  <c r="J132" i="8"/>
  <c r="K133" i="8"/>
  <c r="J133" i="8"/>
  <c r="K134" i="8"/>
  <c r="J134" i="8"/>
  <c r="K7" i="8"/>
  <c r="K6" i="8"/>
  <c r="C5" i="12"/>
  <c r="G10" i="12"/>
  <c r="D12" i="12"/>
  <c r="E10" i="12"/>
  <c r="E12" i="12"/>
  <c r="F12" i="12"/>
  <c r="G12" i="12"/>
  <c r="J12" i="12"/>
  <c r="P12" i="12"/>
  <c r="M12" i="12"/>
  <c r="D13" i="12"/>
  <c r="E13" i="12"/>
  <c r="J13" i="12"/>
  <c r="M13" i="12"/>
  <c r="D14" i="12"/>
  <c r="E14" i="12"/>
  <c r="J14" i="12"/>
  <c r="M14" i="12"/>
  <c r="D15" i="12"/>
  <c r="E15" i="12"/>
  <c r="J15" i="12"/>
  <c r="M15" i="12"/>
  <c r="D16" i="12"/>
  <c r="E16" i="12"/>
  <c r="J16" i="12"/>
  <c r="I27" i="12"/>
  <c r="I49" i="12"/>
  <c r="I63" i="12"/>
  <c r="I71" i="12"/>
  <c r="I74" i="12"/>
  <c r="I97" i="12"/>
  <c r="I115" i="12"/>
  <c r="I125" i="12"/>
  <c r="I137" i="12"/>
  <c r="I139" i="12"/>
  <c r="L16" i="12"/>
  <c r="M16" i="12"/>
  <c r="D17" i="12"/>
  <c r="E17" i="12"/>
  <c r="J17" i="12"/>
  <c r="M17" i="12"/>
  <c r="D18" i="12"/>
  <c r="E18" i="12"/>
  <c r="J18" i="12"/>
  <c r="M18" i="12"/>
  <c r="D19" i="12"/>
  <c r="E19" i="12"/>
  <c r="J19" i="12"/>
  <c r="M19" i="12"/>
  <c r="D20" i="12"/>
  <c r="E20" i="12"/>
  <c r="J20" i="12"/>
  <c r="M20" i="12"/>
  <c r="D21" i="12"/>
  <c r="E21" i="12"/>
  <c r="J21" i="12"/>
  <c r="M21" i="12"/>
  <c r="D22" i="12"/>
  <c r="E22" i="12"/>
  <c r="J22" i="12"/>
  <c r="M22" i="12"/>
  <c r="D23" i="12"/>
  <c r="E23" i="12"/>
  <c r="J23" i="12"/>
  <c r="M23" i="12"/>
  <c r="D24" i="12"/>
  <c r="E24" i="12"/>
  <c r="J24" i="12"/>
  <c r="M24" i="12"/>
  <c r="D25" i="12"/>
  <c r="E25" i="12"/>
  <c r="J25" i="12"/>
  <c r="M25" i="12"/>
  <c r="D26" i="12"/>
  <c r="E26" i="12"/>
  <c r="J26" i="12"/>
  <c r="M26" i="12"/>
  <c r="D29" i="12"/>
  <c r="E29" i="12"/>
  <c r="J29" i="12"/>
  <c r="M29" i="12"/>
  <c r="D30" i="12"/>
  <c r="E30" i="12"/>
  <c r="J30" i="12"/>
  <c r="M30" i="12"/>
  <c r="D31" i="12"/>
  <c r="E31" i="12"/>
  <c r="J31" i="12"/>
  <c r="M31" i="12"/>
  <c r="D32" i="12"/>
  <c r="E32" i="12"/>
  <c r="J32" i="12"/>
  <c r="M32" i="12"/>
  <c r="D33" i="12"/>
  <c r="E33" i="12"/>
  <c r="J33" i="12"/>
  <c r="M33" i="12"/>
  <c r="D34" i="12"/>
  <c r="E34" i="12"/>
  <c r="J34" i="12"/>
  <c r="M34" i="12"/>
  <c r="D35" i="12"/>
  <c r="E35" i="12"/>
  <c r="J35" i="12"/>
  <c r="L35" i="12"/>
  <c r="M35" i="12"/>
  <c r="D36" i="12"/>
  <c r="E36" i="12"/>
  <c r="J36" i="12"/>
  <c r="M36" i="12"/>
  <c r="D37" i="12"/>
  <c r="E37" i="12"/>
  <c r="J37" i="12"/>
  <c r="M37" i="12"/>
  <c r="D38" i="12"/>
  <c r="E38" i="12"/>
  <c r="J38" i="12"/>
  <c r="M38" i="12"/>
  <c r="D39" i="12"/>
  <c r="E39" i="12"/>
  <c r="J39" i="12"/>
  <c r="M39" i="12"/>
  <c r="D40" i="12"/>
  <c r="E40" i="12"/>
  <c r="J40" i="12"/>
  <c r="M40" i="12"/>
  <c r="D41" i="12"/>
  <c r="E41" i="12"/>
  <c r="J41" i="12"/>
  <c r="M41" i="12"/>
  <c r="D42" i="12"/>
  <c r="E42" i="12"/>
  <c r="J42" i="12"/>
  <c r="M42" i="12"/>
  <c r="D43" i="12"/>
  <c r="E43" i="12"/>
  <c r="J43" i="12"/>
  <c r="M43" i="12"/>
  <c r="D44" i="12"/>
  <c r="E44" i="12"/>
  <c r="J44" i="12"/>
  <c r="M44" i="12"/>
  <c r="D45" i="12"/>
  <c r="E45" i="12"/>
  <c r="J45" i="12"/>
  <c r="M45" i="12"/>
  <c r="D46" i="12"/>
  <c r="E46" i="12"/>
  <c r="J46" i="12"/>
  <c r="M46" i="12"/>
  <c r="D47" i="12"/>
  <c r="E47" i="12"/>
  <c r="J47" i="12"/>
  <c r="M47" i="12"/>
  <c r="D48" i="12"/>
  <c r="E48" i="12"/>
  <c r="J48" i="12"/>
  <c r="M48" i="12"/>
  <c r="D51" i="12"/>
  <c r="E51" i="12"/>
  <c r="J51" i="12"/>
  <c r="M51" i="12"/>
  <c r="D52" i="12"/>
  <c r="E52" i="12"/>
  <c r="J52" i="12"/>
  <c r="M52" i="12"/>
  <c r="D53" i="12"/>
  <c r="E53" i="12"/>
  <c r="J53" i="12"/>
  <c r="M53" i="12"/>
  <c r="D54" i="12"/>
  <c r="E54" i="12"/>
  <c r="J54" i="12"/>
  <c r="M54" i="12"/>
  <c r="D55" i="12"/>
  <c r="E55" i="12"/>
  <c r="J55" i="12"/>
  <c r="M55" i="12"/>
  <c r="D56" i="12"/>
  <c r="E56" i="12"/>
  <c r="J56" i="12"/>
  <c r="M56" i="12"/>
  <c r="D57" i="12"/>
  <c r="E57" i="12"/>
  <c r="J57" i="12"/>
  <c r="M57" i="12"/>
  <c r="D58" i="12"/>
  <c r="E58" i="12"/>
  <c r="J58" i="12"/>
  <c r="M58" i="12"/>
  <c r="D59" i="12"/>
  <c r="E59" i="12"/>
  <c r="J59" i="12"/>
  <c r="M59" i="12"/>
  <c r="D60" i="12"/>
  <c r="E60" i="12"/>
  <c r="J60" i="12"/>
  <c r="M60" i="12"/>
  <c r="D61" i="12"/>
  <c r="E61" i="12"/>
  <c r="J61" i="12"/>
  <c r="M61" i="12"/>
  <c r="D62" i="12"/>
  <c r="E62" i="12"/>
  <c r="J62" i="12"/>
  <c r="M62" i="12"/>
  <c r="D65" i="12"/>
  <c r="E65" i="12"/>
  <c r="J65" i="12"/>
  <c r="L65" i="12"/>
  <c r="M65" i="12"/>
  <c r="D66" i="12"/>
  <c r="E66" i="12"/>
  <c r="J66" i="12"/>
  <c r="M66" i="12"/>
  <c r="D67" i="12"/>
  <c r="E67" i="12"/>
  <c r="J67" i="12"/>
  <c r="M67" i="12"/>
  <c r="D68" i="12"/>
  <c r="E68" i="12"/>
  <c r="J68" i="12"/>
  <c r="M68" i="12"/>
  <c r="D69" i="12"/>
  <c r="E69" i="12"/>
  <c r="J69" i="12"/>
  <c r="M69" i="12"/>
  <c r="D70" i="12"/>
  <c r="E70" i="12"/>
  <c r="J70" i="12"/>
  <c r="M70" i="12"/>
  <c r="D73" i="12"/>
  <c r="E73" i="12"/>
  <c r="J73" i="12"/>
  <c r="M73" i="12"/>
  <c r="D76" i="12"/>
  <c r="E76" i="12"/>
  <c r="J76" i="12"/>
  <c r="M76" i="12"/>
  <c r="D77" i="12"/>
  <c r="E77" i="12"/>
  <c r="J77" i="12"/>
  <c r="M77" i="12"/>
  <c r="D78" i="12"/>
  <c r="E78" i="12"/>
  <c r="J78" i="12"/>
  <c r="M78" i="12"/>
  <c r="D79" i="12"/>
  <c r="E79" i="12"/>
  <c r="J79" i="12"/>
  <c r="M79" i="12"/>
  <c r="D80" i="12"/>
  <c r="E80" i="12"/>
  <c r="J80" i="12"/>
  <c r="L80" i="12"/>
  <c r="M80" i="12"/>
  <c r="D81" i="12"/>
  <c r="E81" i="12"/>
  <c r="J81" i="12"/>
  <c r="M81" i="12"/>
  <c r="D82" i="12"/>
  <c r="E82" i="12"/>
  <c r="J82" i="12"/>
  <c r="M82" i="12"/>
  <c r="D83" i="12"/>
  <c r="E83" i="12"/>
  <c r="J83" i="12"/>
  <c r="M83" i="12"/>
  <c r="D84" i="12"/>
  <c r="E84" i="12"/>
  <c r="J84" i="12"/>
  <c r="M84" i="12"/>
  <c r="D85" i="12"/>
  <c r="E85" i="12"/>
  <c r="J85" i="12"/>
  <c r="M85" i="12"/>
  <c r="D86" i="12"/>
  <c r="E86" i="12"/>
  <c r="J86" i="12"/>
  <c r="M86" i="12"/>
  <c r="D87" i="12"/>
  <c r="E87" i="12"/>
  <c r="J87" i="12"/>
  <c r="M87" i="12"/>
  <c r="D88" i="12"/>
  <c r="E88" i="12"/>
  <c r="J88" i="12"/>
  <c r="M88" i="12"/>
  <c r="D89" i="12"/>
  <c r="E89" i="12"/>
  <c r="J89" i="12"/>
  <c r="M89" i="12"/>
  <c r="D90" i="12"/>
  <c r="E90" i="12"/>
  <c r="J90" i="12"/>
  <c r="M90" i="12"/>
  <c r="D91" i="12"/>
  <c r="E91" i="12"/>
  <c r="J91" i="12"/>
  <c r="M91" i="12"/>
  <c r="D92" i="12"/>
  <c r="E92" i="12"/>
  <c r="J92" i="12"/>
  <c r="M92" i="12"/>
  <c r="D93" i="12"/>
  <c r="E93" i="12"/>
  <c r="J93" i="12"/>
  <c r="M93" i="12"/>
  <c r="D94" i="12"/>
  <c r="E94" i="12"/>
  <c r="J94" i="12"/>
  <c r="M94" i="12"/>
  <c r="D95" i="12"/>
  <c r="E95" i="12"/>
  <c r="J95" i="12"/>
  <c r="M95" i="12"/>
  <c r="D96" i="12"/>
  <c r="E96" i="12"/>
  <c r="J96" i="12"/>
  <c r="M96" i="12"/>
  <c r="D99" i="12"/>
  <c r="E99" i="12"/>
  <c r="J99" i="12"/>
  <c r="M99" i="12"/>
  <c r="D100" i="12"/>
  <c r="E100" i="12"/>
  <c r="J100" i="12"/>
  <c r="M100" i="12"/>
  <c r="D101" i="12"/>
  <c r="E101" i="12"/>
  <c r="J101" i="12"/>
  <c r="M101" i="12"/>
  <c r="D102" i="12"/>
  <c r="E102" i="12"/>
  <c r="J102" i="12"/>
  <c r="M102" i="12"/>
  <c r="D103" i="12"/>
  <c r="E103" i="12"/>
  <c r="J103" i="12"/>
  <c r="M103" i="12"/>
  <c r="D104" i="12"/>
  <c r="E104" i="12"/>
  <c r="J104" i="12"/>
  <c r="M104" i="12"/>
  <c r="D105" i="12"/>
  <c r="E105" i="12"/>
  <c r="J105" i="12"/>
  <c r="M105" i="12"/>
  <c r="D106" i="12"/>
  <c r="E106" i="12"/>
  <c r="J106" i="12"/>
  <c r="M106" i="12"/>
  <c r="D107" i="12"/>
  <c r="E107" i="12"/>
  <c r="J107" i="12"/>
  <c r="M107" i="12"/>
  <c r="D108" i="12"/>
  <c r="E108" i="12"/>
  <c r="J108" i="12"/>
  <c r="M108" i="12"/>
  <c r="D109" i="12"/>
  <c r="E109" i="12"/>
  <c r="J109" i="12"/>
  <c r="M109" i="12"/>
  <c r="D110" i="12"/>
  <c r="E110" i="12"/>
  <c r="J110" i="12"/>
  <c r="M110" i="12"/>
  <c r="D111" i="12"/>
  <c r="E111" i="12"/>
  <c r="J111" i="12"/>
  <c r="M111" i="12"/>
  <c r="D112" i="12"/>
  <c r="E112" i="12"/>
  <c r="J112" i="12"/>
  <c r="M112" i="12"/>
  <c r="D113" i="12"/>
  <c r="E113" i="12"/>
  <c r="J113" i="12"/>
  <c r="M113" i="12"/>
  <c r="D114" i="12"/>
  <c r="E114" i="12"/>
  <c r="J114" i="12"/>
  <c r="M114" i="12"/>
  <c r="D117" i="12"/>
  <c r="E117" i="12"/>
  <c r="J117" i="12"/>
  <c r="M117" i="12"/>
  <c r="D118" i="12"/>
  <c r="E118" i="12"/>
  <c r="J118" i="12"/>
  <c r="M118" i="12"/>
  <c r="D119" i="12"/>
  <c r="E119" i="12"/>
  <c r="J119" i="12"/>
  <c r="M119" i="12"/>
  <c r="D120" i="12"/>
  <c r="E120" i="12"/>
  <c r="J120" i="12"/>
  <c r="M120" i="12"/>
  <c r="D121" i="12"/>
  <c r="E121" i="12"/>
  <c r="J121" i="12"/>
  <c r="M121" i="12"/>
  <c r="D122" i="12"/>
  <c r="E122" i="12"/>
  <c r="J122" i="12"/>
  <c r="M122" i="12"/>
  <c r="D123" i="12"/>
  <c r="E123" i="12"/>
  <c r="J123" i="12"/>
  <c r="M123" i="12"/>
  <c r="D124" i="12"/>
  <c r="E124" i="12"/>
  <c r="J124" i="12"/>
  <c r="M124" i="12"/>
  <c r="D127" i="12"/>
  <c r="E127" i="12"/>
  <c r="J127" i="12"/>
  <c r="M127" i="12"/>
  <c r="D128" i="12"/>
  <c r="E128" i="12"/>
  <c r="J128" i="12"/>
  <c r="M128" i="12"/>
  <c r="D129" i="12"/>
  <c r="E129" i="12"/>
  <c r="J129" i="12"/>
  <c r="M129" i="12"/>
  <c r="D130" i="12"/>
  <c r="E130" i="12"/>
  <c r="J130" i="12"/>
  <c r="M130" i="12"/>
  <c r="D131" i="12"/>
  <c r="E131" i="12"/>
  <c r="J131" i="12"/>
  <c r="M131" i="12"/>
  <c r="D132" i="12"/>
  <c r="E132" i="12"/>
  <c r="J132" i="12"/>
  <c r="M132" i="12"/>
  <c r="D133" i="12"/>
  <c r="E133" i="12"/>
  <c r="J133" i="12"/>
  <c r="M133" i="12"/>
  <c r="D134" i="12"/>
  <c r="E134" i="12"/>
  <c r="J134" i="12"/>
  <c r="M134" i="12"/>
  <c r="D135" i="12"/>
  <c r="E135" i="12"/>
  <c r="J135" i="12"/>
  <c r="M135" i="12"/>
  <c r="D136" i="12"/>
  <c r="E136" i="12"/>
  <c r="J136" i="12"/>
  <c r="M136" i="12"/>
  <c r="M139" i="12"/>
  <c r="L12" i="12"/>
  <c r="L27" i="12"/>
  <c r="L49" i="12"/>
  <c r="L63" i="12"/>
  <c r="L71" i="12"/>
  <c r="L74" i="12"/>
  <c r="L97" i="12"/>
  <c r="L115" i="12"/>
  <c r="L125" i="12"/>
  <c r="L137" i="12"/>
  <c r="L139" i="12"/>
  <c r="N12" i="12"/>
  <c r="P13" i="12"/>
  <c r="P14" i="12"/>
  <c r="P15" i="12"/>
  <c r="F16" i="12"/>
  <c r="G16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9" i="12"/>
  <c r="P30" i="12"/>
  <c r="P31" i="12"/>
  <c r="P32" i="12"/>
  <c r="P33" i="12"/>
  <c r="P34" i="12"/>
  <c r="F35" i="12"/>
  <c r="G35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F65" i="12"/>
  <c r="G65" i="12"/>
  <c r="P65" i="12"/>
  <c r="P66" i="12"/>
  <c r="P67" i="12"/>
  <c r="P68" i="12"/>
  <c r="P69" i="12"/>
  <c r="P70" i="12"/>
  <c r="P71" i="12"/>
  <c r="P73" i="12"/>
  <c r="P74" i="12"/>
  <c r="P76" i="12"/>
  <c r="P77" i="12"/>
  <c r="P78" i="12"/>
  <c r="P79" i="12"/>
  <c r="F80" i="12"/>
  <c r="G80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7" i="12"/>
  <c r="P118" i="12"/>
  <c r="P119" i="12"/>
  <c r="P120" i="12"/>
  <c r="P121" i="12"/>
  <c r="P122" i="12"/>
  <c r="P123" i="12"/>
  <c r="P124" i="12"/>
  <c r="P125" i="12"/>
  <c r="P127" i="12"/>
  <c r="P128" i="12"/>
  <c r="P129" i="12"/>
  <c r="P130" i="12"/>
  <c r="P131" i="12"/>
  <c r="P132" i="12"/>
  <c r="P133" i="12"/>
  <c r="P134" i="12"/>
  <c r="P135" i="12"/>
  <c r="P136" i="12"/>
  <c r="P137" i="12"/>
  <c r="P139" i="12"/>
  <c r="Q12" i="12"/>
  <c r="R12" i="12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9" i="8"/>
  <c r="L50" i="8"/>
  <c r="L51" i="8"/>
  <c r="L52" i="8"/>
  <c r="L53" i="8"/>
  <c r="L54" i="8"/>
  <c r="L55" i="8"/>
  <c r="L56" i="8"/>
  <c r="L57" i="8"/>
  <c r="L58" i="8"/>
  <c r="L59" i="8"/>
  <c r="L60" i="8"/>
  <c r="L63" i="8"/>
  <c r="L64" i="8"/>
  <c r="L65" i="8"/>
  <c r="L66" i="8"/>
  <c r="L67" i="8"/>
  <c r="L68" i="8"/>
  <c r="L71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5" i="8"/>
  <c r="L116" i="8"/>
  <c r="L117" i="8"/>
  <c r="L118" i="8"/>
  <c r="L119" i="8"/>
  <c r="L120" i="8"/>
  <c r="L121" i="8"/>
  <c r="L122" i="8"/>
  <c r="L125" i="8"/>
  <c r="L126" i="8"/>
  <c r="L127" i="8"/>
  <c r="L128" i="8"/>
  <c r="L129" i="8"/>
  <c r="L130" i="8"/>
  <c r="L131" i="8"/>
  <c r="L132" i="8"/>
  <c r="L133" i="8"/>
  <c r="L134" i="8"/>
  <c r="L7" i="8"/>
  <c r="L6" i="8"/>
  <c r="M10" i="8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8" i="9"/>
  <c r="F49" i="9"/>
  <c r="F50" i="9"/>
  <c r="F51" i="9"/>
  <c r="F52" i="9"/>
  <c r="F53" i="9"/>
  <c r="F54" i="9"/>
  <c r="F55" i="9"/>
  <c r="F56" i="9"/>
  <c r="F57" i="9"/>
  <c r="F58" i="9"/>
  <c r="F59" i="9"/>
  <c r="F62" i="9"/>
  <c r="F63" i="9"/>
  <c r="F64" i="9"/>
  <c r="F65" i="9"/>
  <c r="F66" i="9"/>
  <c r="F67" i="9"/>
  <c r="F70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4" i="9"/>
  <c r="F115" i="9"/>
  <c r="F116" i="9"/>
  <c r="F117" i="9"/>
  <c r="F118" i="9"/>
  <c r="F119" i="9"/>
  <c r="F120" i="9"/>
  <c r="F121" i="9"/>
  <c r="F124" i="9"/>
  <c r="F125" i="9"/>
  <c r="F126" i="9"/>
  <c r="F127" i="9"/>
  <c r="F128" i="9"/>
  <c r="F129" i="9"/>
  <c r="F130" i="9"/>
  <c r="F131" i="9"/>
  <c r="F132" i="9"/>
  <c r="F133" i="9"/>
  <c r="F6" i="9"/>
  <c r="F5" i="9"/>
  <c r="G9" i="9"/>
  <c r="G5" i="11"/>
  <c r="N5" i="11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2" i="15"/>
  <c r="D72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D8" i="15"/>
  <c r="D7" i="15"/>
  <c r="E11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4" i="15"/>
  <c r="I65" i="15"/>
  <c r="I66" i="15"/>
  <c r="I67" i="15"/>
  <c r="I68" i="15"/>
  <c r="I69" i="15"/>
  <c r="I72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6" i="15"/>
  <c r="I117" i="15"/>
  <c r="I118" i="15"/>
  <c r="I119" i="15"/>
  <c r="I120" i="15"/>
  <c r="I121" i="15"/>
  <c r="I122" i="15"/>
  <c r="I123" i="15"/>
  <c r="I126" i="15"/>
  <c r="I127" i="15"/>
  <c r="I128" i="15"/>
  <c r="I129" i="15"/>
  <c r="I130" i="15"/>
  <c r="I131" i="15"/>
  <c r="I132" i="15"/>
  <c r="I133" i="15"/>
  <c r="I134" i="15"/>
  <c r="I135" i="15"/>
  <c r="I8" i="15"/>
  <c r="I7" i="15"/>
  <c r="J11" i="15"/>
  <c r="L11" i="15"/>
  <c r="E12" i="15"/>
  <c r="J12" i="15"/>
  <c r="L12" i="15"/>
  <c r="E13" i="15"/>
  <c r="J13" i="15"/>
  <c r="L13" i="15"/>
  <c r="E14" i="15"/>
  <c r="J14" i="15"/>
  <c r="L14" i="15"/>
  <c r="E15" i="15"/>
  <c r="J15" i="15"/>
  <c r="L15" i="15"/>
  <c r="E16" i="15"/>
  <c r="J16" i="15"/>
  <c r="L16" i="15"/>
  <c r="E17" i="15"/>
  <c r="J17" i="15"/>
  <c r="L17" i="15"/>
  <c r="E18" i="15"/>
  <c r="J18" i="15"/>
  <c r="L18" i="15"/>
  <c r="E19" i="15"/>
  <c r="J19" i="15"/>
  <c r="L19" i="15"/>
  <c r="E20" i="15"/>
  <c r="J20" i="15"/>
  <c r="L20" i="15"/>
  <c r="E21" i="15"/>
  <c r="J21" i="15"/>
  <c r="L21" i="15"/>
  <c r="E22" i="15"/>
  <c r="J22" i="15"/>
  <c r="L22" i="15"/>
  <c r="E23" i="15"/>
  <c r="J23" i="15"/>
  <c r="L23" i="15"/>
  <c r="E24" i="15"/>
  <c r="J24" i="15"/>
  <c r="L24" i="15"/>
  <c r="E25" i="15"/>
  <c r="J25" i="15"/>
  <c r="L25" i="15"/>
  <c r="E28" i="15"/>
  <c r="J28" i="15"/>
  <c r="L28" i="15"/>
  <c r="E29" i="15"/>
  <c r="J29" i="15"/>
  <c r="L29" i="15"/>
  <c r="E30" i="15"/>
  <c r="J30" i="15"/>
  <c r="L30" i="15"/>
  <c r="E31" i="15"/>
  <c r="J31" i="15"/>
  <c r="L31" i="15"/>
  <c r="E32" i="15"/>
  <c r="J32" i="15"/>
  <c r="L32" i="15"/>
  <c r="E33" i="15"/>
  <c r="J33" i="15"/>
  <c r="L33" i="15"/>
  <c r="E34" i="15"/>
  <c r="J34" i="15"/>
  <c r="L34" i="15"/>
  <c r="E35" i="15"/>
  <c r="J35" i="15"/>
  <c r="L35" i="15"/>
  <c r="E36" i="15"/>
  <c r="J36" i="15"/>
  <c r="L36" i="15"/>
  <c r="E37" i="15"/>
  <c r="J37" i="15"/>
  <c r="L37" i="15"/>
  <c r="E38" i="15"/>
  <c r="J38" i="15"/>
  <c r="L38" i="15"/>
  <c r="E39" i="15"/>
  <c r="J39" i="15"/>
  <c r="L39" i="15"/>
  <c r="E40" i="15"/>
  <c r="J40" i="15"/>
  <c r="L40" i="15"/>
  <c r="E41" i="15"/>
  <c r="J41" i="15"/>
  <c r="L41" i="15"/>
  <c r="E42" i="15"/>
  <c r="J42" i="15"/>
  <c r="L42" i="15"/>
  <c r="E43" i="15"/>
  <c r="J43" i="15"/>
  <c r="L43" i="15"/>
  <c r="E44" i="15"/>
  <c r="J44" i="15"/>
  <c r="L44" i="15"/>
  <c r="E45" i="15"/>
  <c r="J45" i="15"/>
  <c r="L45" i="15"/>
  <c r="E46" i="15"/>
  <c r="J46" i="15"/>
  <c r="L46" i="15"/>
  <c r="E47" i="15"/>
  <c r="J47" i="15"/>
  <c r="L47" i="15"/>
  <c r="E50" i="15"/>
  <c r="J50" i="15"/>
  <c r="L50" i="15"/>
  <c r="E51" i="15"/>
  <c r="J51" i="15"/>
  <c r="L51" i="15"/>
  <c r="E52" i="15"/>
  <c r="J52" i="15"/>
  <c r="L52" i="15"/>
  <c r="E53" i="15"/>
  <c r="J53" i="15"/>
  <c r="L53" i="15"/>
  <c r="E54" i="15"/>
  <c r="J54" i="15"/>
  <c r="L54" i="15"/>
  <c r="E55" i="15"/>
  <c r="J55" i="15"/>
  <c r="L55" i="15"/>
  <c r="E56" i="15"/>
  <c r="J56" i="15"/>
  <c r="L56" i="15"/>
  <c r="E57" i="15"/>
  <c r="J57" i="15"/>
  <c r="L57" i="15"/>
  <c r="E58" i="15"/>
  <c r="J58" i="15"/>
  <c r="L58" i="15"/>
  <c r="E59" i="15"/>
  <c r="J59" i="15"/>
  <c r="L59" i="15"/>
  <c r="E60" i="15"/>
  <c r="J60" i="15"/>
  <c r="L60" i="15"/>
  <c r="E61" i="15"/>
  <c r="J61" i="15"/>
  <c r="L61" i="15"/>
  <c r="E64" i="15"/>
  <c r="J64" i="15"/>
  <c r="L64" i="15"/>
  <c r="E65" i="15"/>
  <c r="J65" i="15"/>
  <c r="L65" i="15"/>
  <c r="E66" i="15"/>
  <c r="J66" i="15"/>
  <c r="L66" i="15"/>
  <c r="E67" i="15"/>
  <c r="J67" i="15"/>
  <c r="L67" i="15"/>
  <c r="E68" i="15"/>
  <c r="J68" i="15"/>
  <c r="L68" i="15"/>
  <c r="E69" i="15"/>
  <c r="J69" i="15"/>
  <c r="L69" i="15"/>
  <c r="E72" i="15"/>
  <c r="J72" i="15"/>
  <c r="L72" i="15"/>
  <c r="E75" i="15"/>
  <c r="J75" i="15"/>
  <c r="L75" i="15"/>
  <c r="E76" i="15"/>
  <c r="J76" i="15"/>
  <c r="L76" i="15"/>
  <c r="E77" i="15"/>
  <c r="J77" i="15"/>
  <c r="L77" i="15"/>
  <c r="E78" i="15"/>
  <c r="J78" i="15"/>
  <c r="L78" i="15"/>
  <c r="E79" i="15"/>
  <c r="J79" i="15"/>
  <c r="L79" i="15"/>
  <c r="E80" i="15"/>
  <c r="J80" i="15"/>
  <c r="L80" i="15"/>
  <c r="E81" i="15"/>
  <c r="J81" i="15"/>
  <c r="L81" i="15"/>
  <c r="E82" i="15"/>
  <c r="J82" i="15"/>
  <c r="L82" i="15"/>
  <c r="E83" i="15"/>
  <c r="J83" i="15"/>
  <c r="L83" i="15"/>
  <c r="E84" i="15"/>
  <c r="J84" i="15"/>
  <c r="L84" i="15"/>
  <c r="E85" i="15"/>
  <c r="J85" i="15"/>
  <c r="L85" i="15"/>
  <c r="E86" i="15"/>
  <c r="J86" i="15"/>
  <c r="L86" i="15"/>
  <c r="E87" i="15"/>
  <c r="J87" i="15"/>
  <c r="L87" i="15"/>
  <c r="E88" i="15"/>
  <c r="J88" i="15"/>
  <c r="L88" i="15"/>
  <c r="E89" i="15"/>
  <c r="J89" i="15"/>
  <c r="L89" i="15"/>
  <c r="E90" i="15"/>
  <c r="J90" i="15"/>
  <c r="L90" i="15"/>
  <c r="E91" i="15"/>
  <c r="J91" i="15"/>
  <c r="L91" i="15"/>
  <c r="E92" i="15"/>
  <c r="J92" i="15"/>
  <c r="L92" i="15"/>
  <c r="E93" i="15"/>
  <c r="J93" i="15"/>
  <c r="L93" i="15"/>
  <c r="E94" i="15"/>
  <c r="J94" i="15"/>
  <c r="L94" i="15"/>
  <c r="E95" i="15"/>
  <c r="J95" i="15"/>
  <c r="L95" i="15"/>
  <c r="E98" i="15"/>
  <c r="J98" i="15"/>
  <c r="L98" i="15"/>
  <c r="E99" i="15"/>
  <c r="J99" i="15"/>
  <c r="L99" i="15"/>
  <c r="E100" i="15"/>
  <c r="J100" i="15"/>
  <c r="L100" i="15"/>
  <c r="E101" i="15"/>
  <c r="J101" i="15"/>
  <c r="L101" i="15"/>
  <c r="E102" i="15"/>
  <c r="J102" i="15"/>
  <c r="L102" i="15"/>
  <c r="E103" i="15"/>
  <c r="J103" i="15"/>
  <c r="L103" i="15"/>
  <c r="E104" i="15"/>
  <c r="J104" i="15"/>
  <c r="L104" i="15"/>
  <c r="E106" i="15"/>
  <c r="J106" i="15"/>
  <c r="L106" i="15"/>
  <c r="E107" i="15"/>
  <c r="J107" i="15"/>
  <c r="L107" i="15"/>
  <c r="E108" i="15"/>
  <c r="J108" i="15"/>
  <c r="L108" i="15"/>
  <c r="E109" i="15"/>
  <c r="J109" i="15"/>
  <c r="L109" i="15"/>
  <c r="E110" i="15"/>
  <c r="J110" i="15"/>
  <c r="L110" i="15"/>
  <c r="E111" i="15"/>
  <c r="J111" i="15"/>
  <c r="L111" i="15"/>
  <c r="E112" i="15"/>
  <c r="J112" i="15"/>
  <c r="L112" i="15"/>
  <c r="E113" i="15"/>
  <c r="J113" i="15"/>
  <c r="L113" i="15"/>
  <c r="E116" i="15"/>
  <c r="J116" i="15"/>
  <c r="L116" i="15"/>
  <c r="E117" i="15"/>
  <c r="J117" i="15"/>
  <c r="L117" i="15"/>
  <c r="E118" i="15"/>
  <c r="J118" i="15"/>
  <c r="L118" i="15"/>
  <c r="E119" i="15"/>
  <c r="J119" i="15"/>
  <c r="L119" i="15"/>
  <c r="E120" i="15"/>
  <c r="J120" i="15"/>
  <c r="L120" i="15"/>
  <c r="E121" i="15"/>
  <c r="J121" i="15"/>
  <c r="L121" i="15"/>
  <c r="E122" i="15"/>
  <c r="J122" i="15"/>
  <c r="L122" i="15"/>
  <c r="E123" i="15"/>
  <c r="J123" i="15"/>
  <c r="L123" i="15"/>
  <c r="E126" i="15"/>
  <c r="J126" i="15"/>
  <c r="L126" i="15"/>
  <c r="E127" i="15"/>
  <c r="J127" i="15"/>
  <c r="L127" i="15"/>
  <c r="E128" i="15"/>
  <c r="J128" i="15"/>
  <c r="L128" i="15"/>
  <c r="E129" i="15"/>
  <c r="J129" i="15"/>
  <c r="L129" i="15"/>
  <c r="E130" i="15"/>
  <c r="J130" i="15"/>
  <c r="L130" i="15"/>
  <c r="E131" i="15"/>
  <c r="J131" i="15"/>
  <c r="L131" i="15"/>
  <c r="E132" i="15"/>
  <c r="J132" i="15"/>
  <c r="L132" i="15"/>
  <c r="E133" i="15"/>
  <c r="J133" i="15"/>
  <c r="L133" i="15"/>
  <c r="E134" i="15"/>
  <c r="J134" i="15"/>
  <c r="L134" i="15"/>
  <c r="E135" i="15"/>
  <c r="J135" i="15"/>
  <c r="L135" i="15"/>
  <c r="L8" i="15"/>
  <c r="L7" i="15"/>
  <c r="M11" i="15"/>
  <c r="F13" i="12"/>
  <c r="G13" i="12"/>
  <c r="L13" i="12"/>
  <c r="N13" i="12"/>
  <c r="Q13" i="12"/>
  <c r="R13" i="12"/>
  <c r="M11" i="8"/>
  <c r="G10" i="9"/>
  <c r="G6" i="11"/>
  <c r="N6" i="11"/>
  <c r="M12" i="15"/>
  <c r="F14" i="12"/>
  <c r="G14" i="12"/>
  <c r="L14" i="12"/>
  <c r="N14" i="12"/>
  <c r="Q14" i="12"/>
  <c r="R14" i="12"/>
  <c r="M12" i="8"/>
  <c r="G11" i="9"/>
  <c r="G7" i="11"/>
  <c r="N7" i="11"/>
  <c r="M13" i="15"/>
  <c r="F15" i="12"/>
  <c r="G15" i="12"/>
  <c r="L15" i="12"/>
  <c r="N15" i="12"/>
  <c r="Q15" i="12"/>
  <c r="R15" i="12"/>
  <c r="M13" i="8"/>
  <c r="G12" i="9"/>
  <c r="G8" i="11"/>
  <c r="N8" i="11"/>
  <c r="M14" i="15"/>
  <c r="N16" i="12"/>
  <c r="Q16" i="12"/>
  <c r="R16" i="12"/>
  <c r="M14" i="8"/>
  <c r="G13" i="9"/>
  <c r="G9" i="11"/>
  <c r="N9" i="11"/>
  <c r="M15" i="15"/>
  <c r="F17" i="12"/>
  <c r="G17" i="12"/>
  <c r="L17" i="12"/>
  <c r="N17" i="12"/>
  <c r="Q17" i="12"/>
  <c r="R17" i="12"/>
  <c r="M15" i="8"/>
  <c r="G14" i="9"/>
  <c r="G10" i="11"/>
  <c r="N10" i="11"/>
  <c r="M16" i="15"/>
  <c r="F18" i="12"/>
  <c r="G18" i="12"/>
  <c r="L18" i="12"/>
  <c r="N18" i="12"/>
  <c r="Q18" i="12"/>
  <c r="R18" i="12"/>
  <c r="M16" i="8"/>
  <c r="G15" i="9"/>
  <c r="G11" i="11"/>
  <c r="N11" i="11"/>
  <c r="M17" i="15"/>
  <c r="F19" i="12"/>
  <c r="G19" i="12"/>
  <c r="L19" i="12"/>
  <c r="N19" i="12"/>
  <c r="Q19" i="12"/>
  <c r="R19" i="12"/>
  <c r="M17" i="8"/>
  <c r="G16" i="9"/>
  <c r="G12" i="11"/>
  <c r="N12" i="11"/>
  <c r="M18" i="15"/>
  <c r="F20" i="12"/>
  <c r="G20" i="12"/>
  <c r="L20" i="12"/>
  <c r="N20" i="12"/>
  <c r="Q20" i="12"/>
  <c r="R20" i="12"/>
  <c r="M18" i="8"/>
  <c r="G17" i="9"/>
  <c r="G13" i="11"/>
  <c r="N13" i="11"/>
  <c r="M19" i="15"/>
  <c r="F21" i="12"/>
  <c r="G21" i="12"/>
  <c r="L21" i="12"/>
  <c r="N21" i="12"/>
  <c r="Q21" i="12"/>
  <c r="R21" i="12"/>
  <c r="M19" i="8"/>
  <c r="G18" i="9"/>
  <c r="G14" i="11"/>
  <c r="N14" i="11"/>
  <c r="M20" i="15"/>
  <c r="F22" i="12"/>
  <c r="G22" i="12"/>
  <c r="L22" i="12"/>
  <c r="N22" i="12"/>
  <c r="Q22" i="12"/>
  <c r="R22" i="12"/>
  <c r="M20" i="8"/>
  <c r="G19" i="9"/>
  <c r="G15" i="11"/>
  <c r="N15" i="11"/>
  <c r="M21" i="15"/>
  <c r="F23" i="12"/>
  <c r="G23" i="12"/>
  <c r="L23" i="12"/>
  <c r="N23" i="12"/>
  <c r="Q23" i="12"/>
  <c r="R23" i="12"/>
  <c r="M21" i="8"/>
  <c r="G20" i="9"/>
  <c r="G16" i="11"/>
  <c r="N16" i="11"/>
  <c r="M22" i="15"/>
  <c r="F24" i="12"/>
  <c r="G24" i="12"/>
  <c r="L24" i="12"/>
  <c r="N24" i="12"/>
  <c r="Q24" i="12"/>
  <c r="R24" i="12"/>
  <c r="M22" i="8"/>
  <c r="G21" i="9"/>
  <c r="G17" i="11"/>
  <c r="N17" i="11"/>
  <c r="M23" i="15"/>
  <c r="F25" i="12"/>
  <c r="G25" i="12"/>
  <c r="L25" i="12"/>
  <c r="N25" i="12"/>
  <c r="Q25" i="12"/>
  <c r="R25" i="12"/>
  <c r="M23" i="8"/>
  <c r="G22" i="9"/>
  <c r="G18" i="11"/>
  <c r="N18" i="11"/>
  <c r="M24" i="15"/>
  <c r="F26" i="12"/>
  <c r="G26" i="12"/>
  <c r="L26" i="12"/>
  <c r="N26" i="12"/>
  <c r="Q26" i="12"/>
  <c r="R26" i="12"/>
  <c r="M24" i="8"/>
  <c r="G23" i="9"/>
  <c r="G19" i="11"/>
  <c r="N19" i="11"/>
  <c r="M25" i="15"/>
  <c r="F29" i="12"/>
  <c r="G29" i="12"/>
  <c r="L29" i="12"/>
  <c r="N29" i="12"/>
  <c r="Q29" i="12"/>
  <c r="R29" i="12"/>
  <c r="M27" i="8"/>
  <c r="G26" i="9"/>
  <c r="G22" i="11"/>
  <c r="N22" i="11"/>
  <c r="M28" i="15"/>
  <c r="F30" i="12"/>
  <c r="G30" i="12"/>
  <c r="L30" i="12"/>
  <c r="N30" i="12"/>
  <c r="Q30" i="12"/>
  <c r="R30" i="12"/>
  <c r="M28" i="8"/>
  <c r="G27" i="9"/>
  <c r="G23" i="11"/>
  <c r="N23" i="11"/>
  <c r="M29" i="15"/>
  <c r="F31" i="12"/>
  <c r="G31" i="12"/>
  <c r="L31" i="12"/>
  <c r="N31" i="12"/>
  <c r="Q31" i="12"/>
  <c r="R31" i="12"/>
  <c r="M29" i="8"/>
  <c r="G28" i="9"/>
  <c r="G24" i="11"/>
  <c r="N24" i="11"/>
  <c r="M30" i="15"/>
  <c r="F32" i="12"/>
  <c r="G32" i="12"/>
  <c r="L32" i="12"/>
  <c r="N32" i="12"/>
  <c r="Q32" i="12"/>
  <c r="R32" i="12"/>
  <c r="M30" i="8"/>
  <c r="G29" i="9"/>
  <c r="G25" i="11"/>
  <c r="N25" i="11"/>
  <c r="M31" i="15"/>
  <c r="F33" i="12"/>
  <c r="G33" i="12"/>
  <c r="L33" i="12"/>
  <c r="N33" i="12"/>
  <c r="Q33" i="12"/>
  <c r="R33" i="12"/>
  <c r="M31" i="8"/>
  <c r="G30" i="9"/>
  <c r="G26" i="11"/>
  <c r="N26" i="11"/>
  <c r="M32" i="15"/>
  <c r="F34" i="12"/>
  <c r="G34" i="12"/>
  <c r="L34" i="12"/>
  <c r="N34" i="12"/>
  <c r="Q34" i="12"/>
  <c r="R34" i="12"/>
  <c r="M32" i="8"/>
  <c r="G31" i="9"/>
  <c r="G27" i="11"/>
  <c r="N27" i="11"/>
  <c r="M33" i="15"/>
  <c r="N35" i="12"/>
  <c r="Q35" i="12"/>
  <c r="R35" i="12"/>
  <c r="M33" i="8"/>
  <c r="G32" i="9"/>
  <c r="G28" i="11"/>
  <c r="N28" i="11"/>
  <c r="M34" i="15"/>
  <c r="F36" i="12"/>
  <c r="G36" i="12"/>
  <c r="L36" i="12"/>
  <c r="N36" i="12"/>
  <c r="Q36" i="12"/>
  <c r="R36" i="12"/>
  <c r="M34" i="8"/>
  <c r="G33" i="9"/>
  <c r="G29" i="11"/>
  <c r="N29" i="11"/>
  <c r="M35" i="15"/>
  <c r="F37" i="12"/>
  <c r="G37" i="12"/>
  <c r="L37" i="12"/>
  <c r="N37" i="12"/>
  <c r="Q37" i="12"/>
  <c r="R37" i="12"/>
  <c r="M35" i="8"/>
  <c r="G34" i="9"/>
  <c r="G30" i="11"/>
  <c r="N30" i="11"/>
  <c r="M36" i="15"/>
  <c r="F38" i="12"/>
  <c r="G38" i="12"/>
  <c r="L38" i="12"/>
  <c r="N38" i="12"/>
  <c r="Q38" i="12"/>
  <c r="R38" i="12"/>
  <c r="M36" i="8"/>
  <c r="G35" i="9"/>
  <c r="G31" i="11"/>
  <c r="N31" i="11"/>
  <c r="M37" i="15"/>
  <c r="F39" i="12"/>
  <c r="G39" i="12"/>
  <c r="L39" i="12"/>
  <c r="N39" i="12"/>
  <c r="Q39" i="12"/>
  <c r="R39" i="12"/>
  <c r="M37" i="8"/>
  <c r="G36" i="9"/>
  <c r="G32" i="11"/>
  <c r="N32" i="11"/>
  <c r="M38" i="15"/>
  <c r="F40" i="12"/>
  <c r="G40" i="12"/>
  <c r="L40" i="12"/>
  <c r="N40" i="12"/>
  <c r="Q40" i="12"/>
  <c r="R40" i="12"/>
  <c r="M38" i="8"/>
  <c r="G37" i="9"/>
  <c r="G33" i="11"/>
  <c r="N33" i="11"/>
  <c r="M39" i="15"/>
  <c r="F41" i="12"/>
  <c r="G41" i="12"/>
  <c r="L41" i="12"/>
  <c r="N41" i="12"/>
  <c r="Q41" i="12"/>
  <c r="R41" i="12"/>
  <c r="M39" i="8"/>
  <c r="G38" i="9"/>
  <c r="G34" i="11"/>
  <c r="N34" i="11"/>
  <c r="M40" i="15"/>
  <c r="F42" i="12"/>
  <c r="G42" i="12"/>
  <c r="L42" i="12"/>
  <c r="N42" i="12"/>
  <c r="Q42" i="12"/>
  <c r="R42" i="12"/>
  <c r="M40" i="8"/>
  <c r="G39" i="9"/>
  <c r="G35" i="11"/>
  <c r="N35" i="11"/>
  <c r="M41" i="15"/>
  <c r="F43" i="12"/>
  <c r="G43" i="12"/>
  <c r="L43" i="12"/>
  <c r="N43" i="12"/>
  <c r="Q43" i="12"/>
  <c r="R43" i="12"/>
  <c r="M41" i="8"/>
  <c r="G40" i="9"/>
  <c r="G36" i="11"/>
  <c r="N36" i="11"/>
  <c r="M42" i="15"/>
  <c r="F44" i="12"/>
  <c r="G44" i="12"/>
  <c r="L44" i="12"/>
  <c r="N44" i="12"/>
  <c r="Q44" i="12"/>
  <c r="R44" i="12"/>
  <c r="M42" i="8"/>
  <c r="G41" i="9"/>
  <c r="G37" i="11"/>
  <c r="N37" i="11"/>
  <c r="M43" i="15"/>
  <c r="F45" i="12"/>
  <c r="G45" i="12"/>
  <c r="L45" i="12"/>
  <c r="N45" i="12"/>
  <c r="Q45" i="12"/>
  <c r="R45" i="12"/>
  <c r="M43" i="8"/>
  <c r="G42" i="9"/>
  <c r="G38" i="11"/>
  <c r="N38" i="11"/>
  <c r="M44" i="15"/>
  <c r="F46" i="12"/>
  <c r="G46" i="12"/>
  <c r="L46" i="12"/>
  <c r="N46" i="12"/>
  <c r="Q46" i="12"/>
  <c r="R46" i="12"/>
  <c r="M44" i="8"/>
  <c r="G43" i="9"/>
  <c r="G39" i="11"/>
  <c r="N39" i="11"/>
  <c r="M45" i="15"/>
  <c r="F47" i="12"/>
  <c r="G47" i="12"/>
  <c r="L47" i="12"/>
  <c r="N47" i="12"/>
  <c r="Q47" i="12"/>
  <c r="R47" i="12"/>
  <c r="M45" i="8"/>
  <c r="G44" i="9"/>
  <c r="G40" i="11"/>
  <c r="N40" i="11"/>
  <c r="M46" i="15"/>
  <c r="F48" i="12"/>
  <c r="G48" i="12"/>
  <c r="L48" i="12"/>
  <c r="N48" i="12"/>
  <c r="Q48" i="12"/>
  <c r="R48" i="12"/>
  <c r="M46" i="8"/>
  <c r="G45" i="9"/>
  <c r="G41" i="11"/>
  <c r="N41" i="11"/>
  <c r="M47" i="15"/>
  <c r="F51" i="12"/>
  <c r="G51" i="12"/>
  <c r="L51" i="12"/>
  <c r="N51" i="12"/>
  <c r="Q51" i="12"/>
  <c r="R51" i="12"/>
  <c r="M49" i="8"/>
  <c r="G48" i="9"/>
  <c r="G44" i="11"/>
  <c r="N44" i="11"/>
  <c r="M50" i="15"/>
  <c r="F52" i="12"/>
  <c r="G52" i="12"/>
  <c r="L52" i="12"/>
  <c r="N52" i="12"/>
  <c r="Q52" i="12"/>
  <c r="R52" i="12"/>
  <c r="M50" i="8"/>
  <c r="G49" i="9"/>
  <c r="G45" i="11"/>
  <c r="N45" i="11"/>
  <c r="M51" i="15"/>
  <c r="F53" i="12"/>
  <c r="G53" i="12"/>
  <c r="L53" i="12"/>
  <c r="N53" i="12"/>
  <c r="Q53" i="12"/>
  <c r="R53" i="12"/>
  <c r="M51" i="8"/>
  <c r="G50" i="9"/>
  <c r="G46" i="11"/>
  <c r="N46" i="11"/>
  <c r="M52" i="15"/>
  <c r="F54" i="12"/>
  <c r="G54" i="12"/>
  <c r="L54" i="12"/>
  <c r="N54" i="12"/>
  <c r="Q54" i="12"/>
  <c r="R54" i="12"/>
  <c r="M52" i="8"/>
  <c r="G51" i="9"/>
  <c r="G47" i="11"/>
  <c r="N47" i="11"/>
  <c r="M53" i="15"/>
  <c r="F55" i="12"/>
  <c r="G55" i="12"/>
  <c r="L55" i="12"/>
  <c r="N55" i="12"/>
  <c r="Q55" i="12"/>
  <c r="R55" i="12"/>
  <c r="M53" i="8"/>
  <c r="G52" i="9"/>
  <c r="G48" i="11"/>
  <c r="N48" i="11"/>
  <c r="M54" i="15"/>
  <c r="F56" i="12"/>
  <c r="G56" i="12"/>
  <c r="L56" i="12"/>
  <c r="N56" i="12"/>
  <c r="Q56" i="12"/>
  <c r="R56" i="12"/>
  <c r="M54" i="8"/>
  <c r="G53" i="9"/>
  <c r="G49" i="11"/>
  <c r="N49" i="11"/>
  <c r="M55" i="15"/>
  <c r="F57" i="12"/>
  <c r="G57" i="12"/>
  <c r="L57" i="12"/>
  <c r="N57" i="12"/>
  <c r="Q57" i="12"/>
  <c r="R57" i="12"/>
  <c r="M55" i="8"/>
  <c r="G54" i="9"/>
  <c r="G50" i="11"/>
  <c r="N50" i="11"/>
  <c r="M56" i="15"/>
  <c r="F58" i="12"/>
  <c r="G58" i="12"/>
  <c r="L58" i="12"/>
  <c r="N58" i="12"/>
  <c r="Q58" i="12"/>
  <c r="R58" i="12"/>
  <c r="M56" i="8"/>
  <c r="G55" i="9"/>
  <c r="G51" i="11"/>
  <c r="N51" i="11"/>
  <c r="M57" i="15"/>
  <c r="F59" i="12"/>
  <c r="G59" i="12"/>
  <c r="L59" i="12"/>
  <c r="N59" i="12"/>
  <c r="Q59" i="12"/>
  <c r="R59" i="12"/>
  <c r="M57" i="8"/>
  <c r="G56" i="9"/>
  <c r="G52" i="11"/>
  <c r="N52" i="11"/>
  <c r="M58" i="15"/>
  <c r="F60" i="12"/>
  <c r="G60" i="12"/>
  <c r="L60" i="12"/>
  <c r="N60" i="12"/>
  <c r="Q60" i="12"/>
  <c r="R60" i="12"/>
  <c r="M58" i="8"/>
  <c r="G57" i="9"/>
  <c r="G53" i="11"/>
  <c r="N53" i="11"/>
  <c r="M59" i="15"/>
  <c r="F61" i="12"/>
  <c r="G61" i="12"/>
  <c r="L61" i="12"/>
  <c r="N61" i="12"/>
  <c r="Q61" i="12"/>
  <c r="R61" i="12"/>
  <c r="M59" i="8"/>
  <c r="G58" i="9"/>
  <c r="G54" i="11"/>
  <c r="N54" i="11"/>
  <c r="M60" i="15"/>
  <c r="F62" i="12"/>
  <c r="G62" i="12"/>
  <c r="L62" i="12"/>
  <c r="N62" i="12"/>
  <c r="Q62" i="12"/>
  <c r="R62" i="12"/>
  <c r="M60" i="8"/>
  <c r="G59" i="9"/>
  <c r="G55" i="11"/>
  <c r="N55" i="11"/>
  <c r="M61" i="15"/>
  <c r="N65" i="12"/>
  <c r="Q65" i="12"/>
  <c r="R65" i="12"/>
  <c r="M63" i="8"/>
  <c r="G62" i="9"/>
  <c r="G58" i="11"/>
  <c r="N58" i="11"/>
  <c r="M64" i="15"/>
  <c r="F66" i="12"/>
  <c r="G66" i="12"/>
  <c r="L66" i="12"/>
  <c r="N66" i="12"/>
  <c r="Q66" i="12"/>
  <c r="R66" i="12"/>
  <c r="M64" i="8"/>
  <c r="G63" i="9"/>
  <c r="G59" i="11"/>
  <c r="N59" i="11"/>
  <c r="M65" i="15"/>
  <c r="F67" i="12"/>
  <c r="G67" i="12"/>
  <c r="L67" i="12"/>
  <c r="N67" i="12"/>
  <c r="Q67" i="12"/>
  <c r="R67" i="12"/>
  <c r="M65" i="8"/>
  <c r="G64" i="9"/>
  <c r="G60" i="11"/>
  <c r="N60" i="11"/>
  <c r="M66" i="15"/>
  <c r="F68" i="12"/>
  <c r="G68" i="12"/>
  <c r="L68" i="12"/>
  <c r="N68" i="12"/>
  <c r="Q68" i="12"/>
  <c r="R68" i="12"/>
  <c r="M66" i="8"/>
  <c r="G65" i="9"/>
  <c r="G61" i="11"/>
  <c r="N61" i="11"/>
  <c r="M67" i="15"/>
  <c r="F69" i="12"/>
  <c r="G69" i="12"/>
  <c r="L69" i="12"/>
  <c r="N69" i="12"/>
  <c r="Q69" i="12"/>
  <c r="R69" i="12"/>
  <c r="M67" i="8"/>
  <c r="G66" i="9"/>
  <c r="G62" i="11"/>
  <c r="N62" i="11"/>
  <c r="M68" i="15"/>
  <c r="F70" i="12"/>
  <c r="G70" i="12"/>
  <c r="L70" i="12"/>
  <c r="N70" i="12"/>
  <c r="Q70" i="12"/>
  <c r="R70" i="12"/>
  <c r="M68" i="8"/>
  <c r="G67" i="9"/>
  <c r="G63" i="11"/>
  <c r="N63" i="11"/>
  <c r="M69" i="15"/>
  <c r="F73" i="12"/>
  <c r="G73" i="12"/>
  <c r="L73" i="12"/>
  <c r="N73" i="12"/>
  <c r="Q73" i="12"/>
  <c r="R73" i="12"/>
  <c r="M71" i="8"/>
  <c r="G70" i="9"/>
  <c r="G66" i="11"/>
  <c r="N66" i="11"/>
  <c r="M72" i="15"/>
  <c r="F76" i="12"/>
  <c r="G76" i="12"/>
  <c r="L76" i="12"/>
  <c r="N76" i="12"/>
  <c r="Q76" i="12"/>
  <c r="R76" i="12"/>
  <c r="M74" i="8"/>
  <c r="G73" i="9"/>
  <c r="G69" i="11"/>
  <c r="N69" i="11"/>
  <c r="M75" i="15"/>
  <c r="F77" i="12"/>
  <c r="G77" i="12"/>
  <c r="L77" i="12"/>
  <c r="N77" i="12"/>
  <c r="Q77" i="12"/>
  <c r="R77" i="12"/>
  <c r="M75" i="8"/>
  <c r="G74" i="9"/>
  <c r="G70" i="11"/>
  <c r="N70" i="11"/>
  <c r="M76" i="15"/>
  <c r="F78" i="12"/>
  <c r="G78" i="12"/>
  <c r="L78" i="12"/>
  <c r="N78" i="12"/>
  <c r="Q78" i="12"/>
  <c r="R78" i="12"/>
  <c r="M76" i="8"/>
  <c r="G75" i="9"/>
  <c r="G71" i="11"/>
  <c r="N71" i="11"/>
  <c r="M77" i="15"/>
  <c r="F79" i="12"/>
  <c r="G79" i="12"/>
  <c r="L79" i="12"/>
  <c r="N79" i="12"/>
  <c r="Q79" i="12"/>
  <c r="R79" i="12"/>
  <c r="M77" i="8"/>
  <c r="G76" i="9"/>
  <c r="G72" i="11"/>
  <c r="N72" i="11"/>
  <c r="M78" i="15"/>
  <c r="N80" i="12"/>
  <c r="Q80" i="12"/>
  <c r="R80" i="12"/>
  <c r="M78" i="8"/>
  <c r="G77" i="9"/>
  <c r="G73" i="11"/>
  <c r="N73" i="11"/>
  <c r="M79" i="15"/>
  <c r="F81" i="12"/>
  <c r="G81" i="12"/>
  <c r="L81" i="12"/>
  <c r="N81" i="12"/>
  <c r="Q81" i="12"/>
  <c r="R81" i="12"/>
  <c r="M79" i="8"/>
  <c r="G78" i="9"/>
  <c r="G74" i="11"/>
  <c r="N74" i="11"/>
  <c r="M80" i="15"/>
  <c r="F82" i="12"/>
  <c r="G82" i="12"/>
  <c r="L82" i="12"/>
  <c r="N82" i="12"/>
  <c r="Q82" i="12"/>
  <c r="R82" i="12"/>
  <c r="M80" i="8"/>
  <c r="G79" i="9"/>
  <c r="G75" i="11"/>
  <c r="N75" i="11"/>
  <c r="M81" i="15"/>
  <c r="F83" i="12"/>
  <c r="G83" i="12"/>
  <c r="L83" i="12"/>
  <c r="N83" i="12"/>
  <c r="Q83" i="12"/>
  <c r="R83" i="12"/>
  <c r="M81" i="8"/>
  <c r="G80" i="9"/>
  <c r="G76" i="11"/>
  <c r="N76" i="11"/>
  <c r="M82" i="15"/>
  <c r="F84" i="12"/>
  <c r="G84" i="12"/>
  <c r="L84" i="12"/>
  <c r="N84" i="12"/>
  <c r="Q84" i="12"/>
  <c r="R84" i="12"/>
  <c r="M82" i="8"/>
  <c r="G81" i="9"/>
  <c r="G77" i="11"/>
  <c r="N77" i="11"/>
  <c r="M83" i="15"/>
  <c r="F85" i="12"/>
  <c r="G85" i="12"/>
  <c r="L85" i="12"/>
  <c r="N85" i="12"/>
  <c r="Q85" i="12"/>
  <c r="R85" i="12"/>
  <c r="M83" i="8"/>
  <c r="G82" i="9"/>
  <c r="G78" i="11"/>
  <c r="N78" i="11"/>
  <c r="M84" i="15"/>
  <c r="F86" i="12"/>
  <c r="G86" i="12"/>
  <c r="L86" i="12"/>
  <c r="N86" i="12"/>
  <c r="Q86" i="12"/>
  <c r="R86" i="12"/>
  <c r="M84" i="8"/>
  <c r="G83" i="9"/>
  <c r="G79" i="11"/>
  <c r="N79" i="11"/>
  <c r="M85" i="15"/>
  <c r="F87" i="12"/>
  <c r="G87" i="12"/>
  <c r="L87" i="12"/>
  <c r="N87" i="12"/>
  <c r="Q87" i="12"/>
  <c r="R87" i="12"/>
  <c r="M85" i="8"/>
  <c r="G84" i="9"/>
  <c r="G80" i="11"/>
  <c r="N80" i="11"/>
  <c r="M86" i="15"/>
  <c r="F88" i="12"/>
  <c r="G88" i="12"/>
  <c r="L88" i="12"/>
  <c r="N88" i="12"/>
  <c r="Q88" i="12"/>
  <c r="R88" i="12"/>
  <c r="M86" i="8"/>
  <c r="G85" i="9"/>
  <c r="G81" i="11"/>
  <c r="N81" i="11"/>
  <c r="M87" i="15"/>
  <c r="F89" i="12"/>
  <c r="G89" i="12"/>
  <c r="L89" i="12"/>
  <c r="N89" i="12"/>
  <c r="Q89" i="12"/>
  <c r="R89" i="12"/>
  <c r="M87" i="8"/>
  <c r="G86" i="9"/>
  <c r="G82" i="11"/>
  <c r="N82" i="11"/>
  <c r="M88" i="15"/>
  <c r="F90" i="12"/>
  <c r="G90" i="12"/>
  <c r="L90" i="12"/>
  <c r="N90" i="12"/>
  <c r="Q90" i="12"/>
  <c r="R90" i="12"/>
  <c r="M88" i="8"/>
  <c r="G87" i="9"/>
  <c r="G83" i="11"/>
  <c r="N83" i="11"/>
  <c r="M89" i="15"/>
  <c r="F91" i="12"/>
  <c r="G91" i="12"/>
  <c r="L91" i="12"/>
  <c r="N91" i="12"/>
  <c r="Q91" i="12"/>
  <c r="R91" i="12"/>
  <c r="M89" i="8"/>
  <c r="G88" i="9"/>
  <c r="G84" i="11"/>
  <c r="N84" i="11"/>
  <c r="M90" i="15"/>
  <c r="F92" i="12"/>
  <c r="G92" i="12"/>
  <c r="L92" i="12"/>
  <c r="N92" i="12"/>
  <c r="Q92" i="12"/>
  <c r="R92" i="12"/>
  <c r="M90" i="8"/>
  <c r="G89" i="9"/>
  <c r="G85" i="11"/>
  <c r="N85" i="11"/>
  <c r="M91" i="15"/>
  <c r="F93" i="12"/>
  <c r="G93" i="12"/>
  <c r="L93" i="12"/>
  <c r="N93" i="12"/>
  <c r="Q93" i="12"/>
  <c r="R93" i="12"/>
  <c r="M91" i="8"/>
  <c r="G90" i="9"/>
  <c r="G86" i="11"/>
  <c r="N86" i="11"/>
  <c r="M92" i="15"/>
  <c r="F94" i="12"/>
  <c r="G94" i="12"/>
  <c r="L94" i="12"/>
  <c r="N94" i="12"/>
  <c r="Q94" i="12"/>
  <c r="R94" i="12"/>
  <c r="M92" i="8"/>
  <c r="G91" i="9"/>
  <c r="G87" i="11"/>
  <c r="N87" i="11"/>
  <c r="M93" i="15"/>
  <c r="F95" i="12"/>
  <c r="G95" i="12"/>
  <c r="L95" i="12"/>
  <c r="N95" i="12"/>
  <c r="Q95" i="12"/>
  <c r="R95" i="12"/>
  <c r="M93" i="8"/>
  <c r="G92" i="9"/>
  <c r="G88" i="11"/>
  <c r="N88" i="11"/>
  <c r="M94" i="15"/>
  <c r="F96" i="12"/>
  <c r="G96" i="12"/>
  <c r="L96" i="12"/>
  <c r="N96" i="12"/>
  <c r="Q96" i="12"/>
  <c r="R96" i="12"/>
  <c r="M94" i="8"/>
  <c r="G93" i="9"/>
  <c r="G89" i="11"/>
  <c r="N89" i="11"/>
  <c r="M95" i="15"/>
  <c r="F99" i="12"/>
  <c r="G99" i="12"/>
  <c r="L99" i="12"/>
  <c r="N99" i="12"/>
  <c r="Q99" i="12"/>
  <c r="R99" i="12"/>
  <c r="M97" i="8"/>
  <c r="G96" i="9"/>
  <c r="G92" i="11"/>
  <c r="N92" i="11"/>
  <c r="M98" i="15"/>
  <c r="F100" i="12"/>
  <c r="G100" i="12"/>
  <c r="L100" i="12"/>
  <c r="N100" i="12"/>
  <c r="Q100" i="12"/>
  <c r="R100" i="12"/>
  <c r="M98" i="8"/>
  <c r="G97" i="9"/>
  <c r="G93" i="11"/>
  <c r="N93" i="11"/>
  <c r="M99" i="15"/>
  <c r="F101" i="12"/>
  <c r="G101" i="12"/>
  <c r="L101" i="12"/>
  <c r="N101" i="12"/>
  <c r="Q101" i="12"/>
  <c r="R101" i="12"/>
  <c r="M99" i="8"/>
  <c r="G98" i="9"/>
  <c r="G94" i="11"/>
  <c r="N94" i="11"/>
  <c r="M100" i="15"/>
  <c r="F102" i="12"/>
  <c r="G102" i="12"/>
  <c r="L102" i="12"/>
  <c r="N102" i="12"/>
  <c r="Q102" i="12"/>
  <c r="R102" i="12"/>
  <c r="M100" i="8"/>
  <c r="G99" i="9"/>
  <c r="G95" i="11"/>
  <c r="N95" i="11"/>
  <c r="M101" i="15"/>
  <c r="F103" i="12"/>
  <c r="G103" i="12"/>
  <c r="L103" i="12"/>
  <c r="N103" i="12"/>
  <c r="Q103" i="12"/>
  <c r="R103" i="12"/>
  <c r="M101" i="8"/>
  <c r="G100" i="9"/>
  <c r="G96" i="11"/>
  <c r="N96" i="11"/>
  <c r="M102" i="15"/>
  <c r="F104" i="12"/>
  <c r="G104" i="12"/>
  <c r="L104" i="12"/>
  <c r="N104" i="12"/>
  <c r="Q104" i="12"/>
  <c r="R104" i="12"/>
  <c r="M102" i="8"/>
  <c r="G101" i="9"/>
  <c r="G97" i="11"/>
  <c r="N97" i="11"/>
  <c r="M103" i="15"/>
  <c r="F105" i="12"/>
  <c r="G105" i="12"/>
  <c r="L105" i="12"/>
  <c r="N105" i="12"/>
  <c r="Q105" i="12"/>
  <c r="R105" i="12"/>
  <c r="M103" i="8"/>
  <c r="G102" i="9"/>
  <c r="G98" i="11"/>
  <c r="N98" i="11"/>
  <c r="M104" i="15"/>
  <c r="F106" i="12"/>
  <c r="G106" i="12"/>
  <c r="L106" i="12"/>
  <c r="N106" i="12"/>
  <c r="Q106" i="12"/>
  <c r="R106" i="12"/>
  <c r="M104" i="8"/>
  <c r="G103" i="9"/>
  <c r="G99" i="11"/>
  <c r="N99" i="11"/>
  <c r="Y106" i="12"/>
  <c r="F107" i="12"/>
  <c r="G107" i="12"/>
  <c r="L107" i="12"/>
  <c r="N107" i="12"/>
  <c r="Q107" i="12"/>
  <c r="R107" i="12"/>
  <c r="M105" i="8"/>
  <c r="G104" i="9"/>
  <c r="G100" i="11"/>
  <c r="N100" i="11"/>
  <c r="M106" i="15"/>
  <c r="F108" i="12"/>
  <c r="G108" i="12"/>
  <c r="L108" i="12"/>
  <c r="N108" i="12"/>
  <c r="Q108" i="12"/>
  <c r="R108" i="12"/>
  <c r="M106" i="8"/>
  <c r="G105" i="9"/>
  <c r="G101" i="11"/>
  <c r="N101" i="11"/>
  <c r="M107" i="15"/>
  <c r="F109" i="12"/>
  <c r="G109" i="12"/>
  <c r="L109" i="12"/>
  <c r="N109" i="12"/>
  <c r="Q109" i="12"/>
  <c r="R109" i="12"/>
  <c r="M107" i="8"/>
  <c r="G106" i="9"/>
  <c r="G102" i="11"/>
  <c r="N102" i="11"/>
  <c r="M108" i="15"/>
  <c r="F110" i="12"/>
  <c r="G110" i="12"/>
  <c r="L110" i="12"/>
  <c r="N110" i="12"/>
  <c r="Q110" i="12"/>
  <c r="R110" i="12"/>
  <c r="M108" i="8"/>
  <c r="G107" i="9"/>
  <c r="G103" i="11"/>
  <c r="N103" i="11"/>
  <c r="M109" i="15"/>
  <c r="F111" i="12"/>
  <c r="G111" i="12"/>
  <c r="L111" i="12"/>
  <c r="N111" i="12"/>
  <c r="Q111" i="12"/>
  <c r="R111" i="12"/>
  <c r="M109" i="8"/>
  <c r="G108" i="9"/>
  <c r="G104" i="11"/>
  <c r="N104" i="11"/>
  <c r="M110" i="15"/>
  <c r="F112" i="12"/>
  <c r="G112" i="12"/>
  <c r="L112" i="12"/>
  <c r="N112" i="12"/>
  <c r="Q112" i="12"/>
  <c r="R112" i="12"/>
  <c r="M110" i="8"/>
  <c r="G109" i="9"/>
  <c r="G105" i="11"/>
  <c r="N105" i="11"/>
  <c r="M111" i="15"/>
  <c r="F113" i="12"/>
  <c r="G113" i="12"/>
  <c r="L113" i="12"/>
  <c r="N113" i="12"/>
  <c r="Q113" i="12"/>
  <c r="R113" i="12"/>
  <c r="M111" i="8"/>
  <c r="G110" i="9"/>
  <c r="G106" i="11"/>
  <c r="N106" i="11"/>
  <c r="M112" i="15"/>
  <c r="F114" i="12"/>
  <c r="G114" i="12"/>
  <c r="L114" i="12"/>
  <c r="N114" i="12"/>
  <c r="Q114" i="12"/>
  <c r="R114" i="12"/>
  <c r="M112" i="8"/>
  <c r="G111" i="9"/>
  <c r="G107" i="11"/>
  <c r="N107" i="11"/>
  <c r="M113" i="15"/>
  <c r="F117" i="12"/>
  <c r="G117" i="12"/>
  <c r="L117" i="12"/>
  <c r="N117" i="12"/>
  <c r="Q117" i="12"/>
  <c r="R117" i="12"/>
  <c r="M115" i="8"/>
  <c r="G114" i="9"/>
  <c r="G110" i="11"/>
  <c r="N110" i="11"/>
  <c r="M116" i="15"/>
  <c r="F118" i="12"/>
  <c r="G118" i="12"/>
  <c r="L118" i="12"/>
  <c r="N118" i="12"/>
  <c r="Q118" i="12"/>
  <c r="R118" i="12"/>
  <c r="M116" i="8"/>
  <c r="G115" i="9"/>
  <c r="G111" i="11"/>
  <c r="N111" i="11"/>
  <c r="M117" i="15"/>
  <c r="F119" i="12"/>
  <c r="G119" i="12"/>
  <c r="L119" i="12"/>
  <c r="N119" i="12"/>
  <c r="Q119" i="12"/>
  <c r="R119" i="12"/>
  <c r="M117" i="8"/>
  <c r="G116" i="9"/>
  <c r="G112" i="11"/>
  <c r="N112" i="11"/>
  <c r="M118" i="15"/>
  <c r="F120" i="12"/>
  <c r="G120" i="12"/>
  <c r="L120" i="12"/>
  <c r="N120" i="12"/>
  <c r="Q120" i="12"/>
  <c r="R120" i="12"/>
  <c r="M118" i="8"/>
  <c r="G117" i="9"/>
  <c r="G113" i="11"/>
  <c r="N113" i="11"/>
  <c r="M119" i="15"/>
  <c r="F121" i="12"/>
  <c r="G121" i="12"/>
  <c r="L121" i="12"/>
  <c r="N121" i="12"/>
  <c r="Q121" i="12"/>
  <c r="R121" i="12"/>
  <c r="M119" i="8"/>
  <c r="G118" i="9"/>
  <c r="G114" i="11"/>
  <c r="N114" i="11"/>
  <c r="M120" i="15"/>
  <c r="F122" i="12"/>
  <c r="G122" i="12"/>
  <c r="L122" i="12"/>
  <c r="N122" i="12"/>
  <c r="Q122" i="12"/>
  <c r="R122" i="12"/>
  <c r="M120" i="8"/>
  <c r="G119" i="9"/>
  <c r="G115" i="11"/>
  <c r="N115" i="11"/>
  <c r="M121" i="15"/>
  <c r="F123" i="12"/>
  <c r="G123" i="12"/>
  <c r="L123" i="12"/>
  <c r="N123" i="12"/>
  <c r="Q123" i="12"/>
  <c r="R123" i="12"/>
  <c r="M121" i="8"/>
  <c r="G120" i="9"/>
  <c r="G116" i="11"/>
  <c r="N116" i="11"/>
  <c r="M122" i="15"/>
  <c r="F124" i="12"/>
  <c r="G124" i="12"/>
  <c r="L124" i="12"/>
  <c r="N124" i="12"/>
  <c r="Q124" i="12"/>
  <c r="R124" i="12"/>
  <c r="M122" i="8"/>
  <c r="G121" i="9"/>
  <c r="G117" i="11"/>
  <c r="N117" i="11"/>
  <c r="M123" i="15"/>
  <c r="F127" i="12"/>
  <c r="G127" i="12"/>
  <c r="L127" i="12"/>
  <c r="N127" i="12"/>
  <c r="Q127" i="12"/>
  <c r="R127" i="12"/>
  <c r="M125" i="8"/>
  <c r="G124" i="9"/>
  <c r="G120" i="11"/>
  <c r="N120" i="11"/>
  <c r="M126" i="15"/>
  <c r="F128" i="12"/>
  <c r="G128" i="12"/>
  <c r="L128" i="12"/>
  <c r="N128" i="12"/>
  <c r="Q128" i="12"/>
  <c r="R128" i="12"/>
  <c r="M126" i="8"/>
  <c r="G125" i="9"/>
  <c r="G121" i="11"/>
  <c r="N121" i="11"/>
  <c r="M127" i="15"/>
  <c r="F129" i="12"/>
  <c r="G129" i="12"/>
  <c r="L129" i="12"/>
  <c r="N129" i="12"/>
  <c r="Q129" i="12"/>
  <c r="R129" i="12"/>
  <c r="M127" i="8"/>
  <c r="G126" i="9"/>
  <c r="G122" i="11"/>
  <c r="N122" i="11"/>
  <c r="M128" i="15"/>
  <c r="F130" i="12"/>
  <c r="G130" i="12"/>
  <c r="L130" i="12"/>
  <c r="N130" i="12"/>
  <c r="Q130" i="12"/>
  <c r="R130" i="12"/>
  <c r="M128" i="8"/>
  <c r="G127" i="9"/>
  <c r="G123" i="11"/>
  <c r="N123" i="11"/>
  <c r="M129" i="15"/>
  <c r="F131" i="12"/>
  <c r="G131" i="12"/>
  <c r="L131" i="12"/>
  <c r="N131" i="12"/>
  <c r="Q131" i="12"/>
  <c r="R131" i="12"/>
  <c r="M129" i="8"/>
  <c r="G128" i="9"/>
  <c r="G124" i="11"/>
  <c r="N124" i="11"/>
  <c r="M130" i="15"/>
  <c r="F132" i="12"/>
  <c r="G132" i="12"/>
  <c r="L132" i="12"/>
  <c r="N132" i="12"/>
  <c r="Q132" i="12"/>
  <c r="R132" i="12"/>
  <c r="M130" i="8"/>
  <c r="G129" i="9"/>
  <c r="G125" i="11"/>
  <c r="N125" i="11"/>
  <c r="M131" i="15"/>
  <c r="F133" i="12"/>
  <c r="G133" i="12"/>
  <c r="L133" i="12"/>
  <c r="N133" i="12"/>
  <c r="Q133" i="12"/>
  <c r="R133" i="12"/>
  <c r="M131" i="8"/>
  <c r="G130" i="9"/>
  <c r="G126" i="11"/>
  <c r="N126" i="11"/>
  <c r="M132" i="15"/>
  <c r="F134" i="12"/>
  <c r="G134" i="12"/>
  <c r="L134" i="12"/>
  <c r="N134" i="12"/>
  <c r="Q134" i="12"/>
  <c r="R134" i="12"/>
  <c r="M132" i="8"/>
  <c r="G131" i="9"/>
  <c r="G127" i="11"/>
  <c r="N127" i="11"/>
  <c r="M133" i="15"/>
  <c r="F135" i="12"/>
  <c r="G135" i="12"/>
  <c r="L135" i="12"/>
  <c r="N135" i="12"/>
  <c r="Q135" i="12"/>
  <c r="R135" i="12"/>
  <c r="M133" i="8"/>
  <c r="G132" i="9"/>
  <c r="G128" i="11"/>
  <c r="N128" i="11"/>
  <c r="M134" i="15"/>
  <c r="F136" i="12"/>
  <c r="G136" i="12"/>
  <c r="L136" i="12"/>
  <c r="N136" i="12"/>
  <c r="Q136" i="12"/>
  <c r="R136" i="12"/>
  <c r="M134" i="8"/>
  <c r="G133" i="9"/>
  <c r="G129" i="11"/>
  <c r="N129" i="11"/>
  <c r="M135" i="15"/>
  <c r="R27" i="12"/>
  <c r="R49" i="12"/>
  <c r="R63" i="12"/>
  <c r="R71" i="12"/>
  <c r="R74" i="12"/>
  <c r="R97" i="12"/>
  <c r="R115" i="12"/>
  <c r="R125" i="12"/>
  <c r="R137" i="12"/>
  <c r="R139" i="12"/>
  <c r="AB12" i="12"/>
  <c r="AD12" i="12"/>
  <c r="AE12" i="12"/>
  <c r="AF12" i="12"/>
  <c r="AB13" i="12"/>
  <c r="AD13" i="12"/>
  <c r="AE13" i="12"/>
  <c r="AF13" i="12"/>
  <c r="AB15" i="12"/>
  <c r="AD15" i="12"/>
  <c r="AE15" i="12"/>
  <c r="AF15" i="12"/>
  <c r="AB16" i="12"/>
  <c r="AD16" i="12"/>
  <c r="AE16" i="12"/>
  <c r="AF16" i="12"/>
  <c r="AB17" i="12"/>
  <c r="AD17" i="12"/>
  <c r="AE17" i="12"/>
  <c r="AF17" i="12"/>
  <c r="AB18" i="12"/>
  <c r="AD18" i="12"/>
  <c r="AE18" i="12"/>
  <c r="AF18" i="12"/>
  <c r="AB19" i="12"/>
  <c r="AD19" i="12"/>
  <c r="AE19" i="12"/>
  <c r="AF19" i="12"/>
  <c r="AB20" i="12"/>
  <c r="AD20" i="12"/>
  <c r="AE20" i="12"/>
  <c r="AF20" i="12"/>
  <c r="AB21" i="12"/>
  <c r="AD21" i="12"/>
  <c r="AE21" i="12"/>
  <c r="AF21" i="12"/>
  <c r="AB22" i="12"/>
  <c r="AD22" i="12"/>
  <c r="AE22" i="12"/>
  <c r="AF22" i="12"/>
  <c r="AB23" i="12"/>
  <c r="AD23" i="12"/>
  <c r="AE23" i="12"/>
  <c r="AF23" i="12"/>
  <c r="AB24" i="12"/>
  <c r="AD24" i="12"/>
  <c r="AE24" i="12"/>
  <c r="AF24" i="12"/>
  <c r="AB25" i="12"/>
  <c r="AD25" i="12"/>
  <c r="AE25" i="12"/>
  <c r="AF25" i="12"/>
  <c r="AB26" i="12"/>
  <c r="AD26" i="12"/>
  <c r="AE26" i="12"/>
  <c r="AF26" i="12"/>
  <c r="AF27" i="12"/>
  <c r="AB29" i="12"/>
  <c r="AD29" i="12"/>
  <c r="AE29" i="12"/>
  <c r="AF29" i="12"/>
  <c r="AB30" i="12"/>
  <c r="AD30" i="12"/>
  <c r="AE30" i="12"/>
  <c r="AF30" i="12"/>
  <c r="AB31" i="12"/>
  <c r="AD31" i="12"/>
  <c r="AE31" i="12"/>
  <c r="AF31" i="12"/>
  <c r="AB32" i="12"/>
  <c r="AD32" i="12"/>
  <c r="AE32" i="12"/>
  <c r="AF32" i="12"/>
  <c r="AB33" i="12"/>
  <c r="AD33" i="12"/>
  <c r="AE33" i="12"/>
  <c r="AF33" i="12"/>
  <c r="AB34" i="12"/>
  <c r="AD34" i="12"/>
  <c r="AE34" i="12"/>
  <c r="AF34" i="12"/>
  <c r="AB35" i="12"/>
  <c r="AD35" i="12"/>
  <c r="AE35" i="12"/>
  <c r="AF35" i="12"/>
  <c r="AB36" i="12"/>
  <c r="AD36" i="12"/>
  <c r="AE36" i="12"/>
  <c r="AF36" i="12"/>
  <c r="AB37" i="12"/>
  <c r="AD37" i="12"/>
  <c r="AE37" i="12"/>
  <c r="AF37" i="12"/>
  <c r="AB38" i="12"/>
  <c r="AD38" i="12"/>
  <c r="AE38" i="12"/>
  <c r="AF38" i="12"/>
  <c r="AB39" i="12"/>
  <c r="AD39" i="12"/>
  <c r="AE39" i="12"/>
  <c r="AF39" i="12"/>
  <c r="AB40" i="12"/>
  <c r="AD40" i="12"/>
  <c r="AE40" i="12"/>
  <c r="AF40" i="12"/>
  <c r="AB41" i="12"/>
  <c r="AD41" i="12"/>
  <c r="AE41" i="12"/>
  <c r="AF41" i="12"/>
  <c r="AB42" i="12"/>
  <c r="AD42" i="12"/>
  <c r="AE42" i="12"/>
  <c r="AF42" i="12"/>
  <c r="AB43" i="12"/>
  <c r="AD43" i="12"/>
  <c r="AE43" i="12"/>
  <c r="AF43" i="12"/>
  <c r="AB44" i="12"/>
  <c r="AD44" i="12"/>
  <c r="AE44" i="12"/>
  <c r="AF44" i="12"/>
  <c r="AB45" i="12"/>
  <c r="AD45" i="12"/>
  <c r="AE45" i="12"/>
  <c r="AF45" i="12"/>
  <c r="AB46" i="12"/>
  <c r="AD46" i="12"/>
  <c r="AE46" i="12"/>
  <c r="AF46" i="12"/>
  <c r="AB47" i="12"/>
  <c r="AD47" i="12"/>
  <c r="AE47" i="12"/>
  <c r="AF47" i="12"/>
  <c r="AB48" i="12"/>
  <c r="AD48" i="12"/>
  <c r="AE48" i="12"/>
  <c r="AF48" i="12"/>
  <c r="AF49" i="12"/>
  <c r="AB51" i="12"/>
  <c r="AD51" i="12"/>
  <c r="AE51" i="12"/>
  <c r="AF51" i="12"/>
  <c r="AB52" i="12"/>
  <c r="AD52" i="12"/>
  <c r="AE52" i="12"/>
  <c r="AF52" i="12"/>
  <c r="AB53" i="12"/>
  <c r="AD53" i="12"/>
  <c r="AE53" i="12"/>
  <c r="AF53" i="12"/>
  <c r="AB54" i="12"/>
  <c r="AD54" i="12"/>
  <c r="AE54" i="12"/>
  <c r="AF54" i="12"/>
  <c r="AB55" i="12"/>
  <c r="AD55" i="12"/>
  <c r="AE55" i="12"/>
  <c r="AF55" i="12"/>
  <c r="AB56" i="12"/>
  <c r="AD56" i="12"/>
  <c r="AE56" i="12"/>
  <c r="AF56" i="12"/>
  <c r="AB57" i="12"/>
  <c r="AD57" i="12"/>
  <c r="AE57" i="12"/>
  <c r="AF57" i="12"/>
  <c r="AB58" i="12"/>
  <c r="AD58" i="12"/>
  <c r="AE58" i="12"/>
  <c r="AF58" i="12"/>
  <c r="AB59" i="12"/>
  <c r="AD59" i="12"/>
  <c r="AE59" i="12"/>
  <c r="AF59" i="12"/>
  <c r="AB60" i="12"/>
  <c r="AD60" i="12"/>
  <c r="AE60" i="12"/>
  <c r="AF60" i="12"/>
  <c r="AB61" i="12"/>
  <c r="AD61" i="12"/>
  <c r="AE61" i="12"/>
  <c r="AF61" i="12"/>
  <c r="AB62" i="12"/>
  <c r="AD62" i="12"/>
  <c r="AE62" i="12"/>
  <c r="AF62" i="12"/>
  <c r="AF63" i="12"/>
  <c r="AB65" i="12"/>
  <c r="AD65" i="12"/>
  <c r="AE65" i="12"/>
  <c r="AF65" i="12"/>
  <c r="AB66" i="12"/>
  <c r="AD66" i="12"/>
  <c r="AE66" i="12"/>
  <c r="AF66" i="12"/>
  <c r="AB67" i="12"/>
  <c r="AD67" i="12"/>
  <c r="AE67" i="12"/>
  <c r="AF67" i="12"/>
  <c r="AB68" i="12"/>
  <c r="AD68" i="12"/>
  <c r="AE68" i="12"/>
  <c r="AF68" i="12"/>
  <c r="AB69" i="12"/>
  <c r="AD69" i="12"/>
  <c r="AE69" i="12"/>
  <c r="AF69" i="12"/>
  <c r="AB70" i="12"/>
  <c r="AD70" i="12"/>
  <c r="AE70" i="12"/>
  <c r="AF70" i="12"/>
  <c r="AF71" i="12"/>
  <c r="AB73" i="12"/>
  <c r="AD73" i="12"/>
  <c r="AE73" i="12"/>
  <c r="AF73" i="12"/>
  <c r="AF74" i="12"/>
  <c r="AB76" i="12"/>
  <c r="AD76" i="12"/>
  <c r="AE76" i="12"/>
  <c r="AF76" i="12"/>
  <c r="AB77" i="12"/>
  <c r="AD77" i="12"/>
  <c r="AE77" i="12"/>
  <c r="AF77" i="12"/>
  <c r="AB78" i="12"/>
  <c r="AD78" i="12"/>
  <c r="AE78" i="12"/>
  <c r="AF78" i="12"/>
  <c r="AB79" i="12"/>
  <c r="AD79" i="12"/>
  <c r="AE79" i="12"/>
  <c r="AF79" i="12"/>
  <c r="AB80" i="12"/>
  <c r="AD80" i="12"/>
  <c r="AE80" i="12"/>
  <c r="AF80" i="12"/>
  <c r="AB81" i="12"/>
  <c r="AD81" i="12"/>
  <c r="AE81" i="12"/>
  <c r="AF81" i="12"/>
  <c r="AB82" i="12"/>
  <c r="AD82" i="12"/>
  <c r="AE82" i="12"/>
  <c r="AF82" i="12"/>
  <c r="AB83" i="12"/>
  <c r="AD83" i="12"/>
  <c r="AE83" i="12"/>
  <c r="AF83" i="12"/>
  <c r="AB84" i="12"/>
  <c r="AD84" i="12"/>
  <c r="AE84" i="12"/>
  <c r="AF84" i="12"/>
  <c r="AB85" i="12"/>
  <c r="AD85" i="12"/>
  <c r="AE85" i="12"/>
  <c r="AF85" i="12"/>
  <c r="AB86" i="12"/>
  <c r="AD86" i="12"/>
  <c r="AE86" i="12"/>
  <c r="AF86" i="12"/>
  <c r="AB87" i="12"/>
  <c r="AD87" i="12"/>
  <c r="AE87" i="12"/>
  <c r="AF87" i="12"/>
  <c r="AB88" i="12"/>
  <c r="AD88" i="12"/>
  <c r="AE88" i="12"/>
  <c r="AF88" i="12"/>
  <c r="AB89" i="12"/>
  <c r="AD89" i="12"/>
  <c r="AE89" i="12"/>
  <c r="AF89" i="12"/>
  <c r="AB90" i="12"/>
  <c r="AD90" i="12"/>
  <c r="AE90" i="12"/>
  <c r="AF90" i="12"/>
  <c r="AB91" i="12"/>
  <c r="AD91" i="12"/>
  <c r="AE91" i="12"/>
  <c r="AF91" i="12"/>
  <c r="AB92" i="12"/>
  <c r="AD92" i="12"/>
  <c r="AE92" i="12"/>
  <c r="AF92" i="12"/>
  <c r="AB93" i="12"/>
  <c r="AD93" i="12"/>
  <c r="AE93" i="12"/>
  <c r="AF93" i="12"/>
  <c r="AB94" i="12"/>
  <c r="AD94" i="12"/>
  <c r="AE94" i="12"/>
  <c r="AF94" i="12"/>
  <c r="AB95" i="12"/>
  <c r="AD95" i="12"/>
  <c r="AE95" i="12"/>
  <c r="AF95" i="12"/>
  <c r="AB96" i="12"/>
  <c r="AD96" i="12"/>
  <c r="AE96" i="12"/>
  <c r="AF96" i="12"/>
  <c r="AF97" i="12"/>
  <c r="AB99" i="12"/>
  <c r="AD99" i="12"/>
  <c r="AE99" i="12"/>
  <c r="AF99" i="12"/>
  <c r="AB100" i="12"/>
  <c r="AD100" i="12"/>
  <c r="AE100" i="12"/>
  <c r="AF100" i="12"/>
  <c r="AB101" i="12"/>
  <c r="AD101" i="12"/>
  <c r="AE101" i="12"/>
  <c r="AF101" i="12"/>
  <c r="AB102" i="12"/>
  <c r="AD102" i="12"/>
  <c r="AE102" i="12"/>
  <c r="AF102" i="12"/>
  <c r="AB103" i="12"/>
  <c r="AD103" i="12"/>
  <c r="AE103" i="12"/>
  <c r="AF103" i="12"/>
  <c r="AB104" i="12"/>
  <c r="AD104" i="12"/>
  <c r="AE104" i="12"/>
  <c r="AF104" i="12"/>
  <c r="AB105" i="12"/>
  <c r="AD105" i="12"/>
  <c r="AE105" i="12"/>
  <c r="AF105" i="12"/>
  <c r="AB106" i="12"/>
  <c r="AD106" i="12"/>
  <c r="AE106" i="12"/>
  <c r="AF106" i="12"/>
  <c r="AB107" i="12"/>
  <c r="AD107" i="12"/>
  <c r="AE107" i="12"/>
  <c r="AF107" i="12"/>
  <c r="AB108" i="12"/>
  <c r="AD108" i="12"/>
  <c r="AE108" i="12"/>
  <c r="AF108" i="12"/>
  <c r="AB109" i="12"/>
  <c r="AD109" i="12"/>
  <c r="AE109" i="12"/>
  <c r="AF109" i="12"/>
  <c r="AB110" i="12"/>
  <c r="AD110" i="12"/>
  <c r="AE110" i="12"/>
  <c r="AF110" i="12"/>
  <c r="AB111" i="12"/>
  <c r="AD111" i="12"/>
  <c r="AE111" i="12"/>
  <c r="AF111" i="12"/>
  <c r="AB112" i="12"/>
  <c r="AD112" i="12"/>
  <c r="AE112" i="12"/>
  <c r="AF112" i="12"/>
  <c r="AB113" i="12"/>
  <c r="AD113" i="12"/>
  <c r="AE113" i="12"/>
  <c r="AF113" i="12"/>
  <c r="AB114" i="12"/>
  <c r="AD114" i="12"/>
  <c r="AE114" i="12"/>
  <c r="AF114" i="12"/>
  <c r="AF115" i="12"/>
  <c r="AB117" i="12"/>
  <c r="AD117" i="12"/>
  <c r="AE117" i="12"/>
  <c r="AF117" i="12"/>
  <c r="AB118" i="12"/>
  <c r="AD118" i="12"/>
  <c r="AE118" i="12"/>
  <c r="AF118" i="12"/>
  <c r="AB119" i="12"/>
  <c r="AD119" i="12"/>
  <c r="AE119" i="12"/>
  <c r="AF119" i="12"/>
  <c r="AB120" i="12"/>
  <c r="AD120" i="12"/>
  <c r="AE120" i="12"/>
  <c r="AF120" i="12"/>
  <c r="AB121" i="12"/>
  <c r="AD121" i="12"/>
  <c r="AE121" i="12"/>
  <c r="AF121" i="12"/>
  <c r="AB122" i="12"/>
  <c r="AD122" i="12"/>
  <c r="AE122" i="12"/>
  <c r="AF122" i="12"/>
  <c r="AB123" i="12"/>
  <c r="AD123" i="12"/>
  <c r="AE123" i="12"/>
  <c r="AF123" i="12"/>
  <c r="AB124" i="12"/>
  <c r="AD124" i="12"/>
  <c r="AE124" i="12"/>
  <c r="AF124" i="12"/>
  <c r="AF125" i="12"/>
  <c r="AB127" i="12"/>
  <c r="AD127" i="12"/>
  <c r="AE127" i="12"/>
  <c r="AF127" i="12"/>
  <c r="AB128" i="12"/>
  <c r="AD128" i="12"/>
  <c r="AE128" i="12"/>
  <c r="AF128" i="12"/>
  <c r="AB129" i="12"/>
  <c r="AD129" i="12"/>
  <c r="AE129" i="12"/>
  <c r="AF129" i="12"/>
  <c r="AB130" i="12"/>
  <c r="AD130" i="12"/>
  <c r="AE130" i="12"/>
  <c r="AF130" i="12"/>
  <c r="AB131" i="12"/>
  <c r="AD131" i="12"/>
  <c r="AE131" i="12"/>
  <c r="AF131" i="12"/>
  <c r="AB132" i="12"/>
  <c r="AD132" i="12"/>
  <c r="AE132" i="12"/>
  <c r="AF132" i="12"/>
  <c r="AB133" i="12"/>
  <c r="AD133" i="12"/>
  <c r="AE133" i="12"/>
  <c r="AF133" i="12"/>
  <c r="AB134" i="12"/>
  <c r="AD134" i="12"/>
  <c r="AE134" i="12"/>
  <c r="AF134" i="12"/>
  <c r="AB135" i="12"/>
  <c r="AD135" i="12"/>
  <c r="AE135" i="12"/>
  <c r="AF135" i="12"/>
  <c r="AB136" i="12"/>
  <c r="AD136" i="12"/>
  <c r="AE136" i="12"/>
  <c r="AF136" i="12"/>
  <c r="AF137" i="12"/>
  <c r="AF139" i="12"/>
  <c r="AD27" i="12"/>
  <c r="AD49" i="12"/>
  <c r="AD63" i="12"/>
  <c r="AD71" i="12"/>
  <c r="AD74" i="12"/>
  <c r="AD97" i="12"/>
  <c r="AD115" i="12"/>
  <c r="AD125" i="12"/>
  <c r="AD137" i="12"/>
  <c r="AD139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5" i="12"/>
  <c r="AH66" i="12"/>
  <c r="AH67" i="12"/>
  <c r="AH68" i="12"/>
  <c r="AH69" i="12"/>
  <c r="AH70" i="12"/>
  <c r="AH71" i="12"/>
  <c r="AH73" i="12"/>
  <c r="AH74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7" i="12"/>
  <c r="AH118" i="12"/>
  <c r="AH119" i="12"/>
  <c r="AH120" i="12"/>
  <c r="AH121" i="12"/>
  <c r="AH122" i="12"/>
  <c r="AH123" i="12"/>
  <c r="AH124" i="12"/>
  <c r="AH125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9" i="12"/>
  <c r="AG12" i="12"/>
  <c r="AJ12" i="12"/>
  <c r="AS12" i="12"/>
  <c r="AT12" i="12"/>
  <c r="AG13" i="12"/>
  <c r="AJ13" i="12"/>
  <c r="AG14" i="12"/>
  <c r="AJ14" i="12"/>
  <c r="AG15" i="12"/>
  <c r="AJ15" i="12"/>
  <c r="AG16" i="12"/>
  <c r="AJ16" i="12"/>
  <c r="AG17" i="12"/>
  <c r="AJ17" i="12"/>
  <c r="AG18" i="12"/>
  <c r="AJ18" i="12"/>
  <c r="AG19" i="12"/>
  <c r="AJ19" i="12"/>
  <c r="AG20" i="12"/>
  <c r="AJ20" i="12"/>
  <c r="AG21" i="12"/>
  <c r="AJ21" i="12"/>
  <c r="AG22" i="12"/>
  <c r="AJ22" i="12"/>
  <c r="AG23" i="12"/>
  <c r="AJ23" i="12"/>
  <c r="AG24" i="12"/>
  <c r="AJ24" i="12"/>
  <c r="AG25" i="12"/>
  <c r="AJ25" i="12"/>
  <c r="AG26" i="12"/>
  <c r="AJ26" i="12"/>
  <c r="AJ27" i="12"/>
  <c r="AG29" i="12"/>
  <c r="AJ29" i="12"/>
  <c r="AG30" i="12"/>
  <c r="AJ30" i="12"/>
  <c r="AG31" i="12"/>
  <c r="AJ31" i="12"/>
  <c r="AG32" i="12"/>
  <c r="AJ32" i="12"/>
  <c r="AG33" i="12"/>
  <c r="AJ33" i="12"/>
  <c r="AG34" i="12"/>
  <c r="AJ34" i="12"/>
  <c r="AG35" i="12"/>
  <c r="AJ35" i="12"/>
  <c r="AG36" i="12"/>
  <c r="AJ36" i="12"/>
  <c r="AG37" i="12"/>
  <c r="AJ37" i="12"/>
  <c r="AG38" i="12"/>
  <c r="AJ38" i="12"/>
  <c r="AG39" i="12"/>
  <c r="AJ39" i="12"/>
  <c r="AG40" i="12"/>
  <c r="AJ40" i="12"/>
  <c r="AG41" i="12"/>
  <c r="AJ41" i="12"/>
  <c r="AG42" i="12"/>
  <c r="AJ42" i="12"/>
  <c r="AG43" i="12"/>
  <c r="AJ43" i="12"/>
  <c r="AG44" i="12"/>
  <c r="AJ44" i="12"/>
  <c r="AG45" i="12"/>
  <c r="AJ45" i="12"/>
  <c r="AG46" i="12"/>
  <c r="AJ46" i="12"/>
  <c r="AG47" i="12"/>
  <c r="AJ47" i="12"/>
  <c r="AG48" i="12"/>
  <c r="AJ48" i="12"/>
  <c r="AJ49" i="12"/>
  <c r="AG51" i="12"/>
  <c r="AJ51" i="12"/>
  <c r="AG52" i="12"/>
  <c r="AJ52" i="12"/>
  <c r="AG53" i="12"/>
  <c r="AJ53" i="12"/>
  <c r="AG54" i="12"/>
  <c r="AJ54" i="12"/>
  <c r="AG55" i="12"/>
  <c r="AJ55" i="12"/>
  <c r="AG56" i="12"/>
  <c r="AJ56" i="12"/>
  <c r="AG57" i="12"/>
  <c r="AJ57" i="12"/>
  <c r="AG58" i="12"/>
  <c r="AJ58" i="12"/>
  <c r="AG59" i="12"/>
  <c r="AJ59" i="12"/>
  <c r="AG60" i="12"/>
  <c r="AJ60" i="12"/>
  <c r="AG61" i="12"/>
  <c r="AJ61" i="12"/>
  <c r="AG62" i="12"/>
  <c r="AJ62" i="12"/>
  <c r="AJ63" i="12"/>
  <c r="AG65" i="12"/>
  <c r="AJ65" i="12"/>
  <c r="AG66" i="12"/>
  <c r="AJ66" i="12"/>
  <c r="AG67" i="12"/>
  <c r="AJ67" i="12"/>
  <c r="AG68" i="12"/>
  <c r="AJ68" i="12"/>
  <c r="AG69" i="12"/>
  <c r="AJ69" i="12"/>
  <c r="AG70" i="12"/>
  <c r="AJ70" i="12"/>
  <c r="AJ71" i="12"/>
  <c r="AG73" i="12"/>
  <c r="AJ73" i="12"/>
  <c r="AJ74" i="12"/>
  <c r="AG76" i="12"/>
  <c r="AJ76" i="12"/>
  <c r="AG77" i="12"/>
  <c r="AJ77" i="12"/>
  <c r="AG78" i="12"/>
  <c r="AJ78" i="12"/>
  <c r="AG79" i="12"/>
  <c r="AJ79" i="12"/>
  <c r="AG80" i="12"/>
  <c r="AJ80" i="12"/>
  <c r="AG81" i="12"/>
  <c r="AJ81" i="12"/>
  <c r="AG82" i="12"/>
  <c r="AJ82" i="12"/>
  <c r="AG83" i="12"/>
  <c r="AJ83" i="12"/>
  <c r="AG84" i="12"/>
  <c r="AJ84" i="12"/>
  <c r="AG85" i="12"/>
  <c r="AJ85" i="12"/>
  <c r="AG86" i="12"/>
  <c r="AJ86" i="12"/>
  <c r="AG87" i="12"/>
  <c r="AJ87" i="12"/>
  <c r="AG88" i="12"/>
  <c r="AJ88" i="12"/>
  <c r="AG89" i="12"/>
  <c r="AJ89" i="12"/>
  <c r="AG90" i="12"/>
  <c r="AJ90" i="12"/>
  <c r="AG91" i="12"/>
  <c r="AJ91" i="12"/>
  <c r="AG92" i="12"/>
  <c r="AJ92" i="12"/>
  <c r="AG93" i="12"/>
  <c r="AJ93" i="12"/>
  <c r="AG94" i="12"/>
  <c r="AJ94" i="12"/>
  <c r="AG95" i="12"/>
  <c r="AJ95" i="12"/>
  <c r="AG96" i="12"/>
  <c r="AJ96" i="12"/>
  <c r="AJ97" i="12"/>
  <c r="AG99" i="12"/>
  <c r="AJ99" i="12"/>
  <c r="AG100" i="12"/>
  <c r="AJ100" i="12"/>
  <c r="AG101" i="12"/>
  <c r="AJ101" i="12"/>
  <c r="AG102" i="12"/>
  <c r="AJ102" i="12"/>
  <c r="AG103" i="12"/>
  <c r="AJ103" i="12"/>
  <c r="AG104" i="12"/>
  <c r="AJ104" i="12"/>
  <c r="AG105" i="12"/>
  <c r="AJ105" i="12"/>
  <c r="AG106" i="12"/>
  <c r="AJ106" i="12"/>
  <c r="AG107" i="12"/>
  <c r="AJ107" i="12"/>
  <c r="AG108" i="12"/>
  <c r="AJ108" i="12"/>
  <c r="AG109" i="12"/>
  <c r="AJ109" i="12"/>
  <c r="AG110" i="12"/>
  <c r="AJ110" i="12"/>
  <c r="AG111" i="12"/>
  <c r="AJ111" i="12"/>
  <c r="AG112" i="12"/>
  <c r="AJ112" i="12"/>
  <c r="AG113" i="12"/>
  <c r="AJ113" i="12"/>
  <c r="AG114" i="12"/>
  <c r="AJ114" i="12"/>
  <c r="AJ115" i="12"/>
  <c r="AG117" i="12"/>
  <c r="AJ117" i="12"/>
  <c r="AG118" i="12"/>
  <c r="AJ118" i="12"/>
  <c r="AG119" i="12"/>
  <c r="AJ119" i="12"/>
  <c r="AG120" i="12"/>
  <c r="AJ120" i="12"/>
  <c r="AG121" i="12"/>
  <c r="AJ121" i="12"/>
  <c r="AG122" i="12"/>
  <c r="AJ122" i="12"/>
  <c r="AG123" i="12"/>
  <c r="AJ123" i="12"/>
  <c r="AG124" i="12"/>
  <c r="AJ124" i="12"/>
  <c r="AJ125" i="12"/>
  <c r="AG127" i="12"/>
  <c r="AJ127" i="12"/>
  <c r="AG128" i="12"/>
  <c r="AJ128" i="12"/>
  <c r="AG129" i="12"/>
  <c r="AJ129" i="12"/>
  <c r="AG130" i="12"/>
  <c r="AJ130" i="12"/>
  <c r="AG131" i="12"/>
  <c r="AJ131" i="12"/>
  <c r="AG132" i="12"/>
  <c r="AJ132" i="12"/>
  <c r="AG133" i="12"/>
  <c r="AJ133" i="12"/>
  <c r="AG134" i="12"/>
  <c r="AJ134" i="12"/>
  <c r="AG135" i="12"/>
  <c r="AJ135" i="12"/>
  <c r="AG136" i="12"/>
  <c r="AJ136" i="12"/>
  <c r="AJ137" i="12"/>
  <c r="AJ139" i="12"/>
  <c r="AL12" i="12"/>
  <c r="AV12" i="12"/>
  <c r="AS13" i="12"/>
  <c r="AT13" i="12"/>
  <c r="AL13" i="12"/>
  <c r="AV13" i="12"/>
  <c r="AS14" i="12"/>
  <c r="AT14" i="12"/>
  <c r="AL14" i="12"/>
  <c r="AV14" i="12"/>
  <c r="AS15" i="12"/>
  <c r="AT15" i="12"/>
  <c r="AL15" i="12"/>
  <c r="AV15" i="12"/>
  <c r="AS16" i="12"/>
  <c r="AT16" i="12"/>
  <c r="AL16" i="12"/>
  <c r="AV16" i="12"/>
  <c r="AS17" i="12"/>
  <c r="AT17" i="12"/>
  <c r="AL17" i="12"/>
  <c r="AV17" i="12"/>
  <c r="AS18" i="12"/>
  <c r="AT18" i="12"/>
  <c r="AL18" i="12"/>
  <c r="AV18" i="12"/>
  <c r="AS19" i="12"/>
  <c r="AT19" i="12"/>
  <c r="AL19" i="12"/>
  <c r="AV19" i="12"/>
  <c r="AS20" i="12"/>
  <c r="AT20" i="12"/>
  <c r="AL20" i="12"/>
  <c r="AV20" i="12"/>
  <c r="AS21" i="12"/>
  <c r="AT21" i="12"/>
  <c r="AL21" i="12"/>
  <c r="AV21" i="12"/>
  <c r="AS22" i="12"/>
  <c r="AT22" i="12"/>
  <c r="AV22" i="12"/>
  <c r="AS23" i="12"/>
  <c r="AT23" i="12"/>
  <c r="AL23" i="12"/>
  <c r="AV23" i="12"/>
  <c r="AS24" i="12"/>
  <c r="AT24" i="12"/>
  <c r="AL24" i="12"/>
  <c r="AV24" i="12"/>
  <c r="AS25" i="12"/>
  <c r="AT25" i="12"/>
  <c r="AL25" i="12"/>
  <c r="AV25" i="12"/>
  <c r="AS26" i="12"/>
  <c r="AT26" i="12"/>
  <c r="AL26" i="12"/>
  <c r="AV26" i="12"/>
  <c r="AV27" i="12"/>
  <c r="AS29" i="12"/>
  <c r="AT29" i="12"/>
  <c r="AL29" i="12"/>
  <c r="AV29" i="12"/>
  <c r="AS30" i="12"/>
  <c r="AT30" i="12"/>
  <c r="AL30" i="12"/>
  <c r="AV30" i="12"/>
  <c r="AS31" i="12"/>
  <c r="AT31" i="12"/>
  <c r="AL31" i="12"/>
  <c r="AV31" i="12"/>
  <c r="AS32" i="12"/>
  <c r="AT32" i="12"/>
  <c r="AL32" i="12"/>
  <c r="AV32" i="12"/>
  <c r="AS33" i="12"/>
  <c r="AT33" i="12"/>
  <c r="AL33" i="12"/>
  <c r="AV33" i="12"/>
  <c r="AS34" i="12"/>
  <c r="AT34" i="12"/>
  <c r="AL34" i="12"/>
  <c r="AV34" i="12"/>
  <c r="AS35" i="12"/>
  <c r="AT35" i="12"/>
  <c r="AV35" i="12"/>
  <c r="AS36" i="12"/>
  <c r="AT36" i="12"/>
  <c r="AL36" i="12"/>
  <c r="AV36" i="12"/>
  <c r="AS37" i="12"/>
  <c r="AT37" i="12"/>
  <c r="AL37" i="12"/>
  <c r="AV37" i="12"/>
  <c r="AS38" i="12"/>
  <c r="AT38" i="12"/>
  <c r="AL38" i="12"/>
  <c r="AV38" i="12"/>
  <c r="AS39" i="12"/>
  <c r="AT39" i="12"/>
  <c r="AV39" i="12"/>
  <c r="AS40" i="12"/>
  <c r="AT40" i="12"/>
  <c r="AL40" i="12"/>
  <c r="AV40" i="12"/>
  <c r="AS41" i="12"/>
  <c r="AT41" i="12"/>
  <c r="AL41" i="12"/>
  <c r="AV41" i="12"/>
  <c r="AS42" i="12"/>
  <c r="AT42" i="12"/>
  <c r="AL42" i="12"/>
  <c r="AV42" i="12"/>
  <c r="AS43" i="12"/>
  <c r="AT43" i="12"/>
  <c r="AL43" i="12"/>
  <c r="AV43" i="12"/>
  <c r="AS44" i="12"/>
  <c r="AT44" i="12"/>
  <c r="AL44" i="12"/>
  <c r="AV44" i="12"/>
  <c r="AS45" i="12"/>
  <c r="AT45" i="12"/>
  <c r="AV45" i="12"/>
  <c r="AS46" i="12"/>
  <c r="AT46" i="12"/>
  <c r="AL46" i="12"/>
  <c r="AV46" i="12"/>
  <c r="AS47" i="12"/>
  <c r="AT47" i="12"/>
  <c r="AL47" i="12"/>
  <c r="AV47" i="12"/>
  <c r="AS48" i="12"/>
  <c r="AT48" i="12"/>
  <c r="AL48" i="12"/>
  <c r="AV48" i="12"/>
  <c r="AV49" i="12"/>
  <c r="AS51" i="12"/>
  <c r="AT51" i="12"/>
  <c r="AL51" i="12"/>
  <c r="AV51" i="12"/>
  <c r="AS52" i="12"/>
  <c r="AT52" i="12"/>
  <c r="AL52" i="12"/>
  <c r="AV52" i="12"/>
  <c r="AS53" i="12"/>
  <c r="AT53" i="12"/>
  <c r="AL53" i="12"/>
  <c r="AV53" i="12"/>
  <c r="AS54" i="12"/>
  <c r="AT54" i="12"/>
  <c r="AL54" i="12"/>
  <c r="AV54" i="12"/>
  <c r="AS55" i="12"/>
  <c r="AT55" i="12"/>
  <c r="AL55" i="12"/>
  <c r="AV55" i="12"/>
  <c r="AS56" i="12"/>
  <c r="AT56" i="12"/>
  <c r="AL56" i="12"/>
  <c r="AV56" i="12"/>
  <c r="AS57" i="12"/>
  <c r="AT57" i="12"/>
  <c r="AL57" i="12"/>
  <c r="AV57" i="12"/>
  <c r="AS58" i="12"/>
  <c r="AT58" i="12"/>
  <c r="AL58" i="12"/>
  <c r="AV58" i="12"/>
  <c r="AS59" i="12"/>
  <c r="AT59" i="12"/>
  <c r="AL59" i="12"/>
  <c r="AV59" i="12"/>
  <c r="AS60" i="12"/>
  <c r="AT60" i="12"/>
  <c r="AL60" i="12"/>
  <c r="AV60" i="12"/>
  <c r="AS61" i="12"/>
  <c r="AT61" i="12"/>
  <c r="AL61" i="12"/>
  <c r="AV61" i="12"/>
  <c r="AS62" i="12"/>
  <c r="AT62" i="12"/>
  <c r="AL62" i="12"/>
  <c r="AV62" i="12"/>
  <c r="AV63" i="12"/>
  <c r="AS65" i="12"/>
  <c r="AT65" i="12"/>
  <c r="AL65" i="12"/>
  <c r="AV65" i="12"/>
  <c r="AS66" i="12"/>
  <c r="AT66" i="12"/>
  <c r="AL66" i="12"/>
  <c r="AV66" i="12"/>
  <c r="AS67" i="12"/>
  <c r="AT67" i="12"/>
  <c r="AL67" i="12"/>
  <c r="AV67" i="12"/>
  <c r="AS68" i="12"/>
  <c r="AT68" i="12"/>
  <c r="AL68" i="12"/>
  <c r="AV68" i="12"/>
  <c r="AS69" i="12"/>
  <c r="AT69" i="12"/>
  <c r="AL69" i="12"/>
  <c r="AV69" i="12"/>
  <c r="AS70" i="12"/>
  <c r="AT70" i="12"/>
  <c r="AL70" i="12"/>
  <c r="AV70" i="12"/>
  <c r="AV71" i="12"/>
  <c r="AS73" i="12"/>
  <c r="AT73" i="12"/>
  <c r="AL73" i="12"/>
  <c r="AV73" i="12"/>
  <c r="AV74" i="12"/>
  <c r="AS76" i="12"/>
  <c r="AT76" i="12"/>
  <c r="AL76" i="12"/>
  <c r="AV76" i="12"/>
  <c r="AS77" i="12"/>
  <c r="AT77" i="12"/>
  <c r="AL77" i="12"/>
  <c r="AV77" i="12"/>
  <c r="AS78" i="12"/>
  <c r="AT78" i="12"/>
  <c r="AL78" i="12"/>
  <c r="AV78" i="12"/>
  <c r="AS79" i="12"/>
  <c r="AT79" i="12"/>
  <c r="AV79" i="12"/>
  <c r="AS80" i="12"/>
  <c r="AT80" i="12"/>
  <c r="AL80" i="12"/>
  <c r="AV80" i="12"/>
  <c r="AS81" i="12"/>
  <c r="AT81" i="12"/>
  <c r="AL81" i="12"/>
  <c r="AV81" i="12"/>
  <c r="AS82" i="12"/>
  <c r="AT82" i="12"/>
  <c r="AL82" i="12"/>
  <c r="AV82" i="12"/>
  <c r="AS83" i="12"/>
  <c r="AT83" i="12"/>
  <c r="AL83" i="12"/>
  <c r="AV83" i="12"/>
  <c r="AS84" i="12"/>
  <c r="AT84" i="12"/>
  <c r="AL84" i="12"/>
  <c r="AV84" i="12"/>
  <c r="AS85" i="12"/>
  <c r="AT85" i="12"/>
  <c r="AV85" i="12"/>
  <c r="AS86" i="12"/>
  <c r="AT86" i="12"/>
  <c r="AL86" i="12"/>
  <c r="AV86" i="12"/>
  <c r="AS87" i="12"/>
  <c r="AT87" i="12"/>
  <c r="AV87" i="12"/>
  <c r="AS88" i="12"/>
  <c r="AT88" i="12"/>
  <c r="AV88" i="12"/>
  <c r="AS89" i="12"/>
  <c r="AT89" i="12"/>
  <c r="AL89" i="12"/>
  <c r="AV89" i="12"/>
  <c r="AS90" i="12"/>
  <c r="AT90" i="12"/>
  <c r="AV90" i="12"/>
  <c r="AS91" i="12"/>
  <c r="AT91" i="12"/>
  <c r="AL91" i="12"/>
  <c r="AV91" i="12"/>
  <c r="AS92" i="12"/>
  <c r="AT92" i="12"/>
  <c r="AL92" i="12"/>
  <c r="AV92" i="12"/>
  <c r="AS93" i="12"/>
  <c r="AT93" i="12"/>
  <c r="AL93" i="12"/>
  <c r="AV93" i="12"/>
  <c r="AS94" i="12"/>
  <c r="AT94" i="12"/>
  <c r="AL94" i="12"/>
  <c r="AV94" i="12"/>
  <c r="AS95" i="12"/>
  <c r="AT95" i="12"/>
  <c r="AV95" i="12"/>
  <c r="AS96" i="12"/>
  <c r="AT96" i="12"/>
  <c r="AL96" i="12"/>
  <c r="AV96" i="12"/>
  <c r="AV97" i="12"/>
  <c r="AS99" i="12"/>
  <c r="AT99" i="12"/>
  <c r="AL99" i="12"/>
  <c r="AV99" i="12"/>
  <c r="AS100" i="12"/>
  <c r="AT100" i="12"/>
  <c r="AL100" i="12"/>
  <c r="AV100" i="12"/>
  <c r="AS101" i="12"/>
  <c r="AT101" i="12"/>
  <c r="AL101" i="12"/>
  <c r="AV101" i="12"/>
  <c r="AS102" i="12"/>
  <c r="AT102" i="12"/>
  <c r="AV102" i="12"/>
  <c r="AS103" i="12"/>
  <c r="AT103" i="12"/>
  <c r="AV103" i="12"/>
  <c r="AS104" i="12"/>
  <c r="AT104" i="12"/>
  <c r="AL104" i="12"/>
  <c r="AV104" i="12"/>
  <c r="AS105" i="12"/>
  <c r="AT105" i="12"/>
  <c r="AL105" i="12"/>
  <c r="AV105" i="12"/>
  <c r="AS106" i="12"/>
  <c r="AT106" i="12"/>
  <c r="AV106" i="12"/>
  <c r="AS107" i="12"/>
  <c r="AT107" i="12"/>
  <c r="AL107" i="12"/>
  <c r="AV107" i="12"/>
  <c r="AS108" i="12"/>
  <c r="AT108" i="12"/>
  <c r="AL108" i="12"/>
  <c r="AV108" i="12"/>
  <c r="AS109" i="12"/>
  <c r="AT109" i="12"/>
  <c r="AL109" i="12"/>
  <c r="AV109" i="12"/>
  <c r="AS110" i="12"/>
  <c r="AT110" i="12"/>
  <c r="AL110" i="12"/>
  <c r="AV110" i="12"/>
  <c r="AS111" i="12"/>
  <c r="AT111" i="12"/>
  <c r="AL111" i="12"/>
  <c r="AV111" i="12"/>
  <c r="AS112" i="12"/>
  <c r="AT112" i="12"/>
  <c r="AV112" i="12"/>
  <c r="AS113" i="12"/>
  <c r="AT113" i="12"/>
  <c r="AL113" i="12"/>
  <c r="AV113" i="12"/>
  <c r="AS114" i="12"/>
  <c r="AT114" i="12"/>
  <c r="AL114" i="12"/>
  <c r="AV114" i="12"/>
  <c r="AV115" i="12"/>
  <c r="AS117" i="12"/>
  <c r="AT117" i="12"/>
  <c r="AL117" i="12"/>
  <c r="AV117" i="12"/>
  <c r="AS118" i="12"/>
  <c r="AT118" i="12"/>
  <c r="AL118" i="12"/>
  <c r="AV118" i="12"/>
  <c r="AS119" i="12"/>
  <c r="AT119" i="12"/>
  <c r="AL119" i="12"/>
  <c r="AV119" i="12"/>
  <c r="AS120" i="12"/>
  <c r="AT120" i="12"/>
  <c r="AL120" i="12"/>
  <c r="AV120" i="12"/>
  <c r="AS121" i="12"/>
  <c r="AT121" i="12"/>
  <c r="AL121" i="12"/>
  <c r="AV121" i="12"/>
  <c r="AS122" i="12"/>
  <c r="AT122" i="12"/>
  <c r="AL122" i="12"/>
  <c r="AV122" i="12"/>
  <c r="AS123" i="12"/>
  <c r="AT123" i="12"/>
  <c r="AL123" i="12"/>
  <c r="AV123" i="12"/>
  <c r="AS124" i="12"/>
  <c r="AT124" i="12"/>
  <c r="AL124" i="12"/>
  <c r="AV124" i="12"/>
  <c r="AV125" i="12"/>
  <c r="AS127" i="12"/>
  <c r="AT127" i="12"/>
  <c r="AL127" i="12"/>
  <c r="AV127" i="12"/>
  <c r="AS128" i="12"/>
  <c r="AT128" i="12"/>
  <c r="AL128" i="12"/>
  <c r="AV128" i="12"/>
  <c r="AS129" i="12"/>
  <c r="AT129" i="12"/>
  <c r="AL129" i="12"/>
  <c r="AV129" i="12"/>
  <c r="AS130" i="12"/>
  <c r="AT130" i="12"/>
  <c r="AL130" i="12"/>
  <c r="AV130" i="12"/>
  <c r="AS131" i="12"/>
  <c r="AT131" i="12"/>
  <c r="AL131" i="12"/>
  <c r="AV131" i="12"/>
  <c r="AS132" i="12"/>
  <c r="AT132" i="12"/>
  <c r="AL132" i="12"/>
  <c r="AV132" i="12"/>
  <c r="AS133" i="12"/>
  <c r="AT133" i="12"/>
  <c r="AL133" i="12"/>
  <c r="AV133" i="12"/>
  <c r="AS134" i="12"/>
  <c r="AT134" i="12"/>
  <c r="AL134" i="12"/>
  <c r="AV134" i="12"/>
  <c r="AS135" i="12"/>
  <c r="AT135" i="12"/>
  <c r="AL135" i="12"/>
  <c r="AV135" i="12"/>
  <c r="AS136" i="12"/>
  <c r="AT136" i="12"/>
  <c r="AL136" i="12"/>
  <c r="AV136" i="12"/>
  <c r="AV137" i="12"/>
  <c r="AV139" i="12"/>
  <c r="AW12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5" i="12"/>
  <c r="AU66" i="12"/>
  <c r="AU67" i="12"/>
  <c r="AU68" i="12"/>
  <c r="AU69" i="12"/>
  <c r="AU70" i="12"/>
  <c r="AU71" i="12"/>
  <c r="AU73" i="12"/>
  <c r="AU74" i="12"/>
  <c r="AU76" i="12"/>
  <c r="AU77" i="12"/>
  <c r="AU78" i="12"/>
  <c r="AU79" i="12"/>
  <c r="AU80" i="12"/>
  <c r="AU81" i="12"/>
  <c r="AU82" i="12"/>
  <c r="AU83" i="12"/>
  <c r="AU84" i="12"/>
  <c r="AU85" i="12"/>
  <c r="AU86" i="12"/>
  <c r="AU87" i="12"/>
  <c r="AU88" i="12"/>
  <c r="AU89" i="12"/>
  <c r="AU90" i="12"/>
  <c r="AU91" i="12"/>
  <c r="AU92" i="12"/>
  <c r="AU93" i="12"/>
  <c r="AU94" i="12"/>
  <c r="AU95" i="12"/>
  <c r="AU96" i="12"/>
  <c r="AU97" i="12"/>
  <c r="AU99" i="12"/>
  <c r="AU100" i="12"/>
  <c r="AU101" i="12"/>
  <c r="AU102" i="12"/>
  <c r="AU103" i="12"/>
  <c r="AU104" i="12"/>
  <c r="AU105" i="12"/>
  <c r="AU106" i="12"/>
  <c r="AU107" i="12"/>
  <c r="AU108" i="12"/>
  <c r="AU109" i="12"/>
  <c r="AU110" i="12"/>
  <c r="AU111" i="12"/>
  <c r="AU112" i="12"/>
  <c r="AU113" i="12"/>
  <c r="AU114" i="12"/>
  <c r="AU115" i="12"/>
  <c r="AU117" i="12"/>
  <c r="AU118" i="12"/>
  <c r="AU119" i="12"/>
  <c r="AU120" i="12"/>
  <c r="AU121" i="12"/>
  <c r="AU122" i="12"/>
  <c r="AU123" i="12"/>
  <c r="AU124" i="12"/>
  <c r="AU125" i="12"/>
  <c r="AU127" i="12"/>
  <c r="AU128" i="12"/>
  <c r="AU129" i="12"/>
  <c r="AU130" i="12"/>
  <c r="AU131" i="12"/>
  <c r="AU132" i="12"/>
  <c r="AU133" i="12"/>
  <c r="AU134" i="12"/>
  <c r="AU135" i="12"/>
  <c r="AU136" i="12"/>
  <c r="AU137" i="12"/>
  <c r="AU139" i="12"/>
  <c r="AX12" i="12"/>
  <c r="AY12" i="12"/>
  <c r="AW13" i="12"/>
  <c r="AX13" i="12"/>
  <c r="AY13" i="12"/>
  <c r="AW14" i="12"/>
  <c r="AX14" i="12"/>
  <c r="AY14" i="12"/>
  <c r="AW15" i="12"/>
  <c r="AX15" i="12"/>
  <c r="AY15" i="12"/>
  <c r="AW16" i="12"/>
  <c r="AX16" i="12"/>
  <c r="AY16" i="12"/>
  <c r="AW17" i="12"/>
  <c r="AX17" i="12"/>
  <c r="AY17" i="12"/>
  <c r="AW18" i="12"/>
  <c r="AX18" i="12"/>
  <c r="AY18" i="12"/>
  <c r="AW19" i="12"/>
  <c r="AX19" i="12"/>
  <c r="AY19" i="12"/>
  <c r="AW20" i="12"/>
  <c r="AX20" i="12"/>
  <c r="AY20" i="12"/>
  <c r="AW21" i="12"/>
  <c r="AX21" i="12"/>
  <c r="AY21" i="12"/>
  <c r="AY22" i="12"/>
  <c r="AW23" i="12"/>
  <c r="AX23" i="12"/>
  <c r="AY23" i="12"/>
  <c r="AW24" i="12"/>
  <c r="AX24" i="12"/>
  <c r="AY24" i="12"/>
  <c r="AW25" i="12"/>
  <c r="AX25" i="12"/>
  <c r="AY25" i="12"/>
  <c r="AW26" i="12"/>
  <c r="AX26" i="12"/>
  <c r="AY26" i="12"/>
  <c r="AY27" i="12"/>
  <c r="E27" i="12"/>
  <c r="G27" i="12"/>
  <c r="AW29" i="12"/>
  <c r="AX29" i="12"/>
  <c r="AY29" i="12"/>
  <c r="AW30" i="12"/>
  <c r="AX30" i="12"/>
  <c r="AY30" i="12"/>
  <c r="AW31" i="12"/>
  <c r="AX31" i="12"/>
  <c r="AY31" i="12"/>
  <c r="AW32" i="12"/>
  <c r="AX32" i="12"/>
  <c r="AY32" i="12"/>
  <c r="AW33" i="12"/>
  <c r="AX33" i="12"/>
  <c r="AY33" i="12"/>
  <c r="AW34" i="12"/>
  <c r="AX34" i="12"/>
  <c r="AY34" i="12"/>
  <c r="AY35" i="12"/>
  <c r="AW36" i="12"/>
  <c r="AX36" i="12"/>
  <c r="AY36" i="12"/>
  <c r="AW37" i="12"/>
  <c r="AX37" i="12"/>
  <c r="AY37" i="12"/>
  <c r="AW38" i="12"/>
  <c r="AX38" i="12"/>
  <c r="AY38" i="12"/>
  <c r="AY39" i="12"/>
  <c r="AW40" i="12"/>
  <c r="AX40" i="12"/>
  <c r="AY40" i="12"/>
  <c r="AW41" i="12"/>
  <c r="AX41" i="12"/>
  <c r="AY41" i="12"/>
  <c r="AW42" i="12"/>
  <c r="AX42" i="12"/>
  <c r="AY42" i="12"/>
  <c r="AW43" i="12"/>
  <c r="AX43" i="12"/>
  <c r="AY43" i="12"/>
  <c r="AW44" i="12"/>
  <c r="AX44" i="12"/>
  <c r="AY44" i="12"/>
  <c r="AY45" i="12"/>
  <c r="AW46" i="12"/>
  <c r="AX46" i="12"/>
  <c r="AY46" i="12"/>
  <c r="AW47" i="12"/>
  <c r="AX47" i="12"/>
  <c r="AY47" i="12"/>
  <c r="AW48" i="12"/>
  <c r="AX48" i="12"/>
  <c r="AY48" i="12"/>
  <c r="AY49" i="12"/>
  <c r="E49" i="12"/>
  <c r="G49" i="12"/>
  <c r="AW51" i="12"/>
  <c r="AX51" i="12"/>
  <c r="AY51" i="12"/>
  <c r="AW52" i="12"/>
  <c r="AX52" i="12"/>
  <c r="AY52" i="12"/>
  <c r="AW53" i="12"/>
  <c r="AX53" i="12"/>
  <c r="AY53" i="12"/>
  <c r="AW54" i="12"/>
  <c r="AX54" i="12"/>
  <c r="AY54" i="12"/>
  <c r="AW55" i="12"/>
  <c r="AX55" i="12"/>
  <c r="AY55" i="12"/>
  <c r="AW56" i="12"/>
  <c r="AX56" i="12"/>
  <c r="AY56" i="12"/>
  <c r="AW57" i="12"/>
  <c r="AX57" i="12"/>
  <c r="AY57" i="12"/>
  <c r="AW58" i="12"/>
  <c r="AX58" i="12"/>
  <c r="AY58" i="12"/>
  <c r="AW59" i="12"/>
  <c r="AX59" i="12"/>
  <c r="AY59" i="12"/>
  <c r="AW60" i="12"/>
  <c r="AX60" i="12"/>
  <c r="AY60" i="12"/>
  <c r="AW61" i="12"/>
  <c r="AX61" i="12"/>
  <c r="AY61" i="12"/>
  <c r="AW62" i="12"/>
  <c r="AX62" i="12"/>
  <c r="AY62" i="12"/>
  <c r="AY63" i="12"/>
  <c r="E63" i="12"/>
  <c r="G63" i="12"/>
  <c r="AW65" i="12"/>
  <c r="AX65" i="12"/>
  <c r="AY65" i="12"/>
  <c r="AW66" i="12"/>
  <c r="AX66" i="12"/>
  <c r="AY66" i="12"/>
  <c r="AW67" i="12"/>
  <c r="AX67" i="12"/>
  <c r="AY67" i="12"/>
  <c r="AW68" i="12"/>
  <c r="AX68" i="12"/>
  <c r="AY68" i="12"/>
  <c r="AW69" i="12"/>
  <c r="AX69" i="12"/>
  <c r="AY69" i="12"/>
  <c r="AW70" i="12"/>
  <c r="AX70" i="12"/>
  <c r="AY70" i="12"/>
  <c r="AY71" i="12"/>
  <c r="E71" i="12"/>
  <c r="G71" i="12"/>
  <c r="AW73" i="12"/>
  <c r="AX73" i="12"/>
  <c r="AY73" i="12"/>
  <c r="AY74" i="12"/>
  <c r="E74" i="12"/>
  <c r="G74" i="12"/>
  <c r="AW76" i="12"/>
  <c r="AX76" i="12"/>
  <c r="AY76" i="12"/>
  <c r="AW77" i="12"/>
  <c r="AX77" i="12"/>
  <c r="AY77" i="12"/>
  <c r="AW78" i="12"/>
  <c r="AX78" i="12"/>
  <c r="AY78" i="12"/>
  <c r="AY79" i="12"/>
  <c r="AW80" i="12"/>
  <c r="AX80" i="12"/>
  <c r="AY80" i="12"/>
  <c r="AW81" i="12"/>
  <c r="AX81" i="12"/>
  <c r="AY81" i="12"/>
  <c r="AW82" i="12"/>
  <c r="AX82" i="12"/>
  <c r="AY82" i="12"/>
  <c r="AW83" i="12"/>
  <c r="AX83" i="12"/>
  <c r="AY83" i="12"/>
  <c r="AW84" i="12"/>
  <c r="AX84" i="12"/>
  <c r="AY84" i="12"/>
  <c r="AY85" i="12"/>
  <c r="AW86" i="12"/>
  <c r="AX86" i="12"/>
  <c r="AY86" i="12"/>
  <c r="AY87" i="12"/>
  <c r="AY88" i="12"/>
  <c r="AW89" i="12"/>
  <c r="AX89" i="12"/>
  <c r="AY89" i="12"/>
  <c r="AY90" i="12"/>
  <c r="AW91" i="12"/>
  <c r="AX91" i="12"/>
  <c r="AY91" i="12"/>
  <c r="AW92" i="12"/>
  <c r="AX92" i="12"/>
  <c r="AY92" i="12"/>
  <c r="AW93" i="12"/>
  <c r="AX93" i="12"/>
  <c r="AY93" i="12"/>
  <c r="AW94" i="12"/>
  <c r="AX94" i="12"/>
  <c r="AY94" i="12"/>
  <c r="AY95" i="12"/>
  <c r="AW96" i="12"/>
  <c r="AX96" i="12"/>
  <c r="AY96" i="12"/>
  <c r="AY97" i="12"/>
  <c r="E97" i="12"/>
  <c r="G97" i="12"/>
  <c r="AW99" i="12"/>
  <c r="AX99" i="12"/>
  <c r="AY99" i="12"/>
  <c r="AW100" i="12"/>
  <c r="AX100" i="12"/>
  <c r="AY100" i="12"/>
  <c r="AW101" i="12"/>
  <c r="AX101" i="12"/>
  <c r="AY101" i="12"/>
  <c r="AY102" i="12"/>
  <c r="AY103" i="12"/>
  <c r="AW104" i="12"/>
  <c r="AX104" i="12"/>
  <c r="AY104" i="12"/>
  <c r="AW105" i="12"/>
  <c r="AX105" i="12"/>
  <c r="AY105" i="12"/>
  <c r="AY106" i="12"/>
  <c r="AW107" i="12"/>
  <c r="AX107" i="12"/>
  <c r="AY107" i="12"/>
  <c r="AW108" i="12"/>
  <c r="AX108" i="12"/>
  <c r="AY108" i="12"/>
  <c r="AW109" i="12"/>
  <c r="AX109" i="12"/>
  <c r="AY109" i="12"/>
  <c r="AW110" i="12"/>
  <c r="AX110" i="12"/>
  <c r="AY110" i="12"/>
  <c r="AW111" i="12"/>
  <c r="AX111" i="12"/>
  <c r="AY111" i="12"/>
  <c r="AY112" i="12"/>
  <c r="AW113" i="12"/>
  <c r="AX113" i="12"/>
  <c r="AY113" i="12"/>
  <c r="AW114" i="12"/>
  <c r="AX114" i="12"/>
  <c r="AY114" i="12"/>
  <c r="AY115" i="12"/>
  <c r="E115" i="12"/>
  <c r="G115" i="12"/>
  <c r="AW117" i="12"/>
  <c r="AX117" i="12"/>
  <c r="AY117" i="12"/>
  <c r="AW118" i="12"/>
  <c r="AX118" i="12"/>
  <c r="AY118" i="12"/>
  <c r="AW119" i="12"/>
  <c r="AX119" i="12"/>
  <c r="AY119" i="12"/>
  <c r="AW120" i="12"/>
  <c r="AX120" i="12"/>
  <c r="AY120" i="12"/>
  <c r="AW121" i="12"/>
  <c r="AX121" i="12"/>
  <c r="AY121" i="12"/>
  <c r="AW122" i="12"/>
  <c r="AX122" i="12"/>
  <c r="AY122" i="12"/>
  <c r="AW123" i="12"/>
  <c r="AX123" i="12"/>
  <c r="AY123" i="12"/>
  <c r="AW124" i="12"/>
  <c r="AX124" i="12"/>
  <c r="AY124" i="12"/>
  <c r="AY125" i="12"/>
  <c r="E125" i="12"/>
  <c r="G125" i="12"/>
  <c r="AW127" i="12"/>
  <c r="AX127" i="12"/>
  <c r="AY127" i="12"/>
  <c r="AW128" i="12"/>
  <c r="AX128" i="12"/>
  <c r="AY128" i="12"/>
  <c r="AW129" i="12"/>
  <c r="AX129" i="12"/>
  <c r="AY129" i="12"/>
  <c r="AW130" i="12"/>
  <c r="AX130" i="12"/>
  <c r="AY130" i="12"/>
  <c r="AW131" i="12"/>
  <c r="AX131" i="12"/>
  <c r="AY131" i="12"/>
  <c r="AW132" i="12"/>
  <c r="AX132" i="12"/>
  <c r="AY132" i="12"/>
  <c r="AW133" i="12"/>
  <c r="AX133" i="12"/>
  <c r="AY133" i="12"/>
  <c r="AW134" i="12"/>
  <c r="AX134" i="12"/>
  <c r="AY134" i="12"/>
  <c r="AW135" i="12"/>
  <c r="AX135" i="12"/>
  <c r="AY135" i="12"/>
  <c r="AW136" i="12"/>
  <c r="AX136" i="12"/>
  <c r="AY136" i="12"/>
  <c r="AY137" i="12"/>
  <c r="E137" i="12"/>
  <c r="G137" i="12"/>
  <c r="AY139" i="12"/>
  <c r="E139" i="12"/>
  <c r="G139" i="12"/>
  <c r="AN27" i="12"/>
  <c r="AN49" i="12"/>
  <c r="AN63" i="12"/>
  <c r="AN71" i="12"/>
  <c r="AN74" i="12"/>
  <c r="AN97" i="12"/>
  <c r="AN115" i="12"/>
  <c r="AN125" i="12"/>
  <c r="AN137" i="12"/>
  <c r="AN139" i="12"/>
  <c r="C132" i="6"/>
  <c r="D132" i="6"/>
  <c r="E132" i="6"/>
  <c r="E131" i="6"/>
  <c r="E130" i="6"/>
  <c r="E129" i="6"/>
  <c r="E128" i="6"/>
  <c r="E127" i="6"/>
  <c r="E126" i="6"/>
  <c r="E125" i="6"/>
  <c r="E124" i="6"/>
  <c r="E123" i="6"/>
  <c r="E122" i="6"/>
  <c r="C120" i="6"/>
  <c r="D120" i="6"/>
  <c r="E120" i="6"/>
  <c r="E119" i="6"/>
  <c r="E118" i="6"/>
  <c r="E117" i="6"/>
  <c r="E116" i="6"/>
  <c r="E115" i="6"/>
  <c r="E114" i="6"/>
  <c r="E113" i="6"/>
  <c r="E112" i="6"/>
  <c r="C110" i="6"/>
  <c r="D110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C92" i="6"/>
  <c r="D92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C69" i="6"/>
  <c r="D69" i="6"/>
  <c r="E69" i="6"/>
  <c r="E68" i="6"/>
  <c r="C66" i="6"/>
  <c r="D66" i="6"/>
  <c r="E66" i="6"/>
  <c r="E65" i="6"/>
  <c r="E64" i="6"/>
  <c r="E63" i="6"/>
  <c r="E62" i="6"/>
  <c r="E61" i="6"/>
  <c r="E60" i="6"/>
  <c r="C58" i="6"/>
  <c r="D58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C44" i="6"/>
  <c r="D44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C22" i="6"/>
  <c r="D22" i="6"/>
  <c r="E22" i="6"/>
  <c r="E7" i="6"/>
  <c r="E134" i="6"/>
  <c r="C134" i="6"/>
  <c r="D134" i="6"/>
  <c r="M4" i="11"/>
  <c r="N4" i="11"/>
  <c r="O4" i="11"/>
  <c r="B10" i="16"/>
  <c r="I10" i="16"/>
  <c r="N10" i="16"/>
  <c r="B11" i="16"/>
  <c r="I11" i="16"/>
  <c r="N11" i="16"/>
  <c r="B12" i="16"/>
  <c r="I12" i="16"/>
  <c r="N12" i="16"/>
  <c r="B13" i="16"/>
  <c r="I13" i="16"/>
  <c r="N13" i="16"/>
  <c r="B14" i="16"/>
  <c r="I14" i="16"/>
  <c r="N14" i="16"/>
  <c r="B15" i="16"/>
  <c r="I15" i="16"/>
  <c r="N15" i="16"/>
  <c r="B16" i="16"/>
  <c r="I16" i="16"/>
  <c r="N16" i="16"/>
  <c r="B17" i="16"/>
  <c r="I17" i="16"/>
  <c r="N17" i="16"/>
  <c r="B18" i="16"/>
  <c r="I18" i="16"/>
  <c r="N18" i="16"/>
  <c r="B19" i="16"/>
  <c r="I19" i="16"/>
  <c r="N19" i="16"/>
  <c r="B20" i="16"/>
  <c r="I20" i="16"/>
  <c r="N20" i="16"/>
  <c r="B21" i="16"/>
  <c r="I21" i="16"/>
  <c r="N21" i="16"/>
  <c r="B22" i="16"/>
  <c r="I22" i="16"/>
  <c r="N22" i="16"/>
  <c r="B23" i="16"/>
  <c r="I23" i="16"/>
  <c r="N23" i="16"/>
  <c r="B24" i="16"/>
  <c r="I24" i="16"/>
  <c r="N24" i="16"/>
  <c r="N25" i="16"/>
  <c r="B27" i="16"/>
  <c r="I27" i="16"/>
  <c r="N27" i="16"/>
  <c r="B28" i="16"/>
  <c r="I28" i="16"/>
  <c r="N28" i="16"/>
  <c r="B29" i="16"/>
  <c r="I29" i="16"/>
  <c r="N29" i="16"/>
  <c r="B30" i="16"/>
  <c r="I30" i="16"/>
  <c r="N30" i="16"/>
  <c r="B31" i="16"/>
  <c r="I31" i="16"/>
  <c r="N31" i="16"/>
  <c r="B32" i="16"/>
  <c r="I32" i="16"/>
  <c r="N32" i="16"/>
  <c r="B33" i="16"/>
  <c r="I33" i="16"/>
  <c r="N33" i="16"/>
  <c r="B34" i="16"/>
  <c r="I34" i="16"/>
  <c r="N34" i="16"/>
  <c r="B35" i="16"/>
  <c r="I35" i="16"/>
  <c r="N35" i="16"/>
  <c r="B36" i="16"/>
  <c r="I36" i="16"/>
  <c r="N36" i="16"/>
  <c r="B37" i="16"/>
  <c r="I37" i="16"/>
  <c r="N37" i="16"/>
  <c r="B38" i="16"/>
  <c r="I38" i="16"/>
  <c r="N38" i="16"/>
  <c r="B39" i="16"/>
  <c r="I39" i="16"/>
  <c r="N39" i="16"/>
  <c r="B40" i="16"/>
  <c r="I40" i="16"/>
  <c r="N40" i="16"/>
  <c r="B41" i="16"/>
  <c r="I41" i="16"/>
  <c r="N41" i="16"/>
  <c r="B42" i="16"/>
  <c r="I42" i="16"/>
  <c r="N42" i="16"/>
  <c r="B43" i="16"/>
  <c r="I43" i="16"/>
  <c r="N43" i="16"/>
  <c r="B44" i="16"/>
  <c r="I44" i="16"/>
  <c r="N44" i="16"/>
  <c r="B45" i="16"/>
  <c r="I45" i="16"/>
  <c r="N45" i="16"/>
  <c r="B46" i="16"/>
  <c r="I46" i="16"/>
  <c r="N46" i="16"/>
  <c r="N47" i="16"/>
  <c r="B49" i="16"/>
  <c r="I49" i="16"/>
  <c r="N49" i="16"/>
  <c r="B50" i="16"/>
  <c r="I50" i="16"/>
  <c r="N50" i="16"/>
  <c r="B51" i="16"/>
  <c r="I51" i="16"/>
  <c r="N51" i="16"/>
  <c r="B52" i="16"/>
  <c r="I52" i="16"/>
  <c r="N52" i="16"/>
  <c r="B53" i="16"/>
  <c r="I53" i="16"/>
  <c r="N53" i="16"/>
  <c r="B54" i="16"/>
  <c r="I54" i="16"/>
  <c r="N54" i="16"/>
  <c r="B55" i="16"/>
  <c r="I55" i="16"/>
  <c r="N55" i="16"/>
  <c r="B56" i="16"/>
  <c r="I56" i="16"/>
  <c r="N56" i="16"/>
  <c r="B57" i="16"/>
  <c r="I57" i="16"/>
  <c r="N57" i="16"/>
  <c r="B58" i="16"/>
  <c r="I58" i="16"/>
  <c r="N58" i="16"/>
  <c r="B59" i="16"/>
  <c r="I59" i="16"/>
  <c r="N59" i="16"/>
  <c r="B60" i="16"/>
  <c r="I60" i="16"/>
  <c r="N60" i="16"/>
  <c r="N61" i="16"/>
  <c r="B63" i="16"/>
  <c r="I63" i="16"/>
  <c r="N63" i="16"/>
  <c r="B64" i="16"/>
  <c r="I64" i="16"/>
  <c r="N64" i="16"/>
  <c r="B65" i="16"/>
  <c r="I65" i="16"/>
  <c r="N65" i="16"/>
  <c r="B66" i="16"/>
  <c r="I66" i="16"/>
  <c r="N66" i="16"/>
  <c r="B67" i="16"/>
  <c r="I67" i="16"/>
  <c r="N67" i="16"/>
  <c r="B68" i="16"/>
  <c r="I68" i="16"/>
  <c r="N68" i="16"/>
  <c r="N69" i="16"/>
  <c r="B71" i="16"/>
  <c r="I71" i="16"/>
  <c r="N71" i="16"/>
  <c r="B73" i="16"/>
  <c r="I73" i="16"/>
  <c r="N73" i="16"/>
  <c r="B74" i="16"/>
  <c r="I74" i="16"/>
  <c r="N74" i="16"/>
  <c r="B75" i="16"/>
  <c r="I75" i="16"/>
  <c r="N75" i="16"/>
  <c r="B76" i="16"/>
  <c r="I76" i="16"/>
  <c r="N76" i="16"/>
  <c r="B77" i="16"/>
  <c r="I77" i="16"/>
  <c r="N77" i="16"/>
  <c r="B78" i="16"/>
  <c r="I78" i="16"/>
  <c r="N78" i="16"/>
  <c r="B79" i="16"/>
  <c r="I79" i="16"/>
  <c r="N79" i="16"/>
  <c r="B80" i="16"/>
  <c r="I80" i="16"/>
  <c r="N80" i="16"/>
  <c r="B81" i="16"/>
  <c r="I81" i="16"/>
  <c r="N81" i="16"/>
  <c r="B82" i="16"/>
  <c r="I82" i="16"/>
  <c r="N82" i="16"/>
  <c r="B83" i="16"/>
  <c r="I83" i="16"/>
  <c r="N83" i="16"/>
  <c r="B84" i="16"/>
  <c r="I84" i="16"/>
  <c r="N84" i="16"/>
  <c r="B85" i="16"/>
  <c r="I85" i="16"/>
  <c r="N85" i="16"/>
  <c r="B86" i="16"/>
  <c r="I86" i="16"/>
  <c r="N86" i="16"/>
  <c r="B87" i="16"/>
  <c r="I87" i="16"/>
  <c r="N87" i="16"/>
  <c r="B88" i="16"/>
  <c r="I88" i="16"/>
  <c r="N88" i="16"/>
  <c r="B89" i="16"/>
  <c r="I89" i="16"/>
  <c r="N89" i="16"/>
  <c r="B90" i="16"/>
  <c r="I90" i="16"/>
  <c r="N90" i="16"/>
  <c r="B91" i="16"/>
  <c r="I91" i="16"/>
  <c r="N91" i="16"/>
  <c r="B92" i="16"/>
  <c r="I92" i="16"/>
  <c r="N92" i="16"/>
  <c r="B93" i="16"/>
  <c r="I93" i="16"/>
  <c r="N93" i="16"/>
  <c r="N94" i="16"/>
  <c r="B96" i="16"/>
  <c r="I96" i="16"/>
  <c r="N96" i="16"/>
  <c r="B97" i="16"/>
  <c r="I97" i="16"/>
  <c r="N97" i="16"/>
  <c r="B98" i="16"/>
  <c r="I98" i="16"/>
  <c r="N98" i="16"/>
  <c r="B99" i="16"/>
  <c r="I99" i="16"/>
  <c r="N99" i="16"/>
  <c r="B100" i="16"/>
  <c r="I100" i="16"/>
  <c r="N100" i="16"/>
  <c r="B101" i="16"/>
  <c r="I101" i="16"/>
  <c r="N101" i="16"/>
  <c r="B102" i="16"/>
  <c r="I102" i="16"/>
  <c r="N102" i="16"/>
  <c r="B103" i="16"/>
  <c r="I103" i="16"/>
  <c r="N103" i="16"/>
  <c r="B104" i="16"/>
  <c r="I104" i="16"/>
  <c r="N104" i="16"/>
  <c r="B105" i="16"/>
  <c r="I105" i="16"/>
  <c r="N105" i="16"/>
  <c r="B106" i="16"/>
  <c r="I106" i="16"/>
  <c r="N106" i="16"/>
  <c r="B107" i="16"/>
  <c r="I107" i="16"/>
  <c r="N107" i="16"/>
  <c r="B108" i="16"/>
  <c r="I108" i="16"/>
  <c r="N108" i="16"/>
  <c r="B109" i="16"/>
  <c r="I109" i="16"/>
  <c r="N109" i="16"/>
  <c r="B110" i="16"/>
  <c r="I110" i="16"/>
  <c r="N110" i="16"/>
  <c r="B111" i="16"/>
  <c r="I111" i="16"/>
  <c r="N111" i="16"/>
  <c r="N112" i="16"/>
  <c r="B114" i="16"/>
  <c r="I114" i="16"/>
  <c r="N114" i="16"/>
  <c r="B115" i="16"/>
  <c r="I115" i="16"/>
  <c r="N115" i="16"/>
  <c r="B116" i="16"/>
  <c r="I116" i="16"/>
  <c r="N116" i="16"/>
  <c r="B117" i="16"/>
  <c r="I117" i="16"/>
  <c r="N117" i="16"/>
  <c r="B118" i="16"/>
  <c r="I118" i="16"/>
  <c r="N118" i="16"/>
  <c r="B119" i="16"/>
  <c r="I119" i="16"/>
  <c r="N119" i="16"/>
  <c r="B120" i="16"/>
  <c r="I120" i="16"/>
  <c r="N120" i="16"/>
  <c r="B121" i="16"/>
  <c r="I121" i="16"/>
  <c r="N121" i="16"/>
  <c r="N122" i="16"/>
  <c r="B124" i="16"/>
  <c r="I124" i="16"/>
  <c r="N124" i="16"/>
  <c r="B125" i="16"/>
  <c r="I125" i="16"/>
  <c r="N125" i="16"/>
  <c r="B126" i="16"/>
  <c r="I126" i="16"/>
  <c r="N126" i="16"/>
  <c r="B127" i="16"/>
  <c r="I127" i="16"/>
  <c r="N127" i="16"/>
  <c r="B128" i="16"/>
  <c r="I128" i="16"/>
  <c r="N128" i="16"/>
  <c r="B129" i="16"/>
  <c r="I129" i="16"/>
  <c r="N129" i="16"/>
  <c r="B130" i="16"/>
  <c r="I130" i="16"/>
  <c r="N130" i="16"/>
  <c r="B131" i="16"/>
  <c r="I131" i="16"/>
  <c r="N131" i="16"/>
  <c r="B132" i="16"/>
  <c r="I132" i="16"/>
  <c r="N132" i="16"/>
  <c r="B133" i="16"/>
  <c r="I133" i="16"/>
  <c r="N133" i="16"/>
  <c r="N134" i="16"/>
  <c r="N136" i="16"/>
  <c r="J10" i="16"/>
  <c r="O10" i="16"/>
  <c r="J11" i="16"/>
  <c r="O11" i="16"/>
  <c r="J12" i="16"/>
  <c r="O12" i="16"/>
  <c r="J13" i="16"/>
  <c r="O13" i="16"/>
  <c r="J14" i="16"/>
  <c r="O14" i="16"/>
  <c r="J15" i="16"/>
  <c r="O15" i="16"/>
  <c r="J16" i="16"/>
  <c r="O16" i="16"/>
  <c r="J17" i="16"/>
  <c r="O17" i="16"/>
  <c r="J18" i="16"/>
  <c r="O18" i="16"/>
  <c r="J19" i="16"/>
  <c r="O19" i="16"/>
  <c r="J20" i="16"/>
  <c r="O20" i="16"/>
  <c r="J21" i="16"/>
  <c r="O21" i="16"/>
  <c r="J22" i="16"/>
  <c r="O22" i="16"/>
  <c r="J23" i="16"/>
  <c r="O23" i="16"/>
  <c r="J24" i="16"/>
  <c r="O24" i="16"/>
  <c r="O25" i="16"/>
  <c r="J27" i="16"/>
  <c r="O27" i="16"/>
  <c r="J28" i="16"/>
  <c r="O28" i="16"/>
  <c r="J29" i="16"/>
  <c r="O29" i="16"/>
  <c r="J30" i="16"/>
  <c r="O30" i="16"/>
  <c r="J31" i="16"/>
  <c r="O31" i="16"/>
  <c r="J32" i="16"/>
  <c r="O32" i="16"/>
  <c r="J33" i="16"/>
  <c r="O33" i="16"/>
  <c r="J34" i="16"/>
  <c r="O34" i="16"/>
  <c r="J35" i="16"/>
  <c r="O35" i="16"/>
  <c r="J36" i="16"/>
  <c r="O36" i="16"/>
  <c r="J37" i="16"/>
  <c r="O37" i="16"/>
  <c r="J38" i="16"/>
  <c r="O38" i="16"/>
  <c r="J39" i="16"/>
  <c r="O39" i="16"/>
  <c r="J40" i="16"/>
  <c r="O40" i="16"/>
  <c r="J41" i="16"/>
  <c r="O41" i="16"/>
  <c r="J42" i="16"/>
  <c r="O42" i="16"/>
  <c r="J43" i="16"/>
  <c r="O43" i="16"/>
  <c r="J44" i="16"/>
  <c r="O44" i="16"/>
  <c r="J45" i="16"/>
  <c r="O45" i="16"/>
  <c r="J46" i="16"/>
  <c r="O46" i="16"/>
  <c r="O47" i="16"/>
  <c r="J49" i="16"/>
  <c r="O49" i="16"/>
  <c r="J50" i="16"/>
  <c r="O50" i="16"/>
  <c r="J51" i="16"/>
  <c r="O51" i="16"/>
  <c r="J52" i="16"/>
  <c r="O52" i="16"/>
  <c r="J53" i="16"/>
  <c r="O53" i="16"/>
  <c r="J54" i="16"/>
  <c r="O54" i="16"/>
  <c r="J55" i="16"/>
  <c r="O55" i="16"/>
  <c r="J56" i="16"/>
  <c r="O56" i="16"/>
  <c r="J57" i="16"/>
  <c r="O57" i="16"/>
  <c r="J58" i="16"/>
  <c r="O58" i="16"/>
  <c r="J59" i="16"/>
  <c r="O59" i="16"/>
  <c r="J60" i="16"/>
  <c r="O60" i="16"/>
  <c r="O61" i="16"/>
  <c r="J63" i="16"/>
  <c r="O63" i="16"/>
  <c r="J64" i="16"/>
  <c r="O64" i="16"/>
  <c r="J65" i="16"/>
  <c r="O65" i="16"/>
  <c r="J66" i="16"/>
  <c r="O66" i="16"/>
  <c r="J67" i="16"/>
  <c r="O67" i="16"/>
  <c r="J68" i="16"/>
  <c r="O68" i="16"/>
  <c r="O69" i="16"/>
  <c r="J71" i="16"/>
  <c r="O71" i="16"/>
  <c r="J73" i="16"/>
  <c r="O73" i="16"/>
  <c r="J74" i="16"/>
  <c r="O74" i="16"/>
  <c r="J75" i="16"/>
  <c r="O75" i="16"/>
  <c r="J76" i="16"/>
  <c r="O76" i="16"/>
  <c r="J77" i="16"/>
  <c r="O77" i="16"/>
  <c r="J78" i="16"/>
  <c r="O78" i="16"/>
  <c r="J79" i="16"/>
  <c r="O79" i="16"/>
  <c r="J80" i="16"/>
  <c r="O80" i="16"/>
  <c r="J81" i="16"/>
  <c r="O81" i="16"/>
  <c r="J82" i="16"/>
  <c r="O82" i="16"/>
  <c r="J83" i="16"/>
  <c r="O83" i="16"/>
  <c r="J84" i="16"/>
  <c r="O84" i="16"/>
  <c r="J85" i="16"/>
  <c r="O85" i="16"/>
  <c r="J86" i="16"/>
  <c r="O86" i="16"/>
  <c r="J87" i="16"/>
  <c r="O87" i="16"/>
  <c r="J88" i="16"/>
  <c r="O88" i="16"/>
  <c r="J89" i="16"/>
  <c r="O89" i="16"/>
  <c r="J90" i="16"/>
  <c r="O90" i="16"/>
  <c r="J91" i="16"/>
  <c r="O91" i="16"/>
  <c r="J92" i="16"/>
  <c r="O92" i="16"/>
  <c r="J93" i="16"/>
  <c r="O93" i="16"/>
  <c r="O94" i="16"/>
  <c r="J96" i="16"/>
  <c r="O96" i="16"/>
  <c r="J97" i="16"/>
  <c r="O97" i="16"/>
  <c r="J98" i="16"/>
  <c r="O98" i="16"/>
  <c r="J99" i="16"/>
  <c r="O99" i="16"/>
  <c r="J100" i="16"/>
  <c r="O100" i="16"/>
  <c r="J101" i="16"/>
  <c r="O101" i="16"/>
  <c r="J102" i="16"/>
  <c r="O102" i="16"/>
  <c r="J103" i="16"/>
  <c r="O103" i="16"/>
  <c r="J104" i="16"/>
  <c r="O104" i="16"/>
  <c r="J105" i="16"/>
  <c r="O105" i="16"/>
  <c r="J106" i="16"/>
  <c r="O106" i="16"/>
  <c r="J107" i="16"/>
  <c r="O107" i="16"/>
  <c r="J108" i="16"/>
  <c r="O108" i="16"/>
  <c r="J109" i="16"/>
  <c r="O109" i="16"/>
  <c r="J110" i="16"/>
  <c r="O110" i="16"/>
  <c r="J111" i="16"/>
  <c r="O111" i="16"/>
  <c r="O112" i="16"/>
  <c r="J114" i="16"/>
  <c r="O114" i="16"/>
  <c r="J115" i="16"/>
  <c r="O115" i="16"/>
  <c r="J116" i="16"/>
  <c r="O116" i="16"/>
  <c r="J117" i="16"/>
  <c r="O117" i="16"/>
  <c r="J118" i="16"/>
  <c r="O118" i="16"/>
  <c r="J119" i="16"/>
  <c r="O119" i="16"/>
  <c r="J120" i="16"/>
  <c r="O120" i="16"/>
  <c r="J121" i="16"/>
  <c r="O121" i="16"/>
  <c r="O122" i="16"/>
  <c r="J124" i="16"/>
  <c r="O124" i="16"/>
  <c r="J125" i="16"/>
  <c r="O125" i="16"/>
  <c r="J126" i="16"/>
  <c r="O126" i="16"/>
  <c r="J127" i="16"/>
  <c r="O127" i="16"/>
  <c r="J128" i="16"/>
  <c r="O128" i="16"/>
  <c r="J129" i="16"/>
  <c r="O129" i="16"/>
  <c r="J130" i="16"/>
  <c r="O130" i="16"/>
  <c r="J131" i="16"/>
  <c r="O131" i="16"/>
  <c r="J132" i="16"/>
  <c r="O132" i="16"/>
  <c r="J133" i="16"/>
  <c r="O133" i="16"/>
  <c r="O134" i="16"/>
  <c r="O136" i="16"/>
  <c r="K10" i="16"/>
  <c r="P10" i="16"/>
  <c r="K11" i="16"/>
  <c r="P11" i="16"/>
  <c r="K12" i="16"/>
  <c r="P12" i="16"/>
  <c r="K13" i="16"/>
  <c r="P13" i="16"/>
  <c r="K14" i="16"/>
  <c r="P14" i="16"/>
  <c r="K15" i="16"/>
  <c r="P15" i="16"/>
  <c r="K16" i="16"/>
  <c r="P16" i="16"/>
  <c r="K17" i="16"/>
  <c r="P17" i="16"/>
  <c r="K18" i="16"/>
  <c r="P18" i="16"/>
  <c r="K19" i="16"/>
  <c r="P19" i="16"/>
  <c r="K20" i="16"/>
  <c r="P20" i="16"/>
  <c r="K21" i="16"/>
  <c r="P21" i="16"/>
  <c r="K22" i="16"/>
  <c r="P22" i="16"/>
  <c r="K23" i="16"/>
  <c r="P23" i="16"/>
  <c r="K24" i="16"/>
  <c r="P24" i="16"/>
  <c r="P25" i="16"/>
  <c r="K27" i="16"/>
  <c r="P27" i="16"/>
  <c r="K28" i="16"/>
  <c r="P28" i="16"/>
  <c r="K29" i="16"/>
  <c r="P29" i="16"/>
  <c r="K30" i="16"/>
  <c r="P30" i="16"/>
  <c r="K31" i="16"/>
  <c r="P31" i="16"/>
  <c r="K32" i="16"/>
  <c r="P32" i="16"/>
  <c r="K33" i="16"/>
  <c r="P33" i="16"/>
  <c r="K34" i="16"/>
  <c r="P34" i="16"/>
  <c r="K35" i="16"/>
  <c r="P35" i="16"/>
  <c r="K36" i="16"/>
  <c r="P36" i="16"/>
  <c r="K37" i="16"/>
  <c r="P37" i="16"/>
  <c r="K38" i="16"/>
  <c r="P38" i="16"/>
  <c r="K39" i="16"/>
  <c r="P39" i="16"/>
  <c r="K40" i="16"/>
  <c r="P40" i="16"/>
  <c r="K41" i="16"/>
  <c r="P41" i="16"/>
  <c r="K42" i="16"/>
  <c r="P42" i="16"/>
  <c r="K43" i="16"/>
  <c r="P43" i="16"/>
  <c r="K44" i="16"/>
  <c r="P44" i="16"/>
  <c r="K45" i="16"/>
  <c r="P45" i="16"/>
  <c r="K46" i="16"/>
  <c r="P46" i="16"/>
  <c r="P47" i="16"/>
  <c r="K49" i="16"/>
  <c r="P49" i="16"/>
  <c r="K50" i="16"/>
  <c r="P50" i="16"/>
  <c r="K51" i="16"/>
  <c r="P51" i="16"/>
  <c r="K52" i="16"/>
  <c r="P52" i="16"/>
  <c r="K53" i="16"/>
  <c r="P53" i="16"/>
  <c r="K54" i="16"/>
  <c r="P54" i="16"/>
  <c r="K55" i="16"/>
  <c r="P55" i="16"/>
  <c r="K56" i="16"/>
  <c r="P56" i="16"/>
  <c r="K57" i="16"/>
  <c r="P57" i="16"/>
  <c r="K58" i="16"/>
  <c r="P58" i="16"/>
  <c r="K59" i="16"/>
  <c r="P59" i="16"/>
  <c r="K60" i="16"/>
  <c r="P60" i="16"/>
  <c r="P61" i="16"/>
  <c r="K63" i="16"/>
  <c r="P63" i="16"/>
  <c r="K64" i="16"/>
  <c r="P64" i="16"/>
  <c r="K65" i="16"/>
  <c r="P65" i="16"/>
  <c r="K66" i="16"/>
  <c r="P66" i="16"/>
  <c r="K67" i="16"/>
  <c r="P67" i="16"/>
  <c r="K68" i="16"/>
  <c r="P68" i="16"/>
  <c r="P69" i="16"/>
  <c r="K71" i="16"/>
  <c r="P71" i="16"/>
  <c r="K73" i="16"/>
  <c r="P73" i="16"/>
  <c r="K74" i="16"/>
  <c r="P74" i="16"/>
  <c r="K75" i="16"/>
  <c r="P75" i="16"/>
  <c r="K76" i="16"/>
  <c r="P76" i="16"/>
  <c r="K77" i="16"/>
  <c r="P77" i="16"/>
  <c r="K78" i="16"/>
  <c r="P78" i="16"/>
  <c r="K79" i="16"/>
  <c r="P79" i="16"/>
  <c r="K80" i="16"/>
  <c r="P80" i="16"/>
  <c r="K81" i="16"/>
  <c r="P81" i="16"/>
  <c r="K82" i="16"/>
  <c r="P82" i="16"/>
  <c r="K83" i="16"/>
  <c r="P83" i="16"/>
  <c r="K84" i="16"/>
  <c r="P84" i="16"/>
  <c r="K85" i="16"/>
  <c r="P85" i="16"/>
  <c r="K86" i="16"/>
  <c r="P86" i="16"/>
  <c r="K87" i="16"/>
  <c r="P87" i="16"/>
  <c r="K88" i="16"/>
  <c r="P88" i="16"/>
  <c r="K89" i="16"/>
  <c r="P89" i="16"/>
  <c r="K90" i="16"/>
  <c r="P90" i="16"/>
  <c r="K91" i="16"/>
  <c r="P91" i="16"/>
  <c r="K92" i="16"/>
  <c r="P92" i="16"/>
  <c r="K93" i="16"/>
  <c r="P93" i="16"/>
  <c r="P94" i="16"/>
  <c r="K96" i="16"/>
  <c r="P96" i="16"/>
  <c r="K97" i="16"/>
  <c r="P97" i="16"/>
  <c r="K98" i="16"/>
  <c r="P98" i="16"/>
  <c r="K99" i="16"/>
  <c r="P99" i="16"/>
  <c r="K100" i="16"/>
  <c r="P100" i="16"/>
  <c r="K101" i="16"/>
  <c r="P101" i="16"/>
  <c r="K102" i="16"/>
  <c r="P102" i="16"/>
  <c r="K103" i="16"/>
  <c r="P103" i="16"/>
  <c r="K104" i="16"/>
  <c r="P104" i="16"/>
  <c r="K105" i="16"/>
  <c r="P105" i="16"/>
  <c r="K106" i="16"/>
  <c r="P106" i="16"/>
  <c r="K107" i="16"/>
  <c r="P107" i="16"/>
  <c r="K108" i="16"/>
  <c r="P108" i="16"/>
  <c r="K109" i="16"/>
  <c r="P109" i="16"/>
  <c r="K110" i="16"/>
  <c r="P110" i="16"/>
  <c r="K111" i="16"/>
  <c r="P111" i="16"/>
  <c r="P112" i="16"/>
  <c r="K114" i="16"/>
  <c r="P114" i="16"/>
  <c r="K115" i="16"/>
  <c r="P115" i="16"/>
  <c r="K116" i="16"/>
  <c r="P116" i="16"/>
  <c r="K117" i="16"/>
  <c r="P117" i="16"/>
  <c r="K118" i="16"/>
  <c r="P118" i="16"/>
  <c r="K119" i="16"/>
  <c r="P119" i="16"/>
  <c r="K120" i="16"/>
  <c r="P120" i="16"/>
  <c r="K121" i="16"/>
  <c r="P121" i="16"/>
  <c r="P122" i="16"/>
  <c r="K124" i="16"/>
  <c r="P124" i="16"/>
  <c r="K125" i="16"/>
  <c r="P125" i="16"/>
  <c r="K126" i="16"/>
  <c r="P126" i="16"/>
  <c r="K127" i="16"/>
  <c r="P127" i="16"/>
  <c r="K128" i="16"/>
  <c r="P128" i="16"/>
  <c r="K129" i="16"/>
  <c r="P129" i="16"/>
  <c r="K130" i="16"/>
  <c r="P130" i="16"/>
  <c r="K131" i="16"/>
  <c r="P131" i="16"/>
  <c r="K132" i="16"/>
  <c r="P132" i="16"/>
  <c r="K133" i="16"/>
  <c r="P133" i="16"/>
  <c r="P134" i="16"/>
  <c r="P136" i="16"/>
  <c r="L10" i="16"/>
  <c r="Q10" i="16"/>
  <c r="L11" i="16"/>
  <c r="Q11" i="16"/>
  <c r="L12" i="16"/>
  <c r="Q12" i="16"/>
  <c r="L13" i="16"/>
  <c r="Q13" i="16"/>
  <c r="L14" i="16"/>
  <c r="Q14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3" i="16"/>
  <c r="Q23" i="16"/>
  <c r="L24" i="16"/>
  <c r="Q24" i="16"/>
  <c r="Q25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3" i="16"/>
  <c r="Q33" i="16"/>
  <c r="L34" i="16"/>
  <c r="Q34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3" i="16"/>
  <c r="Q43" i="16"/>
  <c r="L44" i="16"/>
  <c r="Q44" i="16"/>
  <c r="L45" i="16"/>
  <c r="Q45" i="16"/>
  <c r="L46" i="16"/>
  <c r="Q46" i="16"/>
  <c r="Q47" i="16"/>
  <c r="L49" i="16"/>
  <c r="Q49" i="16"/>
  <c r="L50" i="16"/>
  <c r="Q50" i="16"/>
  <c r="L51" i="16"/>
  <c r="Q51" i="16"/>
  <c r="L52" i="16"/>
  <c r="Q52" i="16"/>
  <c r="L53" i="16"/>
  <c r="Q53" i="16"/>
  <c r="L54" i="16"/>
  <c r="Q54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Q61" i="16"/>
  <c r="L63" i="16"/>
  <c r="Q63" i="16"/>
  <c r="L64" i="16"/>
  <c r="Q64" i="16"/>
  <c r="L65" i="16"/>
  <c r="Q65" i="16"/>
  <c r="L66" i="16"/>
  <c r="Q66" i="16"/>
  <c r="L67" i="16"/>
  <c r="Q67" i="16"/>
  <c r="L68" i="16"/>
  <c r="Q68" i="16"/>
  <c r="Q69" i="16"/>
  <c r="L71" i="16"/>
  <c r="Q71" i="16"/>
  <c r="L73" i="16"/>
  <c r="Q73" i="16"/>
  <c r="L74" i="16"/>
  <c r="Q74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3" i="16"/>
  <c r="Q83" i="16"/>
  <c r="L84" i="16"/>
  <c r="Q84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3" i="16"/>
  <c r="Q93" i="16"/>
  <c r="Q94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Q112" i="16"/>
  <c r="L114" i="16"/>
  <c r="Q114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Q122" i="16"/>
  <c r="L124" i="16"/>
  <c r="Q124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3" i="16"/>
  <c r="Q133" i="16"/>
  <c r="Q134" i="16"/>
  <c r="Q136" i="16"/>
  <c r="R136" i="16"/>
  <c r="F143" i="17"/>
  <c r="R49" i="16"/>
  <c r="F49" i="17"/>
  <c r="R50" i="16"/>
  <c r="F50" i="17"/>
  <c r="R51" i="16"/>
  <c r="F51" i="17"/>
  <c r="R52" i="16"/>
  <c r="F52" i="17"/>
  <c r="R53" i="16"/>
  <c r="F53" i="17"/>
  <c r="R54" i="16"/>
  <c r="F54" i="17"/>
  <c r="R55" i="16"/>
  <c r="F55" i="17"/>
  <c r="R56" i="16"/>
  <c r="F56" i="17"/>
  <c r="R57" i="16"/>
  <c r="F57" i="17"/>
  <c r="R58" i="16"/>
  <c r="F58" i="17"/>
  <c r="R59" i="16"/>
  <c r="F59" i="17"/>
  <c r="R60" i="16"/>
  <c r="F60" i="17"/>
  <c r="F61" i="17"/>
  <c r="R71" i="16"/>
  <c r="F73" i="17"/>
  <c r="B8" i="17"/>
  <c r="C8" i="17"/>
  <c r="D8" i="17"/>
  <c r="E8" i="17"/>
  <c r="B9" i="17"/>
  <c r="C9" i="17"/>
  <c r="D9" i="17"/>
  <c r="E9" i="17"/>
  <c r="B10" i="17"/>
  <c r="C10" i="17"/>
  <c r="D10" i="17"/>
  <c r="E10" i="17"/>
  <c r="B11" i="17"/>
  <c r="C11" i="17"/>
  <c r="D11" i="17"/>
  <c r="E11" i="17"/>
  <c r="B12" i="17"/>
  <c r="C12" i="17"/>
  <c r="D12" i="17"/>
  <c r="E12" i="17"/>
  <c r="B13" i="17"/>
  <c r="C13" i="17"/>
  <c r="D13" i="17"/>
  <c r="E13" i="17"/>
  <c r="B14" i="17"/>
  <c r="C14" i="17"/>
  <c r="D14" i="17"/>
  <c r="E14" i="17"/>
  <c r="B15" i="17"/>
  <c r="C15" i="17"/>
  <c r="D15" i="17"/>
  <c r="E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B19" i="17"/>
  <c r="C19" i="17"/>
  <c r="D19" i="17"/>
  <c r="E19" i="17"/>
  <c r="B20" i="17"/>
  <c r="C20" i="17"/>
  <c r="D20" i="17"/>
  <c r="E20" i="17"/>
  <c r="B21" i="17"/>
  <c r="C21" i="17"/>
  <c r="D21" i="17"/>
  <c r="E21" i="17"/>
  <c r="B22" i="17"/>
  <c r="C22" i="17"/>
  <c r="D22" i="17"/>
  <c r="E22" i="17"/>
  <c r="B26" i="17"/>
  <c r="C26" i="17"/>
  <c r="D26" i="17"/>
  <c r="E26" i="17"/>
  <c r="B27" i="17"/>
  <c r="C27" i="17"/>
  <c r="D27" i="17"/>
  <c r="E27" i="17"/>
  <c r="B28" i="17"/>
  <c r="C28" i="17"/>
  <c r="D28" i="17"/>
  <c r="E28" i="17"/>
  <c r="B29" i="17"/>
  <c r="C29" i="17"/>
  <c r="D29" i="17"/>
  <c r="E29" i="17"/>
  <c r="B30" i="17"/>
  <c r="C30" i="17"/>
  <c r="D30" i="17"/>
  <c r="E30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35" i="17"/>
  <c r="C35" i="17"/>
  <c r="D35" i="17"/>
  <c r="E35" i="17"/>
  <c r="B36" i="17"/>
  <c r="C36" i="17"/>
  <c r="D36" i="17"/>
  <c r="E36" i="17"/>
  <c r="B37" i="17"/>
  <c r="C37" i="17"/>
  <c r="D37" i="17"/>
  <c r="E37" i="17"/>
  <c r="B38" i="17"/>
  <c r="C38" i="17"/>
  <c r="D38" i="17"/>
  <c r="E38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42" i="17"/>
  <c r="C42" i="17"/>
  <c r="D42" i="17"/>
  <c r="E42" i="17"/>
  <c r="B43" i="17"/>
  <c r="C43" i="17"/>
  <c r="D43" i="17"/>
  <c r="E43" i="17"/>
  <c r="B44" i="17"/>
  <c r="C44" i="17"/>
  <c r="D44" i="17"/>
  <c r="E44" i="17"/>
  <c r="B45" i="17"/>
  <c r="C45" i="17"/>
  <c r="D45" i="17"/>
  <c r="E45" i="17"/>
  <c r="B49" i="17"/>
  <c r="C49" i="17"/>
  <c r="D49" i="17"/>
  <c r="E49" i="17"/>
  <c r="B50" i="17"/>
  <c r="C50" i="17"/>
  <c r="D50" i="17"/>
  <c r="E50" i="17"/>
  <c r="B51" i="17"/>
  <c r="C51" i="17"/>
  <c r="D51" i="17"/>
  <c r="E51" i="17"/>
  <c r="B52" i="17"/>
  <c r="C52" i="17"/>
  <c r="D52" i="17"/>
  <c r="E52" i="17"/>
  <c r="B53" i="17"/>
  <c r="C53" i="17"/>
  <c r="D53" i="17"/>
  <c r="E53" i="17"/>
  <c r="B54" i="17"/>
  <c r="C54" i="17"/>
  <c r="D54" i="17"/>
  <c r="E54" i="17"/>
  <c r="B55" i="17"/>
  <c r="C55" i="17"/>
  <c r="D55" i="17"/>
  <c r="E55" i="17"/>
  <c r="B56" i="17"/>
  <c r="C56" i="17"/>
  <c r="D56" i="17"/>
  <c r="E56" i="17"/>
  <c r="B57" i="17"/>
  <c r="C57" i="17"/>
  <c r="D57" i="17"/>
  <c r="E57" i="17"/>
  <c r="B58" i="17"/>
  <c r="C58" i="17"/>
  <c r="D58" i="17"/>
  <c r="E58" i="17"/>
  <c r="B59" i="17"/>
  <c r="C59" i="17"/>
  <c r="D59" i="17"/>
  <c r="E59" i="17"/>
  <c r="B60" i="17"/>
  <c r="C60" i="17"/>
  <c r="D60" i="17"/>
  <c r="E60" i="17"/>
  <c r="B64" i="17"/>
  <c r="C64" i="17"/>
  <c r="D64" i="17"/>
  <c r="E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3" i="17"/>
  <c r="C73" i="17"/>
  <c r="D73" i="17"/>
  <c r="E73" i="17"/>
  <c r="B77" i="17"/>
  <c r="C77" i="17"/>
  <c r="D77" i="17"/>
  <c r="E77" i="17"/>
  <c r="B78" i="17"/>
  <c r="C78" i="17"/>
  <c r="D78" i="17"/>
  <c r="E78" i="17"/>
  <c r="B79" i="17"/>
  <c r="C79" i="17"/>
  <c r="D79" i="17"/>
  <c r="E79" i="17"/>
  <c r="B80" i="17"/>
  <c r="C80" i="17"/>
  <c r="D80" i="17"/>
  <c r="E80" i="17"/>
  <c r="B81" i="17"/>
  <c r="C81" i="17"/>
  <c r="D81" i="17"/>
  <c r="E81" i="17"/>
  <c r="B82" i="17"/>
  <c r="C82" i="17"/>
  <c r="D82" i="17"/>
  <c r="E82" i="17"/>
  <c r="B83" i="17"/>
  <c r="C83" i="17"/>
  <c r="D83" i="17"/>
  <c r="E83" i="17"/>
  <c r="B84" i="17"/>
  <c r="C84" i="17"/>
  <c r="D84" i="17"/>
  <c r="E84" i="17"/>
  <c r="B85" i="17"/>
  <c r="C85" i="17"/>
  <c r="D85" i="17"/>
  <c r="E85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B90" i="17"/>
  <c r="C90" i="17"/>
  <c r="D90" i="17"/>
  <c r="E90" i="17"/>
  <c r="B91" i="17"/>
  <c r="C91" i="17"/>
  <c r="D91" i="17"/>
  <c r="E91" i="17"/>
  <c r="B92" i="17"/>
  <c r="C92" i="17"/>
  <c r="D92" i="17"/>
  <c r="E92" i="17"/>
  <c r="B93" i="17"/>
  <c r="C93" i="17"/>
  <c r="D93" i="17"/>
  <c r="E93" i="17"/>
  <c r="B94" i="17"/>
  <c r="C94" i="17"/>
  <c r="D94" i="17"/>
  <c r="E94" i="17"/>
  <c r="B95" i="17"/>
  <c r="C95" i="17"/>
  <c r="D95" i="17"/>
  <c r="E95" i="17"/>
  <c r="B96" i="17"/>
  <c r="C96" i="17"/>
  <c r="D96" i="17"/>
  <c r="E96" i="17"/>
  <c r="B97" i="17"/>
  <c r="C97" i="17"/>
  <c r="D97" i="17"/>
  <c r="E97" i="17"/>
  <c r="B101" i="17"/>
  <c r="C101" i="17"/>
  <c r="D101" i="17"/>
  <c r="E101" i="17"/>
  <c r="B102" i="17"/>
  <c r="C102" i="17"/>
  <c r="D102" i="17"/>
  <c r="E102" i="17"/>
  <c r="B103" i="17"/>
  <c r="C103" i="17"/>
  <c r="D103" i="17"/>
  <c r="E103" i="17"/>
  <c r="B104" i="17"/>
  <c r="C104" i="17"/>
  <c r="D104" i="17"/>
  <c r="E104" i="17"/>
  <c r="B105" i="17"/>
  <c r="C105" i="17"/>
  <c r="D105" i="17"/>
  <c r="E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26" i="17"/>
  <c r="C126" i="17"/>
  <c r="D126" i="17"/>
  <c r="E126" i="17"/>
  <c r="B127" i="17"/>
  <c r="C127" i="17"/>
  <c r="D127" i="17"/>
  <c r="E127" i="17"/>
  <c r="B131" i="17"/>
  <c r="C131" i="17"/>
  <c r="D131" i="17"/>
  <c r="E131" i="17"/>
  <c r="B132" i="17"/>
  <c r="C132" i="17"/>
  <c r="D132" i="17"/>
  <c r="E132" i="17"/>
  <c r="B133" i="17"/>
  <c r="C133" i="17"/>
  <c r="D133" i="17"/>
  <c r="E133" i="17"/>
  <c r="B134" i="17"/>
  <c r="C134" i="17"/>
  <c r="D134" i="17"/>
  <c r="E134" i="17"/>
  <c r="B135" i="17"/>
  <c r="C135" i="17"/>
  <c r="D135" i="17"/>
  <c r="E135" i="17"/>
  <c r="B136" i="17"/>
  <c r="C136" i="17"/>
  <c r="D136" i="17"/>
  <c r="E136" i="17"/>
  <c r="B137" i="17"/>
  <c r="C137" i="17"/>
  <c r="D137" i="17"/>
  <c r="E137" i="17"/>
  <c r="B138" i="17"/>
  <c r="C138" i="17"/>
  <c r="D138" i="17"/>
  <c r="E138" i="17"/>
  <c r="B139" i="17"/>
  <c r="C139" i="17"/>
  <c r="D139" i="17"/>
  <c r="E139" i="17"/>
  <c r="B140" i="17"/>
  <c r="C140" i="17"/>
  <c r="D140" i="17"/>
  <c r="E140" i="17"/>
  <c r="C143" i="17"/>
  <c r="D143" i="17"/>
  <c r="E143" i="17"/>
  <c r="B143" i="17"/>
  <c r="R66" i="16"/>
  <c r="F67" i="17"/>
  <c r="AL39" i="12"/>
  <c r="AL87" i="12"/>
  <c r="AW39" i="12"/>
  <c r="AX39" i="12"/>
  <c r="AW87" i="12"/>
  <c r="AX87" i="12"/>
  <c r="R10" i="16"/>
  <c r="F8" i="17"/>
  <c r="R11" i="16"/>
  <c r="F9" i="17"/>
  <c r="R12" i="16"/>
  <c r="F10" i="17"/>
  <c r="R13" i="16"/>
  <c r="F11" i="17"/>
  <c r="R14" i="16"/>
  <c r="F12" i="17"/>
  <c r="R15" i="16"/>
  <c r="F13" i="17"/>
  <c r="R16" i="16"/>
  <c r="F14" i="17"/>
  <c r="R17" i="16"/>
  <c r="F15" i="17"/>
  <c r="R18" i="16"/>
  <c r="F16" i="17"/>
  <c r="R19" i="16"/>
  <c r="F17" i="17"/>
  <c r="R20" i="16"/>
  <c r="F18" i="17"/>
  <c r="R21" i="16"/>
  <c r="F19" i="17"/>
  <c r="R22" i="16"/>
  <c r="F20" i="17"/>
  <c r="R23" i="16"/>
  <c r="F21" i="17"/>
  <c r="R24" i="16"/>
  <c r="F22" i="17"/>
  <c r="R27" i="16"/>
  <c r="F26" i="17"/>
  <c r="R28" i="16"/>
  <c r="F27" i="17"/>
  <c r="R29" i="16"/>
  <c r="F28" i="17"/>
  <c r="R30" i="16"/>
  <c r="F29" i="17"/>
  <c r="R31" i="16"/>
  <c r="F30" i="17"/>
  <c r="R32" i="16"/>
  <c r="F31" i="17"/>
  <c r="R33" i="16"/>
  <c r="F32" i="17"/>
  <c r="R34" i="16"/>
  <c r="F33" i="17"/>
  <c r="R35" i="16"/>
  <c r="F34" i="17"/>
  <c r="R36" i="16"/>
  <c r="F35" i="17"/>
  <c r="R37" i="16"/>
  <c r="F36" i="17"/>
  <c r="R38" i="16"/>
  <c r="F37" i="17"/>
  <c r="R39" i="16"/>
  <c r="F38" i="17"/>
  <c r="R40" i="16"/>
  <c r="F39" i="17"/>
  <c r="R41" i="16"/>
  <c r="F40" i="17"/>
  <c r="R42" i="16"/>
  <c r="F41" i="17"/>
  <c r="R43" i="16"/>
  <c r="F42" i="17"/>
  <c r="R44" i="16"/>
  <c r="F43" i="17"/>
  <c r="R45" i="16"/>
  <c r="F44" i="17"/>
  <c r="R46" i="16"/>
  <c r="F45" i="17"/>
  <c r="R63" i="16"/>
  <c r="F64" i="17"/>
  <c r="R64" i="16"/>
  <c r="F65" i="17"/>
  <c r="R65" i="16"/>
  <c r="F66" i="17"/>
  <c r="R67" i="16"/>
  <c r="F68" i="17"/>
  <c r="R68" i="16"/>
  <c r="F69" i="17"/>
  <c r="R73" i="16"/>
  <c r="F77" i="17"/>
  <c r="R74" i="16"/>
  <c r="F78" i="17"/>
  <c r="R75" i="16"/>
  <c r="F79" i="17"/>
  <c r="R76" i="16"/>
  <c r="F80" i="17"/>
  <c r="R77" i="16"/>
  <c r="F81" i="17"/>
  <c r="R78" i="16"/>
  <c r="F82" i="17"/>
  <c r="R79" i="16"/>
  <c r="F83" i="17"/>
  <c r="R80" i="16"/>
  <c r="F84" i="17"/>
  <c r="R81" i="16"/>
  <c r="F85" i="17"/>
  <c r="R82" i="16"/>
  <c r="F86" i="17"/>
  <c r="R83" i="16"/>
  <c r="F87" i="17"/>
  <c r="R84" i="16"/>
  <c r="F88" i="17"/>
  <c r="R85" i="16"/>
  <c r="F89" i="17"/>
  <c r="R86" i="16"/>
  <c r="F90" i="17"/>
  <c r="R87" i="16"/>
  <c r="F91" i="17"/>
  <c r="R88" i="16"/>
  <c r="F92" i="17"/>
  <c r="R89" i="16"/>
  <c r="F93" i="17"/>
  <c r="R90" i="16"/>
  <c r="F94" i="17"/>
  <c r="R91" i="16"/>
  <c r="F95" i="17"/>
  <c r="R92" i="16"/>
  <c r="F96" i="17"/>
  <c r="R93" i="16"/>
  <c r="F97" i="17"/>
  <c r="R96" i="16"/>
  <c r="F101" i="17"/>
  <c r="R97" i="16"/>
  <c r="F102" i="17"/>
  <c r="R98" i="16"/>
  <c r="F103" i="17"/>
  <c r="R99" i="16"/>
  <c r="F104" i="17"/>
  <c r="R100" i="16"/>
  <c r="F105" i="17"/>
  <c r="R101" i="16"/>
  <c r="F106" i="17"/>
  <c r="R102" i="16"/>
  <c r="F107" i="17"/>
  <c r="R103" i="16"/>
  <c r="F108" i="17"/>
  <c r="R104" i="16"/>
  <c r="F109" i="17"/>
  <c r="R105" i="16"/>
  <c r="F110" i="17"/>
  <c r="R106" i="16"/>
  <c r="F111" i="17"/>
  <c r="R107" i="16"/>
  <c r="F112" i="17"/>
  <c r="R108" i="16"/>
  <c r="F113" i="17"/>
  <c r="R109" i="16"/>
  <c r="F114" i="17"/>
  <c r="R110" i="16"/>
  <c r="F115" i="17"/>
  <c r="R111" i="16"/>
  <c r="F116" i="17"/>
  <c r="R114" i="16"/>
  <c r="F120" i="17"/>
  <c r="R115" i="16"/>
  <c r="F121" i="17"/>
  <c r="R116" i="16"/>
  <c r="F122" i="17"/>
  <c r="R117" i="16"/>
  <c r="F123" i="17"/>
  <c r="R118" i="16"/>
  <c r="F124" i="17"/>
  <c r="R119" i="16"/>
  <c r="F125" i="17"/>
  <c r="R120" i="16"/>
  <c r="F126" i="17"/>
  <c r="R121" i="16"/>
  <c r="F127" i="17"/>
  <c r="R124" i="16"/>
  <c r="F131" i="17"/>
  <c r="R125" i="16"/>
  <c r="F132" i="17"/>
  <c r="R126" i="16"/>
  <c r="F133" i="17"/>
  <c r="R127" i="16"/>
  <c r="F134" i="17"/>
  <c r="R128" i="16"/>
  <c r="F135" i="17"/>
  <c r="R129" i="16"/>
  <c r="F136" i="17"/>
  <c r="R130" i="16"/>
  <c r="F137" i="17"/>
  <c r="R131" i="16"/>
  <c r="F138" i="17"/>
  <c r="R132" i="16"/>
  <c r="F139" i="17"/>
  <c r="R133" i="16"/>
  <c r="F140" i="17"/>
  <c r="E141" i="17"/>
  <c r="F141" i="17"/>
  <c r="D141" i="17"/>
  <c r="C141" i="17"/>
  <c r="B141" i="17"/>
  <c r="E128" i="17"/>
  <c r="F128" i="17"/>
  <c r="D128" i="17"/>
  <c r="C128" i="17"/>
  <c r="B128" i="17"/>
  <c r="E117" i="17"/>
  <c r="F117" i="17"/>
  <c r="D117" i="17"/>
  <c r="C117" i="17"/>
  <c r="B117" i="17"/>
  <c r="E98" i="17"/>
  <c r="F98" i="17"/>
  <c r="D98" i="17"/>
  <c r="C98" i="17"/>
  <c r="B98" i="17"/>
  <c r="E74" i="17"/>
  <c r="F74" i="17"/>
  <c r="D74" i="17"/>
  <c r="C74" i="17"/>
  <c r="B74" i="17"/>
  <c r="E70" i="17"/>
  <c r="F70" i="17"/>
  <c r="D70" i="17"/>
  <c r="C70" i="17"/>
  <c r="B70" i="17"/>
  <c r="E61" i="17"/>
  <c r="D61" i="17"/>
  <c r="C61" i="17"/>
  <c r="B61" i="17"/>
  <c r="E46" i="17"/>
  <c r="F46" i="17"/>
  <c r="D46" i="17"/>
  <c r="C46" i="17"/>
  <c r="B46" i="17"/>
  <c r="C23" i="17"/>
  <c r="F23" i="17"/>
  <c r="D23" i="17"/>
  <c r="E23" i="17"/>
  <c r="B23" i="17"/>
  <c r="C146" i="17"/>
  <c r="D146" i="17"/>
  <c r="E146" i="17"/>
  <c r="B146" i="17"/>
  <c r="AG27" i="12"/>
  <c r="AG49" i="12"/>
  <c r="AG63" i="12"/>
  <c r="AG71" i="12"/>
  <c r="AG74" i="12"/>
  <c r="AG97" i="12"/>
  <c r="AG115" i="12"/>
  <c r="AG125" i="12"/>
  <c r="AG137" i="12"/>
  <c r="AG139" i="12"/>
  <c r="H23" i="17"/>
  <c r="H46" i="17"/>
  <c r="H61" i="17"/>
  <c r="H70" i="17"/>
  <c r="H74" i="17"/>
  <c r="H98" i="17"/>
  <c r="H117" i="17"/>
  <c r="H128" i="17"/>
  <c r="H141" i="17"/>
  <c r="H143" i="17"/>
  <c r="AL45" i="12"/>
  <c r="AL79" i="12"/>
  <c r="AL85" i="12"/>
  <c r="AL88" i="12"/>
  <c r="AL90" i="12"/>
  <c r="AL95" i="12"/>
  <c r="AL102" i="12"/>
  <c r="AL106" i="12"/>
  <c r="AW106" i="12"/>
  <c r="AX106" i="12"/>
  <c r="AW102" i="12"/>
  <c r="AX102" i="12"/>
  <c r="AW95" i="12"/>
  <c r="AX95" i="12"/>
  <c r="AW90" i="12"/>
  <c r="AX90" i="12"/>
  <c r="AW88" i="12"/>
  <c r="AX88" i="12"/>
  <c r="AW85" i="12"/>
  <c r="AX85" i="12"/>
  <c r="AW79" i="12"/>
  <c r="AX79" i="12"/>
  <c r="AW45" i="12"/>
  <c r="AX45" i="12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4" i="17"/>
  <c r="G65" i="17"/>
  <c r="G66" i="17"/>
  <c r="G67" i="17"/>
  <c r="G68" i="17"/>
  <c r="G69" i="17"/>
  <c r="G70" i="17"/>
  <c r="G73" i="17"/>
  <c r="G74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20" i="17"/>
  <c r="G121" i="17"/>
  <c r="G122" i="17"/>
  <c r="G123" i="17"/>
  <c r="G124" i="17"/>
  <c r="G125" i="17"/>
  <c r="G126" i="17"/>
  <c r="G127" i="17"/>
  <c r="G128" i="17"/>
  <c r="G131" i="17"/>
  <c r="G132" i="17"/>
  <c r="G133" i="17"/>
  <c r="G134" i="17"/>
  <c r="G135" i="17"/>
  <c r="G136" i="17"/>
  <c r="G137" i="17"/>
  <c r="G138" i="17"/>
  <c r="G139" i="17"/>
  <c r="G140" i="17"/>
  <c r="G141" i="17"/>
  <c r="G143" i="17"/>
  <c r="R112" i="16"/>
  <c r="A132" i="17"/>
  <c r="A133" i="17"/>
  <c r="A134" i="17"/>
  <c r="A135" i="17"/>
  <c r="A136" i="17"/>
  <c r="A137" i="17"/>
  <c r="A138" i="17"/>
  <c r="A139" i="17"/>
  <c r="A140" i="17"/>
  <c r="A131" i="17"/>
  <c r="A121" i="17"/>
  <c r="A122" i="17"/>
  <c r="A123" i="17"/>
  <c r="A124" i="17"/>
  <c r="A125" i="17"/>
  <c r="A126" i="17"/>
  <c r="A127" i="17"/>
  <c r="A120" i="17"/>
  <c r="A116" i="17"/>
  <c r="A113" i="17"/>
  <c r="A114" i="17"/>
  <c r="A115" i="17"/>
  <c r="A102" i="17"/>
  <c r="A103" i="17"/>
  <c r="A104" i="17"/>
  <c r="A105" i="17"/>
  <c r="A106" i="17"/>
  <c r="A107" i="17"/>
  <c r="A108" i="17"/>
  <c r="A109" i="17"/>
  <c r="A110" i="17"/>
  <c r="A111" i="17"/>
  <c r="A112" i="17"/>
  <c r="A101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77" i="17"/>
  <c r="A73" i="17"/>
  <c r="A65" i="17"/>
  <c r="A66" i="17"/>
  <c r="A67" i="17"/>
  <c r="A68" i="17"/>
  <c r="A69" i="17"/>
  <c r="A64" i="17"/>
  <c r="A60" i="17"/>
  <c r="A50" i="17"/>
  <c r="A51" i="17"/>
  <c r="A52" i="17"/>
  <c r="A53" i="17"/>
  <c r="A54" i="17"/>
  <c r="A55" i="17"/>
  <c r="A56" i="17"/>
  <c r="A57" i="17"/>
  <c r="A58" i="17"/>
  <c r="A59" i="17"/>
  <c r="A49" i="17"/>
  <c r="A45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26" i="17"/>
  <c r="A22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8" i="17"/>
  <c r="R94" i="16"/>
  <c r="AW112" i="12"/>
  <c r="AX112" i="12"/>
  <c r="AW103" i="12"/>
  <c r="AX103" i="12"/>
  <c r="AW35" i="12"/>
  <c r="AX35" i="12"/>
  <c r="AW22" i="12"/>
  <c r="AX22" i="12"/>
  <c r="AT27" i="12"/>
  <c r="AT49" i="12"/>
  <c r="AT63" i="12"/>
  <c r="AT71" i="12"/>
  <c r="AT74" i="12"/>
  <c r="AT97" i="12"/>
  <c r="AT115" i="12"/>
  <c r="AT125" i="12"/>
  <c r="AT137" i="12"/>
  <c r="AT139" i="12"/>
  <c r="AW27" i="12"/>
  <c r="AW49" i="12"/>
  <c r="AW63" i="12"/>
  <c r="AW71" i="12"/>
  <c r="AW74" i="12"/>
  <c r="AW97" i="12"/>
  <c r="AW115" i="12"/>
  <c r="AW125" i="12"/>
  <c r="AW137" i="12"/>
  <c r="AW139" i="12"/>
  <c r="AS139" i="12"/>
  <c r="AX49" i="12"/>
  <c r="AX63" i="12"/>
  <c r="AX71" i="12"/>
  <c r="AX74" i="12"/>
  <c r="AX97" i="12"/>
  <c r="AX115" i="12"/>
  <c r="AX125" i="12"/>
  <c r="AX137" i="12"/>
  <c r="AX27" i="12"/>
  <c r="AX139" i="12"/>
  <c r="B94" i="16"/>
  <c r="K99" i="11"/>
  <c r="D136" i="16"/>
  <c r="E136" i="16"/>
  <c r="J136" i="16"/>
  <c r="F136" i="16"/>
  <c r="G136" i="16"/>
  <c r="L136" i="16"/>
  <c r="K136" i="16"/>
  <c r="I136" i="16"/>
  <c r="I7" i="11"/>
  <c r="I11" i="11"/>
  <c r="I15" i="11"/>
  <c r="I19" i="11"/>
  <c r="I25" i="11"/>
  <c r="I29" i="11"/>
  <c r="I33" i="11"/>
  <c r="I37" i="11"/>
  <c r="I41" i="11"/>
  <c r="I47" i="11"/>
  <c r="I51" i="11"/>
  <c r="I55" i="11"/>
  <c r="I61" i="11"/>
  <c r="I69" i="11"/>
  <c r="I73" i="11"/>
  <c r="I77" i="11"/>
  <c r="I81" i="11"/>
  <c r="I85" i="11"/>
  <c r="I89" i="11"/>
  <c r="I95" i="11"/>
  <c r="J6" i="11"/>
  <c r="J8" i="11"/>
  <c r="J10" i="11"/>
  <c r="J12" i="11"/>
  <c r="J14" i="11"/>
  <c r="J16" i="11"/>
  <c r="J18" i="11"/>
  <c r="J22" i="11"/>
  <c r="J24" i="11"/>
  <c r="J26" i="11"/>
  <c r="J28" i="11"/>
  <c r="J30" i="11"/>
  <c r="J32" i="11"/>
  <c r="J34" i="11"/>
  <c r="J36" i="11"/>
  <c r="J38" i="11"/>
  <c r="J40" i="11"/>
  <c r="J44" i="11"/>
  <c r="J46" i="11"/>
  <c r="J48" i="11"/>
  <c r="J50" i="11"/>
  <c r="J52" i="11"/>
  <c r="J54" i="11"/>
  <c r="J58" i="11"/>
  <c r="J60" i="11"/>
  <c r="J62" i="11"/>
  <c r="J66" i="11"/>
  <c r="J70" i="11"/>
  <c r="J72" i="11"/>
  <c r="J74" i="11"/>
  <c r="J76" i="11"/>
  <c r="J78" i="11"/>
  <c r="J80" i="11"/>
  <c r="J82" i="11"/>
  <c r="J84" i="11"/>
  <c r="J86" i="11"/>
  <c r="J88" i="11"/>
  <c r="J92" i="11"/>
  <c r="J94" i="11"/>
  <c r="J96" i="11"/>
  <c r="J98" i="11"/>
  <c r="J100" i="11"/>
  <c r="J102" i="11"/>
  <c r="J104" i="11"/>
  <c r="J106" i="11"/>
  <c r="J110" i="11"/>
  <c r="J112" i="11"/>
  <c r="J114" i="11"/>
  <c r="J116" i="11"/>
  <c r="J120" i="11"/>
  <c r="J122" i="11"/>
  <c r="J124" i="11"/>
  <c r="J126" i="11"/>
  <c r="J128" i="11"/>
  <c r="J5" i="11"/>
  <c r="I9" i="11"/>
  <c r="I13" i="11"/>
  <c r="I17" i="11"/>
  <c r="I23" i="11"/>
  <c r="I27" i="11"/>
  <c r="I31" i="11"/>
  <c r="I35" i="11"/>
  <c r="I39" i="11"/>
  <c r="I45" i="11"/>
  <c r="I49" i="11"/>
  <c r="I53" i="11"/>
  <c r="I59" i="11"/>
  <c r="I63" i="11"/>
  <c r="I71" i="11"/>
  <c r="I75" i="11"/>
  <c r="I79" i="11"/>
  <c r="I83" i="11"/>
  <c r="I87" i="11"/>
  <c r="I93" i="11"/>
  <c r="I97" i="11"/>
  <c r="I99" i="11"/>
  <c r="I101" i="11"/>
  <c r="I103" i="11"/>
  <c r="I105" i="11"/>
  <c r="I107" i="11"/>
  <c r="I111" i="11"/>
  <c r="I113" i="11"/>
  <c r="I115" i="11"/>
  <c r="I117" i="11"/>
  <c r="I121" i="11"/>
  <c r="I123" i="11"/>
  <c r="I125" i="11"/>
  <c r="I127" i="11"/>
  <c r="I129" i="11"/>
  <c r="D117" i="8"/>
  <c r="D125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8" i="9"/>
  <c r="D49" i="9"/>
  <c r="D50" i="9"/>
  <c r="D51" i="9"/>
  <c r="D52" i="9"/>
  <c r="D53" i="9"/>
  <c r="D54" i="9"/>
  <c r="D55" i="9"/>
  <c r="D56" i="9"/>
  <c r="D57" i="9"/>
  <c r="D58" i="9"/>
  <c r="D59" i="9"/>
  <c r="D62" i="9"/>
  <c r="D63" i="9"/>
  <c r="D64" i="9"/>
  <c r="D65" i="9"/>
  <c r="D66" i="9"/>
  <c r="D67" i="9"/>
  <c r="D70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4" i="9"/>
  <c r="D115" i="9"/>
  <c r="D116" i="9"/>
  <c r="D117" i="9"/>
  <c r="D118" i="9"/>
  <c r="D119" i="9"/>
  <c r="D120" i="9"/>
  <c r="D121" i="9"/>
  <c r="D124" i="9"/>
  <c r="D126" i="9"/>
  <c r="D127" i="9"/>
  <c r="D128" i="9"/>
  <c r="D129" i="9"/>
  <c r="D130" i="9"/>
  <c r="D131" i="9"/>
  <c r="D132" i="9"/>
  <c r="D133" i="9"/>
  <c r="F121" i="11"/>
  <c r="F122" i="11"/>
  <c r="F123" i="11"/>
  <c r="F124" i="11"/>
  <c r="F125" i="11"/>
  <c r="F126" i="11"/>
  <c r="F127" i="11"/>
  <c r="F128" i="11"/>
  <c r="F129" i="11"/>
  <c r="F120" i="11"/>
  <c r="F111" i="11"/>
  <c r="F112" i="11"/>
  <c r="F113" i="11"/>
  <c r="F114" i="11"/>
  <c r="F115" i="11"/>
  <c r="F116" i="11"/>
  <c r="F117" i="11"/>
  <c r="F110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92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69" i="11"/>
  <c r="F66" i="11"/>
  <c r="F59" i="11"/>
  <c r="F60" i="11"/>
  <c r="F61" i="11"/>
  <c r="F62" i="11"/>
  <c r="F63" i="11"/>
  <c r="F58" i="11"/>
  <c r="F45" i="11"/>
  <c r="F46" i="11"/>
  <c r="F47" i="11"/>
  <c r="F48" i="11"/>
  <c r="F49" i="11"/>
  <c r="F50" i="11"/>
  <c r="F51" i="11"/>
  <c r="F52" i="11"/>
  <c r="F53" i="11"/>
  <c r="F54" i="11"/>
  <c r="F55" i="11"/>
  <c r="F44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22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5" i="11"/>
  <c r="C69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8" i="11"/>
  <c r="C59" i="11"/>
  <c r="C60" i="11"/>
  <c r="C61" i="11"/>
  <c r="C62" i="11"/>
  <c r="C63" i="11"/>
  <c r="C66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10" i="11"/>
  <c r="C111" i="11"/>
  <c r="C112" i="11"/>
  <c r="C113" i="11"/>
  <c r="C114" i="11"/>
  <c r="C115" i="11"/>
  <c r="C116" i="11"/>
  <c r="C117" i="11"/>
  <c r="C120" i="11"/>
  <c r="C121" i="11"/>
  <c r="C122" i="11"/>
  <c r="C123" i="11"/>
  <c r="C124" i="11"/>
  <c r="C125" i="11"/>
  <c r="C126" i="11"/>
  <c r="C127" i="11"/>
  <c r="C128" i="11"/>
  <c r="C129" i="11"/>
  <c r="D6" i="9"/>
  <c r="C6" i="9"/>
  <c r="C5" i="9"/>
  <c r="B6" i="9"/>
  <c r="B5" i="9"/>
  <c r="H134" i="8"/>
  <c r="D134" i="8"/>
  <c r="H133" i="8"/>
  <c r="D133" i="8"/>
  <c r="H132" i="8"/>
  <c r="D132" i="8"/>
  <c r="H131" i="8"/>
  <c r="D131" i="8"/>
  <c r="H130" i="8"/>
  <c r="D130" i="8"/>
  <c r="H129" i="8"/>
  <c r="D129" i="8"/>
  <c r="H128" i="8"/>
  <c r="D128" i="8"/>
  <c r="H127" i="8"/>
  <c r="D127" i="8"/>
  <c r="H126" i="8"/>
  <c r="D126" i="8"/>
  <c r="H125" i="8"/>
  <c r="D125" i="8"/>
  <c r="H122" i="8"/>
  <c r="H121" i="8"/>
  <c r="D121" i="8"/>
  <c r="H120" i="8"/>
  <c r="D120" i="8"/>
  <c r="H119" i="8"/>
  <c r="D119" i="8"/>
  <c r="H118" i="8"/>
  <c r="D118" i="8"/>
  <c r="H117" i="8"/>
  <c r="H116" i="8"/>
  <c r="D116" i="8"/>
  <c r="H115" i="8"/>
  <c r="D115" i="8"/>
  <c r="H112" i="8"/>
  <c r="D112" i="8"/>
  <c r="H111" i="8"/>
  <c r="D111" i="8"/>
  <c r="H110" i="8"/>
  <c r="D110" i="8"/>
  <c r="H109" i="8"/>
  <c r="D109" i="8"/>
  <c r="H108" i="8"/>
  <c r="D108" i="8"/>
  <c r="H107" i="8"/>
  <c r="D107" i="8"/>
  <c r="H106" i="8"/>
  <c r="D106" i="8"/>
  <c r="H105" i="8"/>
  <c r="D105" i="8"/>
  <c r="H104" i="8"/>
  <c r="D104" i="8"/>
  <c r="H103" i="8"/>
  <c r="D103" i="8"/>
  <c r="H102" i="8"/>
  <c r="D102" i="8"/>
  <c r="H101" i="8"/>
  <c r="D101" i="8"/>
  <c r="H100" i="8"/>
  <c r="D100" i="8"/>
  <c r="H99" i="8"/>
  <c r="D99" i="8"/>
  <c r="H98" i="8"/>
  <c r="D98" i="8"/>
  <c r="H97" i="8"/>
  <c r="D97" i="8"/>
  <c r="H94" i="8"/>
  <c r="D94" i="8"/>
  <c r="H93" i="8"/>
  <c r="D93" i="8"/>
  <c r="H92" i="8"/>
  <c r="D92" i="8"/>
  <c r="H91" i="8"/>
  <c r="D91" i="8"/>
  <c r="H90" i="8"/>
  <c r="D90" i="8"/>
  <c r="H89" i="8"/>
  <c r="D89" i="8"/>
  <c r="H88" i="8"/>
  <c r="D88" i="8"/>
  <c r="H87" i="8"/>
  <c r="D87" i="8"/>
  <c r="H86" i="8"/>
  <c r="D86" i="8"/>
  <c r="H85" i="8"/>
  <c r="D85" i="8"/>
  <c r="H84" i="8"/>
  <c r="D84" i="8"/>
  <c r="H83" i="8"/>
  <c r="D83" i="8"/>
  <c r="H82" i="8"/>
  <c r="D82" i="8"/>
  <c r="H81" i="8"/>
  <c r="D81" i="8"/>
  <c r="H80" i="8"/>
  <c r="D80" i="8"/>
  <c r="H79" i="8"/>
  <c r="D79" i="8"/>
  <c r="H78" i="8"/>
  <c r="D78" i="8"/>
  <c r="H77" i="8"/>
  <c r="D77" i="8"/>
  <c r="H76" i="8"/>
  <c r="D76" i="8"/>
  <c r="H75" i="8"/>
  <c r="D75" i="8"/>
  <c r="H74" i="8"/>
  <c r="D74" i="8"/>
  <c r="H71" i="8"/>
  <c r="D71" i="8"/>
  <c r="H68" i="8"/>
  <c r="D68" i="8"/>
  <c r="H67" i="8"/>
  <c r="D67" i="8"/>
  <c r="H66" i="8"/>
  <c r="D66" i="8"/>
  <c r="H65" i="8"/>
  <c r="D65" i="8"/>
  <c r="H64" i="8"/>
  <c r="D64" i="8"/>
  <c r="H63" i="8"/>
  <c r="D63" i="8"/>
  <c r="H60" i="8"/>
  <c r="D60" i="8"/>
  <c r="H59" i="8"/>
  <c r="D59" i="8"/>
  <c r="H58" i="8"/>
  <c r="D58" i="8"/>
  <c r="H57" i="8"/>
  <c r="D57" i="8"/>
  <c r="H56" i="8"/>
  <c r="D56" i="8"/>
  <c r="H55" i="8"/>
  <c r="D55" i="8"/>
  <c r="H54" i="8"/>
  <c r="D54" i="8"/>
  <c r="H53" i="8"/>
  <c r="D53" i="8"/>
  <c r="H52" i="8"/>
  <c r="D52" i="8"/>
  <c r="H51" i="8"/>
  <c r="D51" i="8"/>
  <c r="H50" i="8"/>
  <c r="D50" i="8"/>
  <c r="H49" i="8"/>
  <c r="D49" i="8"/>
  <c r="H46" i="8"/>
  <c r="D46" i="8"/>
  <c r="H45" i="8"/>
  <c r="D45" i="8"/>
  <c r="H44" i="8"/>
  <c r="D44" i="8"/>
  <c r="H43" i="8"/>
  <c r="D43" i="8"/>
  <c r="H42" i="8"/>
  <c r="D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H30" i="8"/>
  <c r="D30" i="8"/>
  <c r="H29" i="8"/>
  <c r="D29" i="8"/>
  <c r="H28" i="8"/>
  <c r="D28" i="8"/>
  <c r="H27" i="8"/>
  <c r="D27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11" i="8"/>
  <c r="D11" i="8"/>
  <c r="H10" i="8"/>
  <c r="D10" i="8"/>
  <c r="D27" i="12"/>
  <c r="D125" i="12"/>
  <c r="D74" i="12"/>
  <c r="D71" i="12"/>
  <c r="D115" i="12"/>
  <c r="D137" i="12"/>
  <c r="D97" i="12"/>
  <c r="D63" i="12"/>
  <c r="D49" i="12"/>
  <c r="D139" i="12"/>
  <c r="F63" i="12"/>
  <c r="F137" i="12"/>
  <c r="F115" i="12"/>
  <c r="F27" i="12"/>
  <c r="F71" i="12"/>
  <c r="F49" i="12"/>
  <c r="F74" i="12"/>
  <c r="F97" i="12"/>
  <c r="F125" i="12"/>
  <c r="F139" i="12"/>
  <c r="D5" i="9"/>
  <c r="J129" i="11"/>
  <c r="J127" i="11"/>
  <c r="J125" i="11"/>
  <c r="J123" i="11"/>
  <c r="J121" i="11"/>
  <c r="J117" i="11"/>
  <c r="J115" i="11"/>
  <c r="J113" i="11"/>
  <c r="J111" i="11"/>
  <c r="J107" i="11"/>
  <c r="J105" i="11"/>
  <c r="J103" i="11"/>
  <c r="J101" i="11"/>
  <c r="J99" i="11"/>
  <c r="J97" i="11"/>
  <c r="J95" i="11"/>
  <c r="J93" i="11"/>
  <c r="J89" i="11"/>
  <c r="J87" i="11"/>
  <c r="J85" i="11"/>
  <c r="J83" i="11"/>
  <c r="J81" i="11"/>
  <c r="J79" i="11"/>
  <c r="J77" i="11"/>
  <c r="J75" i="11"/>
  <c r="J73" i="11"/>
  <c r="J71" i="11"/>
  <c r="J69" i="11"/>
  <c r="J63" i="11"/>
  <c r="J61" i="11"/>
  <c r="J59" i="11"/>
  <c r="J55" i="11"/>
  <c r="J53" i="11"/>
  <c r="J51" i="11"/>
  <c r="J49" i="11"/>
  <c r="J47" i="11"/>
  <c r="J45" i="11"/>
  <c r="J41" i="11"/>
  <c r="J39" i="11"/>
  <c r="J37" i="11"/>
  <c r="J35" i="11"/>
  <c r="J33" i="11"/>
  <c r="J31" i="11"/>
  <c r="J29" i="11"/>
  <c r="J27" i="11"/>
  <c r="J25" i="11"/>
  <c r="J23" i="11"/>
  <c r="J19" i="11"/>
  <c r="J17" i="11"/>
  <c r="J15" i="11"/>
  <c r="J13" i="11"/>
  <c r="J11" i="11"/>
  <c r="J9" i="11"/>
  <c r="J7" i="11"/>
  <c r="I98" i="11"/>
  <c r="I96" i="11"/>
  <c r="I94" i="11"/>
  <c r="I92" i="11"/>
  <c r="I88" i="11"/>
  <c r="I86" i="11"/>
  <c r="I84" i="11"/>
  <c r="I82" i="11"/>
  <c r="I80" i="11"/>
  <c r="I78" i="11"/>
  <c r="I76" i="11"/>
  <c r="I74" i="11"/>
  <c r="I72" i="11"/>
  <c r="I70" i="11"/>
  <c r="I66" i="11"/>
  <c r="I62" i="11"/>
  <c r="I60" i="11"/>
  <c r="I58" i="11"/>
  <c r="I54" i="11"/>
  <c r="I52" i="11"/>
  <c r="I50" i="11"/>
  <c r="I48" i="11"/>
  <c r="I46" i="11"/>
  <c r="I44" i="11"/>
  <c r="I40" i="11"/>
  <c r="I38" i="11"/>
  <c r="I36" i="11"/>
  <c r="I34" i="11"/>
  <c r="I32" i="11"/>
  <c r="I30" i="11"/>
  <c r="I28" i="11"/>
  <c r="I26" i="11"/>
  <c r="I24" i="11"/>
  <c r="I22" i="11"/>
  <c r="I18" i="11"/>
  <c r="I16" i="11"/>
  <c r="I14" i="11"/>
  <c r="I12" i="11"/>
  <c r="I10" i="11"/>
  <c r="I8" i="11"/>
  <c r="I6" i="11"/>
  <c r="I5" i="11"/>
  <c r="I128" i="11"/>
  <c r="I126" i="11"/>
  <c r="I124" i="11"/>
  <c r="I122" i="11"/>
  <c r="I120" i="11"/>
  <c r="I116" i="11"/>
  <c r="I114" i="11"/>
  <c r="I112" i="11"/>
  <c r="I110" i="11"/>
  <c r="I106" i="11"/>
  <c r="I104" i="11"/>
  <c r="I102" i="11"/>
  <c r="I100" i="11"/>
  <c r="AO27" i="12"/>
  <c r="AO63" i="12"/>
  <c r="AO74" i="12"/>
  <c r="AO115" i="12"/>
  <c r="AO137" i="12"/>
  <c r="AO124" i="12"/>
  <c r="AO123" i="12"/>
  <c r="AO122" i="12"/>
  <c r="AO121" i="12"/>
  <c r="AO120" i="12"/>
  <c r="AO119" i="12"/>
  <c r="AO118" i="12"/>
  <c r="AO11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0" i="12"/>
  <c r="AO69" i="12"/>
  <c r="AO68" i="12"/>
  <c r="AO67" i="12"/>
  <c r="AO66" i="12"/>
  <c r="AO65" i="12"/>
  <c r="AO48" i="12"/>
  <c r="AO47" i="12"/>
  <c r="AO46" i="12"/>
  <c r="AO45" i="12"/>
  <c r="AO44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49" i="12"/>
  <c r="AO71" i="12"/>
  <c r="AO97" i="12"/>
  <c r="AO125" i="12"/>
  <c r="AO136" i="12"/>
  <c r="AO135" i="12"/>
  <c r="AO134" i="12"/>
  <c r="AO133" i="12"/>
  <c r="AO132" i="12"/>
  <c r="AO131" i="12"/>
  <c r="AO130" i="12"/>
  <c r="AO129" i="12"/>
  <c r="AO128" i="12"/>
  <c r="AO127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1" i="12"/>
  <c r="AO100" i="12"/>
  <c r="AO99" i="12"/>
  <c r="AO7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39" i="12"/>
  <c r="J105" i="15"/>
  <c r="J7" i="15"/>
  <c r="J8" i="15"/>
  <c r="E7" i="15"/>
  <c r="G5" i="9"/>
  <c r="G6" i="9"/>
  <c r="E8" i="15"/>
  <c r="M6" i="8"/>
  <c r="M7" i="8"/>
  <c r="Q74" i="12"/>
  <c r="N139" i="12"/>
  <c r="Q115" i="12"/>
  <c r="Q137" i="12"/>
  <c r="M8" i="15"/>
  <c r="Q125" i="12"/>
  <c r="Q63" i="12"/>
  <c r="Q49" i="12"/>
  <c r="Y74" i="12"/>
  <c r="Y97" i="12"/>
  <c r="Q71" i="12"/>
  <c r="M7" i="15"/>
  <c r="Q27" i="12"/>
  <c r="Q97" i="12"/>
  <c r="Q139" i="12"/>
  <c r="W74" i="12"/>
  <c r="W125" i="12"/>
  <c r="W71" i="12"/>
  <c r="Y71" i="12"/>
  <c r="W49" i="12"/>
  <c r="Y49" i="12"/>
  <c r="Y63" i="12"/>
  <c r="W63" i="12"/>
  <c r="W97" i="12"/>
  <c r="U125" i="12"/>
  <c r="U74" i="12"/>
  <c r="Y137" i="12"/>
  <c r="U115" i="12"/>
  <c r="Y125" i="12"/>
  <c r="W27" i="12"/>
  <c r="Y27" i="12"/>
  <c r="W137" i="12"/>
  <c r="U137" i="12"/>
  <c r="W115" i="12"/>
  <c r="Y115" i="12"/>
  <c r="U97" i="12"/>
  <c r="Y139" i="12"/>
  <c r="W139" i="12"/>
  <c r="Z115" i="12"/>
  <c r="Z74" i="12"/>
  <c r="Z125" i="12"/>
  <c r="Z97" i="12"/>
  <c r="Z137" i="12"/>
  <c r="U27" i="12"/>
  <c r="U63" i="12"/>
  <c r="U49" i="12"/>
  <c r="U71" i="12"/>
  <c r="Z71" i="12"/>
  <c r="Z49" i="12"/>
  <c r="Z63" i="12"/>
  <c r="U139" i="12"/>
  <c r="Z27" i="12"/>
  <c r="Z139" i="12"/>
  <c r="AB63" i="12"/>
  <c r="AB74" i="12"/>
  <c r="AB115" i="12"/>
  <c r="AB137" i="12"/>
  <c r="AB71" i="12"/>
  <c r="AB97" i="12"/>
  <c r="AB125" i="12"/>
  <c r="AB27" i="12"/>
  <c r="AB49" i="12"/>
  <c r="AB139" i="12"/>
  <c r="AK90" i="12"/>
  <c r="AK124" i="12"/>
  <c r="AK135" i="12"/>
  <c r="AK136" i="12"/>
  <c r="AK114" i="12"/>
  <c r="AK13" i="12"/>
  <c r="AK88" i="12"/>
  <c r="AK96" i="12"/>
  <c r="AK78" i="12"/>
  <c r="AK16" i="12"/>
  <c r="AK80" i="12"/>
  <c r="AK89" i="12"/>
  <c r="AK31" i="12"/>
  <c r="AK35" i="12"/>
  <c r="AK65" i="12"/>
  <c r="AK117" i="12"/>
  <c r="AS125" i="12"/>
  <c r="AS71" i="12"/>
  <c r="AK29" i="12"/>
  <c r="AK83" i="12"/>
  <c r="AK93" i="12"/>
  <c r="AK41" i="12"/>
  <c r="AK121" i="12"/>
  <c r="AK17" i="12"/>
  <c r="AK82" i="12"/>
  <c r="AK56" i="12"/>
  <c r="AK24" i="12"/>
  <c r="AK112" i="12"/>
  <c r="AK53" i="12"/>
  <c r="AK58" i="12"/>
  <c r="AK22" i="12"/>
  <c r="AK92" i="12"/>
  <c r="AK57" i="12"/>
  <c r="AK30" i="12"/>
  <c r="AK46" i="12"/>
  <c r="AK59" i="12"/>
  <c r="AK52" i="12"/>
  <c r="AK129" i="12"/>
  <c r="AK21" i="12"/>
  <c r="AK119" i="12"/>
  <c r="AK123" i="12"/>
  <c r="AK37" i="12"/>
  <c r="AK39" i="12"/>
  <c r="AK77" i="12"/>
  <c r="AK87" i="12"/>
  <c r="AK42" i="12"/>
  <c r="AK38" i="12"/>
  <c r="AK66" i="12"/>
  <c r="AK61" i="12"/>
  <c r="AK19" i="12"/>
  <c r="AK94" i="12"/>
  <c r="AK118" i="12"/>
  <c r="AK106" i="12"/>
  <c r="AK113" i="12"/>
  <c r="AK108" i="12"/>
  <c r="AK26" i="12"/>
  <c r="AK40" i="12"/>
  <c r="AK111" i="12"/>
  <c r="AK60" i="12"/>
  <c r="AK131" i="12"/>
  <c r="AK23" i="12"/>
  <c r="AK55" i="12"/>
  <c r="AK69" i="12"/>
  <c r="AK79" i="12"/>
  <c r="AK81" i="12"/>
  <c r="AK67" i="12"/>
  <c r="AK33" i="12"/>
  <c r="AK122" i="12"/>
  <c r="AK18" i="12"/>
  <c r="AK25" i="12"/>
  <c r="AK14" i="12"/>
  <c r="AK101" i="12"/>
  <c r="AK128" i="12"/>
  <c r="AK110" i="12"/>
  <c r="AK132" i="12"/>
  <c r="AK70" i="12"/>
  <c r="AK68" i="12"/>
  <c r="AK86" i="12"/>
  <c r="AK62" i="12"/>
  <c r="AK44" i="12"/>
  <c r="AK48" i="12"/>
  <c r="AK34" i="12"/>
  <c r="AK43" i="12"/>
  <c r="AK47" i="12"/>
  <c r="AK45" i="12"/>
  <c r="AK91" i="12"/>
  <c r="AK85" i="12"/>
  <c r="AK95" i="12"/>
  <c r="AK84" i="12"/>
  <c r="AK20" i="12"/>
  <c r="AK109" i="12"/>
  <c r="AK15" i="12"/>
  <c r="AK102" i="12"/>
  <c r="AK100" i="12"/>
  <c r="AK54" i="12"/>
  <c r="AK32" i="12"/>
  <c r="AK104" i="12"/>
  <c r="AK103" i="12"/>
  <c r="AK133" i="12"/>
  <c r="AK36" i="12"/>
  <c r="AK130" i="12"/>
  <c r="AK120" i="12"/>
  <c r="AK105" i="12"/>
  <c r="AK134" i="12"/>
  <c r="AK107" i="12"/>
  <c r="AK51" i="12"/>
  <c r="AK99" i="12"/>
  <c r="AK12" i="12"/>
  <c r="AS49" i="12"/>
  <c r="AK73" i="12"/>
  <c r="AK127" i="12"/>
  <c r="AK76" i="12"/>
  <c r="AS97" i="12"/>
  <c r="AS74" i="12"/>
  <c r="AS137" i="12"/>
  <c r="AL27" i="12"/>
  <c r="AS27" i="12"/>
  <c r="AL115" i="12"/>
  <c r="AS115" i="12"/>
  <c r="AL63" i="12"/>
  <c r="AS63" i="12"/>
  <c r="AL35" i="12"/>
  <c r="AL22" i="12"/>
  <c r="AL103" i="12"/>
  <c r="AL125" i="12"/>
  <c r="AL71" i="12"/>
  <c r="AL112" i="12"/>
  <c r="AL49" i="12"/>
  <c r="AL137" i="12"/>
  <c r="AL97" i="12"/>
  <c r="AL74" i="12"/>
  <c r="AL139" i="12"/>
  <c r="B47" i="16"/>
  <c r="B61" i="16"/>
  <c r="B69" i="16"/>
  <c r="B112" i="16"/>
  <c r="B122" i="16"/>
  <c r="B134" i="16"/>
  <c r="B25" i="16"/>
  <c r="B136" i="16"/>
  <c r="D3" i="16"/>
  <c r="R69" i="16"/>
  <c r="E3" i="16"/>
  <c r="G3" i="16"/>
  <c r="F3" i="16"/>
  <c r="R47" i="16"/>
  <c r="R122" i="16"/>
  <c r="R61" i="16"/>
  <c r="R134" i="16"/>
  <c r="R25" i="16"/>
</calcChain>
</file>

<file path=xl/sharedStrings.xml><?xml version="1.0" encoding="utf-8"?>
<sst xmlns="http://schemas.openxmlformats.org/spreadsheetml/2006/main" count="1591" uniqueCount="277">
  <si>
    <t>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</si>
  <si>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</si>
  <si>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</si>
  <si>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</si>
  <si>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</si>
  <si>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</si>
  <si>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</si>
  <si>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</si>
  <si>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</si>
  <si>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</si>
  <si>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Albany</t>
  </si>
  <si>
    <t>Berkeley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</si>
  <si>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</si>
  <si>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</si>
  <si>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</si>
  <si>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</si>
  <si>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</si>
  <si>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</si>
  <si>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</si>
  <si>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</si>
  <si>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</si>
  <si>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</si>
  <si>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Union City</t>
  </si>
  <si>
    <t>Antioch</t>
  </si>
  <si>
    <t>Brentwood</t>
  </si>
  <si>
    <t>Clayton</t>
  </si>
  <si>
    <t>Concord</t>
  </si>
  <si>
    <t>Danville</t>
  </si>
  <si>
    <t>El Cerrito</t>
  </si>
  <si>
    <t>Hercules</t>
  </si>
  <si>
    <t>Lafayette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</si>
  <si>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</si>
  <si>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</si>
  <si>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</si>
  <si>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</si>
  <si>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</si>
  <si>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</si>
  <si>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</si>
  <si>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</si>
  <si>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San Pablo</t>
  </si>
  <si>
    <t>San Ramon</t>
  </si>
  <si>
    <t>Walnut Creek</t>
  </si>
  <si>
    <t>Belvedere</t>
  </si>
  <si>
    <t>Corte Madera</t>
  </si>
  <si>
    <t>Fairfax</t>
  </si>
  <si>
    <t>Larkspur</t>
  </si>
  <si>
    <t>Mill Valley</t>
  </si>
  <si>
    <t>Novato</t>
  </si>
  <si>
    <t>Ross</t>
  </si>
  <si>
    <t>San Anselmo</t>
  </si>
  <si>
    <t>San Rafael</t>
  </si>
  <si>
    <t>Tiburon</t>
  </si>
  <si>
    <t>American Canyon</t>
  </si>
  <si>
    <t>Calistoga</t>
  </si>
  <si>
    <t>St. Helena</t>
  </si>
  <si>
    <t>Yountville</t>
  </si>
  <si>
    <t>Atherton</t>
  </si>
  <si>
    <t>Belmont</t>
  </si>
  <si>
    <t>Brisbane</t>
  </si>
  <si>
    <t>Burlingame</t>
  </si>
  <si>
    <t>Colma</t>
  </si>
  <si>
    <t>Daly City</t>
  </si>
  <si>
    <t>East Palo Alto</t>
  </si>
  <si>
    <t>Foster City</t>
  </si>
  <si>
    <t>Half Moon Bay</t>
  </si>
  <si>
    <t>Hillsborough</t>
  </si>
  <si>
    <t>Menlo Park</t>
  </si>
  <si>
    <t>Millbrae</t>
  </si>
  <si>
    <t>Pacifica</t>
  </si>
  <si>
    <t>Portola Valley</t>
  </si>
  <si>
    <t>Redwood City</t>
  </si>
  <si>
    <t>San Bruno</t>
  </si>
  <si>
    <t>San Carlos</t>
  </si>
  <si>
    <t>South San Francisco</t>
  </si>
  <si>
    <t>Woodside</t>
  </si>
  <si>
    <t>Campbell</t>
  </si>
  <si>
    <t>Cupertino</t>
  </si>
  <si>
    <t>Gilroy</t>
  </si>
  <si>
    <t>Los Altos</t>
  </si>
  <si>
    <t>Los Altos Hills</t>
  </si>
  <si>
    <t>Los Gatos</t>
  </si>
  <si>
    <t>Milpitas</t>
  </si>
  <si>
    <t>Monte Sereno</t>
  </si>
  <si>
    <t>Morgan Hill</t>
  </si>
  <si>
    <t>Mountain View</t>
  </si>
  <si>
    <t>Palo Alto</t>
  </si>
  <si>
    <t>San Jose</t>
  </si>
  <si>
    <t>Saratoga</t>
  </si>
  <si>
    <t>Sunnyvale</t>
  </si>
  <si>
    <t>Benicia</t>
  </si>
  <si>
    <t>Dixon</t>
  </si>
  <si>
    <t>Fairfield</t>
  </si>
  <si>
    <t>Rio Vista</t>
  </si>
  <si>
    <t>Suisun City</t>
  </si>
  <si>
    <t>Vacaville</t>
  </si>
  <si>
    <t>Vallejo</t>
  </si>
  <si>
    <t>Cloverdale</t>
  </si>
  <si>
    <t>Cotati</t>
  </si>
  <si>
    <t>Healdsburg</t>
  </si>
  <si>
    <t>Petaluma</t>
  </si>
  <si>
    <t>Rohnert Park</t>
  </si>
  <si>
    <t>Santa Rosa</t>
  </si>
  <si>
    <t>Sebastopol</t>
  </si>
  <si>
    <t>Windsor</t>
  </si>
  <si>
    <t>Jurisdiction</t>
  </si>
  <si>
    <t>Alameda County Unincorporated</t>
  </si>
  <si>
    <t>Contra Costa County Unincorporated</t>
  </si>
  <si>
    <t>Marin County Unincorporated</t>
  </si>
  <si>
    <t>Napa County Unincorporated</t>
  </si>
  <si>
    <t>San Mateo County Unincorporated</t>
  </si>
  <si>
    <t>Santa Clara County Unincorporated</t>
  </si>
  <si>
    <t>Solano County Unincorporated</t>
  </si>
  <si>
    <t>Sonoma County Unincorporated</t>
  </si>
  <si>
    <t>Contra Costa County</t>
  </si>
  <si>
    <t>San Mateo County</t>
  </si>
  <si>
    <t>Marin County</t>
  </si>
  <si>
    <t>Alameda County</t>
  </si>
  <si>
    <t>Sonoma County</t>
  </si>
  <si>
    <t>Sausalito</t>
  </si>
  <si>
    <t>Napa County</t>
  </si>
  <si>
    <t>San Francisco County</t>
  </si>
  <si>
    <t>Solano County</t>
  </si>
  <si>
    <t>Not in PDAs</t>
  </si>
  <si>
    <t>Factor Scores</t>
  </si>
  <si>
    <t>Upper Limit:</t>
  </si>
  <si>
    <t>Lower Limit:</t>
  </si>
  <si>
    <t>Region</t>
  </si>
  <si>
    <t>2007-2014 RHNA Allocation</t>
  </si>
  <si>
    <t>Transit Coverage &amp; Frequency</t>
  </si>
  <si>
    <t>Sustainability Split</t>
  </si>
  <si>
    <t>Household Formation Growth</t>
  </si>
  <si>
    <t>Share of Growth to Redistribute</t>
  </si>
  <si>
    <t>Total to Redistribute</t>
  </si>
  <si>
    <t>Adjusted Non-PDA Growth Total</t>
  </si>
  <si>
    <t>Set Min/Max Allocations</t>
  </si>
  <si>
    <t>Redistributed Share of Growth</t>
  </si>
  <si>
    <t>Factor Adjusted Non-PDA Growth</t>
  </si>
  <si>
    <t>Draft Non-PDA Growth Total</t>
  </si>
  <si>
    <t>Draft RHNA Allocation (PDA + Non-PDA)</t>
  </si>
  <si>
    <t>Application of 40% Minimum Housing Floor</t>
  </si>
  <si>
    <t>PDA % of Household Formation Growth</t>
  </si>
  <si>
    <t>Jurisdiction Share of HH Formation Growth</t>
  </si>
  <si>
    <t>Jurisdiction Share of 
Total to Redistibute</t>
  </si>
  <si>
    <t>RHNA as % of HH Formation Growth</t>
  </si>
  <si>
    <t>Share of PDA Growth</t>
  </si>
  <si>
    <t>Share of Non-PDA Growth</t>
  </si>
  <si>
    <t>PDA Growth Scaled to Split</t>
  </si>
  <si>
    <t>Non-PDA Growth Scaled to Split</t>
  </si>
  <si>
    <t>Upper Housing Threshold for PDA Growth</t>
  </si>
  <si>
    <t>Redistribution of Non-PDA Growth for Jurisdictions where 
PDAs Meet or Exceed Upper Threshold</t>
  </si>
  <si>
    <t>Weightings:</t>
  </si>
  <si>
    <t>Combined Score</t>
  </si>
  <si>
    <t>RHNA</t>
  </si>
  <si>
    <t>Employment</t>
  </si>
  <si>
    <t>Transit</t>
  </si>
  <si>
    <t>Region Total:</t>
  </si>
  <si>
    <t>Jurisdiction Total</t>
  </si>
  <si>
    <t>Jurisdiction Share</t>
  </si>
  <si>
    <t>Jurisdiction Share of RHNA</t>
  </si>
  <si>
    <t>RHNA Allocation and Permitted Units 1999-2006</t>
  </si>
  <si>
    <t>Very Low</t>
  </si>
  <si>
    <t>Low</t>
  </si>
  <si>
    <t>Very Low + Low</t>
  </si>
  <si>
    <t>Larkspur-Kentfield</t>
  </si>
  <si>
    <t>Santa Clara County</t>
  </si>
  <si>
    <t>Maximum</t>
  </si>
  <si>
    <t>Minimum</t>
  </si>
  <si>
    <t>2010 Employment</t>
  </si>
  <si>
    <t>Non-PDA  Jobs Score Adjustment</t>
  </si>
  <si>
    <t>Sausalito-Marin City</t>
  </si>
  <si>
    <t>Transit Frequency &amp; Coverage</t>
  </si>
  <si>
    <t>Transit Frequency</t>
  </si>
  <si>
    <t>Transit Coverage</t>
  </si>
  <si>
    <t>Total Stops 2009</t>
  </si>
  <si>
    <t>Average Stops Per Hour 2009</t>
  </si>
  <si>
    <t>Average Combined Headway 2009</t>
  </si>
  <si>
    <t>Score Adjustment - Frequency</t>
  </si>
  <si>
    <t>Intersections with Transit</t>
  </si>
  <si>
    <t>Intersections</t>
  </si>
  <si>
    <t>Percent Intersections with Transit</t>
  </si>
  <si>
    <t>Score Adjustment - Coverage</t>
  </si>
  <si>
    <t>Final Transit Score Adjustment</t>
  </si>
  <si>
    <t>Weight:</t>
  </si>
  <si>
    <t>—</t>
  </si>
  <si>
    <t>Percent Permitted</t>
  </si>
  <si>
    <t>RHNA Performance (Very Low + Low)</t>
  </si>
  <si>
    <t>RHNA Allocation</t>
  </si>
  <si>
    <t>Permits Issued</t>
  </si>
  <si>
    <t>Non-PDA Jobs</t>
  </si>
  <si>
    <t>Total Jobs</t>
  </si>
  <si>
    <t>Final Transit Score Adjustment (Equal Weight)</t>
  </si>
  <si>
    <t>Combined Adjustment</t>
  </si>
  <si>
    <t>RHNA Performance</t>
  </si>
  <si>
    <t>Non-PDA Jobs Rank</t>
  </si>
  <si>
    <t>Source: City Jobs 2010 PDA NonPDA_102011.xls</t>
  </si>
  <si>
    <t>Permits Issued Rank</t>
  </si>
  <si>
    <t>Permits Issued Ranked Adjustment</t>
  </si>
  <si>
    <t>Score Adjustment</t>
  </si>
  <si>
    <t>Effect on Non-PDA Growth Total</t>
  </si>
  <si>
    <t>* Solano County allocations adjusted to reflect transfer agreements with cities in the county</t>
  </si>
  <si>
    <t>Adjustment Weighted Average</t>
  </si>
  <si>
    <t>PDA Jobs</t>
  </si>
  <si>
    <t>Regional Income Distribution:</t>
  </si>
  <si>
    <t>Income Shift:</t>
  </si>
  <si>
    <t xml:space="preserve">       Existing Income Allocation</t>
  </si>
  <si>
    <t>Allocation by Income</t>
  </si>
  <si>
    <t>Total</t>
  </si>
  <si>
    <t>REGION</t>
  </si>
  <si>
    <t>Regional Total by Income:</t>
  </si>
  <si>
    <t>Adjusted Income Distribution</t>
  </si>
  <si>
    <t>Pre-Final RHNA Allocation</t>
  </si>
  <si>
    <t>Final Comparison</t>
  </si>
  <si>
    <t>Application of Final Rebalance and Reallocation</t>
  </si>
  <si>
    <t>RHNA Percent Change</t>
  </si>
  <si>
    <t>Source:</t>
  </si>
  <si>
    <t>A Place to Call Home: Housing in the San Francisco Bay Area (August 2007)</t>
  </si>
  <si>
    <t>Establishment Time Series (NETS) data for 2010</t>
  </si>
  <si>
    <t>MTC Regional Transit Database</t>
  </si>
  <si>
    <t>Very Low
0-50%</t>
  </si>
  <si>
    <t>Low
51-80%</t>
  </si>
  <si>
    <t>Moderate
81-120%</t>
  </si>
  <si>
    <t>Above
Moderate
120%+</t>
  </si>
  <si>
    <t>In PDAs</t>
  </si>
  <si>
    <t>Share to Redistribute</t>
  </si>
  <si>
    <t>Redistributed Shares</t>
  </si>
  <si>
    <t>Jurisdictions That Get Rebalanced</t>
  </si>
  <si>
    <t>Difference That Will Get Rebalanced</t>
  </si>
  <si>
    <t>PDA:</t>
  </si>
  <si>
    <t>Non-PDA:</t>
  </si>
  <si>
    <t>=E10/I10</t>
  </si>
  <si>
    <t>=F10*$G$8</t>
  </si>
  <si>
    <t>=D10*$E$8</t>
  </si>
  <si>
    <t>=I10/I$137</t>
  </si>
  <si>
    <t>=(G10-P10)+Q10</t>
  </si>
  <si>
    <t>=U10+W10+Y10</t>
  </si>
  <si>
    <t>=R10+Z10</t>
  </si>
  <si>
    <t>=AA10/AA$137*R$137</t>
  </si>
  <si>
    <t>=$E10+AB10</t>
  </si>
  <si>
    <t>=AD10/$I10</t>
  </si>
  <si>
    <t>=IF(OR(AE10&lt;$C$3,$J10&gt;=$C$2),0,AD10)</t>
  </si>
  <si>
    <t>=IF(AE10&lt;$C$3,$I10*$C$3,IF($J10&gt;=$C$2,$E10,0))</t>
  </si>
  <si>
    <t>DRAFT</t>
  </si>
  <si>
    <t>REGIONAL HOUSING NEED ALLOCATION</t>
  </si>
  <si>
    <t>Draft 2014-2022 RHNA</t>
  </si>
  <si>
    <t>2007-
2014
RHNA
Total</t>
  </si>
  <si>
    <t>1999-
2006
RHNA
Total</t>
  </si>
  <si>
    <t>ADJUSTED w/ 50% Max</t>
  </si>
  <si>
    <t>Actual Split</t>
  </si>
  <si>
    <t>Difference</t>
  </si>
  <si>
    <t>40% Minimum Not Used
In Unincorporated Areas</t>
  </si>
  <si>
    <t>PDA and Non-PDA Housing Unit Growth by Jurisdiction</t>
  </si>
  <si>
    <t>Input for the 2014-2022 RHNA Methodology Model</t>
  </si>
  <si>
    <t>Source: Jobs-Housing Connection Strategy, housing unit growth for the 8-year RHNA period.</t>
  </si>
  <si>
    <t>SCS Jobs-Housing Connection Strategy</t>
  </si>
  <si>
    <t>2014-2022 RHNA Methodology Model</t>
  </si>
  <si>
    <t>Jurisdictions RHNA Max if 1.5 Times Last RHNA</t>
  </si>
  <si>
    <t>Growth in PDA:</t>
  </si>
  <si>
    <t>Growth in non-PDA:</t>
  </si>
  <si>
    <t>Factors:</t>
  </si>
  <si>
    <t>STEP 1</t>
  </si>
  <si>
    <t>STEP 2</t>
  </si>
  <si>
    <t>STEP 3</t>
  </si>
  <si>
    <t>STEP 4</t>
  </si>
  <si>
    <t>STEP 5</t>
  </si>
  <si>
    <t>STEP 6</t>
  </si>
  <si>
    <t>2014-2022 RHNA 
Income Distribution</t>
  </si>
  <si>
    <t xml:space="preserve">           The allocation shown above may include rounding errors. Adjustments to the rounding errors have been made in the adopted version.</t>
  </si>
  <si>
    <t>175% Shift with Regional Median Household Income</t>
  </si>
  <si>
    <t>FINAL</t>
  </si>
  <si>
    <t>REGIONAL HOUSING NEED ALLOCATION (2014-2022)</t>
  </si>
  <si>
    <t>Application of the Fair Share Factors</t>
  </si>
  <si>
    <t>Rebalance Allocations Jurisdictions &gt;= 40% HH Form Growth</t>
  </si>
  <si>
    <t>Rebalance Allocations for Other Jurisdictions</t>
  </si>
  <si>
    <t>Pre-Final RHNA</t>
  </si>
  <si>
    <t>Final RHNA</t>
  </si>
  <si>
    <t>Note:</t>
  </si>
  <si>
    <t>Note: This spreadsheet shows the calculations that was used to generate the RHNA by income category for each jurisdiction.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</si>
</sst>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"/>
    <numFmt numFmtId="166" formatCode="#,##0.0"/>
    <numFmt numFmtId="167" formatCode="0.0000"/>
    <numFmt numFmtId="168" formatCode="#,##0____"/>
    <numFmt numFmtId="169" formatCode="#,##0__________"/>
    <numFmt numFmtId="170" formatCode="#,##0________"/>
  </numFmts>
  <fonts count="53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color indexed="8"/>
      <name val="Calibri"/>
      <family val="2"/>
    </font>
    <font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indexed="17"/>
      <name val="Calibri"/>
      <family val="2"/>
    </font>
    <font>
      <b/>
      <sz val="10"/>
      <color indexed="9"/>
      <name val="Calibri"/>
      <family val="2"/>
    </font>
    <font>
      <sz val="9"/>
      <color indexed="8"/>
      <name val="Calibri"/>
      <family val="2"/>
    </font>
    <font>
      <sz val="10"/>
      <color indexed="9"/>
      <name val="Calibri"/>
      <family val="2"/>
    </font>
    <font>
      <b/>
      <sz val="9"/>
      <color indexed="9"/>
      <name val="Calibri"/>
      <family val="2"/>
    </font>
    <font>
      <b/>
      <sz val="9"/>
      <color indexed="8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9"/>
      <name val="Calibri"/>
      <family val="2"/>
    </font>
    <font>
      <b/>
      <sz val="12"/>
      <color indexed="9"/>
      <name val="Calibri"/>
      <family val="2"/>
    </font>
    <font>
      <b/>
      <sz val="18"/>
      <name val="Calibri"/>
      <family val="2"/>
    </font>
    <font>
      <b/>
      <sz val="18"/>
      <color indexed="23"/>
      <name val="Calibri"/>
      <family val="2"/>
    </font>
    <font>
      <sz val="14"/>
      <color indexed="9"/>
      <name val="Calibri"/>
      <family val="2"/>
    </font>
    <font>
      <b/>
      <sz val="8"/>
      <color indexed="9"/>
      <name val="Calibri"/>
      <family val="2"/>
    </font>
    <font>
      <sz val="4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i/>
      <sz val="9"/>
      <color indexed="8"/>
      <name val="Calibri"/>
      <family val="2"/>
      <scheme val="minor"/>
    </font>
    <font>
      <b/>
      <i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indexed="9"/>
      <name val="Calibri"/>
      <family val="2"/>
      <scheme val="minor"/>
    </font>
    <font>
      <b/>
      <sz val="9"/>
      <color indexed="23"/>
      <name val="Calibri"/>
      <family val="2"/>
      <scheme val="minor"/>
    </font>
    <font>
      <b/>
      <sz val="16"/>
      <color theme="5" tint="-0.249977111117893"/>
      <name val="Calibri"/>
      <family val="2"/>
    </font>
    <font>
      <b/>
      <sz val="16"/>
      <color indexed="23"/>
      <name val="Calibri"/>
      <family val="2"/>
    </font>
    <font>
      <sz val="10"/>
      <color theme="0"/>
      <name val="Calibri"/>
      <family val="2"/>
    </font>
  </fonts>
  <fills count="46">
    <fill>
      <patternFill patternType="none"/>
    </fill>
    <fill>
      <patternFill patternType="gray125"/>
    </fill>
    <fill>
      <patternFill patternType="lightGray">
        <fgColor indexed="52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0"/>
      </patternFill>
    </fill>
    <fill>
      <patternFill patternType="solid">
        <fgColor indexed="45"/>
        <bgColor indexed="0"/>
      </patternFill>
    </fill>
    <fill>
      <patternFill patternType="solid">
        <fgColor indexed="44"/>
        <bgColor indexed="0"/>
      </patternFill>
    </fill>
    <fill>
      <patternFill patternType="lightGray">
        <fgColor indexed="44"/>
      </patternFill>
    </fill>
    <fill>
      <patternFill patternType="solid">
        <fgColor indexed="10"/>
        <bgColor indexed="64"/>
      </patternFill>
    </fill>
    <fill>
      <patternFill patternType="lightGray">
        <fgColor indexed="41"/>
      </patternFill>
    </fill>
    <fill>
      <patternFill patternType="lightGray">
        <fgColor indexed="46"/>
      </patternFill>
    </fill>
    <fill>
      <patternFill patternType="lightGray">
        <fgColor indexed="50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lightGray">
        <fgColor indexed="22"/>
      </patternFill>
    </fill>
    <fill>
      <patternFill patternType="lightGray">
        <fgColor indexed="21"/>
      </patternFill>
    </fill>
    <fill>
      <patternFill patternType="solid">
        <fgColor indexed="46"/>
        <bgColor indexed="64"/>
      </patternFill>
    </fill>
    <fill>
      <patternFill patternType="lightGray">
        <fgColor indexed="52"/>
        <bgColor indexed="46"/>
      </patternFill>
    </fill>
    <fill>
      <patternFill patternType="solid">
        <fgColor indexed="19"/>
        <bgColor indexed="64"/>
      </patternFill>
    </fill>
    <fill>
      <patternFill patternType="lightGray">
        <bgColor indexed="4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lightGray">
        <fgColor indexed="44"/>
        <bgColor theme="7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477">
    <xf numFmtId="0" fontId="0" fillId="0" borderId="0" xfId="0"/>
    <xf numFmtId="0" fontId="4" fillId="0" borderId="0" xfId="0" applyFont="1" applyBorder="1"/>
    <xf numFmtId="0" fontId="4" fillId="0" borderId="0" xfId="0" applyFont="1"/>
    <xf numFmtId="0" fontId="9" fillId="0" borderId="0" xfId="0" applyFont="1" applyFill="1" applyBorder="1"/>
    <xf numFmtId="0" fontId="11" fillId="0" borderId="0" xfId="0" applyFont="1" applyFill="1" applyBorder="1" applyAlignment="1">
      <alignment horizontal="right"/>
    </xf>
    <xf numFmtId="3" fontId="9" fillId="0" borderId="0" xfId="0" applyNumberFormat="1" applyFont="1" applyFill="1" applyBorder="1"/>
    <xf numFmtId="9" fontId="9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9" fillId="14" borderId="0" xfId="0" applyFont="1" applyFill="1" applyBorder="1"/>
    <xf numFmtId="3" fontId="9" fillId="0" borderId="5" xfId="0" applyNumberFormat="1" applyFont="1" applyFill="1" applyBorder="1"/>
    <xf numFmtId="0" fontId="9" fillId="14" borderId="5" xfId="0" applyFont="1" applyFill="1" applyBorder="1"/>
    <xf numFmtId="9" fontId="9" fillId="0" borderId="5" xfId="3" applyNumberFormat="1" applyFont="1" applyFill="1" applyBorder="1"/>
    <xf numFmtId="3" fontId="11" fillId="0" borderId="5" xfId="0" applyNumberFormat="1" applyFont="1" applyFill="1" applyBorder="1"/>
    <xf numFmtId="0" fontId="11" fillId="14" borderId="0" xfId="0" applyFont="1" applyFill="1" applyBorder="1"/>
    <xf numFmtId="3" fontId="11" fillId="0" borderId="0" xfId="0" applyNumberFormat="1" applyFont="1" applyFill="1" applyBorder="1"/>
    <xf numFmtId="9" fontId="9" fillId="0" borderId="0" xfId="3" applyNumberFormat="1" applyFont="1" applyFill="1" applyBorder="1"/>
    <xf numFmtId="3" fontId="9" fillId="0" borderId="9" xfId="0" applyNumberFormat="1" applyFont="1" applyFill="1" applyBorder="1"/>
    <xf numFmtId="0" fontId="11" fillId="14" borderId="10" xfId="0" applyFont="1" applyFill="1" applyBorder="1"/>
    <xf numFmtId="3" fontId="11" fillId="0" borderId="10" xfId="0" applyNumberFormat="1" applyFont="1" applyFill="1" applyBorder="1"/>
    <xf numFmtId="0" fontId="11" fillId="14" borderId="5" xfId="0" applyFont="1" applyFill="1" applyBorder="1"/>
    <xf numFmtId="0" fontId="11" fillId="0" borderId="0" xfId="0" applyFont="1" applyFill="1" applyBorder="1" applyAlignment="1">
      <alignment horizontal="left"/>
    </xf>
    <xf numFmtId="9" fontId="11" fillId="0" borderId="0" xfId="0" applyNumberFormat="1" applyFont="1" applyFill="1" applyBorder="1"/>
    <xf numFmtId="9" fontId="11" fillId="0" borderId="0" xfId="3" applyNumberFormat="1" applyFont="1" applyFill="1" applyBorder="1"/>
    <xf numFmtId="38" fontId="9" fillId="0" borderId="0" xfId="0" applyNumberFormat="1" applyFont="1" applyFill="1" applyBorder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1" fillId="0" borderId="0" xfId="0" applyFont="1" applyBorder="1" applyAlignment="1">
      <alignment horizontal="left"/>
    </xf>
    <xf numFmtId="0" fontId="16" fillId="0" borderId="0" xfId="0" applyFont="1" applyFill="1" applyBorder="1"/>
    <xf numFmtId="0" fontId="15" fillId="0" borderId="0" xfId="0" applyFont="1" applyFill="1" applyBorder="1" applyAlignment="1">
      <alignment horizontal="right"/>
    </xf>
    <xf numFmtId="9" fontId="16" fillId="0" borderId="14" xfId="3" applyNumberFormat="1" applyFont="1" applyFill="1" applyBorder="1"/>
    <xf numFmtId="3" fontId="16" fillId="0" borderId="15" xfId="0" applyNumberFormat="1" applyFont="1" applyFill="1" applyBorder="1"/>
    <xf numFmtId="9" fontId="15" fillId="0" borderId="0" xfId="0" applyNumberFormat="1" applyFont="1" applyFill="1" applyAlignment="1" applyProtection="1">
      <alignment horizontal="right" vertical="top"/>
      <protection locked="0"/>
    </xf>
    <xf numFmtId="0" fontId="9" fillId="0" borderId="9" xfId="2" applyFont="1" applyFill="1" applyBorder="1" applyAlignment="1"/>
    <xf numFmtId="0" fontId="9" fillId="0" borderId="5" xfId="2" applyFont="1" applyFill="1" applyBorder="1" applyAlignment="1"/>
    <xf numFmtId="0" fontId="9" fillId="0" borderId="0" xfId="2" applyFont="1" applyFill="1" applyBorder="1" applyAlignment="1"/>
    <xf numFmtId="0" fontId="9" fillId="0" borderId="10" xfId="2" applyFont="1" applyFill="1" applyBorder="1" applyAlignment="1"/>
    <xf numFmtId="0" fontId="11" fillId="15" borderId="0" xfId="0" applyFont="1" applyFill="1" applyBorder="1" applyAlignment="1">
      <alignment horizontal="center" vertical="center" wrapText="1"/>
    </xf>
    <xf numFmtId="0" fontId="10" fillId="16" borderId="0" xfId="0" applyFont="1" applyFill="1" applyBorder="1" applyAlignment="1">
      <alignment vertical="center"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17" xfId="0" applyFont="1" applyFill="1" applyBorder="1" applyAlignment="1">
      <alignment horizontal="center" vertical="center" wrapText="1"/>
    </xf>
    <xf numFmtId="9" fontId="16" fillId="0" borderId="18" xfId="3" applyNumberFormat="1" applyFont="1" applyFill="1" applyBorder="1"/>
    <xf numFmtId="3" fontId="16" fillId="0" borderId="19" xfId="0" applyNumberFormat="1" applyFont="1" applyFill="1" applyBorder="1"/>
    <xf numFmtId="9" fontId="16" fillId="0" borderId="20" xfId="3" applyNumberFormat="1" applyFont="1" applyFill="1" applyBorder="1"/>
    <xf numFmtId="3" fontId="16" fillId="0" borderId="21" xfId="0" applyNumberFormat="1" applyFont="1" applyFill="1" applyBorder="1"/>
    <xf numFmtId="0" fontId="11" fillId="15" borderId="22" xfId="0" applyFont="1" applyFill="1" applyBorder="1" applyAlignment="1">
      <alignment horizontal="center" vertical="center" wrapText="1"/>
    </xf>
    <xf numFmtId="0" fontId="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 vertical="top"/>
    </xf>
    <xf numFmtId="9" fontId="21" fillId="0" borderId="0" xfId="0" applyNumberFormat="1" applyFont="1" applyAlignment="1">
      <alignment horizontal="right" vertical="top"/>
    </xf>
    <xf numFmtId="3" fontId="19" fillId="0" borderId="0" xfId="0" applyNumberFormat="1" applyFont="1" applyFill="1" applyAlignment="1">
      <alignment horizontal="left" vertical="top"/>
    </xf>
    <xf numFmtId="9" fontId="20" fillId="0" borderId="0" xfId="0" applyNumberFormat="1" applyFont="1" applyFill="1" applyAlignment="1">
      <alignment horizontal="center"/>
    </xf>
    <xf numFmtId="9" fontId="20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 vertical="top" wrapText="1"/>
    </xf>
    <xf numFmtId="3" fontId="23" fillId="14" borderId="0" xfId="1" applyNumberFormat="1" applyFont="1" applyFill="1" applyBorder="1" applyAlignment="1">
      <alignment horizontal="right"/>
    </xf>
    <xf numFmtId="0" fontId="11" fillId="17" borderId="0" xfId="0" applyFont="1" applyFill="1" applyAlignment="1">
      <alignment horizontal="center" wrapText="1"/>
    </xf>
    <xf numFmtId="0" fontId="20" fillId="15" borderId="0" xfId="0" applyFont="1" applyFill="1" applyAlignment="1">
      <alignment horizontal="center" wrapText="1"/>
    </xf>
    <xf numFmtId="3" fontId="20" fillId="15" borderId="0" xfId="0" applyNumberFormat="1" applyFont="1" applyFill="1" applyAlignment="1">
      <alignment horizontal="center" wrapText="1"/>
    </xf>
    <xf numFmtId="3" fontId="20" fillId="15" borderId="26" xfId="0" applyNumberFormat="1" applyFont="1" applyFill="1" applyBorder="1" applyAlignment="1">
      <alignment horizontal="center" wrapText="1"/>
    </xf>
    <xf numFmtId="0" fontId="23" fillId="0" borderId="24" xfId="2" applyFont="1" applyFill="1" applyBorder="1" applyAlignment="1"/>
    <xf numFmtId="10" fontId="23" fillId="18" borderId="24" xfId="2" applyNumberFormat="1" applyFont="1" applyFill="1" applyBorder="1" applyAlignment="1"/>
    <xf numFmtId="3" fontId="19" fillId="19" borderId="24" xfId="0" applyNumberFormat="1" applyFont="1" applyFill="1" applyBorder="1"/>
    <xf numFmtId="10" fontId="19" fillId="19" borderId="24" xfId="0" applyNumberFormat="1" applyFont="1" applyFill="1" applyBorder="1"/>
    <xf numFmtId="3" fontId="19" fillId="0" borderId="24" xfId="0" applyNumberFormat="1" applyFont="1" applyFill="1" applyBorder="1"/>
    <xf numFmtId="9" fontId="19" fillId="0" borderId="24" xfId="0" applyNumberFormat="1" applyFont="1" applyFill="1" applyBorder="1"/>
    <xf numFmtId="164" fontId="19" fillId="0" borderId="24" xfId="0" applyNumberFormat="1" applyFont="1" applyFill="1" applyBorder="1"/>
    <xf numFmtId="3" fontId="19" fillId="9" borderId="24" xfId="0" applyNumberFormat="1" applyFont="1" applyFill="1" applyBorder="1"/>
    <xf numFmtId="9" fontId="19" fillId="0" borderId="23" xfId="3" applyFont="1" applyFill="1" applyBorder="1"/>
    <xf numFmtId="3" fontId="19" fillId="20" borderId="27" xfId="0" applyNumberFormat="1" applyFont="1" applyFill="1" applyBorder="1"/>
    <xf numFmtId="9" fontId="19" fillId="0" borderId="24" xfId="3" applyFont="1" applyFill="1" applyBorder="1"/>
    <xf numFmtId="3" fontId="19" fillId="21" borderId="24" xfId="0" applyNumberFormat="1" applyFont="1" applyFill="1" applyBorder="1"/>
    <xf numFmtId="3" fontId="19" fillId="2" borderId="24" xfId="0" applyNumberFormat="1" applyFont="1" applyFill="1" applyBorder="1"/>
    <xf numFmtId="3" fontId="19" fillId="22" borderId="24" xfId="0" applyNumberFormat="1" applyFont="1" applyFill="1" applyBorder="1"/>
    <xf numFmtId="10" fontId="19" fillId="0" borderId="24" xfId="0" applyNumberFormat="1" applyFont="1" applyFill="1" applyBorder="1"/>
    <xf numFmtId="10" fontId="19" fillId="0" borderId="24" xfId="0" applyNumberFormat="1" applyFont="1" applyBorder="1"/>
    <xf numFmtId="10" fontId="19" fillId="0" borderId="0" xfId="0" applyNumberFormat="1" applyFont="1"/>
    <xf numFmtId="3" fontId="19" fillId="23" borderId="24" xfId="0" applyNumberFormat="1" applyFont="1" applyFill="1" applyBorder="1"/>
    <xf numFmtId="3" fontId="19" fillId="0" borderId="24" xfId="0" applyNumberFormat="1" applyFont="1" applyFill="1" applyBorder="1" applyAlignment="1"/>
    <xf numFmtId="10" fontId="19" fillId="0" borderId="24" xfId="0" applyNumberFormat="1" applyFont="1" applyFill="1" applyBorder="1" applyAlignment="1"/>
    <xf numFmtId="0" fontId="19" fillId="0" borderId="24" xfId="0" applyFont="1" applyFill="1" applyBorder="1"/>
    <xf numFmtId="0" fontId="23" fillId="0" borderId="25" xfId="2" applyFont="1" applyFill="1" applyBorder="1" applyAlignment="1"/>
    <xf numFmtId="10" fontId="20" fillId="19" borderId="25" xfId="0" applyNumberFormat="1" applyFont="1" applyFill="1" applyBorder="1"/>
    <xf numFmtId="3" fontId="20" fillId="19" borderId="25" xfId="0" applyNumberFormat="1" applyFont="1" applyFill="1" applyBorder="1"/>
    <xf numFmtId="3" fontId="20" fillId="0" borderId="25" xfId="0" applyNumberFormat="1" applyFont="1" applyFill="1" applyBorder="1"/>
    <xf numFmtId="9" fontId="19" fillId="0" borderId="25" xfId="0" applyNumberFormat="1" applyFont="1" applyFill="1" applyBorder="1"/>
    <xf numFmtId="164" fontId="20" fillId="0" borderId="25" xfId="0" applyNumberFormat="1" applyFont="1" applyFill="1" applyBorder="1"/>
    <xf numFmtId="164" fontId="19" fillId="0" borderId="25" xfId="0" applyNumberFormat="1" applyFont="1" applyFill="1" applyBorder="1"/>
    <xf numFmtId="3" fontId="26" fillId="14" borderId="0" xfId="1" applyNumberFormat="1" applyFont="1" applyFill="1" applyBorder="1" applyAlignment="1">
      <alignment horizontal="right"/>
    </xf>
    <xf numFmtId="3" fontId="20" fillId="9" borderId="25" xfId="0" applyNumberFormat="1" applyFont="1" applyFill="1" applyBorder="1"/>
    <xf numFmtId="9" fontId="19" fillId="0" borderId="0" xfId="3" applyFont="1" applyFill="1" applyBorder="1"/>
    <xf numFmtId="3" fontId="20" fillId="20" borderId="26" xfId="0" applyNumberFormat="1" applyFont="1" applyFill="1" applyBorder="1"/>
    <xf numFmtId="9" fontId="19" fillId="0" borderId="25" xfId="3" applyFont="1" applyFill="1" applyBorder="1"/>
    <xf numFmtId="3" fontId="20" fillId="21" borderId="25" xfId="0" applyNumberFormat="1" applyFont="1" applyFill="1" applyBorder="1"/>
    <xf numFmtId="3" fontId="20" fillId="2" borderId="25" xfId="0" applyNumberFormat="1" applyFont="1" applyFill="1" applyBorder="1"/>
    <xf numFmtId="3" fontId="20" fillId="22" borderId="25" xfId="0" applyNumberFormat="1" applyFont="1" applyFill="1" applyBorder="1"/>
    <xf numFmtId="10" fontId="20" fillId="0" borderId="25" xfId="0" applyNumberFormat="1" applyFont="1" applyFill="1" applyBorder="1"/>
    <xf numFmtId="10" fontId="20" fillId="0" borderId="25" xfId="0" applyNumberFormat="1" applyFont="1" applyBorder="1"/>
    <xf numFmtId="10" fontId="20" fillId="0" borderId="0" xfId="0" applyNumberFormat="1" applyFont="1"/>
    <xf numFmtId="3" fontId="20" fillId="23" borderId="25" xfId="0" applyNumberFormat="1" applyFont="1" applyFill="1" applyBorder="1"/>
    <xf numFmtId="3" fontId="20" fillId="0" borderId="25" xfId="0" applyNumberFormat="1" applyFont="1" applyFill="1" applyBorder="1" applyAlignment="1"/>
    <xf numFmtId="10" fontId="20" fillId="0" borderId="25" xfId="0" applyNumberFormat="1" applyFont="1" applyFill="1" applyBorder="1" applyAlignment="1"/>
    <xf numFmtId="0" fontId="23" fillId="0" borderId="23" xfId="2" applyFont="1" applyFill="1" applyBorder="1" applyAlignment="1"/>
    <xf numFmtId="0" fontId="23" fillId="18" borderId="23" xfId="2" applyFont="1" applyFill="1" applyBorder="1" applyAlignment="1"/>
    <xf numFmtId="0" fontId="19" fillId="19" borderId="23" xfId="0" applyFont="1" applyFill="1" applyBorder="1"/>
    <xf numFmtId="0" fontId="19" fillId="0" borderId="23" xfId="0" applyFont="1" applyFill="1" applyBorder="1"/>
    <xf numFmtId="164" fontId="19" fillId="0" borderId="23" xfId="0" applyNumberFormat="1" applyFont="1" applyFill="1" applyBorder="1"/>
    <xf numFmtId="0" fontId="19" fillId="9" borderId="23" xfId="0" applyFont="1" applyFill="1" applyBorder="1"/>
    <xf numFmtId="3" fontId="19" fillId="21" borderId="23" xfId="0" applyNumberFormat="1" applyFont="1" applyFill="1" applyBorder="1"/>
    <xf numFmtId="0" fontId="19" fillId="0" borderId="23" xfId="0" applyFont="1" applyBorder="1"/>
    <xf numFmtId="0" fontId="19" fillId="2" borderId="23" xfId="0" applyFont="1" applyFill="1" applyBorder="1"/>
    <xf numFmtId="0" fontId="19" fillId="22" borderId="23" xfId="0" applyFont="1" applyFill="1" applyBorder="1"/>
    <xf numFmtId="9" fontId="19" fillId="0" borderId="23" xfId="0" applyNumberFormat="1" applyFont="1" applyFill="1" applyBorder="1"/>
    <xf numFmtId="10" fontId="19" fillId="0" borderId="23" xfId="0" applyNumberFormat="1" applyFont="1" applyFill="1" applyBorder="1"/>
    <xf numFmtId="0" fontId="19" fillId="23" borderId="23" xfId="0" applyFont="1" applyFill="1" applyBorder="1"/>
    <xf numFmtId="0" fontId="19" fillId="0" borderId="23" xfId="0" applyFont="1" applyFill="1" applyBorder="1" applyAlignment="1"/>
    <xf numFmtId="0" fontId="19" fillId="0" borderId="25" xfId="0" applyFont="1" applyBorder="1"/>
    <xf numFmtId="10" fontId="20" fillId="19" borderId="0" xfId="0" applyNumberFormat="1" applyFont="1" applyFill="1" applyBorder="1"/>
    <xf numFmtId="3" fontId="20" fillId="19" borderId="0" xfId="0" applyNumberFormat="1" applyFont="1" applyFill="1" applyBorder="1"/>
    <xf numFmtId="3" fontId="20" fillId="0" borderId="0" xfId="0" applyNumberFormat="1" applyFont="1" applyFill="1" applyBorder="1"/>
    <xf numFmtId="164" fontId="19" fillId="0" borderId="0" xfId="0" applyNumberFormat="1" applyFont="1" applyFill="1" applyBorder="1"/>
    <xf numFmtId="3" fontId="20" fillId="9" borderId="0" xfId="0" applyNumberFormat="1" applyFont="1" applyFill="1" applyBorder="1"/>
    <xf numFmtId="3" fontId="20" fillId="2" borderId="0" xfId="0" applyNumberFormat="1" applyFont="1" applyFill="1" applyBorder="1"/>
    <xf numFmtId="3" fontId="20" fillId="22" borderId="0" xfId="0" applyNumberFormat="1" applyFont="1" applyFill="1" applyBorder="1"/>
    <xf numFmtId="3" fontId="20" fillId="23" borderId="0" xfId="0" applyNumberFormat="1" applyFont="1" applyFill="1"/>
    <xf numFmtId="3" fontId="20" fillId="0" borderId="0" xfId="0" applyNumberFormat="1" applyFont="1" applyFill="1"/>
    <xf numFmtId="10" fontId="20" fillId="0" borderId="0" xfId="0" applyNumberFormat="1" applyFont="1" applyFill="1"/>
    <xf numFmtId="0" fontId="19" fillId="19" borderId="0" xfId="0" applyFont="1" applyFill="1" applyBorder="1"/>
    <xf numFmtId="0" fontId="19" fillId="9" borderId="0" xfId="0" applyFont="1" applyFill="1" applyBorder="1"/>
    <xf numFmtId="3" fontId="19" fillId="20" borderId="26" xfId="0" applyNumberFormat="1" applyFont="1" applyFill="1" applyBorder="1"/>
    <xf numFmtId="3" fontId="19" fillId="21" borderId="0" xfId="0" applyNumberFormat="1" applyFont="1" applyFill="1" applyBorder="1"/>
    <xf numFmtId="0" fontId="19" fillId="2" borderId="0" xfId="0" applyFont="1" applyFill="1" applyBorder="1"/>
    <xf numFmtId="0" fontId="19" fillId="22" borderId="0" xfId="0" applyFont="1" applyFill="1" applyBorder="1"/>
    <xf numFmtId="9" fontId="19" fillId="0" borderId="0" xfId="0" applyNumberFormat="1" applyFont="1" applyFill="1" applyBorder="1"/>
    <xf numFmtId="10" fontId="19" fillId="0" borderId="0" xfId="0" applyNumberFormat="1" applyFont="1" applyFill="1" applyBorder="1"/>
    <xf numFmtId="0" fontId="19" fillId="23" borderId="0" xfId="0" applyFont="1" applyFill="1"/>
    <xf numFmtId="164" fontId="20" fillId="0" borderId="0" xfId="0" applyNumberFormat="1" applyFont="1" applyFill="1" applyBorder="1"/>
    <xf numFmtId="3" fontId="20" fillId="21" borderId="0" xfId="0" applyNumberFormat="1" applyFont="1" applyFill="1" applyBorder="1"/>
    <xf numFmtId="3" fontId="20" fillId="0" borderId="0" xfId="0" applyNumberFormat="1" applyFont="1" applyBorder="1"/>
    <xf numFmtId="10" fontId="20" fillId="0" borderId="0" xfId="0" applyNumberFormat="1" applyFont="1" applyFill="1" applyBorder="1"/>
    <xf numFmtId="0" fontId="18" fillId="0" borderId="0" xfId="0" applyFont="1" applyFill="1"/>
    <xf numFmtId="0" fontId="15" fillId="15" borderId="0" xfId="0" applyFont="1" applyFill="1" applyAlignment="1">
      <alignment wrapText="1"/>
    </xf>
    <xf numFmtId="0" fontId="11" fillId="0" borderId="0" xfId="0" applyFont="1" applyAlignment="1">
      <alignment horizontal="right" vertical="top"/>
    </xf>
    <xf numFmtId="9" fontId="11" fillId="0" borderId="0" xfId="0" applyNumberFormat="1" applyFont="1" applyFill="1" applyAlignment="1" applyProtection="1">
      <alignment horizontal="right" vertical="top"/>
      <protection locked="0"/>
    </xf>
    <xf numFmtId="0" fontId="11" fillId="0" borderId="0" xfId="0" applyFont="1" applyAlignment="1">
      <alignment horizontal="right" vertical="top" wrapText="1"/>
    </xf>
    <xf numFmtId="0" fontId="27" fillId="0" borderId="0" xfId="0" applyFont="1" applyFill="1" applyAlignment="1"/>
    <xf numFmtId="3" fontId="22" fillId="24" borderId="0" xfId="0" applyNumberFormat="1" applyFont="1" applyFill="1" applyAlignment="1">
      <alignment horizontal="left" wrapText="1"/>
    </xf>
    <xf numFmtId="3" fontId="22" fillId="24" borderId="0" xfId="0" applyNumberFormat="1" applyFont="1" applyFill="1" applyAlignment="1">
      <alignment horizontal="center" wrapText="1"/>
    </xf>
    <xf numFmtId="3" fontId="30" fillId="0" borderId="0" xfId="0" applyNumberFormat="1" applyFont="1" applyFill="1" applyAlignment="1">
      <alignment horizontal="left" vertical="top"/>
    </xf>
    <xf numFmtId="9" fontId="25" fillId="0" borderId="0" xfId="0" applyNumberFormat="1" applyFont="1" applyFill="1" applyBorder="1" applyAlignment="1">
      <alignment horizontal="center"/>
    </xf>
    <xf numFmtId="0" fontId="30" fillId="0" borderId="0" xfId="0" applyFont="1" applyFill="1"/>
    <xf numFmtId="0" fontId="30" fillId="0" borderId="0" xfId="0" applyFont="1" applyFill="1" applyBorder="1"/>
    <xf numFmtId="0" fontId="30" fillId="0" borderId="0" xfId="0" quotePrefix="1" applyFont="1" applyBorder="1"/>
    <xf numFmtId="0" fontId="30" fillId="0" borderId="0" xfId="0" quotePrefix="1" applyFont="1" applyFill="1"/>
    <xf numFmtId="9" fontId="31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25" fillId="0" borderId="0" xfId="0" applyFont="1" applyAlignment="1">
      <alignment horizontal="right" vertical="top" wrapText="1"/>
    </xf>
    <xf numFmtId="3" fontId="30" fillId="0" borderId="0" xfId="0" quotePrefix="1" applyNumberFormat="1" applyFont="1" applyFill="1" applyAlignment="1">
      <alignment horizontal="left" vertical="top"/>
    </xf>
    <xf numFmtId="9" fontId="30" fillId="0" borderId="0" xfId="0" quotePrefix="1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30" fillId="0" borderId="0" xfId="0" quotePrefix="1" applyFont="1" applyFill="1" applyAlignment="1">
      <alignment horizontal="center"/>
    </xf>
    <xf numFmtId="0" fontId="30" fillId="0" borderId="0" xfId="0" quotePrefix="1" applyFont="1"/>
    <xf numFmtId="0" fontId="30" fillId="0" borderId="0" xfId="0" applyFont="1" applyBorder="1"/>
    <xf numFmtId="0" fontId="32" fillId="0" borderId="0" xfId="0" applyFont="1"/>
    <xf numFmtId="0" fontId="33" fillId="0" borderId="0" xfId="0" applyFont="1" applyAlignment="1">
      <alignment horizontal="right"/>
    </xf>
    <xf numFmtId="0" fontId="9" fillId="0" borderId="28" xfId="0" applyFont="1" applyBorder="1"/>
    <xf numFmtId="0" fontId="15" fillId="0" borderId="0" xfId="0" applyFont="1"/>
    <xf numFmtId="168" fontId="9" fillId="0" borderId="0" xfId="0" applyNumberFormat="1" applyFont="1"/>
    <xf numFmtId="168" fontId="9" fillId="0" borderId="28" xfId="0" applyNumberFormat="1" applyFont="1" applyBorder="1"/>
    <xf numFmtId="168" fontId="11" fillId="0" borderId="0" xfId="0" applyNumberFormat="1" applyFont="1"/>
    <xf numFmtId="168" fontId="11" fillId="0" borderId="28" xfId="0" applyNumberFormat="1" applyFont="1" applyBorder="1"/>
    <xf numFmtId="0" fontId="11" fillId="25" borderId="0" xfId="0" applyFont="1" applyFill="1" applyBorder="1" applyAlignment="1">
      <alignment horizontal="center" vertical="center" wrapText="1"/>
    </xf>
    <xf numFmtId="15" fontId="34" fillId="0" borderId="0" xfId="0" applyNumberFormat="1" applyFont="1" applyAlignment="1">
      <alignment horizontal="center"/>
    </xf>
    <xf numFmtId="15" fontId="35" fillId="0" borderId="0" xfId="0" applyNumberFormat="1" applyFont="1" applyAlignment="1">
      <alignment horizontal="center" vertical="center" wrapText="1"/>
    </xf>
    <xf numFmtId="0" fontId="24" fillId="26" borderId="0" xfId="0" applyFont="1" applyFill="1"/>
    <xf numFmtId="168" fontId="22" fillId="26" borderId="0" xfId="0" applyNumberFormat="1" applyFont="1" applyFill="1"/>
    <xf numFmtId="168" fontId="24" fillId="26" borderId="0" xfId="0" applyNumberFormat="1" applyFont="1" applyFill="1"/>
    <xf numFmtId="0" fontId="11" fillId="25" borderId="29" xfId="0" applyFont="1" applyFill="1" applyBorder="1" applyAlignment="1">
      <alignment horizontal="center" vertical="center" wrapText="1"/>
    </xf>
    <xf numFmtId="0" fontId="9" fillId="0" borderId="30" xfId="0" applyFont="1" applyBorder="1"/>
    <xf numFmtId="168" fontId="9" fillId="0" borderId="30" xfId="0" applyNumberFormat="1" applyFont="1" applyBorder="1"/>
    <xf numFmtId="168" fontId="11" fillId="0" borderId="30" xfId="0" applyNumberFormat="1" applyFont="1" applyBorder="1"/>
    <xf numFmtId="9" fontId="9" fillId="27" borderId="5" xfId="0" applyNumberFormat="1" applyFont="1" applyFill="1" applyBorder="1"/>
    <xf numFmtId="10" fontId="23" fillId="18" borderId="23" xfId="2" applyNumberFormat="1" applyFont="1" applyFill="1" applyBorder="1" applyAlignment="1"/>
    <xf numFmtId="3" fontId="19" fillId="19" borderId="23" xfId="0" applyNumberFormat="1" applyFont="1" applyFill="1" applyBorder="1"/>
    <xf numFmtId="10" fontId="19" fillId="19" borderId="23" xfId="0" applyNumberFormat="1" applyFont="1" applyFill="1" applyBorder="1"/>
    <xf numFmtId="3" fontId="19" fillId="0" borderId="23" xfId="0" applyNumberFormat="1" applyFont="1" applyFill="1" applyBorder="1"/>
    <xf numFmtId="3" fontId="19" fillId="9" borderId="23" xfId="0" applyNumberFormat="1" applyFont="1" applyFill="1" applyBorder="1"/>
    <xf numFmtId="3" fontId="19" fillId="2" borderId="23" xfId="0" applyNumberFormat="1" applyFont="1" applyFill="1" applyBorder="1"/>
    <xf numFmtId="3" fontId="19" fillId="22" borderId="23" xfId="0" applyNumberFormat="1" applyFont="1" applyFill="1" applyBorder="1"/>
    <xf numFmtId="10" fontId="19" fillId="0" borderId="23" xfId="0" applyNumberFormat="1" applyFont="1" applyBorder="1"/>
    <xf numFmtId="3" fontId="19" fillId="23" borderId="23" xfId="0" applyNumberFormat="1" applyFont="1" applyFill="1" applyBorder="1"/>
    <xf numFmtId="3" fontId="19" fillId="0" borderId="23" xfId="0" applyNumberFormat="1" applyFont="1" applyFill="1" applyBorder="1" applyAlignment="1"/>
    <xf numFmtId="10" fontId="19" fillId="0" borderId="23" xfId="0" applyNumberFormat="1" applyFont="1" applyFill="1" applyBorder="1" applyAlignment="1"/>
    <xf numFmtId="0" fontId="23" fillId="0" borderId="0" xfId="2" applyFont="1" applyFill="1" applyBorder="1" applyAlignment="1"/>
    <xf numFmtId="0" fontId="23" fillId="18" borderId="0" xfId="2" applyFont="1" applyFill="1" applyBorder="1" applyAlignment="1"/>
    <xf numFmtId="10" fontId="19" fillId="0" borderId="0" xfId="0" applyNumberFormat="1" applyFont="1" applyBorder="1"/>
    <xf numFmtId="0" fontId="19" fillId="23" borderId="0" xfId="0" applyFont="1" applyFill="1" applyBorder="1"/>
    <xf numFmtId="0" fontId="19" fillId="0" borderId="0" xfId="0" applyFont="1" applyFill="1" applyBorder="1" applyAlignment="1"/>
    <xf numFmtId="0" fontId="32" fillId="0" borderId="0" xfId="0" applyFont="1" applyFill="1" applyAlignment="1">
      <alignment horizontal="center" vertical="center"/>
    </xf>
    <xf numFmtId="3" fontId="19" fillId="42" borderId="24" xfId="0" applyNumberFormat="1" applyFont="1" applyFill="1" applyBorder="1"/>
    <xf numFmtId="3" fontId="20" fillId="42" borderId="25" xfId="0" applyNumberFormat="1" applyFont="1" applyFill="1" applyBorder="1"/>
    <xf numFmtId="0" fontId="19" fillId="42" borderId="23" xfId="0" applyFont="1" applyFill="1" applyBorder="1"/>
    <xf numFmtId="0" fontId="19" fillId="42" borderId="0" xfId="0" applyFont="1" applyFill="1" applyBorder="1"/>
    <xf numFmtId="3" fontId="19" fillId="42" borderId="23" xfId="0" applyNumberFormat="1" applyFont="1" applyFill="1" applyBorder="1"/>
    <xf numFmtId="3" fontId="20" fillId="42" borderId="0" xfId="0" applyNumberFormat="1" applyFont="1" applyFill="1" applyBorder="1"/>
    <xf numFmtId="3" fontId="29" fillId="43" borderId="0" xfId="0" applyNumberFormat="1" applyFont="1" applyFill="1" applyAlignment="1">
      <alignment horizontal="right"/>
    </xf>
    <xf numFmtId="3" fontId="29" fillId="43" borderId="0" xfId="0" applyNumberFormat="1" applyFont="1" applyFill="1" applyAlignment="1">
      <alignment horizontal="left"/>
    </xf>
    <xf numFmtId="3" fontId="19" fillId="44" borderId="24" xfId="0" applyNumberFormat="1" applyFont="1" applyFill="1" applyBorder="1"/>
    <xf numFmtId="3" fontId="20" fillId="44" borderId="25" xfId="0" applyNumberFormat="1" applyFont="1" applyFill="1" applyBorder="1"/>
    <xf numFmtId="0" fontId="19" fillId="44" borderId="23" xfId="0" applyFont="1" applyFill="1" applyBorder="1"/>
    <xf numFmtId="0" fontId="19" fillId="44" borderId="0" xfId="0" applyFont="1" applyFill="1" applyBorder="1"/>
    <xf numFmtId="3" fontId="19" fillId="44" borderId="23" xfId="0" applyNumberFormat="1" applyFont="1" applyFill="1" applyBorder="1"/>
    <xf numFmtId="3" fontId="20" fillId="44" borderId="0" xfId="0" applyNumberFormat="1" applyFont="1" applyFill="1" applyBorder="1"/>
    <xf numFmtId="9" fontId="25" fillId="0" borderId="0" xfId="0" applyNumberFormat="1" applyFont="1" applyAlignment="1">
      <alignment vertical="top"/>
    </xf>
    <xf numFmtId="0" fontId="37" fillId="0" borderId="0" xfId="0" applyFont="1"/>
    <xf numFmtId="0" fontId="38" fillId="0" borderId="0" xfId="0" applyFont="1" applyFill="1"/>
    <xf numFmtId="165" fontId="38" fillId="0" borderId="0" xfId="0" applyNumberFormat="1" applyFont="1" applyBorder="1"/>
    <xf numFmtId="0" fontId="38" fillId="0" borderId="0" xfId="0" applyFont="1"/>
    <xf numFmtId="0" fontId="38" fillId="3" borderId="0" xfId="0" applyFont="1" applyFill="1" applyBorder="1" applyAlignment="1">
      <alignment vertical="center" wrapText="1"/>
    </xf>
    <xf numFmtId="0" fontId="38" fillId="0" borderId="0" xfId="0" applyFont="1" applyAlignment="1">
      <alignment horizontal="center"/>
    </xf>
    <xf numFmtId="0" fontId="40" fillId="4" borderId="1" xfId="2" applyFont="1" applyFill="1" applyBorder="1" applyAlignment="1">
      <alignment horizontal="center" wrapText="1"/>
    </xf>
    <xf numFmtId="0" fontId="38" fillId="3" borderId="2" xfId="0" applyFont="1" applyFill="1" applyBorder="1" applyAlignment="1">
      <alignment vertical="center" wrapText="1"/>
    </xf>
    <xf numFmtId="0" fontId="40" fillId="4" borderId="11" xfId="2" applyFont="1" applyFill="1" applyBorder="1" applyAlignment="1">
      <alignment horizontal="center" wrapText="1"/>
    </xf>
    <xf numFmtId="0" fontId="41" fillId="0" borderId="0" xfId="0" applyFont="1" applyFill="1" applyBorder="1" applyAlignment="1">
      <alignment horizontal="center"/>
    </xf>
    <xf numFmtId="0" fontId="42" fillId="0" borderId="0" xfId="2" applyFont="1" applyFill="1" applyBorder="1" applyAlignment="1">
      <alignment horizontal="center" wrapText="1"/>
    </xf>
    <xf numFmtId="0" fontId="41" fillId="3" borderId="0" xfId="0" applyFont="1" applyFill="1" applyBorder="1" applyAlignment="1">
      <alignment vertical="center" wrapText="1"/>
    </xf>
    <xf numFmtId="0" fontId="38" fillId="0" borderId="0" xfId="0" applyFont="1" applyFill="1" applyAlignment="1">
      <alignment horizontal="center"/>
    </xf>
    <xf numFmtId="0" fontId="41" fillId="0" borderId="3" xfId="0" applyFont="1" applyFill="1" applyBorder="1"/>
    <xf numFmtId="3" fontId="41" fillId="0" borderId="3" xfId="0" applyNumberFormat="1" applyFont="1" applyFill="1" applyBorder="1"/>
    <xf numFmtId="9" fontId="41" fillId="0" borderId="3" xfId="0" applyNumberFormat="1" applyFont="1" applyFill="1" applyBorder="1"/>
    <xf numFmtId="0" fontId="43" fillId="0" borderId="3" xfId="0" applyFont="1" applyFill="1" applyBorder="1" applyAlignment="1">
      <alignment horizontal="right" wrapText="1"/>
    </xf>
    <xf numFmtId="166" fontId="44" fillId="0" borderId="3" xfId="0" applyNumberFormat="1" applyFont="1" applyBorder="1"/>
    <xf numFmtId="165" fontId="44" fillId="0" borderId="3" xfId="0" applyNumberFormat="1" applyFont="1" applyBorder="1"/>
    <xf numFmtId="0" fontId="41" fillId="0" borderId="4" xfId="0" applyFont="1" applyFill="1" applyBorder="1"/>
    <xf numFmtId="3" fontId="41" fillId="0" borderId="4" xfId="0" applyNumberFormat="1" applyFont="1" applyFill="1" applyBorder="1"/>
    <xf numFmtId="9" fontId="41" fillId="0" borderId="4" xfId="0" applyNumberFormat="1" applyFont="1" applyFill="1" applyBorder="1"/>
    <xf numFmtId="0" fontId="43" fillId="0" borderId="4" xfId="0" applyFont="1" applyFill="1" applyBorder="1" applyAlignment="1">
      <alignment horizontal="right" wrapText="1"/>
    </xf>
    <xf numFmtId="166" fontId="44" fillId="0" borderId="4" xfId="0" applyNumberFormat="1" applyFont="1" applyBorder="1"/>
    <xf numFmtId="165" fontId="44" fillId="0" borderId="4" xfId="0" applyNumberFormat="1" applyFont="1" applyBorder="1"/>
    <xf numFmtId="0" fontId="41" fillId="0" borderId="0" xfId="0" applyFont="1" applyFill="1" applyBorder="1"/>
    <xf numFmtId="3" fontId="41" fillId="0" borderId="0" xfId="0" applyNumberFormat="1" applyFont="1" applyFill="1" applyBorder="1"/>
    <xf numFmtId="9" fontId="41" fillId="0" borderId="0" xfId="0" applyNumberFormat="1" applyFont="1" applyFill="1" applyBorder="1"/>
    <xf numFmtId="0" fontId="43" fillId="0" borderId="0" xfId="0" applyFont="1" applyFill="1" applyBorder="1" applyAlignment="1">
      <alignment horizontal="right" wrapText="1"/>
    </xf>
    <xf numFmtId="166" fontId="44" fillId="0" borderId="0" xfId="0" applyNumberFormat="1" applyFont="1" applyBorder="1"/>
    <xf numFmtId="0" fontId="45" fillId="0" borderId="9" xfId="0" applyFont="1" applyBorder="1"/>
    <xf numFmtId="0" fontId="41" fillId="0" borderId="9" xfId="0" applyFont="1" applyFill="1" applyBorder="1"/>
    <xf numFmtId="0" fontId="41" fillId="0" borderId="5" xfId="0" applyFont="1" applyBorder="1"/>
    <xf numFmtId="3" fontId="41" fillId="0" borderId="5" xfId="0" applyNumberFormat="1" applyFont="1" applyFill="1" applyBorder="1"/>
    <xf numFmtId="9" fontId="41" fillId="0" borderId="5" xfId="0" applyNumberFormat="1" applyFont="1" applyFill="1" applyBorder="1"/>
    <xf numFmtId="10" fontId="42" fillId="3" borderId="0" xfId="0" applyNumberFormat="1" applyFont="1" applyFill="1" applyBorder="1" applyAlignment="1">
      <alignment horizontal="right" wrapText="1"/>
    </xf>
    <xf numFmtId="3" fontId="46" fillId="0" borderId="5" xfId="1" applyNumberFormat="1" applyFont="1" applyFill="1" applyBorder="1" applyAlignment="1">
      <alignment horizontal="right"/>
    </xf>
    <xf numFmtId="9" fontId="41" fillId="2" borderId="5" xfId="0" applyNumberFormat="1" applyFont="1" applyFill="1" applyBorder="1"/>
    <xf numFmtId="2" fontId="46" fillId="3" borderId="0" xfId="0" applyNumberFormat="1" applyFont="1" applyFill="1" applyBorder="1" applyAlignment="1">
      <alignment horizontal="right" wrapText="1"/>
    </xf>
    <xf numFmtId="0" fontId="46" fillId="0" borderId="5" xfId="0" applyFont="1" applyFill="1" applyBorder="1" applyAlignment="1">
      <alignment wrapText="1"/>
    </xf>
    <xf numFmtId="0" fontId="41" fillId="0" borderId="0" xfId="0" applyFont="1"/>
    <xf numFmtId="3" fontId="41" fillId="0" borderId="0" xfId="0" applyNumberFormat="1" applyFont="1" applyFill="1"/>
    <xf numFmtId="0" fontId="41" fillId="0" borderId="0" xfId="0" applyFont="1" applyFill="1"/>
    <xf numFmtId="0" fontId="41" fillId="2" borderId="0" xfId="0" applyFont="1" applyFill="1"/>
    <xf numFmtId="0" fontId="45" fillId="0" borderId="0" xfId="0" applyFont="1"/>
    <xf numFmtId="0" fontId="46" fillId="0" borderId="5" xfId="2" applyFont="1" applyFill="1" applyBorder="1" applyAlignment="1"/>
    <xf numFmtId="167" fontId="46" fillId="3" borderId="0" xfId="0" applyNumberFormat="1" applyFont="1" applyFill="1" applyBorder="1" applyAlignment="1">
      <alignment horizontal="right" wrapText="1"/>
    </xf>
    <xf numFmtId="165" fontId="44" fillId="3" borderId="0" xfId="0" applyNumberFormat="1" applyFont="1" applyFill="1" applyBorder="1"/>
    <xf numFmtId="3" fontId="38" fillId="0" borderId="0" xfId="0" applyNumberFormat="1" applyFont="1" applyFill="1"/>
    <xf numFmtId="0" fontId="47" fillId="0" borderId="0" xfId="0" applyNumberFormat="1" applyFont="1" applyProtection="1"/>
    <xf numFmtId="0" fontId="47" fillId="0" borderId="0" xfId="0" applyFont="1" applyProtection="1"/>
    <xf numFmtId="0" fontId="47" fillId="0" borderId="0" xfId="0" applyFont="1" applyBorder="1" applyProtection="1"/>
    <xf numFmtId="0" fontId="47" fillId="0" borderId="0" xfId="0" applyFont="1" applyAlignment="1" applyProtection="1">
      <alignment horizontal="center"/>
    </xf>
    <xf numFmtId="0" fontId="44" fillId="0" borderId="0" xfId="0" applyFont="1" applyAlignment="1" applyProtection="1">
      <alignment horizontal="center"/>
    </xf>
    <xf numFmtId="0" fontId="47" fillId="0" borderId="0" xfId="0" applyFont="1" applyFill="1"/>
    <xf numFmtId="0" fontId="37" fillId="0" borderId="0" xfId="0" applyFont="1" applyBorder="1"/>
    <xf numFmtId="0" fontId="38" fillId="0" borderId="0" xfId="0" applyFont="1" applyBorder="1"/>
    <xf numFmtId="0" fontId="40" fillId="0" borderId="0" xfId="2" applyFont="1" applyFill="1" applyBorder="1" applyAlignment="1"/>
    <xf numFmtId="0" fontId="40" fillId="4" borderId="1" xfId="2" applyFont="1" applyFill="1" applyBorder="1" applyAlignment="1">
      <alignment horizontal="center"/>
    </xf>
    <xf numFmtId="0" fontId="39" fillId="8" borderId="1" xfId="2" applyFont="1" applyFill="1" applyBorder="1" applyAlignment="1">
      <alignment horizontal="center" wrapText="1"/>
    </xf>
    <xf numFmtId="0" fontId="40" fillId="0" borderId="0" xfId="2" applyFont="1" applyFill="1" applyBorder="1" applyAlignment="1">
      <alignment horizontal="center"/>
    </xf>
    <xf numFmtId="0" fontId="39" fillId="0" borderId="0" xfId="2" applyFont="1" applyFill="1" applyBorder="1" applyAlignment="1">
      <alignment horizontal="center" wrapText="1"/>
    </xf>
    <xf numFmtId="0" fontId="38" fillId="0" borderId="0" xfId="0" applyFont="1" applyFill="1" applyBorder="1"/>
    <xf numFmtId="166" fontId="44" fillId="0" borderId="0" xfId="0" applyNumberFormat="1" applyFont="1"/>
    <xf numFmtId="0" fontId="42" fillId="0" borderId="0" xfId="2" applyFont="1" applyFill="1" applyBorder="1" applyAlignment="1">
      <alignment horizontal="center"/>
    </xf>
    <xf numFmtId="0" fontId="45" fillId="0" borderId="0" xfId="2" applyFont="1" applyFill="1" applyBorder="1" applyAlignment="1">
      <alignment horizontal="center" wrapText="1"/>
    </xf>
    <xf numFmtId="165" fontId="46" fillId="6" borderId="0" xfId="0" applyNumberFormat="1" applyFont="1" applyFill="1" applyBorder="1" applyAlignment="1">
      <alignment horizontal="center" wrapText="1"/>
    </xf>
    <xf numFmtId="9" fontId="46" fillId="9" borderId="5" xfId="1" applyNumberFormat="1" applyFont="1" applyFill="1" applyBorder="1" applyAlignment="1">
      <alignment horizontal="right"/>
    </xf>
    <xf numFmtId="0" fontId="46" fillId="0" borderId="0" xfId="2" applyFont="1" applyFill="1" applyBorder="1" applyAlignment="1"/>
    <xf numFmtId="3" fontId="46" fillId="0" borderId="0" xfId="1" applyNumberFormat="1" applyFont="1" applyFill="1" applyBorder="1" applyAlignment="1">
      <alignment horizontal="right"/>
    </xf>
    <xf numFmtId="3" fontId="46" fillId="9" borderId="0" xfId="1" applyNumberFormat="1" applyFont="1" applyFill="1" applyBorder="1" applyAlignment="1">
      <alignment horizontal="right"/>
    </xf>
    <xf numFmtId="0" fontId="45" fillId="0" borderId="0" xfId="0" applyFont="1" applyBorder="1"/>
    <xf numFmtId="0" fontId="41" fillId="0" borderId="0" xfId="0" applyFont="1" applyBorder="1"/>
    <xf numFmtId="165" fontId="41" fillId="0" borderId="0" xfId="0" applyNumberFormat="1" applyFont="1" applyBorder="1"/>
    <xf numFmtId="0" fontId="48" fillId="0" borderId="0" xfId="0" applyFont="1" applyBorder="1"/>
    <xf numFmtId="165" fontId="38" fillId="0" borderId="0" xfId="0" applyNumberFormat="1" applyFont="1"/>
    <xf numFmtId="9" fontId="38" fillId="0" borderId="0" xfId="3" applyFont="1"/>
    <xf numFmtId="0" fontId="46" fillId="0" borderId="6" xfId="0" applyFont="1" applyFill="1" applyBorder="1" applyAlignment="1">
      <alignment horizontal="center"/>
    </xf>
    <xf numFmtId="0" fontId="46" fillId="4" borderId="12" xfId="0" applyFont="1" applyFill="1" applyBorder="1" applyAlignment="1">
      <alignment horizontal="center" wrapText="1"/>
    </xf>
    <xf numFmtId="165" fontId="42" fillId="4" borderId="13" xfId="0" applyNumberFormat="1" applyFont="1" applyFill="1" applyBorder="1" applyAlignment="1">
      <alignment horizontal="center" wrapText="1"/>
    </xf>
    <xf numFmtId="165" fontId="46" fillId="6" borderId="8" xfId="0" applyNumberFormat="1" applyFont="1" applyFill="1" applyBorder="1" applyAlignment="1">
      <alignment horizontal="center" wrapText="1"/>
    </xf>
    <xf numFmtId="0" fontId="46" fillId="4" borderId="7" xfId="0" applyFont="1" applyFill="1" applyBorder="1" applyAlignment="1">
      <alignment horizontal="center" wrapText="1"/>
    </xf>
    <xf numFmtId="0" fontId="42" fillId="4" borderId="7" xfId="0" applyFont="1" applyFill="1" applyBorder="1" applyAlignment="1">
      <alignment horizontal="center" wrapText="1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wrapText="1"/>
    </xf>
    <xf numFmtId="165" fontId="42" fillId="7" borderId="0" xfId="0" applyNumberFormat="1" applyFont="1" applyFill="1" applyBorder="1" applyAlignment="1">
      <alignment horizontal="center" wrapText="1"/>
    </xf>
    <xf numFmtId="10" fontId="42" fillId="10" borderId="0" xfId="0" applyNumberFormat="1" applyFont="1" applyFill="1" applyBorder="1" applyAlignment="1">
      <alignment horizontal="right" wrapText="1"/>
    </xf>
    <xf numFmtId="10" fontId="42" fillId="0" borderId="0" xfId="0" applyNumberFormat="1" applyFont="1" applyFill="1" applyBorder="1" applyAlignment="1">
      <alignment horizontal="right" wrapText="1"/>
    </xf>
    <xf numFmtId="165" fontId="44" fillId="0" borderId="3" xfId="0" applyNumberFormat="1" applyFont="1" applyFill="1" applyBorder="1"/>
    <xf numFmtId="164" fontId="44" fillId="0" borderId="3" xfId="3" applyNumberFormat="1" applyFont="1" applyFill="1" applyBorder="1"/>
    <xf numFmtId="165" fontId="44" fillId="0" borderId="4" xfId="0" applyNumberFormat="1" applyFont="1" applyFill="1" applyBorder="1"/>
    <xf numFmtId="164" fontId="44" fillId="0" borderId="4" xfId="3" applyNumberFormat="1" applyFont="1" applyFill="1" applyBorder="1"/>
    <xf numFmtId="165" fontId="44" fillId="0" borderId="0" xfId="0" applyNumberFormat="1" applyFont="1" applyFill="1" applyBorder="1"/>
    <xf numFmtId="164" fontId="44" fillId="0" borderId="0" xfId="3" applyNumberFormat="1" applyFont="1" applyFill="1" applyBorder="1"/>
    <xf numFmtId="0" fontId="41" fillId="0" borderId="9" xfId="0" applyFont="1" applyBorder="1"/>
    <xf numFmtId="165" fontId="38" fillId="0" borderId="9" xfId="0" applyNumberFormat="1" applyFont="1" applyBorder="1"/>
    <xf numFmtId="0" fontId="38" fillId="0" borderId="9" xfId="0" applyFont="1" applyBorder="1"/>
    <xf numFmtId="9" fontId="38" fillId="0" borderId="9" xfId="3" applyFont="1" applyBorder="1"/>
    <xf numFmtId="0" fontId="46" fillId="0" borderId="9" xfId="0" applyFont="1" applyFill="1" applyBorder="1" applyAlignment="1">
      <alignment horizontal="right" wrapText="1"/>
    </xf>
    <xf numFmtId="165" fontId="46" fillId="0" borderId="5" xfId="0" applyNumberFormat="1" applyFont="1" applyFill="1" applyBorder="1" applyAlignment="1">
      <alignment horizontal="right" wrapText="1"/>
    </xf>
    <xf numFmtId="9" fontId="46" fillId="11" borderId="5" xfId="0" applyNumberFormat="1" applyFont="1" applyFill="1" applyBorder="1" applyAlignment="1">
      <alignment horizontal="right" wrapText="1"/>
    </xf>
    <xf numFmtId="3" fontId="46" fillId="0" borderId="5" xfId="0" applyNumberFormat="1" applyFont="1" applyFill="1" applyBorder="1" applyAlignment="1">
      <alignment horizontal="right" wrapText="1"/>
    </xf>
    <xf numFmtId="164" fontId="46" fillId="0" borderId="5" xfId="0" applyNumberFormat="1" applyFont="1" applyFill="1" applyBorder="1" applyAlignment="1">
      <alignment horizontal="right" wrapText="1"/>
    </xf>
    <xf numFmtId="9" fontId="46" fillId="12" borderId="5" xfId="0" applyNumberFormat="1" applyFont="1" applyFill="1" applyBorder="1" applyAlignment="1">
      <alignment horizontal="right" wrapText="1"/>
    </xf>
    <xf numFmtId="9" fontId="46" fillId="0" borderId="5" xfId="0" applyNumberFormat="1" applyFont="1" applyFill="1" applyBorder="1" applyAlignment="1">
      <alignment horizontal="right" wrapText="1"/>
    </xf>
    <xf numFmtId="9" fontId="46" fillId="13" borderId="5" xfId="0" applyNumberFormat="1" applyFont="1" applyFill="1" applyBorder="1" applyAlignment="1">
      <alignment horizontal="right" wrapText="1"/>
    </xf>
    <xf numFmtId="0" fontId="46" fillId="0" borderId="0" xfId="0" applyFont="1" applyFill="1" applyBorder="1" applyAlignment="1">
      <alignment wrapText="1"/>
    </xf>
    <xf numFmtId="165" fontId="46" fillId="0" borderId="0" xfId="0" applyNumberFormat="1" applyFont="1" applyFill="1" applyBorder="1" applyAlignment="1">
      <alignment horizontal="right" wrapText="1"/>
    </xf>
    <xf numFmtId="1" fontId="46" fillId="11" borderId="0" xfId="0" applyNumberFormat="1" applyFont="1" applyFill="1" applyBorder="1" applyAlignment="1">
      <alignment horizontal="right" wrapText="1"/>
    </xf>
    <xf numFmtId="3" fontId="46" fillId="0" borderId="0" xfId="0" applyNumberFormat="1" applyFont="1" applyFill="1" applyBorder="1" applyAlignment="1">
      <alignment horizontal="right" wrapText="1"/>
    </xf>
    <xf numFmtId="164" fontId="46" fillId="0" borderId="0" xfId="0" applyNumberFormat="1" applyFont="1" applyFill="1" applyBorder="1" applyAlignment="1">
      <alignment horizontal="right" wrapText="1"/>
    </xf>
    <xf numFmtId="1" fontId="46" fillId="12" borderId="0" xfId="0" applyNumberFormat="1" applyFont="1" applyFill="1" applyBorder="1" applyAlignment="1">
      <alignment horizontal="right" wrapText="1"/>
    </xf>
    <xf numFmtId="1" fontId="46" fillId="0" borderId="0" xfId="0" applyNumberFormat="1" applyFont="1" applyFill="1" applyBorder="1" applyAlignment="1">
      <alignment horizontal="right" wrapText="1"/>
    </xf>
    <xf numFmtId="1" fontId="46" fillId="13" borderId="0" xfId="0" applyNumberFormat="1" applyFont="1" applyFill="1" applyBorder="1" applyAlignment="1">
      <alignment horizontal="right" wrapText="1"/>
    </xf>
    <xf numFmtId="0" fontId="46" fillId="0" borderId="10" xfId="0" applyFont="1" applyFill="1" applyBorder="1" applyAlignment="1">
      <alignment wrapText="1"/>
    </xf>
    <xf numFmtId="165" fontId="46" fillId="0" borderId="10" xfId="0" applyNumberFormat="1" applyFont="1" applyFill="1" applyBorder="1" applyAlignment="1">
      <alignment horizontal="right" wrapText="1"/>
    </xf>
    <xf numFmtId="1" fontId="46" fillId="11" borderId="10" xfId="0" applyNumberFormat="1" applyFont="1" applyFill="1" applyBorder="1" applyAlignment="1">
      <alignment horizontal="right" wrapText="1"/>
    </xf>
    <xf numFmtId="3" fontId="46" fillId="0" borderId="10" xfId="0" applyNumberFormat="1" applyFont="1" applyFill="1" applyBorder="1" applyAlignment="1">
      <alignment horizontal="right" wrapText="1"/>
    </xf>
    <xf numFmtId="164" fontId="46" fillId="0" borderId="10" xfId="0" applyNumberFormat="1" applyFont="1" applyFill="1" applyBorder="1" applyAlignment="1">
      <alignment horizontal="right" wrapText="1"/>
    </xf>
    <xf numFmtId="1" fontId="46" fillId="12" borderId="10" xfId="0" applyNumberFormat="1" applyFont="1" applyFill="1" applyBorder="1" applyAlignment="1">
      <alignment horizontal="right" wrapText="1"/>
    </xf>
    <xf numFmtId="1" fontId="46" fillId="0" borderId="10" xfId="0" applyNumberFormat="1" applyFont="1" applyFill="1" applyBorder="1" applyAlignment="1">
      <alignment horizontal="right" wrapText="1"/>
    </xf>
    <xf numFmtId="1" fontId="46" fillId="13" borderId="10" xfId="0" applyNumberFormat="1" applyFont="1" applyFill="1" applyBorder="1" applyAlignment="1">
      <alignment horizontal="right" wrapText="1"/>
    </xf>
    <xf numFmtId="0" fontId="41" fillId="0" borderId="10" xfId="0" applyFont="1" applyBorder="1"/>
    <xf numFmtId="165" fontId="46" fillId="0" borderId="9" xfId="0" applyNumberFormat="1" applyFont="1" applyFill="1" applyBorder="1" applyAlignment="1">
      <alignment horizontal="right" wrapText="1"/>
    </xf>
    <xf numFmtId="1" fontId="46" fillId="11" borderId="9" xfId="0" applyNumberFormat="1" applyFont="1" applyFill="1" applyBorder="1" applyAlignment="1">
      <alignment horizontal="right" wrapText="1"/>
    </xf>
    <xf numFmtId="3" fontId="46" fillId="0" borderId="9" xfId="0" applyNumberFormat="1" applyFont="1" applyFill="1" applyBorder="1" applyAlignment="1">
      <alignment horizontal="right" wrapText="1"/>
    </xf>
    <xf numFmtId="164" fontId="46" fillId="0" borderId="9" xfId="0" applyNumberFormat="1" applyFont="1" applyFill="1" applyBorder="1" applyAlignment="1">
      <alignment horizontal="right" wrapText="1"/>
    </xf>
    <xf numFmtId="1" fontId="46" fillId="12" borderId="9" xfId="0" applyNumberFormat="1" applyFont="1" applyFill="1" applyBorder="1" applyAlignment="1">
      <alignment horizontal="right" wrapText="1"/>
    </xf>
    <xf numFmtId="1" fontId="46" fillId="0" borderId="9" xfId="0" applyNumberFormat="1" applyFont="1" applyFill="1" applyBorder="1" applyAlignment="1">
      <alignment horizontal="right" wrapText="1"/>
    </xf>
    <xf numFmtId="1" fontId="46" fillId="13" borderId="9" xfId="0" applyNumberFormat="1" applyFont="1" applyFill="1" applyBorder="1" applyAlignment="1">
      <alignment horizontal="right" wrapText="1"/>
    </xf>
    <xf numFmtId="165" fontId="41" fillId="0" borderId="5" xfId="0" applyNumberFormat="1" applyFont="1" applyBorder="1" applyAlignment="1">
      <alignment horizontal="right"/>
    </xf>
    <xf numFmtId="1" fontId="46" fillId="11" borderId="5" xfId="0" applyNumberFormat="1" applyFont="1" applyFill="1" applyBorder="1" applyAlignment="1">
      <alignment horizontal="right" wrapText="1"/>
    </xf>
    <xf numFmtId="1" fontId="46" fillId="0" borderId="5" xfId="0" applyNumberFormat="1" applyFont="1" applyFill="1" applyBorder="1" applyAlignment="1">
      <alignment horizontal="right" wrapText="1"/>
    </xf>
    <xf numFmtId="1" fontId="46" fillId="13" borderId="5" xfId="0" applyNumberFormat="1" applyFont="1" applyFill="1" applyBorder="1" applyAlignment="1">
      <alignment horizontal="right" wrapText="1"/>
    </xf>
    <xf numFmtId="0" fontId="41" fillId="0" borderId="10" xfId="0" applyFont="1" applyFill="1" applyBorder="1"/>
    <xf numFmtId="165" fontId="41" fillId="0" borderId="10" xfId="0" applyNumberFormat="1" applyFont="1" applyFill="1" applyBorder="1"/>
    <xf numFmtId="165" fontId="41" fillId="0" borderId="0" xfId="0" applyNumberFormat="1" applyFont="1" applyFill="1" applyBorder="1"/>
    <xf numFmtId="9" fontId="41" fillId="0" borderId="10" xfId="3" applyFont="1" applyFill="1" applyBorder="1"/>
    <xf numFmtId="9" fontId="41" fillId="0" borderId="0" xfId="3" applyFont="1" applyFill="1" applyBorder="1"/>
    <xf numFmtId="165" fontId="41" fillId="0" borderId="0" xfId="0" applyNumberFormat="1" applyFont="1"/>
    <xf numFmtId="9" fontId="41" fillId="0" borderId="0" xfId="3" applyFont="1"/>
    <xf numFmtId="0" fontId="41" fillId="0" borderId="0" xfId="0" applyFont="1" applyBorder="1" applyProtection="1"/>
    <xf numFmtId="0" fontId="41" fillId="0" borderId="0" xfId="0" applyFont="1" applyAlignment="1" applyProtection="1">
      <alignment horizontal="center"/>
    </xf>
    <xf numFmtId="0" fontId="45" fillId="0" borderId="0" xfId="0" applyFont="1" applyAlignment="1" applyProtection="1">
      <alignment horizontal="center"/>
    </xf>
    <xf numFmtId="0" fontId="41" fillId="0" borderId="0" xfId="0" applyFont="1" applyProtection="1"/>
    <xf numFmtId="0" fontId="49" fillId="0" borderId="0" xfId="0" applyFont="1" applyFill="1" applyBorder="1" applyProtection="1"/>
    <xf numFmtId="0" fontId="49" fillId="0" borderId="0" xfId="0" applyFont="1" applyFill="1" applyBorder="1" applyAlignment="1" applyProtection="1"/>
    <xf numFmtId="0" fontId="49" fillId="0" borderId="0" xfId="0" applyFont="1" applyFill="1" applyAlignment="1" applyProtection="1"/>
    <xf numFmtId="0" fontId="45" fillId="3" borderId="0" xfId="0" applyFont="1" applyFill="1" applyAlignment="1" applyProtection="1">
      <alignment horizontal="right"/>
    </xf>
    <xf numFmtId="9" fontId="45" fillId="5" borderId="0" xfId="0" applyNumberFormat="1" applyFont="1" applyFill="1" applyBorder="1" applyProtection="1"/>
    <xf numFmtId="0" fontId="41" fillId="0" borderId="0" xfId="0" applyFont="1" applyFill="1" applyProtection="1"/>
    <xf numFmtId="0" fontId="45" fillId="0" borderId="0" xfId="0" applyFont="1" applyBorder="1" applyProtection="1"/>
    <xf numFmtId="0" fontId="41" fillId="3" borderId="0" xfId="0" applyFont="1" applyFill="1" applyAlignment="1" applyProtection="1">
      <alignment horizontal="center"/>
    </xf>
    <xf numFmtId="9" fontId="41" fillId="5" borderId="0" xfId="0" applyNumberFormat="1" applyFont="1" applyFill="1" applyBorder="1" applyAlignment="1" applyProtection="1">
      <alignment horizontal="center"/>
    </xf>
    <xf numFmtId="0" fontId="42" fillId="4" borderId="0" xfId="2" applyFont="1" applyFill="1" applyBorder="1" applyAlignment="1" applyProtection="1"/>
    <xf numFmtId="0" fontId="42" fillId="4" borderId="0" xfId="2" applyFont="1" applyFill="1" applyBorder="1" applyAlignment="1" applyProtection="1">
      <alignment horizontal="center" wrapText="1"/>
    </xf>
    <xf numFmtId="0" fontId="42" fillId="4" borderId="0" xfId="2" applyFont="1" applyFill="1" applyBorder="1" applyAlignment="1">
      <alignment horizontal="center" wrapText="1"/>
    </xf>
    <xf numFmtId="0" fontId="45" fillId="3" borderId="0" xfId="0" applyFont="1" applyFill="1" applyBorder="1" applyAlignment="1" applyProtection="1">
      <alignment horizontal="center"/>
    </xf>
    <xf numFmtId="9" fontId="45" fillId="10" borderId="0" xfId="0" applyNumberFormat="1" applyFont="1" applyFill="1" applyBorder="1" applyProtection="1">
      <protection locked="0"/>
    </xf>
    <xf numFmtId="0" fontId="46" fillId="0" borderId="5" xfId="2" applyFont="1" applyFill="1" applyBorder="1" applyAlignment="1" applyProtection="1"/>
    <xf numFmtId="3" fontId="41" fillId="0" borderId="5" xfId="0" applyNumberFormat="1" applyFont="1" applyBorder="1" applyAlignment="1" applyProtection="1">
      <alignment horizontal="right"/>
    </xf>
    <xf numFmtId="9" fontId="41" fillId="0" borderId="9" xfId="3" applyFont="1" applyBorder="1" applyAlignment="1" applyProtection="1">
      <alignment horizontal="right"/>
    </xf>
    <xf numFmtId="0" fontId="45" fillId="3" borderId="5" xfId="0" applyFont="1" applyFill="1" applyBorder="1" applyAlignment="1" applyProtection="1">
      <alignment horizontal="center"/>
    </xf>
    <xf numFmtId="9" fontId="41" fillId="0" borderId="5" xfId="3" applyFont="1" applyBorder="1" applyAlignment="1" applyProtection="1">
      <alignment horizontal="right"/>
    </xf>
    <xf numFmtId="0" fontId="46" fillId="0" borderId="0" xfId="2" applyFont="1" applyFill="1" applyBorder="1" applyAlignment="1" applyProtection="1"/>
    <xf numFmtId="3" fontId="41" fillId="0" borderId="0" xfId="0" applyNumberFormat="1" applyFont="1" applyBorder="1" applyAlignment="1" applyProtection="1">
      <alignment horizontal="right"/>
    </xf>
    <xf numFmtId="0" fontId="41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36" fillId="0" borderId="4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169" fontId="9" fillId="0" borderId="0" xfId="0" applyNumberFormat="1" applyFont="1" applyBorder="1" applyAlignment="1">
      <alignment vertical="center"/>
    </xf>
    <xf numFmtId="169" fontId="17" fillId="0" borderId="0" xfId="1" applyNumberFormat="1" applyFont="1" applyFill="1" applyBorder="1" applyAlignment="1">
      <alignment horizontal="right" vertical="center"/>
    </xf>
    <xf numFmtId="169" fontId="11" fillId="0" borderId="0" xfId="0" applyNumberFormat="1" applyFont="1" applyBorder="1" applyAlignment="1">
      <alignment vertical="center"/>
    </xf>
    <xf numFmtId="169" fontId="9" fillId="0" borderId="0" xfId="0" applyNumberFormat="1" applyFont="1" applyFill="1" applyBorder="1" applyAlignment="1">
      <alignment vertical="center"/>
    </xf>
    <xf numFmtId="0" fontId="50" fillId="0" borderId="0" xfId="0" applyFont="1" applyAlignment="1">
      <alignment horizontal="right"/>
    </xf>
    <xf numFmtId="0" fontId="27" fillId="0" borderId="0" xfId="0" applyFont="1"/>
    <xf numFmtId="15" fontId="9" fillId="0" borderId="0" xfId="0" applyNumberFormat="1" applyFont="1" applyAlignment="1"/>
    <xf numFmtId="15" fontId="9" fillId="0" borderId="0" xfId="0" quotePrefix="1" applyNumberFormat="1" applyFont="1" applyAlignment="1"/>
    <xf numFmtId="0" fontId="11" fillId="14" borderId="0" xfId="0" applyFont="1" applyFill="1" applyBorder="1" applyAlignment="1">
      <alignment horizontal="center" vertical="center" wrapText="1"/>
    </xf>
    <xf numFmtId="0" fontId="11" fillId="14" borderId="28" xfId="0" applyFont="1" applyFill="1" applyBorder="1" applyAlignment="1">
      <alignment horizontal="center" vertical="center" wrapText="1"/>
    </xf>
    <xf numFmtId="0" fontId="9" fillId="0" borderId="0" xfId="0" applyFont="1" applyBorder="1"/>
    <xf numFmtId="170" fontId="9" fillId="45" borderId="0" xfId="0" applyNumberFormat="1" applyFont="1" applyFill="1"/>
    <xf numFmtId="169" fontId="9" fillId="45" borderId="28" xfId="0" applyNumberFormat="1" applyFont="1" applyFill="1" applyBorder="1"/>
    <xf numFmtId="170" fontId="11" fillId="45" borderId="0" xfId="0" applyNumberFormat="1" applyFont="1" applyFill="1"/>
    <xf numFmtId="169" fontId="11" fillId="45" borderId="28" xfId="0" applyNumberFormat="1" applyFont="1" applyFill="1" applyBorder="1"/>
    <xf numFmtId="0" fontId="51" fillId="0" borderId="0" xfId="0" applyFont="1" applyAlignment="1">
      <alignment horizontal="right"/>
    </xf>
    <xf numFmtId="170" fontId="9" fillId="19" borderId="0" xfId="0" applyNumberFormat="1" applyFont="1" applyFill="1"/>
    <xf numFmtId="169" fontId="9" fillId="19" borderId="28" xfId="0" applyNumberFormat="1" applyFont="1" applyFill="1" applyBorder="1"/>
    <xf numFmtId="170" fontId="11" fillId="19" borderId="0" xfId="0" applyNumberFormat="1" applyFont="1" applyFill="1"/>
    <xf numFmtId="169" fontId="11" fillId="19" borderId="28" xfId="0" applyNumberFormat="1" applyFont="1" applyFill="1" applyBorder="1"/>
    <xf numFmtId="9" fontId="52" fillId="0" borderId="0" xfId="0" applyNumberFormat="1" applyFont="1" applyFill="1" applyBorder="1"/>
    <xf numFmtId="0" fontId="3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9" fillId="30" borderId="33" xfId="0" applyFont="1" applyFill="1" applyBorder="1" applyAlignment="1">
      <alignment horizontal="center"/>
    </xf>
    <xf numFmtId="0" fontId="39" fillId="30" borderId="34" xfId="0" applyFont="1" applyFill="1" applyBorder="1" applyAlignment="1">
      <alignment horizontal="center"/>
    </xf>
    <xf numFmtId="0" fontId="39" fillId="30" borderId="35" xfId="0" applyFont="1" applyFill="1" applyBorder="1" applyAlignment="1">
      <alignment horizontal="center"/>
    </xf>
    <xf numFmtId="0" fontId="39" fillId="41" borderId="33" xfId="0" applyFont="1" applyFill="1" applyBorder="1" applyAlignment="1">
      <alignment horizontal="center" wrapText="1"/>
    </xf>
    <xf numFmtId="0" fontId="38" fillId="0" borderId="34" xfId="0" applyFont="1" applyBorder="1" applyAlignment="1">
      <alignment wrapText="1"/>
    </xf>
    <xf numFmtId="0" fontId="39" fillId="40" borderId="36" xfId="0" applyFont="1" applyFill="1" applyBorder="1" applyAlignment="1">
      <alignment horizontal="center" vertical="center" wrapText="1"/>
    </xf>
    <xf numFmtId="0" fontId="38" fillId="0" borderId="37" xfId="0" applyFont="1" applyBorder="1" applyAlignment="1">
      <alignment vertical="center" wrapText="1"/>
    </xf>
    <xf numFmtId="0" fontId="39" fillId="22" borderId="36" xfId="0" applyFont="1" applyFill="1" applyBorder="1" applyAlignment="1">
      <alignment horizontal="center" vertical="center" wrapText="1"/>
    </xf>
    <xf numFmtId="9" fontId="39" fillId="28" borderId="36" xfId="3" applyFont="1" applyFill="1" applyBorder="1" applyAlignment="1">
      <alignment horizontal="center" vertical="center" wrapText="1"/>
    </xf>
    <xf numFmtId="9" fontId="39" fillId="28" borderId="38" xfId="3" applyFont="1" applyFill="1" applyBorder="1" applyAlignment="1">
      <alignment horizontal="center" vertical="center" wrapText="1"/>
    </xf>
    <xf numFmtId="0" fontId="45" fillId="41" borderId="0" xfId="0" applyFont="1" applyFill="1" applyAlignment="1" applyProtection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5" fillId="19" borderId="0" xfId="0" applyFont="1" applyFill="1" applyAlignment="1" applyProtection="1">
      <alignment horizontal="center" vertical="center" wrapText="1"/>
    </xf>
    <xf numFmtId="0" fontId="45" fillId="28" borderId="0" xfId="0" applyFont="1" applyFill="1" applyAlignment="1" applyProtection="1">
      <alignment horizontal="center" vertical="center" wrapText="1"/>
    </xf>
    <xf numFmtId="0" fontId="38" fillId="0" borderId="0" xfId="0" applyFont="1" applyAlignment="1">
      <alignment horizontal="center" wrapText="1"/>
    </xf>
    <xf numFmtId="0" fontId="32" fillId="0" borderId="0" xfId="0" applyFont="1" applyFill="1" applyAlignment="1">
      <alignment horizontal="center" vertical="center"/>
    </xf>
    <xf numFmtId="3" fontId="20" fillId="15" borderId="0" xfId="0" applyNumberFormat="1" applyFont="1" applyFill="1" applyAlignment="1">
      <alignment horizontal="center" wrapText="1"/>
    </xf>
    <xf numFmtId="0" fontId="8" fillId="31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wrapText="1"/>
    </xf>
    <xf numFmtId="0" fontId="19" fillId="0" borderId="23" xfId="0" applyFont="1" applyBorder="1" applyAlignment="1">
      <alignment horizontal="center" wrapText="1"/>
    </xf>
    <xf numFmtId="0" fontId="8" fillId="32" borderId="0" xfId="0" applyFont="1" applyFill="1" applyBorder="1" applyAlignment="1">
      <alignment horizontal="center" vertical="center" wrapText="1"/>
    </xf>
    <xf numFmtId="9" fontId="8" fillId="38" borderId="0" xfId="0" applyNumberFormat="1" applyFont="1" applyFill="1" applyBorder="1" applyAlignment="1">
      <alignment horizontal="center" vertical="center" wrapText="1"/>
    </xf>
    <xf numFmtId="0" fontId="7" fillId="38" borderId="0" xfId="0" applyFont="1" applyFill="1" applyAlignment="1">
      <alignment wrapText="1"/>
    </xf>
    <xf numFmtId="9" fontId="20" fillId="0" borderId="4" xfId="0" applyNumberFormat="1" applyFont="1" applyBorder="1" applyAlignment="1">
      <alignment horizontal="center" vertical="top"/>
    </xf>
    <xf numFmtId="0" fontId="9" fillId="0" borderId="0" xfId="0" applyFont="1" applyAlignment="1">
      <alignment wrapText="1"/>
    </xf>
    <xf numFmtId="3" fontId="25" fillId="36" borderId="0" xfId="0" applyNumberFormat="1" applyFont="1" applyFill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8" fillId="34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3" fontId="25" fillId="36" borderId="31" xfId="0" applyNumberFormat="1" applyFont="1" applyFill="1" applyBorder="1" applyAlignment="1">
      <alignment horizontal="center" wrapText="1"/>
    </xf>
    <xf numFmtId="0" fontId="24" fillId="36" borderId="32" xfId="0" applyFont="1" applyFill="1" applyBorder="1" applyAlignment="1">
      <alignment horizontal="center" wrapText="1"/>
    </xf>
    <xf numFmtId="0" fontId="20" fillId="15" borderId="0" xfId="0" applyFont="1" applyFill="1" applyAlignment="1">
      <alignment horizontal="center" wrapText="1"/>
    </xf>
    <xf numFmtId="0" fontId="8" fillId="37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/>
    <xf numFmtId="0" fontId="19" fillId="0" borderId="23" xfId="0" applyFont="1" applyFill="1" applyBorder="1" applyAlignment="1">
      <alignment horizontal="center" wrapText="1"/>
    </xf>
    <xf numFmtId="3" fontId="20" fillId="15" borderId="23" xfId="0" applyNumberFormat="1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vertical="center" wrapText="1"/>
    </xf>
    <xf numFmtId="0" fontId="8" fillId="33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6" fillId="0" borderId="0" xfId="0" applyFont="1"/>
    <xf numFmtId="0" fontId="1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5" fillId="40" borderId="0" xfId="0" applyFont="1" applyFill="1" applyBorder="1" applyAlignment="1">
      <alignment horizontal="center" vertical="center" wrapText="1"/>
    </xf>
    <xf numFmtId="0" fontId="16" fillId="40" borderId="0" xfId="0" applyFont="1" applyFill="1" applyBorder="1" applyAlignment="1">
      <alignment horizontal="center" vertical="center" wrapText="1"/>
    </xf>
    <xf numFmtId="0" fontId="15" fillId="19" borderId="0" xfId="0" applyFont="1" applyFill="1" applyBorder="1" applyAlignment="1">
      <alignment horizontal="center" vertical="center" wrapText="1"/>
    </xf>
    <xf numFmtId="0" fontId="16" fillId="19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10" fillId="25" borderId="4" xfId="0" applyFont="1" applyFill="1" applyBorder="1" applyAlignment="1">
      <alignment horizontal="center"/>
    </xf>
    <xf numFmtId="0" fontId="11" fillId="29" borderId="28" xfId="0" applyFont="1" applyFill="1" applyBorder="1" applyAlignment="1">
      <alignment horizontal="center" vertical="center" wrapText="1"/>
    </xf>
    <xf numFmtId="0" fontId="11" fillId="30" borderId="28" xfId="0" applyFont="1" applyFill="1" applyBorder="1" applyAlignment="1">
      <alignment horizontal="center" vertical="center" wrapText="1"/>
    </xf>
    <xf numFmtId="15" fontId="9" fillId="0" borderId="0" xfId="0" quotePrefix="1" applyNumberFormat="1" applyFont="1" applyAlignment="1">
      <alignment horizontal="center"/>
    </xf>
    <xf numFmtId="15" fontId="11" fillId="0" borderId="0" xfId="0" applyNumberFormat="1" applyFont="1" applyAlignment="1">
      <alignment horizontal="center"/>
    </xf>
    <xf numFmtId="15" fontId="11" fillId="0" borderId="0" xfId="0" quotePrefix="1" applyNumberFormat="1" applyFont="1" applyAlignment="1">
      <alignment horizontal="center"/>
    </xf>
    <xf numFmtId="0" fontId="38" fillId="0" borderId="35" xfId="0" applyFont="1" applyBorder="1" applyAlignment="1">
      <alignment wrapText="1"/>
    </xf>
    <xf numFmtId="0" fontId="38" fillId="0" borderId="38" xfId="0" applyFont="1" applyBorder="1" applyAlignment="1">
      <alignment vertical="center" wrapText="1"/>
    </xf>
    <xf numFmtId="0" fontId="37" fillId="0" borderId="0" xfId="0" applyFont="1" applyBorder="1" applyProtection="1"/>
  </cellXfs>
  <cellStyles count="4">
    <cellStyle name="Normal" xfId="0" builtinId="0"/>
    <cellStyle name="Normal_Sheet1" xfId="1"/>
    <cellStyle name="Normal_Sheet2" xfId="2"/>
    <cellStyle name="Percent" xfId="3" builtinId="5"/>
  </cellStyles>
  <dxfs count="4"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22"/>
  </sheetPr>
  <dimension ref="A1:E139"/>
  <sheetViews>
    <sheetView zoomScaleNormal="100" zoomScaleSheetLayoutView="25" workbookViewId="0">
      <pane xSplit="2" ySplit="5" topLeftCell="C6" activePane="bottomRight" state="frozen"/>
      <selection activeCell="I4" sqref="I4"/>
      <selection pane="topRight" activeCell="I4" sqref="I4"/>
      <selection pane="bottomLeft" activeCell="I4" sqref="I4"/>
      <selection pane="bottomRight" sqref="A1:E1"/>
    </sheetView>
  </sheetViews>
  <sheetFormatPr defaultRowHeight="12.75" x14ac:dyDescent="0.2"/>
  <cols>
    <col min="1" max="1" width="12.7109375" style="385" customWidth="1"/>
    <col min="2" max="2" width="30.7109375" style="385" customWidth="1"/>
    <col min="3" max="5" width="15.7109375" style="385" customWidth="1"/>
    <col min="6" max="16384" width="9.140625" style="385"/>
  </cols>
  <sheetData>
    <row r="1" spans="1:5" ht="23.25" x14ac:dyDescent="0.2">
      <c r="A1" s="416" t="s">
        <v>251</v>
      </c>
      <c r="B1" s="416"/>
      <c r="C1" s="416"/>
      <c r="D1" s="416"/>
      <c r="E1" s="416"/>
    </row>
    <row r="2" spans="1:5" ht="15.75" x14ac:dyDescent="0.2">
      <c r="A2" s="417" t="s">
        <v>250</v>
      </c>
      <c r="B2" s="417"/>
      <c r="C2" s="417"/>
      <c r="D2" s="417"/>
      <c r="E2" s="417"/>
    </row>
    <row r="3" spans="1:5" x14ac:dyDescent="0.2">
      <c r="A3" s="386"/>
    </row>
    <row r="4" spans="1:5" x14ac:dyDescent="0.2">
      <c r="A4" s="387" t="s">
        <v>0</v>
      </c>
      <c r="B4" s="387" t="s">
        <v>104</v>
      </c>
      <c r="C4" s="388" t="s">
        <v>222</v>
      </c>
      <c r="D4" s="388" t="s">
        <v>122</v>
      </c>
      <c r="E4" s="388" t="s">
        <v>206</v>
      </c>
    </row>
    <row r="5" spans="1:5" s="390" customFormat="1" ht="9.9499999999999993" customHeight="1" x14ac:dyDescent="0.2">
      <c r="A5" s="389"/>
      <c r="B5" s="389"/>
      <c r="C5" s="389"/>
      <c r="D5" s="389"/>
      <c r="E5" s="389"/>
    </row>
    <row r="6" spans="1:5" ht="14.1" customHeight="1" x14ac:dyDescent="0.2">
      <c r="A6" s="391"/>
      <c r="B6" s="391"/>
    </row>
    <row r="7" spans="1:5" ht="14.1" customHeight="1" x14ac:dyDescent="0.2">
      <c r="A7" s="391" t="s">
        <v>1</v>
      </c>
      <c r="B7" s="391" t="s">
        <v>1</v>
      </c>
      <c r="C7" s="395">
        <v>1250.0380614123205</v>
      </c>
      <c r="D7" s="395">
        <v>473.31460866701241</v>
      </c>
      <c r="E7" s="395">
        <f>C7+D7</f>
        <v>1723.3526700793329</v>
      </c>
    </row>
    <row r="8" spans="1:5" ht="14.1" customHeight="1" x14ac:dyDescent="0.2">
      <c r="A8" s="391" t="s">
        <v>1</v>
      </c>
      <c r="B8" s="391" t="s">
        <v>10</v>
      </c>
      <c r="C8" s="395">
        <v>66.734673934165741</v>
      </c>
      <c r="D8" s="395">
        <v>256.90014840680828</v>
      </c>
      <c r="E8" s="395">
        <f t="shared" ref="E8:E22" si="0">C8+D8</f>
        <v>323.63482234097404</v>
      </c>
    </row>
    <row r="9" spans="1:5" ht="14.1" customHeight="1" x14ac:dyDescent="0.2">
      <c r="A9" s="391" t="s">
        <v>1</v>
      </c>
      <c r="B9" s="391" t="s">
        <v>11</v>
      </c>
      <c r="C9" s="395">
        <v>1685.6955890539323</v>
      </c>
      <c r="D9" s="395">
        <v>1030.4532668497893</v>
      </c>
      <c r="E9" s="395">
        <f t="shared" si="0"/>
        <v>2716.1488559037216</v>
      </c>
    </row>
    <row r="10" spans="1:5" ht="14.1" customHeight="1" x14ac:dyDescent="0.2">
      <c r="A10" s="391" t="s">
        <v>1</v>
      </c>
      <c r="B10" s="391" t="s">
        <v>12</v>
      </c>
      <c r="C10" s="395">
        <v>1588.8231156052789</v>
      </c>
      <c r="D10" s="395">
        <v>947.89758634535087</v>
      </c>
      <c r="E10" s="395">
        <f t="shared" si="0"/>
        <v>2536.7207019506295</v>
      </c>
    </row>
    <row r="11" spans="1:5" ht="14.1" customHeight="1" x14ac:dyDescent="0.2">
      <c r="A11" s="391" t="s">
        <v>1</v>
      </c>
      <c r="B11" s="391" t="s">
        <v>13</v>
      </c>
      <c r="C11" s="395">
        <v>1469.1225755291309</v>
      </c>
      <c r="D11" s="395">
        <v>199.90571146398224</v>
      </c>
      <c r="E11" s="395">
        <f t="shared" si="0"/>
        <v>1669.0282869931132</v>
      </c>
    </row>
    <row r="12" spans="1:5" ht="14.1" customHeight="1" x14ac:dyDescent="0.2">
      <c r="A12" s="391" t="s">
        <v>1</v>
      </c>
      <c r="B12" s="391" t="s">
        <v>14</v>
      </c>
      <c r="C12" s="395">
        <v>3138.2762975914484</v>
      </c>
      <c r="D12" s="395">
        <v>2308.881731169246</v>
      </c>
      <c r="E12" s="395">
        <f t="shared" si="0"/>
        <v>5447.1580287606939</v>
      </c>
    </row>
    <row r="13" spans="1:5" ht="14.1" customHeight="1" x14ac:dyDescent="0.2">
      <c r="A13" s="391" t="s">
        <v>1</v>
      </c>
      <c r="B13" s="391" t="s">
        <v>15</v>
      </c>
      <c r="C13" s="395">
        <v>2569.8463692699042</v>
      </c>
      <c r="D13" s="395">
        <v>1060.8003424072265</v>
      </c>
      <c r="E13" s="395">
        <f t="shared" si="0"/>
        <v>3630.646711677131</v>
      </c>
    </row>
    <row r="14" spans="1:5" ht="14.1" customHeight="1" x14ac:dyDescent="0.2">
      <c r="A14" s="391" t="s">
        <v>1</v>
      </c>
      <c r="B14" s="391" t="s">
        <v>16</v>
      </c>
      <c r="C14" s="395">
        <v>2029.2374189818238</v>
      </c>
      <c r="D14" s="395">
        <v>778.30950197635559</v>
      </c>
      <c r="E14" s="395">
        <f t="shared" si="0"/>
        <v>2807.5469209581793</v>
      </c>
    </row>
    <row r="15" spans="1:5" ht="14.1" customHeight="1" x14ac:dyDescent="0.2">
      <c r="A15" s="391" t="s">
        <v>1</v>
      </c>
      <c r="B15" s="391" t="s">
        <v>17</v>
      </c>
      <c r="C15" s="395">
        <v>665.17688644663895</v>
      </c>
      <c r="D15" s="395">
        <v>306.72890816312474</v>
      </c>
      <c r="E15" s="395">
        <f t="shared" si="0"/>
        <v>971.90579460976369</v>
      </c>
    </row>
    <row r="16" spans="1:5" ht="14.1" customHeight="1" x14ac:dyDescent="0.2">
      <c r="A16" s="391" t="s">
        <v>1</v>
      </c>
      <c r="B16" s="391" t="s">
        <v>18</v>
      </c>
      <c r="C16" s="395">
        <v>12204.385759593695</v>
      </c>
      <c r="D16" s="395">
        <v>2554.0561813159038</v>
      </c>
      <c r="E16" s="395">
        <f t="shared" si="0"/>
        <v>14758.441940909599</v>
      </c>
    </row>
    <row r="17" spans="1:5" ht="14.1" customHeight="1" x14ac:dyDescent="0.2">
      <c r="A17" s="391" t="s">
        <v>1</v>
      </c>
      <c r="B17" s="391" t="s">
        <v>19</v>
      </c>
      <c r="C17" s="395">
        <v>0</v>
      </c>
      <c r="D17" s="395">
        <v>21.976264360123572</v>
      </c>
      <c r="E17" s="395">
        <f t="shared" si="0"/>
        <v>21.976264360123572</v>
      </c>
    </row>
    <row r="18" spans="1:5" ht="14.1" customHeight="1" x14ac:dyDescent="0.2">
      <c r="A18" s="391" t="s">
        <v>1</v>
      </c>
      <c r="B18" s="391" t="s">
        <v>20</v>
      </c>
      <c r="C18" s="395">
        <v>936.95445399744767</v>
      </c>
      <c r="D18" s="395">
        <v>1179.5356493796553</v>
      </c>
      <c r="E18" s="395">
        <f t="shared" si="0"/>
        <v>2116.490103377103</v>
      </c>
    </row>
    <row r="19" spans="1:5" ht="14.1" customHeight="1" x14ac:dyDescent="0.2">
      <c r="A19" s="391" t="s">
        <v>1</v>
      </c>
      <c r="B19" s="391" t="s">
        <v>21</v>
      </c>
      <c r="C19" s="395">
        <v>1513.7192384448867</v>
      </c>
      <c r="D19" s="395">
        <v>646.56512899674829</v>
      </c>
      <c r="E19" s="395">
        <f t="shared" si="0"/>
        <v>2160.2843674416349</v>
      </c>
    </row>
    <row r="20" spans="1:5" ht="14.1" customHeight="1" x14ac:dyDescent="0.2">
      <c r="A20" s="391" t="s">
        <v>1</v>
      </c>
      <c r="B20" s="391" t="s">
        <v>22</v>
      </c>
      <c r="C20" s="395">
        <v>211.64629450667567</v>
      </c>
      <c r="D20" s="395">
        <v>722.04083067831129</v>
      </c>
      <c r="E20" s="395">
        <f t="shared" si="0"/>
        <v>933.68712518498694</v>
      </c>
    </row>
    <row r="21" spans="1:5" ht="14.1" customHeight="1" x14ac:dyDescent="0.2">
      <c r="A21" s="391" t="s">
        <v>1</v>
      </c>
      <c r="B21" s="391" t="s">
        <v>105</v>
      </c>
      <c r="C21" s="395">
        <v>1488.3203410048739</v>
      </c>
      <c r="D21" s="395">
        <v>220.95059739049105</v>
      </c>
      <c r="E21" s="395">
        <f t="shared" si="0"/>
        <v>1709.270938395365</v>
      </c>
    </row>
    <row r="22" spans="1:5" ht="14.1" customHeight="1" x14ac:dyDescent="0.2">
      <c r="A22" s="391"/>
      <c r="B22" s="391"/>
      <c r="C22" s="396">
        <f>SUM(C7:C21)</f>
        <v>30817.977075372222</v>
      </c>
      <c r="D22" s="396">
        <f>SUM(D7:D21)</f>
        <v>12708.31645757013</v>
      </c>
      <c r="E22" s="397">
        <f t="shared" si="0"/>
        <v>43526.293532942349</v>
      </c>
    </row>
    <row r="23" spans="1:5" ht="14.1" customHeight="1" x14ac:dyDescent="0.2">
      <c r="A23" s="391"/>
      <c r="B23" s="391"/>
      <c r="C23" s="395"/>
      <c r="D23" s="395"/>
      <c r="E23" s="395"/>
    </row>
    <row r="24" spans="1:5" ht="14.1" customHeight="1" x14ac:dyDescent="0.2">
      <c r="A24" s="391" t="s">
        <v>2</v>
      </c>
      <c r="B24" s="391" t="s">
        <v>23</v>
      </c>
      <c r="C24" s="395">
        <v>1082.9510344319299</v>
      </c>
      <c r="D24" s="395">
        <v>518.23266568031522</v>
      </c>
      <c r="E24" s="395">
        <f t="shared" ref="E24:E44" si="1">C24+D24</f>
        <v>1601.1837001122451</v>
      </c>
    </row>
    <row r="25" spans="1:5" ht="14.1" customHeight="1" x14ac:dyDescent="0.2">
      <c r="A25" s="391" t="s">
        <v>2</v>
      </c>
      <c r="B25" s="391" t="s">
        <v>24</v>
      </c>
      <c r="C25" s="395">
        <v>0</v>
      </c>
      <c r="D25" s="395">
        <v>232.53825019494798</v>
      </c>
      <c r="E25" s="395">
        <f t="shared" si="1"/>
        <v>232.53825019494798</v>
      </c>
    </row>
    <row r="26" spans="1:5" ht="14.1" customHeight="1" x14ac:dyDescent="0.2">
      <c r="A26" s="391" t="s">
        <v>2</v>
      </c>
      <c r="B26" s="391" t="s">
        <v>25</v>
      </c>
      <c r="C26" s="395">
        <v>0</v>
      </c>
      <c r="D26" s="395">
        <v>28.22526095600762</v>
      </c>
      <c r="E26" s="395">
        <f t="shared" si="1"/>
        <v>28.22526095600762</v>
      </c>
    </row>
    <row r="27" spans="1:5" ht="14.1" customHeight="1" x14ac:dyDescent="0.2">
      <c r="A27" s="391" t="s">
        <v>2</v>
      </c>
      <c r="B27" s="391" t="s">
        <v>26</v>
      </c>
      <c r="C27" s="395">
        <v>2460.784271743481</v>
      </c>
      <c r="D27" s="395">
        <v>1021.1316181384606</v>
      </c>
      <c r="E27" s="395">
        <f t="shared" si="1"/>
        <v>3481.9158898819414</v>
      </c>
    </row>
    <row r="28" spans="1:5" ht="14.1" customHeight="1" x14ac:dyDescent="0.2">
      <c r="A28" s="391" t="s">
        <v>2</v>
      </c>
      <c r="B28" s="391" t="s">
        <v>27</v>
      </c>
      <c r="C28" s="395">
        <v>204.5284655369511</v>
      </c>
      <c r="D28" s="395">
        <v>298.75598446901915</v>
      </c>
      <c r="E28" s="395">
        <f t="shared" si="1"/>
        <v>503.28445000597026</v>
      </c>
    </row>
    <row r="29" spans="1:5" ht="14.1" customHeight="1" x14ac:dyDescent="0.2">
      <c r="A29" s="391" t="s">
        <v>2</v>
      </c>
      <c r="B29" s="391" t="s">
        <v>28</v>
      </c>
      <c r="C29" s="395">
        <v>275.02696127559773</v>
      </c>
      <c r="D29" s="395">
        <v>110.32169938610208</v>
      </c>
      <c r="E29" s="395">
        <f t="shared" si="1"/>
        <v>385.3486606616998</v>
      </c>
    </row>
    <row r="30" spans="1:5" ht="14.1" customHeight="1" x14ac:dyDescent="0.2">
      <c r="A30" s="391" t="s">
        <v>2</v>
      </c>
      <c r="B30" s="391" t="s">
        <v>29</v>
      </c>
      <c r="C30" s="395">
        <v>1091.2145824640124</v>
      </c>
      <c r="D30" s="395">
        <v>241.33059391884987</v>
      </c>
      <c r="E30" s="395">
        <f t="shared" si="1"/>
        <v>1332.5451763828623</v>
      </c>
    </row>
    <row r="31" spans="1:5" ht="14.1" customHeight="1" x14ac:dyDescent="0.2">
      <c r="A31" s="391" t="s">
        <v>2</v>
      </c>
      <c r="B31" s="391" t="s">
        <v>30</v>
      </c>
      <c r="C31" s="395">
        <v>259.18891060218772</v>
      </c>
      <c r="D31" s="395">
        <v>187.85399861703141</v>
      </c>
      <c r="E31" s="395">
        <f t="shared" si="1"/>
        <v>447.04290921921915</v>
      </c>
    </row>
    <row r="32" spans="1:5" ht="14.1" customHeight="1" x14ac:dyDescent="0.2">
      <c r="A32" s="391" t="s">
        <v>2</v>
      </c>
      <c r="B32" s="391" t="s">
        <v>31</v>
      </c>
      <c r="C32" s="395">
        <v>186.20250324327495</v>
      </c>
      <c r="D32" s="395">
        <v>180.63846402162551</v>
      </c>
      <c r="E32" s="395">
        <f t="shared" si="1"/>
        <v>366.84096726490043</v>
      </c>
    </row>
    <row r="33" spans="1:5" ht="14.1" customHeight="1" x14ac:dyDescent="0.2">
      <c r="A33" s="391" t="s">
        <v>2</v>
      </c>
      <c r="B33" s="391" t="s">
        <v>32</v>
      </c>
      <c r="C33" s="395">
        <v>89.374946705938171</v>
      </c>
      <c r="D33" s="395">
        <v>155.50723497556407</v>
      </c>
      <c r="E33" s="395">
        <f t="shared" si="1"/>
        <v>244.88218168150223</v>
      </c>
    </row>
    <row r="34" spans="1:5" ht="14.1" customHeight="1" x14ac:dyDescent="0.2">
      <c r="A34" s="391" t="s">
        <v>2</v>
      </c>
      <c r="B34" s="391" t="s">
        <v>33</v>
      </c>
      <c r="C34" s="395">
        <v>879.37596347376075</v>
      </c>
      <c r="D34" s="395">
        <v>756.86068527936209</v>
      </c>
      <c r="E34" s="395">
        <f t="shared" si="1"/>
        <v>1636.2366487531228</v>
      </c>
    </row>
    <row r="35" spans="1:5" ht="14.1" customHeight="1" x14ac:dyDescent="0.2">
      <c r="A35" s="391" t="s">
        <v>2</v>
      </c>
      <c r="B35" s="391" t="s">
        <v>34</v>
      </c>
      <c r="C35" s="395">
        <v>46.001032877149271</v>
      </c>
      <c r="D35" s="395">
        <v>165.93308698681901</v>
      </c>
      <c r="E35" s="395">
        <f t="shared" si="1"/>
        <v>211.93411986396828</v>
      </c>
    </row>
    <row r="36" spans="1:5" ht="14.1" customHeight="1" x14ac:dyDescent="0.2">
      <c r="A36" s="391" t="s">
        <v>2</v>
      </c>
      <c r="B36" s="391" t="s">
        <v>35</v>
      </c>
      <c r="C36" s="395">
        <v>185.70689064791634</v>
      </c>
      <c r="D36" s="395">
        <v>128.78067566803256</v>
      </c>
      <c r="E36" s="395">
        <f t="shared" si="1"/>
        <v>314.48756631594892</v>
      </c>
    </row>
    <row r="37" spans="1:5" ht="14.1" customHeight="1" x14ac:dyDescent="0.2">
      <c r="A37" s="391" t="s">
        <v>2</v>
      </c>
      <c r="B37" s="391" t="s">
        <v>36</v>
      </c>
      <c r="C37" s="395">
        <v>1725.4345437156214</v>
      </c>
      <c r="D37" s="395">
        <v>491.54579278587761</v>
      </c>
      <c r="E37" s="395">
        <f t="shared" si="1"/>
        <v>2216.9803365014991</v>
      </c>
    </row>
    <row r="38" spans="1:5" ht="14.1" customHeight="1" x14ac:dyDescent="0.2">
      <c r="A38" s="391" t="s">
        <v>2</v>
      </c>
      <c r="B38" s="391" t="s">
        <v>37</v>
      </c>
      <c r="C38" s="395">
        <v>104.31103258523535</v>
      </c>
      <c r="D38" s="395">
        <v>233.89746824315907</v>
      </c>
      <c r="E38" s="395">
        <f t="shared" si="1"/>
        <v>338.20850082839445</v>
      </c>
    </row>
    <row r="39" spans="1:5" ht="14.1" customHeight="1" x14ac:dyDescent="0.2">
      <c r="A39" s="391" t="s">
        <v>2</v>
      </c>
      <c r="B39" s="391" t="s">
        <v>38</v>
      </c>
      <c r="C39" s="395">
        <v>1170.3055185647183</v>
      </c>
      <c r="D39" s="395">
        <v>1615.6903958311068</v>
      </c>
      <c r="E39" s="395">
        <f t="shared" si="1"/>
        <v>2785.9959143958249</v>
      </c>
    </row>
    <row r="40" spans="1:5" ht="14.1" customHeight="1" x14ac:dyDescent="0.2">
      <c r="A40" s="391" t="s">
        <v>2</v>
      </c>
      <c r="B40" s="391" t="s">
        <v>39</v>
      </c>
      <c r="C40" s="395">
        <v>406.07348274101201</v>
      </c>
      <c r="D40" s="395">
        <v>169.80951843828873</v>
      </c>
      <c r="E40" s="395">
        <f t="shared" si="1"/>
        <v>575.88300117930078</v>
      </c>
    </row>
    <row r="41" spans="1:5" ht="14.1" customHeight="1" x14ac:dyDescent="0.2">
      <c r="A41" s="391" t="s">
        <v>2</v>
      </c>
      <c r="B41" s="391" t="s">
        <v>40</v>
      </c>
      <c r="C41" s="395">
        <v>705.31475997588416</v>
      </c>
      <c r="D41" s="395">
        <v>924.30524981513452</v>
      </c>
      <c r="E41" s="395">
        <f t="shared" si="1"/>
        <v>1629.6200097910187</v>
      </c>
    </row>
    <row r="42" spans="1:5" ht="14.1" customHeight="1" x14ac:dyDescent="0.2">
      <c r="A42" s="391" t="s">
        <v>2</v>
      </c>
      <c r="B42" s="391" t="s">
        <v>41</v>
      </c>
      <c r="C42" s="395">
        <v>801.22778372860625</v>
      </c>
      <c r="D42" s="395">
        <v>1274.0535558952577</v>
      </c>
      <c r="E42" s="395">
        <f t="shared" si="1"/>
        <v>2075.2813396238639</v>
      </c>
    </row>
    <row r="43" spans="1:5" ht="14.1" customHeight="1" x14ac:dyDescent="0.2">
      <c r="A43" s="391" t="s">
        <v>2</v>
      </c>
      <c r="B43" s="391" t="s">
        <v>106</v>
      </c>
      <c r="C43" s="395">
        <v>597.79990872192752</v>
      </c>
      <c r="D43" s="395">
        <v>794.96013297090383</v>
      </c>
      <c r="E43" s="395">
        <f t="shared" si="1"/>
        <v>1392.7600416928312</v>
      </c>
    </row>
    <row r="44" spans="1:5" ht="14.1" customHeight="1" x14ac:dyDescent="0.2">
      <c r="A44" s="391"/>
      <c r="B44" s="391"/>
      <c r="C44" s="396">
        <f>SUM(C24:C43)</f>
        <v>12270.822593035206</v>
      </c>
      <c r="D44" s="396">
        <f>SUM(D24:D43)</f>
        <v>9530.3723322718652</v>
      </c>
      <c r="E44" s="397">
        <f t="shared" si="1"/>
        <v>21801.194925307071</v>
      </c>
    </row>
    <row r="45" spans="1:5" ht="14.1" customHeight="1" x14ac:dyDescent="0.2">
      <c r="A45" s="391"/>
      <c r="B45" s="391"/>
      <c r="C45" s="395"/>
      <c r="D45" s="395"/>
      <c r="E45" s="395"/>
    </row>
    <row r="46" spans="1:5" ht="14.1" customHeight="1" x14ac:dyDescent="0.2">
      <c r="A46" s="391" t="s">
        <v>3</v>
      </c>
      <c r="B46" s="391" t="s">
        <v>42</v>
      </c>
      <c r="C46" s="395">
        <v>0</v>
      </c>
      <c r="D46" s="395">
        <v>6.3543675067233831</v>
      </c>
      <c r="E46" s="395">
        <f t="shared" ref="E46:E58" si="2">C46+D46</f>
        <v>6.3543675067233831</v>
      </c>
    </row>
    <row r="47" spans="1:5" ht="14.1" customHeight="1" x14ac:dyDescent="0.2">
      <c r="A47" s="391" t="s">
        <v>3</v>
      </c>
      <c r="B47" s="391" t="s">
        <v>43</v>
      </c>
      <c r="C47" s="395">
        <v>0</v>
      </c>
      <c r="D47" s="395">
        <v>58.518793879635346</v>
      </c>
      <c r="E47" s="395">
        <f t="shared" si="2"/>
        <v>58.518793879635346</v>
      </c>
    </row>
    <row r="48" spans="1:5" ht="14.1" customHeight="1" x14ac:dyDescent="0.2">
      <c r="A48" s="391" t="s">
        <v>3</v>
      </c>
      <c r="B48" s="391" t="s">
        <v>44</v>
      </c>
      <c r="C48" s="395">
        <v>0</v>
      </c>
      <c r="D48" s="395">
        <v>54.413606749213955</v>
      </c>
      <c r="E48" s="395">
        <f t="shared" si="2"/>
        <v>54.413606749213955</v>
      </c>
    </row>
    <row r="49" spans="1:5" ht="14.1" customHeight="1" x14ac:dyDescent="0.2">
      <c r="A49" s="391" t="s">
        <v>3</v>
      </c>
      <c r="B49" s="391" t="s">
        <v>45</v>
      </c>
      <c r="C49" s="395">
        <v>0</v>
      </c>
      <c r="D49" s="395">
        <v>104.4013531717613</v>
      </c>
      <c r="E49" s="395">
        <f t="shared" si="2"/>
        <v>104.4013531717613</v>
      </c>
    </row>
    <row r="50" spans="1:5" ht="14.1" customHeight="1" x14ac:dyDescent="0.2">
      <c r="A50" s="391" t="s">
        <v>3</v>
      </c>
      <c r="B50" s="391" t="s">
        <v>46</v>
      </c>
      <c r="C50" s="395">
        <v>0</v>
      </c>
      <c r="D50" s="395">
        <v>117.72136379384361</v>
      </c>
      <c r="E50" s="395">
        <f t="shared" si="2"/>
        <v>117.72136379384361</v>
      </c>
    </row>
    <row r="51" spans="1:5" ht="14.1" customHeight="1" x14ac:dyDescent="0.2">
      <c r="A51" s="391" t="s">
        <v>3</v>
      </c>
      <c r="B51" s="391" t="s">
        <v>47</v>
      </c>
      <c r="C51" s="395">
        <v>0</v>
      </c>
      <c r="D51" s="395">
        <v>266.24875269524148</v>
      </c>
      <c r="E51" s="395">
        <f t="shared" si="2"/>
        <v>266.24875269524148</v>
      </c>
    </row>
    <row r="52" spans="1:5" ht="14.1" customHeight="1" x14ac:dyDescent="0.2">
      <c r="A52" s="391" t="s">
        <v>3</v>
      </c>
      <c r="B52" s="391" t="s">
        <v>48</v>
      </c>
      <c r="C52" s="395">
        <v>0</v>
      </c>
      <c r="D52" s="395">
        <v>13.229692931017837</v>
      </c>
      <c r="E52" s="395">
        <f t="shared" si="2"/>
        <v>13.229692931017837</v>
      </c>
    </row>
    <row r="53" spans="1:5" ht="14.1" customHeight="1" x14ac:dyDescent="0.2">
      <c r="A53" s="391" t="s">
        <v>3</v>
      </c>
      <c r="B53" s="391" t="s">
        <v>49</v>
      </c>
      <c r="C53" s="395">
        <v>0</v>
      </c>
      <c r="D53" s="395">
        <v>67.688305406974862</v>
      </c>
      <c r="E53" s="395">
        <f t="shared" si="2"/>
        <v>67.688305406974862</v>
      </c>
    </row>
    <row r="54" spans="1:5" ht="14.1" customHeight="1" x14ac:dyDescent="0.2">
      <c r="A54" s="391" t="s">
        <v>3</v>
      </c>
      <c r="B54" s="391" t="s">
        <v>50</v>
      </c>
      <c r="C54" s="395">
        <v>612.8572072519454</v>
      </c>
      <c r="D54" s="395">
        <v>357.37515612719454</v>
      </c>
      <c r="E54" s="395">
        <f t="shared" si="2"/>
        <v>970.23236337914</v>
      </c>
    </row>
    <row r="55" spans="1:5" ht="14.1" customHeight="1" x14ac:dyDescent="0.2">
      <c r="A55" s="391" t="s">
        <v>3</v>
      </c>
      <c r="B55" s="392" t="s">
        <v>118</v>
      </c>
      <c r="C55" s="395">
        <v>0</v>
      </c>
      <c r="D55" s="395">
        <v>70.955894421577256</v>
      </c>
      <c r="E55" s="395">
        <f t="shared" si="2"/>
        <v>70.955894421577256</v>
      </c>
    </row>
    <row r="56" spans="1:5" ht="14.1" customHeight="1" x14ac:dyDescent="0.2">
      <c r="A56" s="391" t="s">
        <v>3</v>
      </c>
      <c r="B56" s="391" t="s">
        <v>51</v>
      </c>
      <c r="C56" s="395">
        <v>5.0480600227642975</v>
      </c>
      <c r="D56" s="395">
        <v>60.743517137766737</v>
      </c>
      <c r="E56" s="395">
        <f t="shared" si="2"/>
        <v>65.791577160531034</v>
      </c>
    </row>
    <row r="57" spans="1:5" ht="14.1" customHeight="1" x14ac:dyDescent="0.2">
      <c r="A57" s="391" t="s">
        <v>3</v>
      </c>
      <c r="B57" s="391" t="s">
        <v>107</v>
      </c>
      <c r="C57" s="395">
        <v>106.02605131169503</v>
      </c>
      <c r="D57" s="395">
        <v>89.610330962669408</v>
      </c>
      <c r="E57" s="395">
        <f t="shared" si="2"/>
        <v>195.63638227436445</v>
      </c>
    </row>
    <row r="58" spans="1:5" ht="14.1" customHeight="1" x14ac:dyDescent="0.2">
      <c r="A58" s="391"/>
      <c r="B58" s="391"/>
      <c r="C58" s="396">
        <f>SUM(C46:C57)</f>
        <v>723.9313185864047</v>
      </c>
      <c r="D58" s="396">
        <f>SUM(D46:D57)</f>
        <v>1267.2611347836198</v>
      </c>
      <c r="E58" s="397">
        <f t="shared" si="2"/>
        <v>1991.1924533700244</v>
      </c>
    </row>
    <row r="59" spans="1:5" ht="14.1" customHeight="1" x14ac:dyDescent="0.2">
      <c r="A59" s="391"/>
      <c r="B59" s="391"/>
      <c r="C59" s="395"/>
      <c r="D59" s="395"/>
      <c r="E59" s="395"/>
    </row>
    <row r="60" spans="1:5" ht="14.1" customHeight="1" x14ac:dyDescent="0.2">
      <c r="A60" s="391" t="s">
        <v>4</v>
      </c>
      <c r="B60" s="391" t="s">
        <v>52</v>
      </c>
      <c r="C60" s="395">
        <v>385.75234134061287</v>
      </c>
      <c r="D60" s="395">
        <v>145.98590468573119</v>
      </c>
      <c r="E60" s="395">
        <f t="shared" ref="E60:E66" si="3">C60+D60</f>
        <v>531.73824602634409</v>
      </c>
    </row>
    <row r="61" spans="1:5" ht="14.1" customHeight="1" x14ac:dyDescent="0.2">
      <c r="A61" s="391" t="s">
        <v>4</v>
      </c>
      <c r="B61" s="391" t="s">
        <v>53</v>
      </c>
      <c r="C61" s="395">
        <v>0</v>
      </c>
      <c r="D61" s="395">
        <v>12.998202617066783</v>
      </c>
      <c r="E61" s="395">
        <f t="shared" si="3"/>
        <v>12.998202617066783</v>
      </c>
    </row>
    <row r="62" spans="1:5" ht="14.1" customHeight="1" x14ac:dyDescent="0.2">
      <c r="A62" s="391" t="s">
        <v>4</v>
      </c>
      <c r="B62" s="391" t="s">
        <v>4</v>
      </c>
      <c r="C62" s="395">
        <v>235.90799554128176</v>
      </c>
      <c r="D62" s="395">
        <v>665.36609456400959</v>
      </c>
      <c r="E62" s="395">
        <f t="shared" si="3"/>
        <v>901.27409010529141</v>
      </c>
    </row>
    <row r="63" spans="1:5" ht="14.1" customHeight="1" x14ac:dyDescent="0.2">
      <c r="A63" s="391" t="s">
        <v>4</v>
      </c>
      <c r="B63" s="391" t="s">
        <v>54</v>
      </c>
      <c r="C63" s="395">
        <v>0</v>
      </c>
      <c r="D63" s="395">
        <v>15.549647563512538</v>
      </c>
      <c r="E63" s="395">
        <f t="shared" si="3"/>
        <v>15.549647563512538</v>
      </c>
    </row>
    <row r="64" spans="1:5" ht="14.1" customHeight="1" x14ac:dyDescent="0.2">
      <c r="A64" s="391" t="s">
        <v>4</v>
      </c>
      <c r="B64" s="391" t="s">
        <v>55</v>
      </c>
      <c r="C64" s="395">
        <v>0</v>
      </c>
      <c r="D64" s="395">
        <v>7.014000307305146</v>
      </c>
      <c r="E64" s="395">
        <f t="shared" si="3"/>
        <v>7.014000307305146</v>
      </c>
    </row>
    <row r="65" spans="1:5" ht="14.1" customHeight="1" x14ac:dyDescent="0.2">
      <c r="A65" s="391" t="s">
        <v>4</v>
      </c>
      <c r="B65" s="391" t="s">
        <v>108</v>
      </c>
      <c r="C65" s="395">
        <v>0</v>
      </c>
      <c r="D65" s="395">
        <v>173.33493362808065</v>
      </c>
      <c r="E65" s="395">
        <f t="shared" si="3"/>
        <v>173.33493362808065</v>
      </c>
    </row>
    <row r="66" spans="1:5" ht="14.1" customHeight="1" x14ac:dyDescent="0.2">
      <c r="A66" s="391"/>
      <c r="B66" s="391"/>
      <c r="C66" s="396">
        <f>SUM(C60:C65)</f>
        <v>621.66033688189464</v>
      </c>
      <c r="D66" s="396">
        <f>SUM(D60:D65)</f>
        <v>1020.2487833657059</v>
      </c>
      <c r="E66" s="397">
        <f t="shared" si="3"/>
        <v>1641.9091202476006</v>
      </c>
    </row>
    <row r="67" spans="1:5" ht="14.1" customHeight="1" x14ac:dyDescent="0.2">
      <c r="A67" s="391"/>
      <c r="B67" s="391"/>
      <c r="C67" s="395"/>
      <c r="D67" s="395"/>
      <c r="E67" s="395"/>
    </row>
    <row r="68" spans="1:5" ht="14.1" customHeight="1" x14ac:dyDescent="0.2">
      <c r="A68" s="391" t="s">
        <v>5</v>
      </c>
      <c r="B68" s="391" t="s">
        <v>5</v>
      </c>
      <c r="C68" s="395">
        <v>23558.50441296256</v>
      </c>
      <c r="D68" s="395">
        <v>4635.5482783827701</v>
      </c>
      <c r="E68" s="395">
        <f t="shared" ref="E68:E69" si="4">C68+D68</f>
        <v>28194.052691345329</v>
      </c>
    </row>
    <row r="69" spans="1:5" ht="14.1" customHeight="1" x14ac:dyDescent="0.2">
      <c r="A69" s="391"/>
      <c r="B69" s="391"/>
      <c r="C69" s="396">
        <f>SUM(C68)</f>
        <v>23558.50441296256</v>
      </c>
      <c r="D69" s="396">
        <f>SUM(D68)</f>
        <v>4635.5482783827701</v>
      </c>
      <c r="E69" s="397">
        <f t="shared" si="4"/>
        <v>28194.052691345329</v>
      </c>
    </row>
    <row r="70" spans="1:5" ht="14.1" customHeight="1" x14ac:dyDescent="0.2">
      <c r="A70" s="391"/>
      <c r="B70" s="391"/>
      <c r="C70" s="395"/>
      <c r="D70" s="395"/>
      <c r="E70" s="395"/>
    </row>
    <row r="71" spans="1:5" ht="14.1" customHeight="1" x14ac:dyDescent="0.2">
      <c r="A71" s="391" t="s">
        <v>6</v>
      </c>
      <c r="B71" s="391" t="s">
        <v>56</v>
      </c>
      <c r="C71" s="395">
        <v>0</v>
      </c>
      <c r="D71" s="395">
        <v>60.019758914578638</v>
      </c>
      <c r="E71" s="395">
        <f t="shared" ref="E71:E92" si="5">C71+D71</f>
        <v>60.019758914578638</v>
      </c>
    </row>
    <row r="72" spans="1:5" ht="14.1" customHeight="1" x14ac:dyDescent="0.2">
      <c r="A72" s="391" t="s">
        <v>6</v>
      </c>
      <c r="B72" s="391" t="s">
        <v>57</v>
      </c>
      <c r="C72" s="395">
        <v>240.24535600810154</v>
      </c>
      <c r="D72" s="395">
        <v>93.048201872904684</v>
      </c>
      <c r="E72" s="395">
        <f t="shared" si="5"/>
        <v>333.29355788100622</v>
      </c>
    </row>
    <row r="73" spans="1:5" ht="14.1" customHeight="1" x14ac:dyDescent="0.2">
      <c r="A73" s="391" t="s">
        <v>6</v>
      </c>
      <c r="B73" s="391" t="s">
        <v>58</v>
      </c>
      <c r="C73" s="395">
        <v>0</v>
      </c>
      <c r="D73" s="395">
        <v>76.178326883156501</v>
      </c>
      <c r="E73" s="395">
        <f t="shared" si="5"/>
        <v>76.178326883156501</v>
      </c>
    </row>
    <row r="74" spans="1:5" ht="14.1" customHeight="1" x14ac:dyDescent="0.2">
      <c r="A74" s="391" t="s">
        <v>6</v>
      </c>
      <c r="B74" s="391" t="s">
        <v>59</v>
      </c>
      <c r="C74" s="395">
        <v>898.48696425770629</v>
      </c>
      <c r="D74" s="395">
        <v>426.76324734435553</v>
      </c>
      <c r="E74" s="395">
        <f t="shared" si="5"/>
        <v>1325.2502116020619</v>
      </c>
    </row>
    <row r="75" spans="1:5" ht="14.1" customHeight="1" x14ac:dyDescent="0.2">
      <c r="A75" s="391" t="s">
        <v>6</v>
      </c>
      <c r="B75" s="391" t="s">
        <v>60</v>
      </c>
      <c r="C75" s="395">
        <v>66.177394315904564</v>
      </c>
      <c r="D75" s="395">
        <v>9.2117850022302772</v>
      </c>
      <c r="E75" s="395">
        <f t="shared" si="5"/>
        <v>75.389179318134836</v>
      </c>
    </row>
    <row r="76" spans="1:5" ht="14.1" customHeight="1" x14ac:dyDescent="0.2">
      <c r="A76" s="391" t="s">
        <v>6</v>
      </c>
      <c r="B76" s="391" t="s">
        <v>61</v>
      </c>
      <c r="C76" s="395">
        <v>936.90578726935689</v>
      </c>
      <c r="D76" s="398">
        <v>373.56781645895433</v>
      </c>
      <c r="E76" s="395">
        <f t="shared" si="5"/>
        <v>1310.4736037283112</v>
      </c>
    </row>
    <row r="77" spans="1:5" ht="14.1" customHeight="1" x14ac:dyDescent="0.2">
      <c r="A77" s="391" t="s">
        <v>6</v>
      </c>
      <c r="B77" s="391" t="s">
        <v>62</v>
      </c>
      <c r="C77" s="395">
        <v>228.62341764789187</v>
      </c>
      <c r="D77" s="395">
        <v>31.1091312076313</v>
      </c>
      <c r="E77" s="395">
        <f t="shared" si="5"/>
        <v>259.73254885552319</v>
      </c>
    </row>
    <row r="78" spans="1:5" ht="14.1" customHeight="1" x14ac:dyDescent="0.2">
      <c r="A78" s="391" t="s">
        <v>6</v>
      </c>
      <c r="B78" s="391" t="s">
        <v>63</v>
      </c>
      <c r="C78" s="395">
        <v>0</v>
      </c>
      <c r="D78" s="395">
        <v>302.52955575341196</v>
      </c>
      <c r="E78" s="395">
        <f t="shared" si="5"/>
        <v>302.52955575341196</v>
      </c>
    </row>
    <row r="79" spans="1:5" ht="14.1" customHeight="1" x14ac:dyDescent="0.2">
      <c r="A79" s="391" t="s">
        <v>6</v>
      </c>
      <c r="B79" s="391" t="s">
        <v>64</v>
      </c>
      <c r="C79" s="395">
        <v>0.37228373897457556</v>
      </c>
      <c r="D79" s="395">
        <v>91.780835852047247</v>
      </c>
      <c r="E79" s="395">
        <f t="shared" si="5"/>
        <v>92.15311959102182</v>
      </c>
    </row>
    <row r="80" spans="1:5" ht="14.1" customHeight="1" x14ac:dyDescent="0.2">
      <c r="A80" s="391" t="s">
        <v>6</v>
      </c>
      <c r="B80" s="391" t="s">
        <v>65</v>
      </c>
      <c r="C80" s="395">
        <v>0</v>
      </c>
      <c r="D80" s="395">
        <v>102.76855414962478</v>
      </c>
      <c r="E80" s="395">
        <f t="shared" si="5"/>
        <v>102.76855414962478</v>
      </c>
    </row>
    <row r="81" spans="1:5" ht="14.1" customHeight="1" x14ac:dyDescent="0.2">
      <c r="A81" s="391" t="s">
        <v>6</v>
      </c>
      <c r="B81" s="391" t="s">
        <v>66</v>
      </c>
      <c r="C81" s="395">
        <v>329.61798604136203</v>
      </c>
      <c r="D81" s="395">
        <v>278.94929393697134</v>
      </c>
      <c r="E81" s="395">
        <f t="shared" si="5"/>
        <v>608.56727997833332</v>
      </c>
    </row>
    <row r="82" spans="1:5" ht="14.1" customHeight="1" x14ac:dyDescent="0.2">
      <c r="A82" s="391" t="s">
        <v>6</v>
      </c>
      <c r="B82" s="391" t="s">
        <v>67</v>
      </c>
      <c r="C82" s="395">
        <v>693.94211925717048</v>
      </c>
      <c r="D82" s="395">
        <v>217.3073699850458</v>
      </c>
      <c r="E82" s="395">
        <f t="shared" si="5"/>
        <v>911.24948924221621</v>
      </c>
    </row>
    <row r="83" spans="1:5" ht="14.1" customHeight="1" x14ac:dyDescent="0.2">
      <c r="A83" s="391" t="s">
        <v>6</v>
      </c>
      <c r="B83" s="391" t="s">
        <v>68</v>
      </c>
      <c r="C83" s="395">
        <v>0</v>
      </c>
      <c r="D83" s="395">
        <v>161.53032762158912</v>
      </c>
      <c r="E83" s="395">
        <f t="shared" si="5"/>
        <v>161.53032762158912</v>
      </c>
    </row>
    <row r="84" spans="1:5" ht="14.1" customHeight="1" x14ac:dyDescent="0.2">
      <c r="A84" s="391" t="s">
        <v>6</v>
      </c>
      <c r="B84" s="391" t="s">
        <v>69</v>
      </c>
      <c r="C84" s="395">
        <v>0</v>
      </c>
      <c r="D84" s="395">
        <v>39.064050868749739</v>
      </c>
      <c r="E84" s="395">
        <f t="shared" si="5"/>
        <v>39.064050868749739</v>
      </c>
    </row>
    <row r="85" spans="1:5" ht="14.1" customHeight="1" x14ac:dyDescent="0.2">
      <c r="A85" s="391" t="s">
        <v>6</v>
      </c>
      <c r="B85" s="391" t="s">
        <v>70</v>
      </c>
      <c r="C85" s="395">
        <v>2922.6581761725656</v>
      </c>
      <c r="D85" s="395">
        <v>789.4446306612241</v>
      </c>
      <c r="E85" s="395">
        <f t="shared" si="5"/>
        <v>3712.1028068337896</v>
      </c>
    </row>
    <row r="86" spans="1:5" ht="14.1" customHeight="1" x14ac:dyDescent="0.2">
      <c r="A86" s="391" t="s">
        <v>6</v>
      </c>
      <c r="B86" s="391" t="s">
        <v>71</v>
      </c>
      <c r="C86" s="395">
        <v>1031.7879542937183</v>
      </c>
      <c r="D86" s="395">
        <v>354.41954658998327</v>
      </c>
      <c r="E86" s="395">
        <f t="shared" si="5"/>
        <v>1386.2075008837014</v>
      </c>
    </row>
    <row r="87" spans="1:5" ht="14.1" customHeight="1" x14ac:dyDescent="0.2">
      <c r="A87" s="391" t="s">
        <v>6</v>
      </c>
      <c r="B87" s="391" t="s">
        <v>72</v>
      </c>
      <c r="C87" s="395">
        <v>308.2114942498859</v>
      </c>
      <c r="D87" s="395">
        <v>252.56322667831589</v>
      </c>
      <c r="E87" s="395">
        <f t="shared" si="5"/>
        <v>560.77472092820176</v>
      </c>
    </row>
    <row r="88" spans="1:5" ht="14.1" customHeight="1" x14ac:dyDescent="0.2">
      <c r="A88" s="391" t="s">
        <v>6</v>
      </c>
      <c r="B88" s="391" t="s">
        <v>6</v>
      </c>
      <c r="C88" s="395">
        <v>2171.2109520597792</v>
      </c>
      <c r="D88" s="395">
        <v>840.92138385656483</v>
      </c>
      <c r="E88" s="395">
        <f t="shared" si="5"/>
        <v>3012.1323359163439</v>
      </c>
    </row>
    <row r="89" spans="1:5" ht="14.1" customHeight="1" x14ac:dyDescent="0.2">
      <c r="A89" s="391" t="s">
        <v>6</v>
      </c>
      <c r="B89" s="391" t="s">
        <v>73</v>
      </c>
      <c r="C89" s="395">
        <v>1774.3072713152512</v>
      </c>
      <c r="D89" s="395">
        <v>315.44897638072365</v>
      </c>
      <c r="E89" s="395">
        <f t="shared" si="5"/>
        <v>2089.7562476959747</v>
      </c>
    </row>
    <row r="90" spans="1:5" ht="14.1" customHeight="1" x14ac:dyDescent="0.2">
      <c r="A90" s="391" t="s">
        <v>6</v>
      </c>
      <c r="B90" s="391" t="s">
        <v>74</v>
      </c>
      <c r="C90" s="395">
        <v>0</v>
      </c>
      <c r="D90" s="395">
        <v>27.262996424521937</v>
      </c>
      <c r="E90" s="395">
        <f t="shared" si="5"/>
        <v>27.262996424521937</v>
      </c>
    </row>
    <row r="91" spans="1:5" ht="14.1" customHeight="1" x14ac:dyDescent="0.2">
      <c r="A91" s="391" t="s">
        <v>6</v>
      </c>
      <c r="B91" s="391" t="s">
        <v>109</v>
      </c>
      <c r="C91" s="395">
        <v>280.38031052675916</v>
      </c>
      <c r="D91" s="395">
        <v>43.11798834301792</v>
      </c>
      <c r="E91" s="395">
        <f t="shared" si="5"/>
        <v>323.4982988697771</v>
      </c>
    </row>
    <row r="92" spans="1:5" ht="14.1" customHeight="1" x14ac:dyDescent="0.2">
      <c r="A92" s="391"/>
      <c r="B92" s="391"/>
      <c r="C92" s="396">
        <f>SUM(C71:C91)</f>
        <v>11882.927467154426</v>
      </c>
      <c r="D92" s="396">
        <f>SUM(D71:D91)</f>
        <v>4887.0070047856016</v>
      </c>
      <c r="E92" s="397">
        <f t="shared" si="5"/>
        <v>16769.934471940029</v>
      </c>
    </row>
    <row r="93" spans="1:5" ht="14.1" customHeight="1" x14ac:dyDescent="0.2">
      <c r="A93" s="391"/>
      <c r="B93" s="391"/>
      <c r="C93" s="395"/>
      <c r="D93" s="395"/>
      <c r="E93" s="395"/>
    </row>
    <row r="94" spans="1:5" ht="14.1" customHeight="1" x14ac:dyDescent="0.2">
      <c r="A94" s="391" t="s">
        <v>7</v>
      </c>
      <c r="B94" s="391" t="s">
        <v>75</v>
      </c>
      <c r="C94" s="395">
        <v>392.17428419959492</v>
      </c>
      <c r="D94" s="395">
        <v>462.66745899679853</v>
      </c>
      <c r="E94" s="395">
        <f t="shared" ref="E94:E110" si="6">C94+D94</f>
        <v>854.84174319639351</v>
      </c>
    </row>
    <row r="95" spans="1:5" ht="14.1" customHeight="1" x14ac:dyDescent="0.2">
      <c r="A95" s="391" t="s">
        <v>7</v>
      </c>
      <c r="B95" s="391" t="s">
        <v>76</v>
      </c>
      <c r="C95" s="395">
        <v>610.13950154799829</v>
      </c>
      <c r="D95" s="395">
        <v>439.35462971973965</v>
      </c>
      <c r="E95" s="395">
        <f t="shared" si="6"/>
        <v>1049.4941312677379</v>
      </c>
    </row>
    <row r="96" spans="1:5" ht="14.1" customHeight="1" x14ac:dyDescent="0.2">
      <c r="A96" s="391" t="s">
        <v>7</v>
      </c>
      <c r="B96" s="391" t="s">
        <v>77</v>
      </c>
      <c r="C96" s="395">
        <v>507.49983106985439</v>
      </c>
      <c r="D96" s="395">
        <v>281.08567212444291</v>
      </c>
      <c r="E96" s="395">
        <f t="shared" si="6"/>
        <v>788.5855031942973</v>
      </c>
    </row>
    <row r="97" spans="1:5" ht="14.1" customHeight="1" x14ac:dyDescent="0.2">
      <c r="A97" s="391" t="s">
        <v>7</v>
      </c>
      <c r="B97" s="391" t="s">
        <v>78</v>
      </c>
      <c r="C97" s="395">
        <v>0</v>
      </c>
      <c r="D97" s="395">
        <v>363.30878448213076</v>
      </c>
      <c r="E97" s="395">
        <f t="shared" si="6"/>
        <v>363.30878448213076</v>
      </c>
    </row>
    <row r="98" spans="1:5" ht="14.1" customHeight="1" x14ac:dyDescent="0.2">
      <c r="A98" s="391" t="s">
        <v>7</v>
      </c>
      <c r="B98" s="391" t="s">
        <v>79</v>
      </c>
      <c r="C98" s="395">
        <v>0</v>
      </c>
      <c r="D98" s="395">
        <v>32.9468755218006</v>
      </c>
      <c r="E98" s="395">
        <f t="shared" si="6"/>
        <v>32.9468755218006</v>
      </c>
    </row>
    <row r="99" spans="1:5" ht="14.1" customHeight="1" x14ac:dyDescent="0.2">
      <c r="A99" s="391" t="s">
        <v>7</v>
      </c>
      <c r="B99" s="391" t="s">
        <v>80</v>
      </c>
      <c r="C99" s="395">
        <v>0.29348668235646924</v>
      </c>
      <c r="D99" s="395">
        <v>222.24941211094122</v>
      </c>
      <c r="E99" s="395">
        <f t="shared" si="6"/>
        <v>222.5428987932977</v>
      </c>
    </row>
    <row r="100" spans="1:5" ht="14.1" customHeight="1" x14ac:dyDescent="0.2">
      <c r="A100" s="391" t="s">
        <v>7</v>
      </c>
      <c r="B100" s="391" t="s">
        <v>81</v>
      </c>
      <c r="C100" s="395">
        <v>1921.6116690308602</v>
      </c>
      <c r="D100" s="395">
        <v>1707.4400091587881</v>
      </c>
      <c r="E100" s="395">
        <f t="shared" si="6"/>
        <v>3629.0516781896486</v>
      </c>
    </row>
    <row r="101" spans="1:5" ht="14.1" customHeight="1" x14ac:dyDescent="0.2">
      <c r="A101" s="391" t="s">
        <v>7</v>
      </c>
      <c r="B101" s="391" t="s">
        <v>82</v>
      </c>
      <c r="C101" s="395">
        <v>0</v>
      </c>
      <c r="D101" s="395">
        <v>32.475090639237784</v>
      </c>
      <c r="E101" s="395">
        <f t="shared" si="6"/>
        <v>32.475090639237784</v>
      </c>
    </row>
    <row r="102" spans="1:5" ht="14.1" customHeight="1" x14ac:dyDescent="0.2">
      <c r="A102" s="391" t="s">
        <v>7</v>
      </c>
      <c r="B102" s="391" t="s">
        <v>83</v>
      </c>
      <c r="C102" s="395">
        <v>372.0031604320821</v>
      </c>
      <c r="D102" s="395">
        <v>754.0833526644584</v>
      </c>
      <c r="E102" s="395">
        <f t="shared" si="6"/>
        <v>1126.0865130965406</v>
      </c>
    </row>
    <row r="103" spans="1:5" ht="14.1" customHeight="1" x14ac:dyDescent="0.2">
      <c r="A103" s="391" t="s">
        <v>7</v>
      </c>
      <c r="B103" s="391" t="s">
        <v>84</v>
      </c>
      <c r="C103" s="395">
        <v>2281.1388226601148</v>
      </c>
      <c r="D103" s="395">
        <v>610.12706940416842</v>
      </c>
      <c r="E103" s="395">
        <f t="shared" si="6"/>
        <v>2891.2658920642834</v>
      </c>
    </row>
    <row r="104" spans="1:5" ht="14.1" customHeight="1" x14ac:dyDescent="0.2">
      <c r="A104" s="391" t="s">
        <v>7</v>
      </c>
      <c r="B104" s="391" t="s">
        <v>85</v>
      </c>
      <c r="C104" s="395">
        <v>226.10262115565951</v>
      </c>
      <c r="D104" s="398">
        <v>1763.14289335488</v>
      </c>
      <c r="E104" s="395">
        <f t="shared" si="6"/>
        <v>1989.2455145105396</v>
      </c>
    </row>
    <row r="105" spans="1:5" ht="14.1" customHeight="1" x14ac:dyDescent="0.2">
      <c r="A105" s="391" t="s">
        <v>7</v>
      </c>
      <c r="B105" s="391" t="s">
        <v>86</v>
      </c>
      <c r="C105" s="395">
        <v>29810.301349018009</v>
      </c>
      <c r="D105" s="398">
        <v>5957.1946808377779</v>
      </c>
      <c r="E105" s="395">
        <f t="shared" si="6"/>
        <v>35767.496029855785</v>
      </c>
    </row>
    <row r="106" spans="1:5" ht="14.1" customHeight="1" x14ac:dyDescent="0.2">
      <c r="A106" s="391" t="s">
        <v>7</v>
      </c>
      <c r="B106" s="391" t="s">
        <v>7</v>
      </c>
      <c r="C106" s="395">
        <v>2214.2768283465243</v>
      </c>
      <c r="D106" s="398">
        <v>1941.9432492223411</v>
      </c>
      <c r="E106" s="395">
        <f t="shared" si="6"/>
        <v>4156.2200775688652</v>
      </c>
    </row>
    <row r="107" spans="1:5" ht="14.1" customHeight="1" x14ac:dyDescent="0.2">
      <c r="A107" s="391" t="s">
        <v>7</v>
      </c>
      <c r="B107" s="391" t="s">
        <v>87</v>
      </c>
      <c r="C107" s="395">
        <v>0</v>
      </c>
      <c r="D107" s="398">
        <v>219.73758042048101</v>
      </c>
      <c r="E107" s="395">
        <f t="shared" si="6"/>
        <v>219.73758042048101</v>
      </c>
    </row>
    <row r="108" spans="1:5" ht="14.1" customHeight="1" x14ac:dyDescent="0.2">
      <c r="A108" s="391" t="s">
        <v>7</v>
      </c>
      <c r="B108" s="391" t="s">
        <v>88</v>
      </c>
      <c r="C108" s="395">
        <v>4013.3530543262559</v>
      </c>
      <c r="D108" s="398">
        <v>1810.4262077229519</v>
      </c>
      <c r="E108" s="395">
        <f t="shared" si="6"/>
        <v>5823.7792620492073</v>
      </c>
    </row>
    <row r="109" spans="1:5" ht="14.1" customHeight="1" x14ac:dyDescent="0.2">
      <c r="A109" s="391" t="s">
        <v>7</v>
      </c>
      <c r="B109" s="391" t="s">
        <v>110</v>
      </c>
      <c r="C109" s="395">
        <v>0</v>
      </c>
      <c r="D109" s="398">
        <v>115.48922678361042</v>
      </c>
      <c r="E109" s="395">
        <f t="shared" si="6"/>
        <v>115.48922678361042</v>
      </c>
    </row>
    <row r="110" spans="1:5" ht="14.1" customHeight="1" x14ac:dyDescent="0.2">
      <c r="A110" s="391"/>
      <c r="B110" s="391"/>
      <c r="C110" s="396">
        <f>SUM(C94:C109)</f>
        <v>42348.894608469309</v>
      </c>
      <c r="D110" s="396">
        <f>SUM(D94:D109)</f>
        <v>16713.672193164548</v>
      </c>
      <c r="E110" s="397">
        <f t="shared" si="6"/>
        <v>59062.56680163386</v>
      </c>
    </row>
    <row r="111" spans="1:5" ht="14.1" customHeight="1" x14ac:dyDescent="0.2">
      <c r="A111" s="391"/>
      <c r="B111" s="391"/>
      <c r="C111" s="395"/>
      <c r="D111" s="395"/>
      <c r="E111" s="395"/>
    </row>
    <row r="112" spans="1:5" ht="14.1" customHeight="1" x14ac:dyDescent="0.2">
      <c r="A112" s="391" t="s">
        <v>8</v>
      </c>
      <c r="B112" s="391" t="s">
        <v>89</v>
      </c>
      <c r="C112" s="395">
        <v>226.40137046681949</v>
      </c>
      <c r="D112" s="395">
        <v>145.11151638295013</v>
      </c>
      <c r="E112" s="395">
        <f t="shared" ref="E112:E120" si="7">C112+D112</f>
        <v>371.51288684976964</v>
      </c>
    </row>
    <row r="113" spans="1:5" ht="14.1" customHeight="1" x14ac:dyDescent="0.2">
      <c r="A113" s="391" t="s">
        <v>8</v>
      </c>
      <c r="B113" s="391" t="s">
        <v>90</v>
      </c>
      <c r="C113" s="395">
        <v>64.391038986372649</v>
      </c>
      <c r="D113" s="395">
        <v>70.298690778235397</v>
      </c>
      <c r="E113" s="395">
        <f t="shared" si="7"/>
        <v>134.68972976460805</v>
      </c>
    </row>
    <row r="114" spans="1:5" ht="14.1" customHeight="1" x14ac:dyDescent="0.2">
      <c r="A114" s="391" t="s">
        <v>8</v>
      </c>
      <c r="B114" s="391" t="s">
        <v>91</v>
      </c>
      <c r="C114" s="395">
        <v>2669.199540602855</v>
      </c>
      <c r="D114" s="395">
        <v>794.66388515135077</v>
      </c>
      <c r="E114" s="395">
        <f t="shared" si="7"/>
        <v>3463.8634257542058</v>
      </c>
    </row>
    <row r="115" spans="1:5" ht="14.1" customHeight="1" x14ac:dyDescent="0.2">
      <c r="A115" s="391" t="s">
        <v>8</v>
      </c>
      <c r="B115" s="391" t="s">
        <v>92</v>
      </c>
      <c r="C115" s="395">
        <v>89.718760656686158</v>
      </c>
      <c r="D115" s="395">
        <v>16.097521725095728</v>
      </c>
      <c r="E115" s="395">
        <f t="shared" si="7"/>
        <v>105.81628238178189</v>
      </c>
    </row>
    <row r="116" spans="1:5" ht="14.1" customHeight="1" x14ac:dyDescent="0.2">
      <c r="A116" s="391" t="s">
        <v>8</v>
      </c>
      <c r="B116" s="391" t="s">
        <v>93</v>
      </c>
      <c r="C116" s="395">
        <v>258.20473375374195</v>
      </c>
      <c r="D116" s="395">
        <v>125.2185427709116</v>
      </c>
      <c r="E116" s="395">
        <f t="shared" si="7"/>
        <v>383.42327652465355</v>
      </c>
    </row>
    <row r="117" spans="1:5" ht="14.1" customHeight="1" x14ac:dyDescent="0.2">
      <c r="A117" s="391" t="s">
        <v>8</v>
      </c>
      <c r="B117" s="391" t="s">
        <v>94</v>
      </c>
      <c r="C117" s="395">
        <v>193.30774990994541</v>
      </c>
      <c r="D117" s="395">
        <v>894.03775121845808</v>
      </c>
      <c r="E117" s="395">
        <f t="shared" si="7"/>
        <v>1087.3455011284036</v>
      </c>
    </row>
    <row r="118" spans="1:5" ht="14.1" customHeight="1" x14ac:dyDescent="0.2">
      <c r="A118" s="391" t="s">
        <v>8</v>
      </c>
      <c r="B118" s="391" t="s">
        <v>95</v>
      </c>
      <c r="C118" s="395">
        <v>215.55136758153662</v>
      </c>
      <c r="D118" s="395">
        <v>500.98211109758074</v>
      </c>
      <c r="E118" s="395">
        <f t="shared" si="7"/>
        <v>716.53347867911737</v>
      </c>
    </row>
    <row r="119" spans="1:5" ht="14.1" customHeight="1" x14ac:dyDescent="0.2">
      <c r="A119" s="391" t="s">
        <v>8</v>
      </c>
      <c r="B119" s="391" t="s">
        <v>111</v>
      </c>
      <c r="C119" s="395">
        <v>0.25506821074371672</v>
      </c>
      <c r="D119" s="395">
        <v>72.216555127848636</v>
      </c>
      <c r="E119" s="395">
        <f t="shared" si="7"/>
        <v>72.471623338592352</v>
      </c>
    </row>
    <row r="120" spans="1:5" ht="14.1" customHeight="1" x14ac:dyDescent="0.2">
      <c r="A120" s="391"/>
      <c r="B120" s="391"/>
      <c r="C120" s="396">
        <f>SUM(C112:C119)</f>
        <v>3717.0296301687008</v>
      </c>
      <c r="D120" s="396">
        <f>SUM(D112:D119)</f>
        <v>2618.6265742524311</v>
      </c>
      <c r="E120" s="397">
        <f t="shared" si="7"/>
        <v>6335.6562044211314</v>
      </c>
    </row>
    <row r="121" spans="1:5" ht="14.1" customHeight="1" x14ac:dyDescent="0.2">
      <c r="A121" s="391"/>
      <c r="B121" s="391"/>
      <c r="C121" s="395"/>
      <c r="D121" s="395"/>
      <c r="E121" s="395"/>
    </row>
    <row r="122" spans="1:5" ht="14.1" customHeight="1" x14ac:dyDescent="0.2">
      <c r="A122" s="391" t="s">
        <v>9</v>
      </c>
      <c r="B122" s="391" t="s">
        <v>96</v>
      </c>
      <c r="C122" s="395">
        <v>183.57292457254582</v>
      </c>
      <c r="D122" s="395">
        <v>50.909868225865537</v>
      </c>
      <c r="E122" s="395">
        <f t="shared" ref="E122:E132" si="8">C122+D122</f>
        <v>234.48279279841137</v>
      </c>
    </row>
    <row r="123" spans="1:5" ht="14.1" customHeight="1" x14ac:dyDescent="0.2">
      <c r="A123" s="391" t="s">
        <v>9</v>
      </c>
      <c r="B123" s="391" t="s">
        <v>97</v>
      </c>
      <c r="C123" s="395">
        <v>100.9447710836137</v>
      </c>
      <c r="D123" s="395">
        <v>45.767189070917247</v>
      </c>
      <c r="E123" s="395">
        <f t="shared" si="8"/>
        <v>146.71196015453094</v>
      </c>
    </row>
    <row r="124" spans="1:5" ht="14.1" customHeight="1" x14ac:dyDescent="0.2">
      <c r="A124" s="391" t="s">
        <v>9</v>
      </c>
      <c r="B124" s="391" t="s">
        <v>98</v>
      </c>
      <c r="C124" s="395">
        <v>0</v>
      </c>
      <c r="D124" s="395">
        <v>56.706490543876654</v>
      </c>
      <c r="E124" s="395">
        <f t="shared" si="8"/>
        <v>56.706490543876654</v>
      </c>
    </row>
    <row r="125" spans="1:5" ht="14.1" customHeight="1" x14ac:dyDescent="0.2">
      <c r="A125" s="391" t="s">
        <v>9</v>
      </c>
      <c r="B125" s="391" t="s">
        <v>99</v>
      </c>
      <c r="C125" s="395">
        <v>422.6979272681786</v>
      </c>
      <c r="D125" s="395">
        <v>284.31227142661459</v>
      </c>
      <c r="E125" s="395">
        <f t="shared" si="8"/>
        <v>707.01019869479319</v>
      </c>
    </row>
    <row r="126" spans="1:5" ht="14.1" customHeight="1" x14ac:dyDescent="0.2">
      <c r="A126" s="391" t="s">
        <v>9</v>
      </c>
      <c r="B126" s="391" t="s">
        <v>100</v>
      </c>
      <c r="C126" s="395">
        <v>711.63408787717049</v>
      </c>
      <c r="D126" s="395">
        <v>263.45177901962404</v>
      </c>
      <c r="E126" s="395">
        <f t="shared" si="8"/>
        <v>975.08586689679453</v>
      </c>
    </row>
    <row r="127" spans="1:5" ht="14.1" customHeight="1" x14ac:dyDescent="0.2">
      <c r="A127" s="391" t="s">
        <v>9</v>
      </c>
      <c r="B127" s="391" t="s">
        <v>101</v>
      </c>
      <c r="C127" s="395">
        <v>3016.6502472183115</v>
      </c>
      <c r="D127" s="395">
        <v>1876.7859669479978</v>
      </c>
      <c r="E127" s="395">
        <f t="shared" si="8"/>
        <v>4893.4362141663096</v>
      </c>
    </row>
    <row r="128" spans="1:5" ht="14.1" customHeight="1" x14ac:dyDescent="0.2">
      <c r="A128" s="391" t="s">
        <v>9</v>
      </c>
      <c r="B128" s="391" t="s">
        <v>102</v>
      </c>
      <c r="C128" s="395">
        <v>96.426414134685615</v>
      </c>
      <c r="D128" s="395">
        <v>26.844651622207532</v>
      </c>
      <c r="E128" s="395">
        <f t="shared" si="8"/>
        <v>123.27106575689315</v>
      </c>
    </row>
    <row r="129" spans="1:5" ht="14.1" customHeight="1" x14ac:dyDescent="0.2">
      <c r="A129" s="391" t="s">
        <v>9</v>
      </c>
      <c r="B129" s="391" t="s">
        <v>9</v>
      </c>
      <c r="C129" s="395">
        <v>0.33307687793600688</v>
      </c>
      <c r="D129" s="395">
        <v>84.05039764183239</v>
      </c>
      <c r="E129" s="395">
        <f t="shared" si="8"/>
        <v>84.383474519768399</v>
      </c>
    </row>
    <row r="130" spans="1:5" ht="14.1" customHeight="1" x14ac:dyDescent="0.2">
      <c r="A130" s="391" t="s">
        <v>9</v>
      </c>
      <c r="B130" s="391" t="s">
        <v>103</v>
      </c>
      <c r="C130" s="395">
        <v>296.08180518488001</v>
      </c>
      <c r="D130" s="395">
        <v>214.79766597265831</v>
      </c>
      <c r="E130" s="395">
        <f t="shared" si="8"/>
        <v>510.87947115753832</v>
      </c>
    </row>
    <row r="131" spans="1:5" ht="14.1" customHeight="1" x14ac:dyDescent="0.2">
      <c r="A131" s="391" t="s">
        <v>9</v>
      </c>
      <c r="B131" s="391" t="s">
        <v>112</v>
      </c>
      <c r="C131" s="395">
        <v>822.91130315194948</v>
      </c>
      <c r="D131" s="395">
        <v>112.32096095172039</v>
      </c>
      <c r="E131" s="395">
        <f t="shared" si="8"/>
        <v>935.23226410366988</v>
      </c>
    </row>
    <row r="132" spans="1:5" ht="14.1" customHeight="1" x14ac:dyDescent="0.2">
      <c r="C132" s="396">
        <f>SUM(C122:C131)</f>
        <v>5651.252557369271</v>
      </c>
      <c r="D132" s="396">
        <f>SUM(D122:D131)</f>
        <v>3015.9472414233142</v>
      </c>
      <c r="E132" s="397">
        <f t="shared" si="8"/>
        <v>8667.1997987925861</v>
      </c>
    </row>
    <row r="133" spans="1:5" ht="14.1" customHeight="1" x14ac:dyDescent="0.2">
      <c r="C133" s="395"/>
      <c r="D133" s="395"/>
      <c r="E133" s="395"/>
    </row>
    <row r="134" spans="1:5" ht="14.1" customHeight="1" x14ac:dyDescent="0.2">
      <c r="B134" s="386" t="s">
        <v>126</v>
      </c>
      <c r="C134" s="396">
        <f>C22+C44+C58+C66+C69+C92+C110+C120+C132</f>
        <v>131593</v>
      </c>
      <c r="D134" s="396">
        <f>D22+D44+D58+D66+D69+D92+D110+D120+D132</f>
        <v>56396.999999999993</v>
      </c>
      <c r="E134" s="396">
        <f>E22+E44+E58+E66+E69+E92+E110+E120+E132</f>
        <v>187990</v>
      </c>
    </row>
    <row r="135" spans="1:5" ht="14.1" customHeight="1" x14ac:dyDescent="0.2"/>
    <row r="136" spans="1:5" s="393" customFormat="1" ht="14.1" customHeight="1" x14ac:dyDescent="0.2">
      <c r="A136" s="385"/>
    </row>
    <row r="137" spans="1:5" s="393" customFormat="1" ht="14.1" customHeight="1" x14ac:dyDescent="0.2">
      <c r="A137" s="385" t="s">
        <v>252</v>
      </c>
    </row>
    <row r="139" spans="1:5" x14ac:dyDescent="0.2">
      <c r="C139" s="394"/>
    </row>
  </sheetData>
  <sheetProtection password="F9C7" sheet="1" objects="1" scenarios="1"/>
  <customSheetViews>
    <customSheetView guid="{BC08DE87-18C8-407E-8DD9-6A341751A826}">
      <pane xSplit="2" ySplit="3" topLeftCell="C4" activePane="bottomRight" state="frozen"/>
      <selection pane="bottomRight"/>
      <rowBreaks count="2" manualBreakCount="2">
        <brk id="42" max="16383" man="1"/>
        <brk id="90" max="16383" man="1"/>
      </rowBreaks>
      <pageMargins left="0.5" right="0.5" top="0.5" bottom="0.25" header="0.5" footer="0.5"/>
      <pageSetup scale="87" orientation="landscape"/>
      <headerFooter alignWithMargins="0"/>
    </customSheetView>
  </customSheetViews>
  <mergeCells count="2">
    <mergeCell ref="A1:E1"/>
    <mergeCell ref="A2:E2"/>
  </mergeCells>
  <phoneticPr fontId="3" type="noConversion"/>
  <pageMargins left="1" right="1" top="1" bottom="1" header="0.5" footer="0.5"/>
  <pageSetup paperSize="5" scale="86" orientation="portrait" r:id="rId1"/>
  <headerFooter alignWithMargins="0"/>
  <rowBreaks count="1" manualBreakCount="1">
    <brk id="6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/>
  </sheetViews>
  <sheetFormatPr defaultRowHeight="12.75" x14ac:dyDescent="0.2"/>
  <cols>
    <col min="1" max="1" width="30.7109375" style="46" customWidth="1"/>
    <col min="2" max="5" width="12.7109375" style="46" customWidth="1"/>
    <col min="6" max="6" width="15.7109375" style="46" customWidth="1"/>
  </cols>
  <sheetData>
    <row r="1" spans="1:6" ht="21" x14ac:dyDescent="0.35">
      <c r="A1" s="399" t="s">
        <v>268</v>
      </c>
      <c r="B1" s="400" t="s">
        <v>269</v>
      </c>
    </row>
    <row r="2" spans="1:6" x14ac:dyDescent="0.2">
      <c r="A2" s="401"/>
      <c r="B2" s="402"/>
      <c r="C2" s="402"/>
      <c r="D2" s="402"/>
      <c r="E2" s="402"/>
      <c r="F2" s="402"/>
    </row>
    <row r="3" spans="1:6" ht="38.25" x14ac:dyDescent="0.2">
      <c r="A3" s="176"/>
      <c r="B3" s="403" t="s">
        <v>218</v>
      </c>
      <c r="C3" s="403" t="s">
        <v>219</v>
      </c>
      <c r="D3" s="403" t="s">
        <v>220</v>
      </c>
      <c r="E3" s="403" t="s">
        <v>221</v>
      </c>
      <c r="F3" s="404" t="s">
        <v>206</v>
      </c>
    </row>
    <row r="4" spans="1:6" x14ac:dyDescent="0.2">
      <c r="F4" s="405"/>
    </row>
    <row r="5" spans="1:6" x14ac:dyDescent="0.2">
      <c r="B5" s="406"/>
      <c r="C5" s="406"/>
      <c r="D5" s="406"/>
      <c r="E5" s="406"/>
      <c r="F5" s="407"/>
    </row>
    <row r="6" spans="1:6" ht="15.75" x14ac:dyDescent="0.25">
      <c r="A6" s="169" t="s">
        <v>207</v>
      </c>
      <c r="B6" s="408">
        <f>B25+B48+B63+B72+B76+B100+B119+B130+B143</f>
        <v>46680</v>
      </c>
      <c r="C6" s="408">
        <f>C25+C48+C63+C72+C76+C100+C119+C130+C143</f>
        <v>28940</v>
      </c>
      <c r="D6" s="408">
        <f>D25+D48+D63+D72+D76+D100+D119+D130+D143</f>
        <v>33420</v>
      </c>
      <c r="E6" s="408">
        <f>E25+E48+E63+E72+E76+E100+E119+E130+E143</f>
        <v>78950</v>
      </c>
      <c r="F6" s="409">
        <f>F25+F48+F63+F72+F76+F100+F119+F130+F143</f>
        <v>187990</v>
      </c>
    </row>
    <row r="7" spans="1:6" x14ac:dyDescent="0.2">
      <c r="B7" s="406"/>
      <c r="C7" s="406"/>
      <c r="D7" s="406"/>
      <c r="E7" s="406"/>
      <c r="F7" s="407"/>
    </row>
    <row r="8" spans="1:6" x14ac:dyDescent="0.2">
      <c r="B8" s="406"/>
      <c r="C8" s="406"/>
      <c r="D8" s="406"/>
      <c r="E8" s="406"/>
      <c r="F8" s="407"/>
    </row>
    <row r="9" spans="1:6" ht="15.75" x14ac:dyDescent="0.25">
      <c r="A9" s="169" t="s">
        <v>116</v>
      </c>
      <c r="B9" s="406"/>
      <c r="C9" s="406"/>
      <c r="D9" s="406"/>
      <c r="E9" s="406"/>
      <c r="F9" s="407"/>
    </row>
    <row r="10" spans="1:6" x14ac:dyDescent="0.2">
      <c r="A10" s="46" t="s">
        <v>1</v>
      </c>
      <c r="B10" s="406">
        <v>444</v>
      </c>
      <c r="C10" s="406">
        <v>248</v>
      </c>
      <c r="D10" s="406">
        <v>283</v>
      </c>
      <c r="E10" s="406">
        <v>748</v>
      </c>
      <c r="F10" s="407">
        <f>SUM(B10:E10)</f>
        <v>1723</v>
      </c>
    </row>
    <row r="11" spans="1:6" x14ac:dyDescent="0.2">
      <c r="A11" s="46" t="s">
        <v>10</v>
      </c>
      <c r="B11" s="406">
        <v>80</v>
      </c>
      <c r="C11" s="406">
        <v>53</v>
      </c>
      <c r="D11" s="406">
        <v>57</v>
      </c>
      <c r="E11" s="406">
        <v>145</v>
      </c>
      <c r="F11" s="407">
        <f t="shared" ref="F11:F24" si="0">SUM(B11:E11)</f>
        <v>335</v>
      </c>
    </row>
    <row r="12" spans="1:6" x14ac:dyDescent="0.2">
      <c r="A12" s="46" t="s">
        <v>11</v>
      </c>
      <c r="B12" s="406">
        <v>532</v>
      </c>
      <c r="C12" s="406">
        <v>442</v>
      </c>
      <c r="D12" s="406">
        <v>584</v>
      </c>
      <c r="E12" s="406">
        <v>1401</v>
      </c>
      <c r="F12" s="407">
        <f t="shared" si="0"/>
        <v>2959</v>
      </c>
    </row>
    <row r="13" spans="1:6" x14ac:dyDescent="0.2">
      <c r="A13" s="46" t="s">
        <v>12</v>
      </c>
      <c r="B13" s="406">
        <v>796</v>
      </c>
      <c r="C13" s="406">
        <v>446</v>
      </c>
      <c r="D13" s="406">
        <v>425</v>
      </c>
      <c r="E13" s="406">
        <v>618</v>
      </c>
      <c r="F13" s="407">
        <f t="shared" si="0"/>
        <v>2285</v>
      </c>
    </row>
    <row r="14" spans="1:6" x14ac:dyDescent="0.2">
      <c r="A14" s="46" t="s">
        <v>13</v>
      </c>
      <c r="B14" s="406">
        <v>276</v>
      </c>
      <c r="C14" s="406">
        <v>211</v>
      </c>
      <c r="D14" s="406">
        <v>259</v>
      </c>
      <c r="E14" s="406">
        <v>752</v>
      </c>
      <c r="F14" s="407">
        <f t="shared" si="0"/>
        <v>1498</v>
      </c>
    </row>
    <row r="15" spans="1:6" x14ac:dyDescent="0.2">
      <c r="A15" s="46" t="s">
        <v>14</v>
      </c>
      <c r="B15" s="406">
        <v>1714</v>
      </c>
      <c r="C15" s="406">
        <v>926</v>
      </c>
      <c r="D15" s="406">
        <v>978</v>
      </c>
      <c r="E15" s="406">
        <v>1837</v>
      </c>
      <c r="F15" s="407">
        <f t="shared" si="0"/>
        <v>5455</v>
      </c>
    </row>
    <row r="16" spans="1:6" x14ac:dyDescent="0.2">
      <c r="A16" s="46" t="s">
        <v>15</v>
      </c>
      <c r="B16" s="406">
        <v>851</v>
      </c>
      <c r="C16" s="406">
        <v>480</v>
      </c>
      <c r="D16" s="406">
        <v>608</v>
      </c>
      <c r="E16" s="406">
        <v>1981</v>
      </c>
      <c r="F16" s="407">
        <f t="shared" si="0"/>
        <v>3920</v>
      </c>
    </row>
    <row r="17" spans="1:6" x14ac:dyDescent="0.2">
      <c r="A17" s="46" t="s">
        <v>16</v>
      </c>
      <c r="B17" s="406">
        <v>839</v>
      </c>
      <c r="C17" s="406">
        <v>474</v>
      </c>
      <c r="D17" s="406">
        <v>496</v>
      </c>
      <c r="E17" s="406">
        <v>920</v>
      </c>
      <c r="F17" s="407">
        <f t="shared" si="0"/>
        <v>2729</v>
      </c>
    </row>
    <row r="18" spans="1:6" x14ac:dyDescent="0.2">
      <c r="A18" s="46" t="s">
        <v>17</v>
      </c>
      <c r="B18" s="406">
        <v>330</v>
      </c>
      <c r="C18" s="406">
        <v>167</v>
      </c>
      <c r="D18" s="406">
        <v>158</v>
      </c>
      <c r="E18" s="406">
        <v>423</v>
      </c>
      <c r="F18" s="407">
        <f t="shared" si="0"/>
        <v>1078</v>
      </c>
    </row>
    <row r="19" spans="1:6" x14ac:dyDescent="0.2">
      <c r="A19" s="46" t="s">
        <v>18</v>
      </c>
      <c r="B19" s="406">
        <v>2059</v>
      </c>
      <c r="C19" s="406">
        <v>2075</v>
      </c>
      <c r="D19" s="406">
        <v>2815</v>
      </c>
      <c r="E19" s="406">
        <v>7816</v>
      </c>
      <c r="F19" s="407">
        <f t="shared" si="0"/>
        <v>14765</v>
      </c>
    </row>
    <row r="20" spans="1:6" x14ac:dyDescent="0.2">
      <c r="A20" s="46" t="s">
        <v>19</v>
      </c>
      <c r="B20" s="406">
        <v>24</v>
      </c>
      <c r="C20" s="406">
        <v>14</v>
      </c>
      <c r="D20" s="406">
        <v>15</v>
      </c>
      <c r="E20" s="406">
        <v>7</v>
      </c>
      <c r="F20" s="407">
        <f t="shared" si="0"/>
        <v>60</v>
      </c>
    </row>
    <row r="21" spans="1:6" x14ac:dyDescent="0.2">
      <c r="A21" s="46" t="s">
        <v>20</v>
      </c>
      <c r="B21" s="406">
        <v>716</v>
      </c>
      <c r="C21" s="406">
        <v>391</v>
      </c>
      <c r="D21" s="406">
        <v>407</v>
      </c>
      <c r="E21" s="406">
        <v>553</v>
      </c>
      <c r="F21" s="407">
        <f t="shared" si="0"/>
        <v>2067</v>
      </c>
    </row>
    <row r="22" spans="1:6" x14ac:dyDescent="0.2">
      <c r="A22" s="46" t="s">
        <v>21</v>
      </c>
      <c r="B22" s="406">
        <v>504</v>
      </c>
      <c r="C22" s="406">
        <v>270</v>
      </c>
      <c r="D22" s="406">
        <v>352</v>
      </c>
      <c r="E22" s="406">
        <v>1161</v>
      </c>
      <c r="F22" s="407">
        <f t="shared" si="0"/>
        <v>2287</v>
      </c>
    </row>
    <row r="23" spans="1:6" x14ac:dyDescent="0.2">
      <c r="A23" s="46" t="s">
        <v>22</v>
      </c>
      <c r="B23" s="406">
        <v>317</v>
      </c>
      <c r="C23" s="406">
        <v>180</v>
      </c>
      <c r="D23" s="406">
        <v>192</v>
      </c>
      <c r="E23" s="406">
        <v>417</v>
      </c>
      <c r="F23" s="407">
        <f t="shared" si="0"/>
        <v>1106</v>
      </c>
    </row>
    <row r="24" spans="1:6" x14ac:dyDescent="0.2">
      <c r="A24" s="46" t="s">
        <v>105</v>
      </c>
      <c r="B24" s="406">
        <v>430</v>
      </c>
      <c r="C24" s="406">
        <v>227</v>
      </c>
      <c r="D24" s="406">
        <v>295</v>
      </c>
      <c r="E24" s="406">
        <v>817</v>
      </c>
      <c r="F24" s="407">
        <f t="shared" si="0"/>
        <v>1769</v>
      </c>
    </row>
    <row r="25" spans="1:6" x14ac:dyDescent="0.2">
      <c r="B25" s="408">
        <f>SUM(B10:B24)</f>
        <v>9912</v>
      </c>
      <c r="C25" s="408">
        <f>SUM(C10:C24)</f>
        <v>6604</v>
      </c>
      <c r="D25" s="408">
        <f>SUM(D10:D24)</f>
        <v>7924</v>
      </c>
      <c r="E25" s="408">
        <f>SUM(E10:E24)</f>
        <v>19596</v>
      </c>
      <c r="F25" s="409">
        <f>SUM(F10:F24)</f>
        <v>44036</v>
      </c>
    </row>
    <row r="26" spans="1:6" x14ac:dyDescent="0.2">
      <c r="B26" s="406"/>
      <c r="C26" s="406"/>
      <c r="D26" s="406"/>
      <c r="E26" s="406"/>
      <c r="F26" s="407"/>
    </row>
    <row r="27" spans="1:6" ht="15.75" x14ac:dyDescent="0.25">
      <c r="A27" s="169" t="s">
        <v>113</v>
      </c>
      <c r="B27" s="406"/>
      <c r="C27" s="406"/>
      <c r="D27" s="406"/>
      <c r="E27" s="406"/>
      <c r="F27" s="407"/>
    </row>
    <row r="28" spans="1:6" x14ac:dyDescent="0.2">
      <c r="A28" s="46" t="s">
        <v>23</v>
      </c>
      <c r="B28" s="406">
        <v>349</v>
      </c>
      <c r="C28" s="406">
        <v>205</v>
      </c>
      <c r="D28" s="406">
        <v>214</v>
      </c>
      <c r="E28" s="406">
        <v>680</v>
      </c>
      <c r="F28" s="407">
        <f t="shared" ref="F28:F47" si="1">SUM(B28:E28)</f>
        <v>1448</v>
      </c>
    </row>
    <row r="29" spans="1:6" x14ac:dyDescent="0.2">
      <c r="A29" s="46" t="s">
        <v>24</v>
      </c>
      <c r="B29" s="406">
        <v>234</v>
      </c>
      <c r="C29" s="406">
        <v>124</v>
      </c>
      <c r="D29" s="406">
        <v>123</v>
      </c>
      <c r="E29" s="406">
        <v>279</v>
      </c>
      <c r="F29" s="407">
        <f t="shared" si="1"/>
        <v>760</v>
      </c>
    </row>
    <row r="30" spans="1:6" x14ac:dyDescent="0.2">
      <c r="A30" s="46" t="s">
        <v>25</v>
      </c>
      <c r="B30" s="406">
        <v>51</v>
      </c>
      <c r="C30" s="406">
        <v>25</v>
      </c>
      <c r="D30" s="406">
        <v>31</v>
      </c>
      <c r="E30" s="406">
        <v>34</v>
      </c>
      <c r="F30" s="407">
        <f t="shared" si="1"/>
        <v>141</v>
      </c>
    </row>
    <row r="31" spans="1:6" x14ac:dyDescent="0.2">
      <c r="A31" s="46" t="s">
        <v>26</v>
      </c>
      <c r="B31" s="406">
        <v>798</v>
      </c>
      <c r="C31" s="406">
        <v>444</v>
      </c>
      <c r="D31" s="406">
        <v>559</v>
      </c>
      <c r="E31" s="406">
        <v>1677</v>
      </c>
      <c r="F31" s="407">
        <f t="shared" si="1"/>
        <v>3478</v>
      </c>
    </row>
    <row r="32" spans="1:6" x14ac:dyDescent="0.2">
      <c r="A32" s="46" t="s">
        <v>27</v>
      </c>
      <c r="B32" s="406">
        <v>196</v>
      </c>
      <c r="C32" s="406">
        <v>111</v>
      </c>
      <c r="D32" s="406">
        <v>124</v>
      </c>
      <c r="E32" s="406">
        <v>126</v>
      </c>
      <c r="F32" s="407">
        <f t="shared" si="1"/>
        <v>557</v>
      </c>
    </row>
    <row r="33" spans="1:6" x14ac:dyDescent="0.2">
      <c r="A33" s="46" t="s">
        <v>28</v>
      </c>
      <c r="B33" s="406">
        <v>100</v>
      </c>
      <c r="C33" s="406">
        <v>63</v>
      </c>
      <c r="D33" s="406">
        <v>69</v>
      </c>
      <c r="E33" s="406">
        <v>166</v>
      </c>
      <c r="F33" s="407">
        <f t="shared" si="1"/>
        <v>398</v>
      </c>
    </row>
    <row r="34" spans="1:6" x14ac:dyDescent="0.2">
      <c r="A34" s="46" t="s">
        <v>29</v>
      </c>
      <c r="B34" s="406">
        <v>220</v>
      </c>
      <c r="C34" s="406">
        <v>118</v>
      </c>
      <c r="D34" s="406">
        <v>100</v>
      </c>
      <c r="E34" s="406">
        <v>244</v>
      </c>
      <c r="F34" s="407">
        <f t="shared" si="1"/>
        <v>682</v>
      </c>
    </row>
    <row r="35" spans="1:6" x14ac:dyDescent="0.2">
      <c r="A35" s="46" t="s">
        <v>30</v>
      </c>
      <c r="B35" s="406">
        <v>138</v>
      </c>
      <c r="C35" s="406">
        <v>78</v>
      </c>
      <c r="D35" s="406">
        <v>85</v>
      </c>
      <c r="E35" s="406">
        <v>99</v>
      </c>
      <c r="F35" s="407">
        <f t="shared" si="1"/>
        <v>400</v>
      </c>
    </row>
    <row r="36" spans="1:6" x14ac:dyDescent="0.2">
      <c r="A36" s="46" t="s">
        <v>31</v>
      </c>
      <c r="B36" s="406">
        <v>124</v>
      </c>
      <c r="C36" s="406">
        <v>72</v>
      </c>
      <c r="D36" s="406">
        <v>78</v>
      </c>
      <c r="E36" s="406">
        <v>195</v>
      </c>
      <c r="F36" s="407">
        <f t="shared" si="1"/>
        <v>469</v>
      </c>
    </row>
    <row r="37" spans="1:6" x14ac:dyDescent="0.2">
      <c r="A37" s="46" t="s">
        <v>32</v>
      </c>
      <c r="B37" s="406">
        <v>75</v>
      </c>
      <c r="C37" s="406">
        <v>44</v>
      </c>
      <c r="D37" s="406">
        <v>50</v>
      </c>
      <c r="E37" s="406">
        <v>60</v>
      </c>
      <c r="F37" s="407">
        <f t="shared" si="1"/>
        <v>229</v>
      </c>
    </row>
    <row r="38" spans="1:6" x14ac:dyDescent="0.2">
      <c r="A38" s="46" t="s">
        <v>33</v>
      </c>
      <c r="B38" s="406">
        <v>317</v>
      </c>
      <c r="C38" s="406">
        <v>174</v>
      </c>
      <c r="D38" s="406">
        <v>175</v>
      </c>
      <c r="E38" s="406">
        <v>502</v>
      </c>
      <c r="F38" s="407">
        <f t="shared" si="1"/>
        <v>1168</v>
      </c>
    </row>
    <row r="39" spans="1:6" x14ac:dyDescent="0.2">
      <c r="A39" s="46" t="s">
        <v>34</v>
      </c>
      <c r="B39" s="406">
        <v>84</v>
      </c>
      <c r="C39" s="406">
        <v>47</v>
      </c>
      <c r="D39" s="406">
        <v>54</v>
      </c>
      <c r="E39" s="406">
        <v>42</v>
      </c>
      <c r="F39" s="407">
        <f t="shared" si="1"/>
        <v>227</v>
      </c>
    </row>
    <row r="40" spans="1:6" x14ac:dyDescent="0.2">
      <c r="A40" s="46" t="s">
        <v>35</v>
      </c>
      <c r="B40" s="406">
        <v>80</v>
      </c>
      <c r="C40" s="406">
        <v>48</v>
      </c>
      <c r="D40" s="406">
        <v>43</v>
      </c>
      <c r="E40" s="406">
        <v>126</v>
      </c>
      <c r="F40" s="407">
        <f t="shared" si="1"/>
        <v>297</v>
      </c>
    </row>
    <row r="41" spans="1:6" x14ac:dyDescent="0.2">
      <c r="A41" s="46" t="s">
        <v>36</v>
      </c>
      <c r="B41" s="406">
        <v>392</v>
      </c>
      <c r="C41" s="406">
        <v>254</v>
      </c>
      <c r="D41" s="406">
        <v>316</v>
      </c>
      <c r="E41" s="406">
        <v>1063</v>
      </c>
      <c r="F41" s="407">
        <f t="shared" si="1"/>
        <v>2025</v>
      </c>
    </row>
    <row r="42" spans="1:6" x14ac:dyDescent="0.2">
      <c r="A42" s="46" t="s">
        <v>37</v>
      </c>
      <c r="B42" s="406">
        <v>118</v>
      </c>
      <c r="C42" s="406">
        <v>69</v>
      </c>
      <c r="D42" s="406">
        <v>84</v>
      </c>
      <c r="E42" s="406">
        <v>177</v>
      </c>
      <c r="F42" s="407">
        <f t="shared" si="1"/>
        <v>448</v>
      </c>
    </row>
    <row r="43" spans="1:6" x14ac:dyDescent="0.2">
      <c r="A43" s="46" t="s">
        <v>38</v>
      </c>
      <c r="B43" s="406">
        <v>438</v>
      </c>
      <c r="C43" s="406">
        <v>305</v>
      </c>
      <c r="D43" s="406">
        <v>410</v>
      </c>
      <c r="E43" s="406">
        <v>1282</v>
      </c>
      <c r="F43" s="407">
        <f t="shared" si="1"/>
        <v>2435</v>
      </c>
    </row>
    <row r="44" spans="1:6" x14ac:dyDescent="0.2">
      <c r="A44" s="46" t="s">
        <v>39</v>
      </c>
      <c r="B44" s="406">
        <v>56</v>
      </c>
      <c r="C44" s="406">
        <v>53</v>
      </c>
      <c r="D44" s="406">
        <v>75</v>
      </c>
      <c r="E44" s="406">
        <v>265</v>
      </c>
      <c r="F44" s="407">
        <f t="shared" si="1"/>
        <v>449</v>
      </c>
    </row>
    <row r="45" spans="1:6" x14ac:dyDescent="0.2">
      <c r="A45" s="46" t="s">
        <v>40</v>
      </c>
      <c r="B45" s="406">
        <v>516</v>
      </c>
      <c r="C45" s="406">
        <v>279</v>
      </c>
      <c r="D45" s="406">
        <v>282</v>
      </c>
      <c r="E45" s="406">
        <v>340</v>
      </c>
      <c r="F45" s="407">
        <f t="shared" si="1"/>
        <v>1417</v>
      </c>
    </row>
    <row r="46" spans="1:6" x14ac:dyDescent="0.2">
      <c r="A46" s="46" t="s">
        <v>41</v>
      </c>
      <c r="B46" s="406">
        <v>604</v>
      </c>
      <c r="C46" s="406">
        <v>355</v>
      </c>
      <c r="D46" s="406">
        <v>381</v>
      </c>
      <c r="E46" s="406">
        <v>895</v>
      </c>
      <c r="F46" s="407">
        <f t="shared" si="1"/>
        <v>2235</v>
      </c>
    </row>
    <row r="47" spans="1:6" x14ac:dyDescent="0.2">
      <c r="A47" s="46" t="s">
        <v>106</v>
      </c>
      <c r="B47" s="406">
        <v>374</v>
      </c>
      <c r="C47" s="406">
        <v>218</v>
      </c>
      <c r="D47" s="406">
        <v>243</v>
      </c>
      <c r="E47" s="406">
        <v>532</v>
      </c>
      <c r="F47" s="407">
        <f t="shared" si="1"/>
        <v>1367</v>
      </c>
    </row>
    <row r="48" spans="1:6" x14ac:dyDescent="0.2">
      <c r="B48" s="408">
        <f>SUM(B28:B47)</f>
        <v>5264</v>
      </c>
      <c r="C48" s="408">
        <f>SUM(C28:C47)</f>
        <v>3086</v>
      </c>
      <c r="D48" s="408">
        <f>SUM(D28:D47)</f>
        <v>3496</v>
      </c>
      <c r="E48" s="408">
        <f>SUM(E28:E47)</f>
        <v>8784</v>
      </c>
      <c r="F48" s="409">
        <f>SUM(F28:F47)</f>
        <v>20630</v>
      </c>
    </row>
    <row r="49" spans="1:6" x14ac:dyDescent="0.2">
      <c r="B49" s="406"/>
      <c r="C49" s="406"/>
      <c r="D49" s="406"/>
      <c r="E49" s="406"/>
      <c r="F49" s="407"/>
    </row>
    <row r="50" spans="1:6" ht="15.75" x14ac:dyDescent="0.25">
      <c r="A50" s="169" t="s">
        <v>115</v>
      </c>
      <c r="B50" s="406"/>
      <c r="C50" s="406"/>
      <c r="D50" s="406"/>
      <c r="E50" s="406"/>
      <c r="F50" s="407"/>
    </row>
    <row r="51" spans="1:6" x14ac:dyDescent="0.2">
      <c r="A51" s="46" t="s">
        <v>42</v>
      </c>
      <c r="B51" s="406">
        <v>4</v>
      </c>
      <c r="C51" s="406">
        <v>3</v>
      </c>
      <c r="D51" s="406">
        <v>4</v>
      </c>
      <c r="E51" s="406">
        <v>5</v>
      </c>
      <c r="F51" s="407">
        <f t="shared" ref="F51:F62" si="2">SUM(B51:E51)</f>
        <v>16</v>
      </c>
    </row>
    <row r="52" spans="1:6" x14ac:dyDescent="0.2">
      <c r="A52" s="46" t="s">
        <v>43</v>
      </c>
      <c r="B52" s="406">
        <v>22</v>
      </c>
      <c r="C52" s="406">
        <v>13</v>
      </c>
      <c r="D52" s="406">
        <v>13</v>
      </c>
      <c r="E52" s="406">
        <v>24</v>
      </c>
      <c r="F52" s="407">
        <f t="shared" si="2"/>
        <v>72</v>
      </c>
    </row>
    <row r="53" spans="1:6" x14ac:dyDescent="0.2">
      <c r="A53" s="46" t="s">
        <v>44</v>
      </c>
      <c r="B53" s="406">
        <v>16</v>
      </c>
      <c r="C53" s="406">
        <v>11</v>
      </c>
      <c r="D53" s="406">
        <v>11</v>
      </c>
      <c r="E53" s="406">
        <v>23</v>
      </c>
      <c r="F53" s="407">
        <f t="shared" si="2"/>
        <v>61</v>
      </c>
    </row>
    <row r="54" spans="1:6" x14ac:dyDescent="0.2">
      <c r="A54" s="46" t="s">
        <v>45</v>
      </c>
      <c r="B54" s="406">
        <v>40</v>
      </c>
      <c r="C54" s="406">
        <v>20</v>
      </c>
      <c r="D54" s="406">
        <v>21</v>
      </c>
      <c r="E54" s="406">
        <v>51</v>
      </c>
      <c r="F54" s="407">
        <f t="shared" si="2"/>
        <v>132</v>
      </c>
    </row>
    <row r="55" spans="1:6" x14ac:dyDescent="0.2">
      <c r="A55" s="46" t="s">
        <v>46</v>
      </c>
      <c r="B55" s="406">
        <v>41</v>
      </c>
      <c r="C55" s="406">
        <v>24</v>
      </c>
      <c r="D55" s="406">
        <v>26</v>
      </c>
      <c r="E55" s="406">
        <v>38</v>
      </c>
      <c r="F55" s="407">
        <f t="shared" si="2"/>
        <v>129</v>
      </c>
    </row>
    <row r="56" spans="1:6" x14ac:dyDescent="0.2">
      <c r="A56" s="46" t="s">
        <v>47</v>
      </c>
      <c r="B56" s="406">
        <v>111</v>
      </c>
      <c r="C56" s="406">
        <v>65</v>
      </c>
      <c r="D56" s="406">
        <v>72</v>
      </c>
      <c r="E56" s="406">
        <v>167</v>
      </c>
      <c r="F56" s="407">
        <f t="shared" si="2"/>
        <v>415</v>
      </c>
    </row>
    <row r="57" spans="1:6" x14ac:dyDescent="0.2">
      <c r="A57" s="46" t="s">
        <v>48</v>
      </c>
      <c r="B57" s="406">
        <v>6</v>
      </c>
      <c r="C57" s="406">
        <v>4</v>
      </c>
      <c r="D57" s="406">
        <v>4</v>
      </c>
      <c r="E57" s="406">
        <v>4</v>
      </c>
      <c r="F57" s="407">
        <f t="shared" si="2"/>
        <v>18</v>
      </c>
    </row>
    <row r="58" spans="1:6" x14ac:dyDescent="0.2">
      <c r="A58" s="46" t="s">
        <v>49</v>
      </c>
      <c r="B58" s="406">
        <v>33</v>
      </c>
      <c r="C58" s="406">
        <v>17</v>
      </c>
      <c r="D58" s="406">
        <v>19</v>
      </c>
      <c r="E58" s="406">
        <v>37</v>
      </c>
      <c r="F58" s="407">
        <f t="shared" si="2"/>
        <v>106</v>
      </c>
    </row>
    <row r="59" spans="1:6" x14ac:dyDescent="0.2">
      <c r="A59" s="46" t="s">
        <v>50</v>
      </c>
      <c r="B59" s="406">
        <v>240</v>
      </c>
      <c r="C59" s="406">
        <v>148</v>
      </c>
      <c r="D59" s="406">
        <v>181</v>
      </c>
      <c r="E59" s="406">
        <v>438</v>
      </c>
      <c r="F59" s="407">
        <f t="shared" si="2"/>
        <v>1007</v>
      </c>
    </row>
    <row r="60" spans="1:6" x14ac:dyDescent="0.2">
      <c r="A60" s="46" t="s">
        <v>118</v>
      </c>
      <c r="B60" s="406">
        <v>26</v>
      </c>
      <c r="C60" s="406">
        <v>14</v>
      </c>
      <c r="D60" s="406">
        <v>16</v>
      </c>
      <c r="E60" s="406">
        <v>23</v>
      </c>
      <c r="F60" s="407">
        <f t="shared" si="2"/>
        <v>79</v>
      </c>
    </row>
    <row r="61" spans="1:6" x14ac:dyDescent="0.2">
      <c r="A61" s="46" t="s">
        <v>51</v>
      </c>
      <c r="B61" s="406">
        <v>24</v>
      </c>
      <c r="C61" s="406">
        <v>16</v>
      </c>
      <c r="D61" s="406">
        <v>19</v>
      </c>
      <c r="E61" s="406">
        <v>19</v>
      </c>
      <c r="F61" s="407">
        <f t="shared" si="2"/>
        <v>78</v>
      </c>
    </row>
    <row r="62" spans="1:6" x14ac:dyDescent="0.2">
      <c r="A62" s="46" t="s">
        <v>107</v>
      </c>
      <c r="B62" s="406">
        <v>55</v>
      </c>
      <c r="C62" s="406">
        <v>32</v>
      </c>
      <c r="D62" s="406">
        <v>37</v>
      </c>
      <c r="E62" s="406">
        <v>61</v>
      </c>
      <c r="F62" s="407">
        <f t="shared" si="2"/>
        <v>185</v>
      </c>
    </row>
    <row r="63" spans="1:6" x14ac:dyDescent="0.2">
      <c r="B63" s="408">
        <f>SUM(B51:B62)</f>
        <v>618</v>
      </c>
      <c r="C63" s="408">
        <f>SUM(C51:C62)</f>
        <v>367</v>
      </c>
      <c r="D63" s="408">
        <f>SUM(D51:D62)</f>
        <v>423</v>
      </c>
      <c r="E63" s="408">
        <f>SUM(E51:E62)</f>
        <v>890</v>
      </c>
      <c r="F63" s="409">
        <f>SUM(F51:F62)</f>
        <v>2298</v>
      </c>
    </row>
    <row r="64" spans="1:6" x14ac:dyDescent="0.2">
      <c r="B64" s="406"/>
      <c r="C64" s="406"/>
      <c r="D64" s="406"/>
      <c r="E64" s="406"/>
      <c r="F64" s="407"/>
    </row>
    <row r="65" spans="1:6" ht="15.75" x14ac:dyDescent="0.25">
      <c r="A65" s="169" t="s">
        <v>119</v>
      </c>
      <c r="B65" s="406"/>
      <c r="C65" s="406"/>
      <c r="D65" s="406"/>
      <c r="E65" s="406"/>
      <c r="F65" s="407"/>
    </row>
    <row r="66" spans="1:6" x14ac:dyDescent="0.2">
      <c r="A66" s="46" t="s">
        <v>52</v>
      </c>
      <c r="B66" s="406">
        <v>116</v>
      </c>
      <c r="C66" s="406">
        <v>54</v>
      </c>
      <c r="D66" s="406">
        <v>58</v>
      </c>
      <c r="E66" s="406">
        <v>164</v>
      </c>
      <c r="F66" s="407">
        <f t="shared" ref="F66:F71" si="3">SUM(B66:E66)</f>
        <v>392</v>
      </c>
    </row>
    <row r="67" spans="1:6" x14ac:dyDescent="0.2">
      <c r="A67" s="46" t="s">
        <v>53</v>
      </c>
      <c r="B67" s="406">
        <v>6</v>
      </c>
      <c r="C67" s="406">
        <v>2</v>
      </c>
      <c r="D67" s="406">
        <v>4</v>
      </c>
      <c r="E67" s="406">
        <v>15</v>
      </c>
      <c r="F67" s="407">
        <f t="shared" si="3"/>
        <v>27</v>
      </c>
    </row>
    <row r="68" spans="1:6" x14ac:dyDescent="0.2">
      <c r="A68" s="46" t="s">
        <v>4</v>
      </c>
      <c r="B68" s="406">
        <v>185</v>
      </c>
      <c r="C68" s="406">
        <v>106</v>
      </c>
      <c r="D68" s="406">
        <v>141</v>
      </c>
      <c r="E68" s="406">
        <v>403</v>
      </c>
      <c r="F68" s="407">
        <f t="shared" si="3"/>
        <v>835</v>
      </c>
    </row>
    <row r="69" spans="1:6" x14ac:dyDescent="0.2">
      <c r="A69" s="46" t="s">
        <v>54</v>
      </c>
      <c r="B69" s="406">
        <v>8</v>
      </c>
      <c r="C69" s="406">
        <v>5</v>
      </c>
      <c r="D69" s="406">
        <v>5</v>
      </c>
      <c r="E69" s="406">
        <v>13</v>
      </c>
      <c r="F69" s="407">
        <f t="shared" si="3"/>
        <v>31</v>
      </c>
    </row>
    <row r="70" spans="1:6" x14ac:dyDescent="0.2">
      <c r="A70" s="46" t="s">
        <v>55</v>
      </c>
      <c r="B70" s="406">
        <v>4</v>
      </c>
      <c r="C70" s="406">
        <v>2</v>
      </c>
      <c r="D70" s="406">
        <v>3</v>
      </c>
      <c r="E70" s="406">
        <v>8</v>
      </c>
      <c r="F70" s="407">
        <f t="shared" si="3"/>
        <v>17</v>
      </c>
    </row>
    <row r="71" spans="1:6" x14ac:dyDescent="0.2">
      <c r="A71" s="46" t="s">
        <v>108</v>
      </c>
      <c r="B71" s="406">
        <v>51</v>
      </c>
      <c r="C71" s="406">
        <v>30</v>
      </c>
      <c r="D71" s="406">
        <v>32</v>
      </c>
      <c r="E71" s="406">
        <v>67</v>
      </c>
      <c r="F71" s="407">
        <f t="shared" si="3"/>
        <v>180</v>
      </c>
    </row>
    <row r="72" spans="1:6" x14ac:dyDescent="0.2">
      <c r="B72" s="408">
        <f>SUM(B66:B71)</f>
        <v>370</v>
      </c>
      <c r="C72" s="408">
        <f>SUM(C66:C71)</f>
        <v>199</v>
      </c>
      <c r="D72" s="408">
        <f>SUM(D66:D71)</f>
        <v>243</v>
      </c>
      <c r="E72" s="408">
        <f>SUM(E66:E71)</f>
        <v>670</v>
      </c>
      <c r="F72" s="409">
        <f>SUM(F66:F71)</f>
        <v>1482</v>
      </c>
    </row>
    <row r="73" spans="1:6" x14ac:dyDescent="0.2">
      <c r="B73" s="406"/>
      <c r="C73" s="406"/>
      <c r="D73" s="406"/>
      <c r="E73" s="406"/>
      <c r="F73" s="407"/>
    </row>
    <row r="74" spans="1:6" ht="15.75" x14ac:dyDescent="0.25">
      <c r="A74" s="169" t="s">
        <v>120</v>
      </c>
      <c r="B74" s="406"/>
      <c r="C74" s="406"/>
      <c r="D74" s="406"/>
      <c r="E74" s="406"/>
      <c r="F74" s="407"/>
    </row>
    <row r="75" spans="1:6" x14ac:dyDescent="0.2">
      <c r="A75" s="46" t="s">
        <v>5</v>
      </c>
      <c r="B75" s="406">
        <v>6234</v>
      </c>
      <c r="C75" s="406">
        <v>4639</v>
      </c>
      <c r="D75" s="406">
        <v>5460</v>
      </c>
      <c r="E75" s="406">
        <v>12536</v>
      </c>
      <c r="F75" s="407">
        <f>SUM(B75:E75)</f>
        <v>28869</v>
      </c>
    </row>
    <row r="76" spans="1:6" x14ac:dyDescent="0.2">
      <c r="B76" s="408">
        <f>SUM(B75)</f>
        <v>6234</v>
      </c>
      <c r="C76" s="408">
        <f>SUM(C75)</f>
        <v>4639</v>
      </c>
      <c r="D76" s="408">
        <f>SUM(D75)</f>
        <v>5460</v>
      </c>
      <c r="E76" s="408">
        <f>SUM(E75)</f>
        <v>12536</v>
      </c>
      <c r="F76" s="409">
        <f>SUM(F75)</f>
        <v>28869</v>
      </c>
    </row>
    <row r="77" spans="1:6" x14ac:dyDescent="0.2">
      <c r="B77" s="406"/>
      <c r="C77" s="406"/>
      <c r="D77" s="406"/>
      <c r="E77" s="406"/>
      <c r="F77" s="407"/>
    </row>
    <row r="78" spans="1:6" ht="15.75" x14ac:dyDescent="0.25">
      <c r="A78" s="169" t="s">
        <v>114</v>
      </c>
      <c r="B78" s="406"/>
      <c r="C78" s="406"/>
      <c r="D78" s="406"/>
      <c r="E78" s="406"/>
      <c r="F78" s="407"/>
    </row>
    <row r="79" spans="1:6" x14ac:dyDescent="0.2">
      <c r="A79" s="46" t="s">
        <v>56</v>
      </c>
      <c r="B79" s="406">
        <v>35</v>
      </c>
      <c r="C79" s="406">
        <v>26</v>
      </c>
      <c r="D79" s="406">
        <v>29</v>
      </c>
      <c r="E79" s="406">
        <v>3</v>
      </c>
      <c r="F79" s="407">
        <f t="shared" ref="F79:F99" si="4">SUM(B79:E79)</f>
        <v>93</v>
      </c>
    </row>
    <row r="80" spans="1:6" x14ac:dyDescent="0.2">
      <c r="A80" s="46" t="s">
        <v>57</v>
      </c>
      <c r="B80" s="406">
        <v>116</v>
      </c>
      <c r="C80" s="406">
        <v>63</v>
      </c>
      <c r="D80" s="406">
        <v>67</v>
      </c>
      <c r="E80" s="406">
        <v>222</v>
      </c>
      <c r="F80" s="407">
        <f t="shared" si="4"/>
        <v>468</v>
      </c>
    </row>
    <row r="81" spans="1:6" x14ac:dyDescent="0.2">
      <c r="A81" s="46" t="s">
        <v>58</v>
      </c>
      <c r="B81" s="406">
        <v>25</v>
      </c>
      <c r="C81" s="406">
        <v>13</v>
      </c>
      <c r="D81" s="406">
        <v>15</v>
      </c>
      <c r="E81" s="406">
        <v>30</v>
      </c>
      <c r="F81" s="407">
        <f t="shared" si="4"/>
        <v>83</v>
      </c>
    </row>
    <row r="82" spans="1:6" x14ac:dyDescent="0.2">
      <c r="A82" s="46" t="s">
        <v>59</v>
      </c>
      <c r="B82" s="406">
        <v>276</v>
      </c>
      <c r="C82" s="406">
        <v>144</v>
      </c>
      <c r="D82" s="406">
        <v>155</v>
      </c>
      <c r="E82" s="406">
        <v>288</v>
      </c>
      <c r="F82" s="407">
        <f t="shared" si="4"/>
        <v>863</v>
      </c>
    </row>
    <row r="83" spans="1:6" x14ac:dyDescent="0.2">
      <c r="A83" s="46" t="s">
        <v>60</v>
      </c>
      <c r="B83" s="406">
        <v>20</v>
      </c>
      <c r="C83" s="406">
        <v>8</v>
      </c>
      <c r="D83" s="406">
        <v>9</v>
      </c>
      <c r="E83" s="406">
        <v>22</v>
      </c>
      <c r="F83" s="407">
        <f t="shared" si="4"/>
        <v>59</v>
      </c>
    </row>
    <row r="84" spans="1:6" x14ac:dyDescent="0.2">
      <c r="A84" s="46" t="s">
        <v>61</v>
      </c>
      <c r="B84" s="406">
        <v>400</v>
      </c>
      <c r="C84" s="406">
        <v>188</v>
      </c>
      <c r="D84" s="406">
        <v>221</v>
      </c>
      <c r="E84" s="406">
        <v>541</v>
      </c>
      <c r="F84" s="407">
        <f t="shared" si="4"/>
        <v>1350</v>
      </c>
    </row>
    <row r="85" spans="1:6" x14ac:dyDescent="0.2">
      <c r="A85" s="46" t="s">
        <v>62</v>
      </c>
      <c r="B85" s="406">
        <v>64</v>
      </c>
      <c r="C85" s="406">
        <v>54</v>
      </c>
      <c r="D85" s="406">
        <v>83</v>
      </c>
      <c r="E85" s="406">
        <v>266</v>
      </c>
      <c r="F85" s="407">
        <f t="shared" si="4"/>
        <v>467</v>
      </c>
    </row>
    <row r="86" spans="1:6" x14ac:dyDescent="0.2">
      <c r="A86" s="46" t="s">
        <v>63</v>
      </c>
      <c r="B86" s="406">
        <v>148</v>
      </c>
      <c r="C86" s="406">
        <v>87</v>
      </c>
      <c r="D86" s="406">
        <v>76</v>
      </c>
      <c r="E86" s="406">
        <v>119</v>
      </c>
      <c r="F86" s="407">
        <f t="shared" si="4"/>
        <v>430</v>
      </c>
    </row>
    <row r="87" spans="1:6" x14ac:dyDescent="0.2">
      <c r="A87" s="46" t="s">
        <v>64</v>
      </c>
      <c r="B87" s="406">
        <v>52</v>
      </c>
      <c r="C87" s="406">
        <v>31</v>
      </c>
      <c r="D87" s="406">
        <v>36</v>
      </c>
      <c r="E87" s="406">
        <v>121</v>
      </c>
      <c r="F87" s="407">
        <f t="shared" si="4"/>
        <v>240</v>
      </c>
    </row>
    <row r="88" spans="1:6" x14ac:dyDescent="0.2">
      <c r="A88" s="46" t="s">
        <v>65</v>
      </c>
      <c r="B88" s="406">
        <v>32</v>
      </c>
      <c r="C88" s="406">
        <v>17</v>
      </c>
      <c r="D88" s="406">
        <v>21</v>
      </c>
      <c r="E88" s="406">
        <v>21</v>
      </c>
      <c r="F88" s="407">
        <f t="shared" si="4"/>
        <v>91</v>
      </c>
    </row>
    <row r="89" spans="1:6" x14ac:dyDescent="0.2">
      <c r="A89" s="46" t="s">
        <v>66</v>
      </c>
      <c r="B89" s="406">
        <v>233</v>
      </c>
      <c r="C89" s="406">
        <v>129</v>
      </c>
      <c r="D89" s="406">
        <v>143</v>
      </c>
      <c r="E89" s="406">
        <v>150</v>
      </c>
      <c r="F89" s="407">
        <f t="shared" si="4"/>
        <v>655</v>
      </c>
    </row>
    <row r="90" spans="1:6" x14ac:dyDescent="0.2">
      <c r="A90" s="46" t="s">
        <v>67</v>
      </c>
      <c r="B90" s="406">
        <v>193</v>
      </c>
      <c r="C90" s="406">
        <v>101</v>
      </c>
      <c r="D90" s="406">
        <v>112</v>
      </c>
      <c r="E90" s="406">
        <v>257</v>
      </c>
      <c r="F90" s="407">
        <f t="shared" si="4"/>
        <v>663</v>
      </c>
    </row>
    <row r="91" spans="1:6" x14ac:dyDescent="0.2">
      <c r="A91" s="46" t="s">
        <v>68</v>
      </c>
      <c r="B91" s="406">
        <v>121</v>
      </c>
      <c r="C91" s="406">
        <v>68</v>
      </c>
      <c r="D91" s="406">
        <v>70</v>
      </c>
      <c r="E91" s="406">
        <v>154</v>
      </c>
      <c r="F91" s="407">
        <f t="shared" si="4"/>
        <v>413</v>
      </c>
    </row>
    <row r="92" spans="1:6" x14ac:dyDescent="0.2">
      <c r="A92" s="46" t="s">
        <v>69</v>
      </c>
      <c r="B92" s="406">
        <v>21</v>
      </c>
      <c r="C92" s="406">
        <v>15</v>
      </c>
      <c r="D92" s="406">
        <v>15</v>
      </c>
      <c r="E92" s="406">
        <v>13</v>
      </c>
      <c r="F92" s="407">
        <f t="shared" si="4"/>
        <v>64</v>
      </c>
    </row>
    <row r="93" spans="1:6" x14ac:dyDescent="0.2">
      <c r="A93" s="46" t="s">
        <v>70</v>
      </c>
      <c r="B93" s="406">
        <v>706</v>
      </c>
      <c r="C93" s="406">
        <v>429</v>
      </c>
      <c r="D93" s="406">
        <v>502</v>
      </c>
      <c r="E93" s="406">
        <v>1152</v>
      </c>
      <c r="F93" s="407">
        <f t="shared" si="4"/>
        <v>2789</v>
      </c>
    </row>
    <row r="94" spans="1:6" x14ac:dyDescent="0.2">
      <c r="A94" s="46" t="s">
        <v>71</v>
      </c>
      <c r="B94" s="406">
        <v>358</v>
      </c>
      <c r="C94" s="406">
        <v>161</v>
      </c>
      <c r="D94" s="406">
        <v>205</v>
      </c>
      <c r="E94" s="406">
        <v>431</v>
      </c>
      <c r="F94" s="407">
        <f t="shared" si="4"/>
        <v>1155</v>
      </c>
    </row>
    <row r="95" spans="1:6" x14ac:dyDescent="0.2">
      <c r="A95" s="46" t="s">
        <v>72</v>
      </c>
      <c r="B95" s="406">
        <v>195</v>
      </c>
      <c r="C95" s="406">
        <v>107</v>
      </c>
      <c r="D95" s="406">
        <v>111</v>
      </c>
      <c r="E95" s="406">
        <v>183</v>
      </c>
      <c r="F95" s="407">
        <f t="shared" si="4"/>
        <v>596</v>
      </c>
    </row>
    <row r="96" spans="1:6" x14ac:dyDescent="0.2">
      <c r="A96" s="46" t="s">
        <v>6</v>
      </c>
      <c r="B96" s="406">
        <v>859</v>
      </c>
      <c r="C96" s="406">
        <v>469</v>
      </c>
      <c r="D96" s="406">
        <v>530</v>
      </c>
      <c r="E96" s="406">
        <v>1242</v>
      </c>
      <c r="F96" s="407">
        <f t="shared" si="4"/>
        <v>3100</v>
      </c>
    </row>
    <row r="97" spans="1:6" x14ac:dyDescent="0.2">
      <c r="A97" s="46" t="s">
        <v>73</v>
      </c>
      <c r="B97" s="406">
        <v>565</v>
      </c>
      <c r="C97" s="406">
        <v>281</v>
      </c>
      <c r="D97" s="406">
        <v>313</v>
      </c>
      <c r="E97" s="406">
        <v>705</v>
      </c>
      <c r="F97" s="407">
        <f t="shared" si="4"/>
        <v>1864</v>
      </c>
    </row>
    <row r="98" spans="1:6" x14ac:dyDescent="0.2">
      <c r="A98" s="46" t="s">
        <v>74</v>
      </c>
      <c r="B98" s="406">
        <v>23</v>
      </c>
      <c r="C98" s="406">
        <v>13</v>
      </c>
      <c r="D98" s="406">
        <v>15</v>
      </c>
      <c r="E98" s="406">
        <v>11</v>
      </c>
      <c r="F98" s="407">
        <f t="shared" si="4"/>
        <v>62</v>
      </c>
    </row>
    <row r="99" spans="1:6" x14ac:dyDescent="0.2">
      <c r="A99" s="46" t="s">
        <v>109</v>
      </c>
      <c r="B99" s="406">
        <v>153</v>
      </c>
      <c r="C99" s="406">
        <v>103</v>
      </c>
      <c r="D99" s="406">
        <v>102</v>
      </c>
      <c r="E99" s="406">
        <v>555</v>
      </c>
      <c r="F99" s="407">
        <f t="shared" si="4"/>
        <v>913</v>
      </c>
    </row>
    <row r="100" spans="1:6" x14ac:dyDescent="0.2">
      <c r="B100" s="408">
        <f>SUM(B79:B99)</f>
        <v>4595</v>
      </c>
      <c r="C100" s="408">
        <f>SUM(C79:C99)</f>
        <v>2507</v>
      </c>
      <c r="D100" s="408">
        <f>SUM(D79:D99)</f>
        <v>2830</v>
      </c>
      <c r="E100" s="408">
        <f>SUM(E79:E99)</f>
        <v>6486</v>
      </c>
      <c r="F100" s="409">
        <f>SUM(F79:F99)</f>
        <v>16418</v>
      </c>
    </row>
    <row r="101" spans="1:6" x14ac:dyDescent="0.2">
      <c r="B101" s="408"/>
      <c r="C101" s="408"/>
      <c r="D101" s="408"/>
      <c r="E101" s="408"/>
      <c r="F101" s="409"/>
    </row>
    <row r="102" spans="1:6" ht="15.75" x14ac:dyDescent="0.25">
      <c r="A102" s="169" t="s">
        <v>164</v>
      </c>
      <c r="B102" s="406"/>
      <c r="C102" s="406"/>
      <c r="D102" s="406"/>
      <c r="E102" s="406"/>
      <c r="F102" s="407"/>
    </row>
    <row r="103" spans="1:6" x14ac:dyDescent="0.2">
      <c r="A103" s="46" t="s">
        <v>75</v>
      </c>
      <c r="B103" s="406">
        <v>253</v>
      </c>
      <c r="C103" s="406">
        <v>138</v>
      </c>
      <c r="D103" s="406">
        <v>151</v>
      </c>
      <c r="E103" s="406">
        <v>391</v>
      </c>
      <c r="F103" s="407">
        <f t="shared" ref="F103:F118" si="5">SUM(B103:E103)</f>
        <v>933</v>
      </c>
    </row>
    <row r="104" spans="1:6" x14ac:dyDescent="0.2">
      <c r="A104" s="46" t="s">
        <v>76</v>
      </c>
      <c r="B104" s="406">
        <v>356</v>
      </c>
      <c r="C104" s="406">
        <v>207</v>
      </c>
      <c r="D104" s="406">
        <v>231</v>
      </c>
      <c r="E104" s="406">
        <v>270</v>
      </c>
      <c r="F104" s="407">
        <f t="shared" si="5"/>
        <v>1064</v>
      </c>
    </row>
    <row r="105" spans="1:6" x14ac:dyDescent="0.2">
      <c r="A105" s="46" t="s">
        <v>77</v>
      </c>
      <c r="B105" s="406">
        <v>236</v>
      </c>
      <c r="C105" s="406">
        <v>160</v>
      </c>
      <c r="D105" s="406">
        <v>217</v>
      </c>
      <c r="E105" s="406">
        <v>475</v>
      </c>
      <c r="F105" s="407">
        <f t="shared" si="5"/>
        <v>1088</v>
      </c>
    </row>
    <row r="106" spans="1:6" x14ac:dyDescent="0.2">
      <c r="A106" s="46" t="s">
        <v>78</v>
      </c>
      <c r="B106" s="406">
        <v>169</v>
      </c>
      <c r="C106" s="406">
        <v>99</v>
      </c>
      <c r="D106" s="406">
        <v>112</v>
      </c>
      <c r="E106" s="406">
        <v>97</v>
      </c>
      <c r="F106" s="407">
        <f t="shared" si="5"/>
        <v>477</v>
      </c>
    </row>
    <row r="107" spans="1:6" x14ac:dyDescent="0.2">
      <c r="A107" s="46" t="s">
        <v>79</v>
      </c>
      <c r="B107" s="406">
        <v>46</v>
      </c>
      <c r="C107" s="406">
        <v>28</v>
      </c>
      <c r="D107" s="406">
        <v>32</v>
      </c>
      <c r="E107" s="406">
        <v>15</v>
      </c>
      <c r="F107" s="407">
        <f t="shared" si="5"/>
        <v>121</v>
      </c>
    </row>
    <row r="108" spans="1:6" x14ac:dyDescent="0.2">
      <c r="A108" s="46" t="s">
        <v>80</v>
      </c>
      <c r="B108" s="406">
        <v>201</v>
      </c>
      <c r="C108" s="406">
        <v>112</v>
      </c>
      <c r="D108" s="406">
        <v>132</v>
      </c>
      <c r="E108" s="406">
        <v>174</v>
      </c>
      <c r="F108" s="407">
        <f t="shared" si="5"/>
        <v>619</v>
      </c>
    </row>
    <row r="109" spans="1:6" x14ac:dyDescent="0.2">
      <c r="A109" s="46" t="s">
        <v>81</v>
      </c>
      <c r="B109" s="406">
        <v>1004</v>
      </c>
      <c r="C109" s="406">
        <v>570</v>
      </c>
      <c r="D109" s="406">
        <v>565</v>
      </c>
      <c r="E109" s="406">
        <v>1151</v>
      </c>
      <c r="F109" s="407">
        <f t="shared" si="5"/>
        <v>3290</v>
      </c>
    </row>
    <row r="110" spans="1:6" x14ac:dyDescent="0.2">
      <c r="A110" s="46" t="s">
        <v>82</v>
      </c>
      <c r="B110" s="406">
        <v>23</v>
      </c>
      <c r="C110" s="406">
        <v>13</v>
      </c>
      <c r="D110" s="406">
        <v>13</v>
      </c>
      <c r="E110" s="406">
        <v>12</v>
      </c>
      <c r="F110" s="407">
        <f t="shared" si="5"/>
        <v>61</v>
      </c>
    </row>
    <row r="111" spans="1:6" x14ac:dyDescent="0.2">
      <c r="A111" s="46" t="s">
        <v>83</v>
      </c>
      <c r="B111" s="406">
        <v>273</v>
      </c>
      <c r="C111" s="406">
        <v>154</v>
      </c>
      <c r="D111" s="406">
        <v>185</v>
      </c>
      <c r="E111" s="406">
        <v>316</v>
      </c>
      <c r="F111" s="407">
        <f t="shared" si="5"/>
        <v>928</v>
      </c>
    </row>
    <row r="112" spans="1:6" x14ac:dyDescent="0.2">
      <c r="A112" s="46" t="s">
        <v>84</v>
      </c>
      <c r="B112" s="406">
        <v>814</v>
      </c>
      <c r="C112" s="406">
        <v>492</v>
      </c>
      <c r="D112" s="406">
        <v>527</v>
      </c>
      <c r="E112" s="406">
        <v>1093</v>
      </c>
      <c r="F112" s="407">
        <f t="shared" si="5"/>
        <v>2926</v>
      </c>
    </row>
    <row r="113" spans="1:6" x14ac:dyDescent="0.2">
      <c r="A113" s="46" t="s">
        <v>85</v>
      </c>
      <c r="B113" s="406">
        <v>691</v>
      </c>
      <c r="C113" s="406">
        <v>432</v>
      </c>
      <c r="D113" s="406">
        <v>278</v>
      </c>
      <c r="E113" s="406">
        <v>587</v>
      </c>
      <c r="F113" s="407">
        <f t="shared" si="5"/>
        <v>1988</v>
      </c>
    </row>
    <row r="114" spans="1:6" x14ac:dyDescent="0.2">
      <c r="A114" s="46" t="s">
        <v>86</v>
      </c>
      <c r="B114" s="406">
        <v>9233</v>
      </c>
      <c r="C114" s="406">
        <v>5428</v>
      </c>
      <c r="D114" s="406">
        <v>6188</v>
      </c>
      <c r="E114" s="406">
        <v>14231</v>
      </c>
      <c r="F114" s="407">
        <f t="shared" si="5"/>
        <v>35080</v>
      </c>
    </row>
    <row r="115" spans="1:6" x14ac:dyDescent="0.2">
      <c r="A115" s="46" t="s">
        <v>7</v>
      </c>
      <c r="B115" s="406">
        <v>1050</v>
      </c>
      <c r="C115" s="406">
        <v>695</v>
      </c>
      <c r="D115" s="406">
        <v>755</v>
      </c>
      <c r="E115" s="406">
        <v>1593</v>
      </c>
      <c r="F115" s="407">
        <f t="shared" si="5"/>
        <v>4093</v>
      </c>
    </row>
    <row r="116" spans="1:6" x14ac:dyDescent="0.2">
      <c r="A116" s="46" t="s">
        <v>87</v>
      </c>
      <c r="B116" s="406">
        <v>147</v>
      </c>
      <c r="C116" s="406">
        <v>95</v>
      </c>
      <c r="D116" s="406">
        <v>104</v>
      </c>
      <c r="E116" s="406">
        <v>93</v>
      </c>
      <c r="F116" s="407">
        <f t="shared" si="5"/>
        <v>439</v>
      </c>
    </row>
    <row r="117" spans="1:6" x14ac:dyDescent="0.2">
      <c r="A117" s="46" t="s">
        <v>88</v>
      </c>
      <c r="B117" s="406">
        <v>1640</v>
      </c>
      <c r="C117" s="406">
        <v>906</v>
      </c>
      <c r="D117" s="406">
        <v>932</v>
      </c>
      <c r="E117" s="406">
        <v>1974</v>
      </c>
      <c r="F117" s="407">
        <f t="shared" si="5"/>
        <v>5452</v>
      </c>
    </row>
    <row r="118" spans="1:6" x14ac:dyDescent="0.2">
      <c r="A118" s="46" t="s">
        <v>110</v>
      </c>
      <c r="B118" s="406">
        <v>22</v>
      </c>
      <c r="C118" s="406">
        <v>13</v>
      </c>
      <c r="D118" s="406">
        <v>214</v>
      </c>
      <c r="E118" s="406">
        <v>28</v>
      </c>
      <c r="F118" s="407">
        <f t="shared" si="5"/>
        <v>277</v>
      </c>
    </row>
    <row r="119" spans="1:6" x14ac:dyDescent="0.2">
      <c r="B119" s="408">
        <f>SUM(B103:B118)</f>
        <v>16158</v>
      </c>
      <c r="C119" s="408">
        <f>SUM(C103:C118)</f>
        <v>9542</v>
      </c>
      <c r="D119" s="408">
        <f>SUM(D103:D118)</f>
        <v>10636</v>
      </c>
      <c r="E119" s="408">
        <f>SUM(E103:E118)</f>
        <v>22500</v>
      </c>
      <c r="F119" s="409">
        <f>SUM(F103:F118)</f>
        <v>58836</v>
      </c>
    </row>
    <row r="120" spans="1:6" x14ac:dyDescent="0.2">
      <c r="B120" s="408"/>
      <c r="C120" s="408"/>
      <c r="D120" s="408"/>
      <c r="E120" s="408"/>
      <c r="F120" s="409"/>
    </row>
    <row r="121" spans="1:6" ht="15.75" x14ac:dyDescent="0.25">
      <c r="A121" s="169" t="s">
        <v>121</v>
      </c>
      <c r="B121" s="406"/>
      <c r="C121" s="406"/>
      <c r="D121" s="406"/>
      <c r="E121" s="406"/>
      <c r="F121" s="407"/>
    </row>
    <row r="122" spans="1:6" x14ac:dyDescent="0.2">
      <c r="A122" s="46" t="s">
        <v>89</v>
      </c>
      <c r="B122" s="406">
        <v>94</v>
      </c>
      <c r="C122" s="406">
        <v>54</v>
      </c>
      <c r="D122" s="406">
        <v>56</v>
      </c>
      <c r="E122" s="406">
        <v>123</v>
      </c>
      <c r="F122" s="407">
        <f t="shared" ref="F122:F129" si="6">SUM(B122:E122)</f>
        <v>327</v>
      </c>
    </row>
    <row r="123" spans="1:6" x14ac:dyDescent="0.2">
      <c r="A123" s="46" t="s">
        <v>90</v>
      </c>
      <c r="B123" s="406">
        <v>50</v>
      </c>
      <c r="C123" s="406">
        <v>24</v>
      </c>
      <c r="D123" s="406">
        <v>30</v>
      </c>
      <c r="E123" s="406">
        <v>93</v>
      </c>
      <c r="F123" s="407">
        <f t="shared" si="6"/>
        <v>197</v>
      </c>
    </row>
    <row r="124" spans="1:6" x14ac:dyDescent="0.2">
      <c r="A124" s="46" t="s">
        <v>91</v>
      </c>
      <c r="B124" s="406">
        <v>779</v>
      </c>
      <c r="C124" s="406">
        <v>404</v>
      </c>
      <c r="D124" s="406">
        <v>456</v>
      </c>
      <c r="E124" s="406">
        <v>1461</v>
      </c>
      <c r="F124" s="407">
        <f t="shared" si="6"/>
        <v>3100</v>
      </c>
    </row>
    <row r="125" spans="1:6" x14ac:dyDescent="0.2">
      <c r="A125" s="46" t="s">
        <v>92</v>
      </c>
      <c r="B125" s="406">
        <v>45</v>
      </c>
      <c r="C125" s="406">
        <v>36</v>
      </c>
      <c r="D125" s="406">
        <v>48</v>
      </c>
      <c r="E125" s="406">
        <v>170</v>
      </c>
      <c r="F125" s="407">
        <f t="shared" si="6"/>
        <v>299</v>
      </c>
    </row>
    <row r="126" spans="1:6" x14ac:dyDescent="0.2">
      <c r="A126" s="46" t="s">
        <v>93</v>
      </c>
      <c r="B126" s="406">
        <v>147</v>
      </c>
      <c r="C126" s="406">
        <v>57</v>
      </c>
      <c r="D126" s="406">
        <v>60</v>
      </c>
      <c r="E126" s="406">
        <v>241</v>
      </c>
      <c r="F126" s="407">
        <f t="shared" si="6"/>
        <v>505</v>
      </c>
    </row>
    <row r="127" spans="1:6" x14ac:dyDescent="0.2">
      <c r="A127" s="46" t="s">
        <v>94</v>
      </c>
      <c r="B127" s="406">
        <v>287</v>
      </c>
      <c r="C127" s="406">
        <v>134</v>
      </c>
      <c r="D127" s="406">
        <v>173</v>
      </c>
      <c r="E127" s="406">
        <v>490</v>
      </c>
      <c r="F127" s="407">
        <f t="shared" si="6"/>
        <v>1084</v>
      </c>
    </row>
    <row r="128" spans="1:6" x14ac:dyDescent="0.2">
      <c r="A128" s="46" t="s">
        <v>95</v>
      </c>
      <c r="B128" s="406">
        <v>283</v>
      </c>
      <c r="C128" s="406">
        <v>178</v>
      </c>
      <c r="D128" s="406">
        <v>211</v>
      </c>
      <c r="E128" s="406">
        <v>690</v>
      </c>
      <c r="F128" s="407">
        <f t="shared" si="6"/>
        <v>1362</v>
      </c>
    </row>
    <row r="129" spans="1:6" x14ac:dyDescent="0.2">
      <c r="A129" s="46" t="s">
        <v>111</v>
      </c>
      <c r="B129" s="406">
        <v>26</v>
      </c>
      <c r="C129" s="406">
        <v>15</v>
      </c>
      <c r="D129" s="406">
        <v>19</v>
      </c>
      <c r="E129" s="406">
        <v>43</v>
      </c>
      <c r="F129" s="407">
        <f t="shared" si="6"/>
        <v>103</v>
      </c>
    </row>
    <row r="130" spans="1:6" x14ac:dyDescent="0.2">
      <c r="B130" s="408">
        <f>SUM(B122:B129)</f>
        <v>1711</v>
      </c>
      <c r="C130" s="408">
        <f>SUM(C122:C129)</f>
        <v>902</v>
      </c>
      <c r="D130" s="408">
        <f>SUM(D122:D129)</f>
        <v>1053</v>
      </c>
      <c r="E130" s="408">
        <f>SUM(E122:E129)</f>
        <v>3311</v>
      </c>
      <c r="F130" s="409">
        <f>SUM(F122:F129)</f>
        <v>6977</v>
      </c>
    </row>
    <row r="131" spans="1:6" x14ac:dyDescent="0.2">
      <c r="B131" s="406"/>
      <c r="C131" s="406"/>
      <c r="D131" s="406"/>
      <c r="E131" s="406"/>
      <c r="F131" s="407"/>
    </row>
    <row r="132" spans="1:6" ht="15.75" x14ac:dyDescent="0.25">
      <c r="A132" s="169" t="s">
        <v>117</v>
      </c>
      <c r="B132" s="406"/>
      <c r="C132" s="406"/>
      <c r="D132" s="406"/>
      <c r="E132" s="406"/>
      <c r="F132" s="407"/>
    </row>
    <row r="133" spans="1:6" x14ac:dyDescent="0.2">
      <c r="A133" s="46" t="s">
        <v>96</v>
      </c>
      <c r="B133" s="406">
        <v>39</v>
      </c>
      <c r="C133" s="406">
        <v>29</v>
      </c>
      <c r="D133" s="406">
        <v>31</v>
      </c>
      <c r="E133" s="406">
        <v>112</v>
      </c>
      <c r="F133" s="407">
        <f t="shared" ref="F133:F142" si="7">SUM(B133:E133)</f>
        <v>211</v>
      </c>
    </row>
    <row r="134" spans="1:6" x14ac:dyDescent="0.2">
      <c r="A134" s="46" t="s">
        <v>97</v>
      </c>
      <c r="B134" s="406">
        <v>35</v>
      </c>
      <c r="C134" s="406">
        <v>18</v>
      </c>
      <c r="D134" s="406">
        <v>18</v>
      </c>
      <c r="E134" s="406">
        <v>66</v>
      </c>
      <c r="F134" s="407">
        <f t="shared" si="7"/>
        <v>137</v>
      </c>
    </row>
    <row r="135" spans="1:6" x14ac:dyDescent="0.2">
      <c r="A135" s="46" t="s">
        <v>98</v>
      </c>
      <c r="B135" s="406">
        <v>31</v>
      </c>
      <c r="C135" s="406">
        <v>24</v>
      </c>
      <c r="D135" s="406">
        <v>26</v>
      </c>
      <c r="E135" s="406">
        <v>76</v>
      </c>
      <c r="F135" s="407">
        <f t="shared" si="7"/>
        <v>157</v>
      </c>
    </row>
    <row r="136" spans="1:6" x14ac:dyDescent="0.2">
      <c r="A136" s="46" t="s">
        <v>99</v>
      </c>
      <c r="B136" s="406">
        <v>199</v>
      </c>
      <c r="C136" s="406">
        <v>103</v>
      </c>
      <c r="D136" s="406">
        <v>121</v>
      </c>
      <c r="E136" s="406">
        <v>322</v>
      </c>
      <c r="F136" s="407">
        <f t="shared" si="7"/>
        <v>745</v>
      </c>
    </row>
    <row r="137" spans="1:6" x14ac:dyDescent="0.2">
      <c r="A137" s="46" t="s">
        <v>100</v>
      </c>
      <c r="B137" s="406">
        <v>181</v>
      </c>
      <c r="C137" s="406">
        <v>107</v>
      </c>
      <c r="D137" s="406">
        <v>127</v>
      </c>
      <c r="E137" s="406">
        <v>484</v>
      </c>
      <c r="F137" s="407">
        <f t="shared" si="7"/>
        <v>899</v>
      </c>
    </row>
    <row r="138" spans="1:6" x14ac:dyDescent="0.2">
      <c r="A138" s="46" t="s">
        <v>101</v>
      </c>
      <c r="B138" s="406">
        <v>947</v>
      </c>
      <c r="C138" s="406">
        <v>581</v>
      </c>
      <c r="D138" s="406">
        <v>759</v>
      </c>
      <c r="E138" s="406">
        <v>2375</v>
      </c>
      <c r="F138" s="407">
        <f t="shared" si="7"/>
        <v>4662</v>
      </c>
    </row>
    <row r="139" spans="1:6" x14ac:dyDescent="0.2">
      <c r="A139" s="46" t="s">
        <v>102</v>
      </c>
      <c r="B139" s="406">
        <v>22</v>
      </c>
      <c r="C139" s="406">
        <v>17</v>
      </c>
      <c r="D139" s="406">
        <v>19</v>
      </c>
      <c r="E139" s="406">
        <v>62</v>
      </c>
      <c r="F139" s="407">
        <f t="shared" si="7"/>
        <v>120</v>
      </c>
    </row>
    <row r="140" spans="1:6" x14ac:dyDescent="0.2">
      <c r="A140" s="46" t="s">
        <v>9</v>
      </c>
      <c r="B140" s="406">
        <v>24</v>
      </c>
      <c r="C140" s="406">
        <v>23</v>
      </c>
      <c r="D140" s="406">
        <v>27</v>
      </c>
      <c r="E140" s="406">
        <v>63</v>
      </c>
      <c r="F140" s="407">
        <f t="shared" si="7"/>
        <v>137</v>
      </c>
    </row>
    <row r="141" spans="1:6" x14ac:dyDescent="0.2">
      <c r="A141" s="46" t="s">
        <v>103</v>
      </c>
      <c r="B141" s="406">
        <v>120</v>
      </c>
      <c r="C141" s="406">
        <v>65</v>
      </c>
      <c r="D141" s="406">
        <v>67</v>
      </c>
      <c r="E141" s="406">
        <v>188</v>
      </c>
      <c r="F141" s="407">
        <f t="shared" si="7"/>
        <v>440</v>
      </c>
    </row>
    <row r="142" spans="1:6" x14ac:dyDescent="0.2">
      <c r="A142" s="46" t="s">
        <v>112</v>
      </c>
      <c r="B142" s="406">
        <v>220</v>
      </c>
      <c r="C142" s="406">
        <v>127</v>
      </c>
      <c r="D142" s="406">
        <v>160</v>
      </c>
      <c r="E142" s="406">
        <v>429</v>
      </c>
      <c r="F142" s="407">
        <f t="shared" si="7"/>
        <v>936</v>
      </c>
    </row>
    <row r="143" spans="1:6" x14ac:dyDescent="0.2">
      <c r="B143" s="408">
        <f>SUM(B133:B142)</f>
        <v>1818</v>
      </c>
      <c r="C143" s="408">
        <f>SUM(C133:C142)</f>
        <v>1094</v>
      </c>
      <c r="D143" s="408">
        <f>SUM(D133:D142)</f>
        <v>1355</v>
      </c>
      <c r="E143" s="408">
        <f>SUM(E133:E142)</f>
        <v>4177</v>
      </c>
      <c r="F143" s="409">
        <f>SUM(F133:F142)</f>
        <v>8444</v>
      </c>
    </row>
    <row r="144" spans="1:6" x14ac:dyDescent="0.2">
      <c r="B144" s="406"/>
      <c r="C144" s="406"/>
      <c r="D144" s="406"/>
      <c r="E144" s="406"/>
      <c r="F144" s="407"/>
    </row>
    <row r="145" spans="1:6" ht="15.75" x14ac:dyDescent="0.25">
      <c r="A145" s="169" t="s">
        <v>207</v>
      </c>
      <c r="B145" s="408">
        <f>B25+B48+B63+B72+B76+B100+B119+B130+B143</f>
        <v>46680</v>
      </c>
      <c r="C145" s="408">
        <f>C25+C48+C63+C72+C76+C100+C119+C130+C143</f>
        <v>28940</v>
      </c>
      <c r="D145" s="408">
        <f>D25+D48+D63+D72+D76+D100+D119+D130+D143</f>
        <v>33420</v>
      </c>
      <c r="E145" s="408">
        <f>E25+E48+E63+E72+E76+E100+E119+E130+E143</f>
        <v>78950</v>
      </c>
      <c r="F145" s="409">
        <f>F25+F48+F63+F72+F76+F100+F119+F130+F143</f>
        <v>187990</v>
      </c>
    </row>
    <row r="146" spans="1:6" x14ac:dyDescent="0.2">
      <c r="B146" s="406"/>
      <c r="C146" s="406"/>
      <c r="D146" s="406"/>
      <c r="E146" s="406"/>
      <c r="F146" s="407"/>
    </row>
  </sheetData>
  <sheetProtection password="D2E7" sheet="1" objects="1" scenarios="1"/>
  <pageMargins left="0.5" right="0.5" top="0.5" bottom="0.5" header="0.5" footer="0.5"/>
  <pageSetup orientation="portrait" r:id="rId1"/>
  <rowBreaks count="3" manualBreakCount="3">
    <brk id="49" max="16383" man="1"/>
    <brk id="77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M143"/>
  <sheetViews>
    <sheetView zoomScaleNormal="100" zoomScaleSheetLayoutView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RowHeight="12.75" x14ac:dyDescent="0.2"/>
  <cols>
    <col min="1" max="1" width="30.7109375" style="220" customWidth="1"/>
    <col min="2" max="4" width="9.7109375" style="218" customWidth="1"/>
    <col min="5" max="5" width="1.7109375" style="219" customWidth="1"/>
    <col min="6" max="8" width="9.7109375" style="218" customWidth="1"/>
    <col min="9" max="9" width="1.7109375" style="219" customWidth="1"/>
    <col min="10" max="11" width="9.7109375" style="218" customWidth="1"/>
    <col min="12" max="13" width="9.7109375" style="220" customWidth="1"/>
    <col min="14" max="16384" width="9.140625" style="220"/>
  </cols>
  <sheetData>
    <row r="1" spans="1:13" ht="18.75" x14ac:dyDescent="0.3">
      <c r="A1" s="217" t="s">
        <v>159</v>
      </c>
    </row>
    <row r="2" spans="1:13" ht="18.75" x14ac:dyDescent="0.3">
      <c r="A2" s="217"/>
    </row>
    <row r="3" spans="1:13" ht="12.75" customHeight="1" x14ac:dyDescent="0.2">
      <c r="B3" s="418" t="s">
        <v>160</v>
      </c>
      <c r="C3" s="419"/>
      <c r="D3" s="420"/>
      <c r="E3" s="221"/>
      <c r="F3" s="418" t="s">
        <v>161</v>
      </c>
      <c r="G3" s="419"/>
      <c r="H3" s="420"/>
      <c r="I3" s="221"/>
      <c r="J3" s="421" t="s">
        <v>162</v>
      </c>
      <c r="K3" s="422"/>
      <c r="L3" s="422"/>
      <c r="M3" s="474"/>
    </row>
    <row r="4" spans="1:13" s="222" customFormat="1" ht="51" x14ac:dyDescent="0.2">
      <c r="B4" s="223" t="s">
        <v>186</v>
      </c>
      <c r="C4" s="223" t="s">
        <v>187</v>
      </c>
      <c r="D4" s="223" t="s">
        <v>184</v>
      </c>
      <c r="E4" s="224"/>
      <c r="F4" s="223" t="s">
        <v>186</v>
      </c>
      <c r="G4" s="223" t="s">
        <v>187</v>
      </c>
      <c r="H4" s="223" t="s">
        <v>184</v>
      </c>
      <c r="I4" s="224"/>
      <c r="J4" s="225" t="s">
        <v>186</v>
      </c>
      <c r="K4" s="225" t="s">
        <v>187</v>
      </c>
      <c r="L4" s="225" t="s">
        <v>195</v>
      </c>
      <c r="M4" s="225" t="s">
        <v>196</v>
      </c>
    </row>
    <row r="5" spans="1:13" s="229" customFormat="1" ht="6" customHeight="1" x14ac:dyDescent="0.2">
      <c r="A5" s="226"/>
      <c r="B5" s="227"/>
      <c r="C5" s="227"/>
      <c r="D5" s="227"/>
      <c r="E5" s="228"/>
      <c r="F5" s="227"/>
      <c r="G5" s="227"/>
      <c r="H5" s="227"/>
      <c r="I5" s="228"/>
      <c r="J5" s="227"/>
      <c r="K5" s="227"/>
    </row>
    <row r="6" spans="1:13" s="218" customFormat="1" x14ac:dyDescent="0.2">
      <c r="A6" s="230"/>
      <c r="B6" s="231"/>
      <c r="C6" s="231"/>
      <c r="D6" s="232"/>
      <c r="E6" s="228"/>
      <c r="F6" s="231"/>
      <c r="G6" s="231"/>
      <c r="H6" s="232"/>
      <c r="I6" s="228"/>
      <c r="J6" s="233" t="s">
        <v>165</v>
      </c>
      <c r="K6" s="234">
        <f t="shared" ref="K6:M6" si="0">MAX(K10:K134)</f>
        <v>8301</v>
      </c>
      <c r="L6" s="235">
        <f t="shared" si="0"/>
        <v>94</v>
      </c>
      <c r="M6" s="235">
        <f t="shared" si="0"/>
        <v>1</v>
      </c>
    </row>
    <row r="7" spans="1:13" s="218" customFormat="1" x14ac:dyDescent="0.2">
      <c r="A7" s="236"/>
      <c r="B7" s="237"/>
      <c r="C7" s="237"/>
      <c r="D7" s="238"/>
      <c r="E7" s="228"/>
      <c r="F7" s="237"/>
      <c r="G7" s="237"/>
      <c r="H7" s="238"/>
      <c r="I7" s="228"/>
      <c r="J7" s="239" t="s">
        <v>166</v>
      </c>
      <c r="K7" s="240">
        <f t="shared" ref="K7:M7" si="1">MIN(K10:K134)</f>
        <v>0</v>
      </c>
      <c r="L7" s="241">
        <f t="shared" si="1"/>
        <v>1</v>
      </c>
      <c r="M7" s="241">
        <f t="shared" si="1"/>
        <v>-1</v>
      </c>
    </row>
    <row r="8" spans="1:13" s="218" customFormat="1" ht="6" customHeight="1" x14ac:dyDescent="0.2">
      <c r="A8" s="242"/>
      <c r="B8" s="243"/>
      <c r="C8" s="243"/>
      <c r="D8" s="244"/>
      <c r="E8" s="228"/>
      <c r="F8" s="243"/>
      <c r="G8" s="243"/>
      <c r="H8" s="244"/>
      <c r="I8" s="228"/>
      <c r="J8" s="245"/>
      <c r="K8" s="246"/>
    </row>
    <row r="9" spans="1:13" x14ac:dyDescent="0.2">
      <c r="A9" s="247" t="s">
        <v>116</v>
      </c>
      <c r="B9" s="248"/>
      <c r="C9" s="248"/>
      <c r="D9" s="248"/>
      <c r="E9" s="228"/>
      <c r="F9" s="248"/>
      <c r="G9" s="248"/>
      <c r="H9" s="248"/>
      <c r="I9" s="228"/>
      <c r="J9" s="248"/>
      <c r="K9" s="248"/>
    </row>
    <row r="10" spans="1:13" x14ac:dyDescent="0.2">
      <c r="A10" s="249" t="s">
        <v>1</v>
      </c>
      <c r="B10" s="250">
        <v>443</v>
      </c>
      <c r="C10" s="250">
        <v>300</v>
      </c>
      <c r="D10" s="251">
        <f t="shared" ref="D10:D24" si="2">C10/B10</f>
        <v>0.67720090293453727</v>
      </c>
      <c r="E10" s="252"/>
      <c r="F10" s="250">
        <v>265</v>
      </c>
      <c r="G10" s="250">
        <v>36</v>
      </c>
      <c r="H10" s="251">
        <f t="shared" ref="H10:H24" si="3">G10/F10</f>
        <v>0.13584905660377358</v>
      </c>
      <c r="I10" s="252"/>
      <c r="J10" s="250">
        <f>B10+F10</f>
        <v>708</v>
      </c>
      <c r="K10" s="250">
        <f>C10+G10</f>
        <v>336</v>
      </c>
      <c r="L10" s="253">
        <f t="shared" ref="L10:L24" si="4">RANK(K10,$K$10:$K$134)</f>
        <v>30</v>
      </c>
      <c r="M10" s="254">
        <f>((L10-$L$7)/($L$6-$L$7)*200-100)/100</f>
        <v>-0.37634408602150538</v>
      </c>
    </row>
    <row r="11" spans="1:13" x14ac:dyDescent="0.2">
      <c r="A11" s="249" t="s">
        <v>10</v>
      </c>
      <c r="B11" s="250">
        <v>64</v>
      </c>
      <c r="C11" s="250">
        <v>5</v>
      </c>
      <c r="D11" s="251">
        <f t="shared" si="2"/>
        <v>7.8125E-2</v>
      </c>
      <c r="E11" s="255"/>
      <c r="F11" s="250">
        <v>33</v>
      </c>
      <c r="G11" s="250">
        <v>10</v>
      </c>
      <c r="H11" s="251">
        <f t="shared" si="3"/>
        <v>0.30303030303030304</v>
      </c>
      <c r="I11" s="255"/>
      <c r="J11" s="250">
        <f t="shared" ref="J11:J24" si="5">B11+F11</f>
        <v>97</v>
      </c>
      <c r="K11" s="250">
        <f t="shared" ref="K11:K24" si="6">C11+G11</f>
        <v>15</v>
      </c>
      <c r="L11" s="253">
        <f t="shared" si="4"/>
        <v>84</v>
      </c>
      <c r="M11" s="254">
        <f t="shared" ref="M11:M24" si="7">((L11-$L$7)/($L$6-$L$7)*200-100)/100</f>
        <v>0.78494623655913986</v>
      </c>
    </row>
    <row r="12" spans="1:13" x14ac:dyDescent="0.2">
      <c r="A12" s="249" t="s">
        <v>11</v>
      </c>
      <c r="B12" s="250">
        <v>354</v>
      </c>
      <c r="C12" s="250">
        <v>239</v>
      </c>
      <c r="D12" s="251">
        <f t="shared" si="2"/>
        <v>0.67514124293785316</v>
      </c>
      <c r="E12" s="255"/>
      <c r="F12" s="250">
        <v>150</v>
      </c>
      <c r="G12" s="250">
        <v>257</v>
      </c>
      <c r="H12" s="251">
        <f t="shared" si="3"/>
        <v>1.7133333333333334</v>
      </c>
      <c r="I12" s="255"/>
      <c r="J12" s="250">
        <f t="shared" si="5"/>
        <v>504</v>
      </c>
      <c r="K12" s="250">
        <f t="shared" si="6"/>
        <v>496</v>
      </c>
      <c r="L12" s="253">
        <f t="shared" si="4"/>
        <v>24</v>
      </c>
      <c r="M12" s="254">
        <f t="shared" si="7"/>
        <v>-0.5053763440860215</v>
      </c>
    </row>
    <row r="13" spans="1:13" x14ac:dyDescent="0.2">
      <c r="A13" s="249" t="s">
        <v>12</v>
      </c>
      <c r="B13" s="250">
        <v>796</v>
      </c>
      <c r="C13" s="250">
        <v>263</v>
      </c>
      <c r="D13" s="251">
        <f t="shared" si="2"/>
        <v>0.33040201005025127</v>
      </c>
      <c r="E13" s="255"/>
      <c r="F13" s="250">
        <v>531</v>
      </c>
      <c r="G13" s="250">
        <v>243</v>
      </c>
      <c r="H13" s="251">
        <f t="shared" si="3"/>
        <v>0.4576271186440678</v>
      </c>
      <c r="I13" s="255"/>
      <c r="J13" s="250">
        <f t="shared" si="5"/>
        <v>1327</v>
      </c>
      <c r="K13" s="250">
        <f t="shared" si="6"/>
        <v>506</v>
      </c>
      <c r="L13" s="253">
        <f t="shared" si="4"/>
        <v>22</v>
      </c>
      <c r="M13" s="254">
        <f t="shared" si="7"/>
        <v>-0.54838709677419362</v>
      </c>
    </row>
    <row r="14" spans="1:13" x14ac:dyDescent="0.2">
      <c r="A14" s="249" t="s">
        <v>13</v>
      </c>
      <c r="B14" s="250">
        <v>178</v>
      </c>
      <c r="C14" s="250">
        <v>124</v>
      </c>
      <c r="D14" s="251">
        <f t="shared" si="2"/>
        <v>0.6966292134831461</v>
      </c>
      <c r="E14" s="255"/>
      <c r="F14" s="250">
        <v>95</v>
      </c>
      <c r="G14" s="250">
        <v>63</v>
      </c>
      <c r="H14" s="251">
        <f t="shared" si="3"/>
        <v>0.66315789473684206</v>
      </c>
      <c r="I14" s="255"/>
      <c r="J14" s="250">
        <f t="shared" si="5"/>
        <v>273</v>
      </c>
      <c r="K14" s="250">
        <f t="shared" si="6"/>
        <v>187</v>
      </c>
      <c r="L14" s="253">
        <f t="shared" si="4"/>
        <v>43</v>
      </c>
      <c r="M14" s="254">
        <f t="shared" si="7"/>
        <v>-9.6774193548387191E-2</v>
      </c>
    </row>
    <row r="15" spans="1:13" x14ac:dyDescent="0.2">
      <c r="A15" s="249" t="s">
        <v>14</v>
      </c>
      <c r="B15" s="250">
        <v>1079</v>
      </c>
      <c r="C15" s="250">
        <v>361</v>
      </c>
      <c r="D15" s="251">
        <f t="shared" si="2"/>
        <v>0.33456904541241889</v>
      </c>
      <c r="E15" s="255"/>
      <c r="F15" s="250">
        <v>636</v>
      </c>
      <c r="G15" s="250">
        <v>142</v>
      </c>
      <c r="H15" s="251">
        <f t="shared" si="3"/>
        <v>0.22327044025157233</v>
      </c>
      <c r="I15" s="255"/>
      <c r="J15" s="250">
        <f t="shared" si="5"/>
        <v>1715</v>
      </c>
      <c r="K15" s="250">
        <f t="shared" si="6"/>
        <v>503</v>
      </c>
      <c r="L15" s="253">
        <f t="shared" si="4"/>
        <v>23</v>
      </c>
      <c r="M15" s="254">
        <f t="shared" si="7"/>
        <v>-0.5268817204301075</v>
      </c>
    </row>
    <row r="16" spans="1:13" x14ac:dyDescent="0.2">
      <c r="A16" s="249" t="s">
        <v>15</v>
      </c>
      <c r="B16" s="250">
        <v>625</v>
      </c>
      <c r="C16" s="250">
        <v>40</v>
      </c>
      <c r="D16" s="251">
        <f t="shared" si="2"/>
        <v>6.4000000000000001E-2</v>
      </c>
      <c r="E16" s="255"/>
      <c r="F16" s="250">
        <v>344</v>
      </c>
      <c r="G16" s="250">
        <v>17</v>
      </c>
      <c r="H16" s="251">
        <f t="shared" si="3"/>
        <v>4.9418604651162788E-2</v>
      </c>
      <c r="I16" s="255"/>
      <c r="J16" s="250">
        <f t="shared" si="5"/>
        <v>969</v>
      </c>
      <c r="K16" s="250">
        <f t="shared" si="6"/>
        <v>57</v>
      </c>
      <c r="L16" s="253">
        <f t="shared" si="4"/>
        <v>68</v>
      </c>
      <c r="M16" s="254">
        <f t="shared" si="7"/>
        <v>0.44086021505376349</v>
      </c>
    </row>
    <row r="17" spans="1:13" x14ac:dyDescent="0.2">
      <c r="A17" s="249" t="s">
        <v>16</v>
      </c>
      <c r="B17" s="250">
        <v>875</v>
      </c>
      <c r="C17" s="250">
        <v>202</v>
      </c>
      <c r="D17" s="251">
        <f t="shared" si="2"/>
        <v>0.23085714285714284</v>
      </c>
      <c r="E17" s="255"/>
      <c r="F17" s="250">
        <v>482</v>
      </c>
      <c r="G17" s="250">
        <v>259</v>
      </c>
      <c r="H17" s="251">
        <f t="shared" si="3"/>
        <v>0.53734439834024894</v>
      </c>
      <c r="I17" s="255"/>
      <c r="J17" s="250">
        <f t="shared" si="5"/>
        <v>1357</v>
      </c>
      <c r="K17" s="250">
        <f t="shared" si="6"/>
        <v>461</v>
      </c>
      <c r="L17" s="253">
        <f t="shared" si="4"/>
        <v>26</v>
      </c>
      <c r="M17" s="254">
        <f t="shared" si="7"/>
        <v>-0.4623655913978495</v>
      </c>
    </row>
    <row r="18" spans="1:13" x14ac:dyDescent="0.2">
      <c r="A18" s="249" t="s">
        <v>17</v>
      </c>
      <c r="B18" s="250">
        <v>205</v>
      </c>
      <c r="C18" s="250">
        <v>0</v>
      </c>
      <c r="D18" s="251">
        <f t="shared" si="2"/>
        <v>0</v>
      </c>
      <c r="E18" s="255"/>
      <c r="F18" s="250">
        <v>111</v>
      </c>
      <c r="G18" s="250">
        <v>0</v>
      </c>
      <c r="H18" s="251">
        <f t="shared" si="3"/>
        <v>0</v>
      </c>
      <c r="I18" s="255"/>
      <c r="J18" s="250">
        <f t="shared" si="5"/>
        <v>316</v>
      </c>
      <c r="K18" s="250">
        <f t="shared" si="6"/>
        <v>0</v>
      </c>
      <c r="L18" s="253">
        <f t="shared" si="4"/>
        <v>94</v>
      </c>
      <c r="M18" s="254">
        <f t="shared" si="7"/>
        <v>1</v>
      </c>
    </row>
    <row r="19" spans="1:13" x14ac:dyDescent="0.2">
      <c r="A19" s="249" t="s">
        <v>18</v>
      </c>
      <c r="B19" s="250">
        <v>2238</v>
      </c>
      <c r="C19" s="250">
        <v>610</v>
      </c>
      <c r="D19" s="251">
        <f t="shared" si="2"/>
        <v>0.27256478999106343</v>
      </c>
      <c r="E19" s="255"/>
      <c r="F19" s="250">
        <v>969</v>
      </c>
      <c r="G19" s="250">
        <v>690</v>
      </c>
      <c r="H19" s="251">
        <f t="shared" si="3"/>
        <v>0.71207430340557276</v>
      </c>
      <c r="I19" s="255"/>
      <c r="J19" s="250">
        <f t="shared" si="5"/>
        <v>3207</v>
      </c>
      <c r="K19" s="250">
        <f t="shared" si="6"/>
        <v>1300</v>
      </c>
      <c r="L19" s="253">
        <f t="shared" si="4"/>
        <v>4</v>
      </c>
      <c r="M19" s="254">
        <f t="shared" si="7"/>
        <v>-0.93548387096774188</v>
      </c>
    </row>
    <row r="20" spans="1:13" x14ac:dyDescent="0.2">
      <c r="A20" s="249" t="s">
        <v>19</v>
      </c>
      <c r="B20" s="250">
        <v>6</v>
      </c>
      <c r="C20" s="250">
        <v>0</v>
      </c>
      <c r="D20" s="251">
        <f t="shared" si="2"/>
        <v>0</v>
      </c>
      <c r="E20" s="255"/>
      <c r="F20" s="250">
        <v>4</v>
      </c>
      <c r="G20" s="250">
        <v>0</v>
      </c>
      <c r="H20" s="251">
        <f t="shared" si="3"/>
        <v>0</v>
      </c>
      <c r="I20" s="255"/>
      <c r="J20" s="250">
        <f t="shared" si="5"/>
        <v>10</v>
      </c>
      <c r="K20" s="250">
        <f t="shared" si="6"/>
        <v>0</v>
      </c>
      <c r="L20" s="253">
        <f t="shared" si="4"/>
        <v>94</v>
      </c>
      <c r="M20" s="254">
        <f t="shared" si="7"/>
        <v>1</v>
      </c>
    </row>
    <row r="21" spans="1:13" x14ac:dyDescent="0.2">
      <c r="A21" s="249" t="s">
        <v>20</v>
      </c>
      <c r="B21" s="250">
        <v>729</v>
      </c>
      <c r="C21" s="250">
        <v>120</v>
      </c>
      <c r="D21" s="251">
        <f t="shared" si="2"/>
        <v>0.16460905349794239</v>
      </c>
      <c r="E21" s="255"/>
      <c r="F21" s="250">
        <v>455</v>
      </c>
      <c r="G21" s="250">
        <v>410</v>
      </c>
      <c r="H21" s="251">
        <f t="shared" si="3"/>
        <v>0.90109890109890112</v>
      </c>
      <c r="I21" s="255"/>
      <c r="J21" s="250">
        <f t="shared" si="5"/>
        <v>1184</v>
      </c>
      <c r="K21" s="250">
        <f t="shared" si="6"/>
        <v>530</v>
      </c>
      <c r="L21" s="253">
        <f t="shared" si="4"/>
        <v>19</v>
      </c>
      <c r="M21" s="254">
        <f t="shared" si="7"/>
        <v>-0.61290322580645162</v>
      </c>
    </row>
    <row r="22" spans="1:13" x14ac:dyDescent="0.2">
      <c r="A22" s="249" t="s">
        <v>21</v>
      </c>
      <c r="B22" s="250">
        <v>195</v>
      </c>
      <c r="C22" s="250">
        <v>108</v>
      </c>
      <c r="D22" s="251">
        <f t="shared" si="2"/>
        <v>0.55384615384615388</v>
      </c>
      <c r="E22" s="255"/>
      <c r="F22" s="250">
        <v>107</v>
      </c>
      <c r="G22" s="250">
        <v>0</v>
      </c>
      <c r="H22" s="251">
        <f t="shared" si="3"/>
        <v>0</v>
      </c>
      <c r="I22" s="255"/>
      <c r="J22" s="250">
        <f t="shared" si="5"/>
        <v>302</v>
      </c>
      <c r="K22" s="250">
        <f t="shared" si="6"/>
        <v>108</v>
      </c>
      <c r="L22" s="253">
        <f t="shared" si="4"/>
        <v>56</v>
      </c>
      <c r="M22" s="254">
        <f t="shared" si="7"/>
        <v>0.18279569892473119</v>
      </c>
    </row>
    <row r="23" spans="1:13" x14ac:dyDescent="0.2">
      <c r="A23" s="249" t="s">
        <v>22</v>
      </c>
      <c r="B23" s="250">
        <v>338</v>
      </c>
      <c r="C23" s="250">
        <v>177</v>
      </c>
      <c r="D23" s="251">
        <f t="shared" si="2"/>
        <v>0.52366863905325445</v>
      </c>
      <c r="E23" s="255"/>
      <c r="F23" s="250">
        <v>189</v>
      </c>
      <c r="G23" s="250">
        <v>55</v>
      </c>
      <c r="H23" s="251">
        <f t="shared" si="3"/>
        <v>0.29100529100529099</v>
      </c>
      <c r="I23" s="255"/>
      <c r="J23" s="250">
        <f t="shared" si="5"/>
        <v>527</v>
      </c>
      <c r="K23" s="250">
        <f t="shared" si="6"/>
        <v>232</v>
      </c>
      <c r="L23" s="253">
        <f t="shared" si="4"/>
        <v>37</v>
      </c>
      <c r="M23" s="254">
        <f t="shared" si="7"/>
        <v>-0.22580645161290319</v>
      </c>
    </row>
    <row r="24" spans="1:13" x14ac:dyDescent="0.2">
      <c r="A24" s="256" t="s">
        <v>105</v>
      </c>
      <c r="B24" s="250">
        <v>1785</v>
      </c>
      <c r="C24" s="250">
        <v>50</v>
      </c>
      <c r="D24" s="251">
        <f t="shared" si="2"/>
        <v>2.8011204481792718E-2</v>
      </c>
      <c r="E24" s="255"/>
      <c r="F24" s="250">
        <v>767</v>
      </c>
      <c r="G24" s="250">
        <v>253</v>
      </c>
      <c r="H24" s="251">
        <f t="shared" si="3"/>
        <v>0.32985658409387225</v>
      </c>
      <c r="I24" s="255"/>
      <c r="J24" s="250">
        <f t="shared" si="5"/>
        <v>2552</v>
      </c>
      <c r="K24" s="250">
        <f t="shared" si="6"/>
        <v>303</v>
      </c>
      <c r="L24" s="253">
        <f t="shared" si="4"/>
        <v>33</v>
      </c>
      <c r="M24" s="254">
        <f t="shared" si="7"/>
        <v>-0.3118279569892472</v>
      </c>
    </row>
    <row r="25" spans="1:13" x14ac:dyDescent="0.2">
      <c r="A25" s="257"/>
      <c r="B25" s="258"/>
      <c r="C25" s="258"/>
      <c r="D25" s="259"/>
      <c r="E25" s="255"/>
      <c r="F25" s="258"/>
      <c r="G25" s="258"/>
      <c r="H25" s="259"/>
      <c r="I25" s="255"/>
      <c r="J25" s="258"/>
      <c r="K25" s="258"/>
      <c r="M25" s="260"/>
    </row>
    <row r="26" spans="1:13" x14ac:dyDescent="0.2">
      <c r="A26" s="261" t="s">
        <v>113</v>
      </c>
      <c r="B26" s="258"/>
      <c r="C26" s="258"/>
      <c r="D26" s="259"/>
      <c r="E26" s="255"/>
      <c r="F26" s="258"/>
      <c r="G26" s="258"/>
      <c r="H26" s="259"/>
      <c r="I26" s="255"/>
      <c r="J26" s="258"/>
      <c r="K26" s="258"/>
      <c r="M26" s="260"/>
    </row>
    <row r="27" spans="1:13" x14ac:dyDescent="0.2">
      <c r="A27" s="249" t="s">
        <v>23</v>
      </c>
      <c r="B27" s="250">
        <v>921</v>
      </c>
      <c r="C27" s="250">
        <v>435</v>
      </c>
      <c r="D27" s="251">
        <f t="shared" ref="D27:D46" si="8">C27/B27</f>
        <v>0.47231270358306188</v>
      </c>
      <c r="E27" s="255"/>
      <c r="F27" s="250">
        <v>509</v>
      </c>
      <c r="G27" s="250">
        <v>403</v>
      </c>
      <c r="H27" s="251">
        <f t="shared" ref="H27:H46" si="9">G27/F27</f>
        <v>0.79174852652259331</v>
      </c>
      <c r="I27" s="255"/>
      <c r="J27" s="250">
        <f t="shared" ref="J27:J46" si="10">B27+F27</f>
        <v>1430</v>
      </c>
      <c r="K27" s="250">
        <f t="shared" ref="K27:K46" si="11">C27+G27</f>
        <v>838</v>
      </c>
      <c r="L27" s="253">
        <f t="shared" ref="L27:L46" si="12">RANK(K27,$K$10:$K$134)</f>
        <v>7</v>
      </c>
      <c r="M27" s="254">
        <f t="shared" ref="M27:M46" si="13">((L27-$L$7)/($L$6-$L$7)*200-100)/100</f>
        <v>-0.87096774193548387</v>
      </c>
    </row>
    <row r="28" spans="1:13" x14ac:dyDescent="0.2">
      <c r="A28" s="249" t="s">
        <v>24</v>
      </c>
      <c r="B28" s="250">
        <v>906</v>
      </c>
      <c r="C28" s="250">
        <v>376</v>
      </c>
      <c r="D28" s="251">
        <f t="shared" si="8"/>
        <v>0.41501103752759383</v>
      </c>
      <c r="E28" s="255"/>
      <c r="F28" s="250">
        <v>476</v>
      </c>
      <c r="G28" s="250">
        <v>238</v>
      </c>
      <c r="H28" s="251">
        <f t="shared" si="9"/>
        <v>0.5</v>
      </c>
      <c r="I28" s="255"/>
      <c r="J28" s="250">
        <f t="shared" si="10"/>
        <v>1382</v>
      </c>
      <c r="K28" s="250">
        <f t="shared" si="11"/>
        <v>614</v>
      </c>
      <c r="L28" s="253">
        <f t="shared" si="12"/>
        <v>14</v>
      </c>
      <c r="M28" s="254">
        <f t="shared" si="13"/>
        <v>-0.72043010752688175</v>
      </c>
    </row>
    <row r="29" spans="1:13" x14ac:dyDescent="0.2">
      <c r="A29" s="249" t="s">
        <v>25</v>
      </c>
      <c r="B29" s="250">
        <v>55</v>
      </c>
      <c r="C29" s="250">
        <v>67</v>
      </c>
      <c r="D29" s="251">
        <f t="shared" si="8"/>
        <v>1.2181818181818183</v>
      </c>
      <c r="E29" s="255"/>
      <c r="F29" s="250">
        <v>33</v>
      </c>
      <c r="G29" s="250">
        <v>17</v>
      </c>
      <c r="H29" s="251">
        <f t="shared" si="9"/>
        <v>0.51515151515151514</v>
      </c>
      <c r="I29" s="255"/>
      <c r="J29" s="250">
        <f t="shared" si="10"/>
        <v>88</v>
      </c>
      <c r="K29" s="250">
        <f t="shared" si="11"/>
        <v>84</v>
      </c>
      <c r="L29" s="253">
        <f t="shared" si="12"/>
        <v>62</v>
      </c>
      <c r="M29" s="254">
        <f t="shared" si="13"/>
        <v>0.31182795698924737</v>
      </c>
    </row>
    <row r="30" spans="1:13" x14ac:dyDescent="0.2">
      <c r="A30" s="249" t="s">
        <v>26</v>
      </c>
      <c r="B30" s="250">
        <v>453</v>
      </c>
      <c r="C30" s="250">
        <v>171</v>
      </c>
      <c r="D30" s="251">
        <f t="shared" si="8"/>
        <v>0.37748344370860926</v>
      </c>
      <c r="E30" s="255"/>
      <c r="F30" s="250">
        <v>273</v>
      </c>
      <c r="G30" s="250">
        <v>115</v>
      </c>
      <c r="H30" s="251">
        <f t="shared" si="9"/>
        <v>0.42124542124542125</v>
      </c>
      <c r="I30" s="255"/>
      <c r="J30" s="250">
        <f t="shared" si="10"/>
        <v>726</v>
      </c>
      <c r="K30" s="250">
        <f t="shared" si="11"/>
        <v>286</v>
      </c>
      <c r="L30" s="253">
        <f t="shared" si="12"/>
        <v>34</v>
      </c>
      <c r="M30" s="254">
        <f t="shared" si="13"/>
        <v>-0.29032258064516125</v>
      </c>
    </row>
    <row r="31" spans="1:13" x14ac:dyDescent="0.2">
      <c r="A31" s="249" t="s">
        <v>27</v>
      </c>
      <c r="B31" s="250">
        <v>140</v>
      </c>
      <c r="C31" s="250">
        <v>85</v>
      </c>
      <c r="D31" s="251">
        <f t="shared" si="8"/>
        <v>0.6071428571428571</v>
      </c>
      <c r="E31" s="255"/>
      <c r="F31" s="250">
        <v>88</v>
      </c>
      <c r="G31" s="250">
        <v>56</v>
      </c>
      <c r="H31" s="251">
        <f t="shared" si="9"/>
        <v>0.63636363636363635</v>
      </c>
      <c r="I31" s="255"/>
      <c r="J31" s="250">
        <f t="shared" si="10"/>
        <v>228</v>
      </c>
      <c r="K31" s="250">
        <f t="shared" si="11"/>
        <v>141</v>
      </c>
      <c r="L31" s="253">
        <f t="shared" si="12"/>
        <v>51</v>
      </c>
      <c r="M31" s="254">
        <f t="shared" si="13"/>
        <v>7.5268817204300967E-2</v>
      </c>
    </row>
    <row r="32" spans="1:13" x14ac:dyDescent="0.2">
      <c r="A32" s="249" t="s">
        <v>28</v>
      </c>
      <c r="B32" s="250">
        <v>37</v>
      </c>
      <c r="C32" s="250">
        <v>0</v>
      </c>
      <c r="D32" s="251">
        <f t="shared" si="8"/>
        <v>0</v>
      </c>
      <c r="E32" s="255"/>
      <c r="F32" s="250">
        <v>23</v>
      </c>
      <c r="G32" s="250">
        <v>5</v>
      </c>
      <c r="H32" s="251">
        <f t="shared" si="9"/>
        <v>0.21739130434782608</v>
      </c>
      <c r="I32" s="255"/>
      <c r="J32" s="250">
        <f t="shared" si="10"/>
        <v>60</v>
      </c>
      <c r="K32" s="250">
        <f t="shared" si="11"/>
        <v>5</v>
      </c>
      <c r="L32" s="253">
        <f t="shared" si="12"/>
        <v>91</v>
      </c>
      <c r="M32" s="254">
        <f t="shared" si="13"/>
        <v>0.9354838709677421</v>
      </c>
    </row>
    <row r="33" spans="1:13" x14ac:dyDescent="0.2">
      <c r="A33" s="249" t="s">
        <v>29</v>
      </c>
      <c r="B33" s="250">
        <v>101</v>
      </c>
      <c r="C33" s="250">
        <v>96</v>
      </c>
      <c r="D33" s="251">
        <f t="shared" si="8"/>
        <v>0.95049504950495045</v>
      </c>
      <c r="E33" s="255"/>
      <c r="F33" s="250">
        <v>62</v>
      </c>
      <c r="G33" s="250">
        <v>68</v>
      </c>
      <c r="H33" s="251">
        <f t="shared" si="9"/>
        <v>1.096774193548387</v>
      </c>
      <c r="I33" s="255"/>
      <c r="J33" s="250">
        <f t="shared" si="10"/>
        <v>163</v>
      </c>
      <c r="K33" s="250">
        <f t="shared" si="11"/>
        <v>164</v>
      </c>
      <c r="L33" s="253">
        <f t="shared" si="12"/>
        <v>48</v>
      </c>
      <c r="M33" s="254">
        <f t="shared" si="13"/>
        <v>1.0752688172043036E-2</v>
      </c>
    </row>
    <row r="34" spans="1:13" x14ac:dyDescent="0.2">
      <c r="A34" s="249" t="s">
        <v>30</v>
      </c>
      <c r="B34" s="250">
        <v>30</v>
      </c>
      <c r="C34" s="250">
        <v>15</v>
      </c>
      <c r="D34" s="251">
        <f t="shared" si="8"/>
        <v>0.5</v>
      </c>
      <c r="E34" s="255"/>
      <c r="F34" s="250">
        <v>17</v>
      </c>
      <c r="G34" s="250">
        <v>2</v>
      </c>
      <c r="H34" s="251">
        <f t="shared" si="9"/>
        <v>0.11764705882352941</v>
      </c>
      <c r="I34" s="255"/>
      <c r="J34" s="250">
        <f t="shared" si="10"/>
        <v>47</v>
      </c>
      <c r="K34" s="250">
        <f t="shared" si="11"/>
        <v>17</v>
      </c>
      <c r="L34" s="253">
        <f t="shared" si="12"/>
        <v>83</v>
      </c>
      <c r="M34" s="254">
        <f t="shared" si="13"/>
        <v>0.76344086021505375</v>
      </c>
    </row>
    <row r="35" spans="1:13" x14ac:dyDescent="0.2">
      <c r="A35" s="249" t="s">
        <v>31</v>
      </c>
      <c r="B35" s="250">
        <v>248</v>
      </c>
      <c r="C35" s="250">
        <v>0</v>
      </c>
      <c r="D35" s="251">
        <f t="shared" si="8"/>
        <v>0</v>
      </c>
      <c r="E35" s="255"/>
      <c r="F35" s="250">
        <v>139</v>
      </c>
      <c r="G35" s="250">
        <v>0</v>
      </c>
      <c r="H35" s="251">
        <f t="shared" si="9"/>
        <v>0</v>
      </c>
      <c r="I35" s="255"/>
      <c r="J35" s="250">
        <f t="shared" si="10"/>
        <v>387</v>
      </c>
      <c r="K35" s="250">
        <f t="shared" si="11"/>
        <v>0</v>
      </c>
      <c r="L35" s="253">
        <f t="shared" si="12"/>
        <v>94</v>
      </c>
      <c r="M35" s="254">
        <f t="shared" si="13"/>
        <v>1</v>
      </c>
    </row>
    <row r="36" spans="1:13" x14ac:dyDescent="0.2">
      <c r="A36" s="249" t="s">
        <v>32</v>
      </c>
      <c r="B36" s="250">
        <v>32</v>
      </c>
      <c r="C36" s="250">
        <v>21</v>
      </c>
      <c r="D36" s="251">
        <f t="shared" si="8"/>
        <v>0.65625</v>
      </c>
      <c r="E36" s="255"/>
      <c r="F36" s="250">
        <v>17</v>
      </c>
      <c r="G36" s="250">
        <v>0</v>
      </c>
      <c r="H36" s="251">
        <f t="shared" si="9"/>
        <v>0</v>
      </c>
      <c r="I36" s="255"/>
      <c r="J36" s="250">
        <f t="shared" si="10"/>
        <v>49</v>
      </c>
      <c r="K36" s="250">
        <f t="shared" si="11"/>
        <v>21</v>
      </c>
      <c r="L36" s="253">
        <f t="shared" si="12"/>
        <v>79</v>
      </c>
      <c r="M36" s="254">
        <f t="shared" si="13"/>
        <v>0.67741935483870974</v>
      </c>
    </row>
    <row r="37" spans="1:13" x14ac:dyDescent="0.2">
      <c r="A37" s="249" t="s">
        <v>33</v>
      </c>
      <c r="B37" s="250">
        <v>209</v>
      </c>
      <c r="C37" s="250">
        <v>168</v>
      </c>
      <c r="D37" s="251">
        <f t="shared" si="8"/>
        <v>0.80382775119617222</v>
      </c>
      <c r="E37" s="255"/>
      <c r="F37" s="250">
        <v>125</v>
      </c>
      <c r="G37" s="250">
        <v>293</v>
      </c>
      <c r="H37" s="251">
        <f t="shared" si="9"/>
        <v>2.3439999999999999</v>
      </c>
      <c r="I37" s="255"/>
      <c r="J37" s="250">
        <f t="shared" si="10"/>
        <v>334</v>
      </c>
      <c r="K37" s="250">
        <f t="shared" si="11"/>
        <v>461</v>
      </c>
      <c r="L37" s="253">
        <f t="shared" si="12"/>
        <v>26</v>
      </c>
      <c r="M37" s="254">
        <f t="shared" si="13"/>
        <v>-0.4623655913978495</v>
      </c>
    </row>
    <row r="38" spans="1:13" x14ac:dyDescent="0.2">
      <c r="A38" s="249" t="s">
        <v>34</v>
      </c>
      <c r="B38" s="250">
        <v>31</v>
      </c>
      <c r="C38" s="250">
        <v>0</v>
      </c>
      <c r="D38" s="251">
        <f t="shared" si="8"/>
        <v>0</v>
      </c>
      <c r="E38" s="255"/>
      <c r="F38" s="250">
        <v>18</v>
      </c>
      <c r="G38" s="250">
        <v>0</v>
      </c>
      <c r="H38" s="251">
        <f t="shared" si="9"/>
        <v>0</v>
      </c>
      <c r="I38" s="255"/>
      <c r="J38" s="250">
        <f t="shared" si="10"/>
        <v>49</v>
      </c>
      <c r="K38" s="250">
        <f t="shared" si="11"/>
        <v>0</v>
      </c>
      <c r="L38" s="253">
        <f t="shared" si="12"/>
        <v>94</v>
      </c>
      <c r="M38" s="254">
        <f t="shared" si="13"/>
        <v>1</v>
      </c>
    </row>
    <row r="39" spans="1:13" x14ac:dyDescent="0.2">
      <c r="A39" s="249" t="s">
        <v>35</v>
      </c>
      <c r="B39" s="250">
        <v>48</v>
      </c>
      <c r="C39" s="250">
        <v>34</v>
      </c>
      <c r="D39" s="251">
        <f t="shared" si="8"/>
        <v>0.70833333333333337</v>
      </c>
      <c r="E39" s="255"/>
      <c r="F39" s="250">
        <v>35</v>
      </c>
      <c r="G39" s="250">
        <v>6</v>
      </c>
      <c r="H39" s="251">
        <f t="shared" si="9"/>
        <v>0.17142857142857143</v>
      </c>
      <c r="I39" s="255"/>
      <c r="J39" s="250">
        <f t="shared" si="10"/>
        <v>83</v>
      </c>
      <c r="K39" s="250">
        <f t="shared" si="11"/>
        <v>40</v>
      </c>
      <c r="L39" s="253">
        <f t="shared" si="12"/>
        <v>71</v>
      </c>
      <c r="M39" s="254">
        <f t="shared" si="13"/>
        <v>0.5053763440860215</v>
      </c>
    </row>
    <row r="40" spans="1:13" x14ac:dyDescent="0.2">
      <c r="A40" s="249" t="s">
        <v>36</v>
      </c>
      <c r="B40" s="250">
        <v>534</v>
      </c>
      <c r="C40" s="250">
        <v>247</v>
      </c>
      <c r="D40" s="251">
        <f t="shared" si="8"/>
        <v>0.46254681647940077</v>
      </c>
      <c r="E40" s="255"/>
      <c r="F40" s="250">
        <v>296</v>
      </c>
      <c r="G40" s="250">
        <v>381</v>
      </c>
      <c r="H40" s="251">
        <f t="shared" si="9"/>
        <v>1.2871621621621621</v>
      </c>
      <c r="I40" s="255"/>
      <c r="J40" s="250">
        <f t="shared" si="10"/>
        <v>830</v>
      </c>
      <c r="K40" s="250">
        <f t="shared" si="11"/>
        <v>628</v>
      </c>
      <c r="L40" s="253">
        <f t="shared" si="12"/>
        <v>13</v>
      </c>
      <c r="M40" s="254">
        <f t="shared" si="13"/>
        <v>-0.74193548387096764</v>
      </c>
    </row>
    <row r="41" spans="1:13" x14ac:dyDescent="0.2">
      <c r="A41" s="249" t="s">
        <v>37</v>
      </c>
      <c r="B41" s="250">
        <v>129</v>
      </c>
      <c r="C41" s="250">
        <v>95</v>
      </c>
      <c r="D41" s="251">
        <f t="shared" si="8"/>
        <v>0.73643410852713176</v>
      </c>
      <c r="E41" s="255"/>
      <c r="F41" s="250">
        <v>79</v>
      </c>
      <c r="G41" s="250">
        <v>69</v>
      </c>
      <c r="H41" s="251">
        <f t="shared" si="9"/>
        <v>0.87341772151898733</v>
      </c>
      <c r="I41" s="255"/>
      <c r="J41" s="250">
        <f t="shared" si="10"/>
        <v>208</v>
      </c>
      <c r="K41" s="250">
        <f t="shared" si="11"/>
        <v>164</v>
      </c>
      <c r="L41" s="253">
        <f t="shared" si="12"/>
        <v>48</v>
      </c>
      <c r="M41" s="254">
        <f t="shared" si="13"/>
        <v>1.0752688172043036E-2</v>
      </c>
    </row>
    <row r="42" spans="1:13" x14ac:dyDescent="0.2">
      <c r="A42" s="249" t="s">
        <v>38</v>
      </c>
      <c r="B42" s="250">
        <v>471</v>
      </c>
      <c r="C42" s="250">
        <v>200</v>
      </c>
      <c r="D42" s="251">
        <f t="shared" si="8"/>
        <v>0.42462845010615713</v>
      </c>
      <c r="E42" s="255"/>
      <c r="F42" s="250">
        <v>273</v>
      </c>
      <c r="G42" s="250">
        <v>1093</v>
      </c>
      <c r="H42" s="251">
        <f t="shared" si="9"/>
        <v>4.0036630036630036</v>
      </c>
      <c r="I42" s="255"/>
      <c r="J42" s="250">
        <f t="shared" si="10"/>
        <v>744</v>
      </c>
      <c r="K42" s="250">
        <f t="shared" si="11"/>
        <v>1293</v>
      </c>
      <c r="L42" s="253">
        <f t="shared" si="12"/>
        <v>5</v>
      </c>
      <c r="M42" s="254">
        <f t="shared" si="13"/>
        <v>-0.91397849462365588</v>
      </c>
    </row>
    <row r="43" spans="1:13" x14ac:dyDescent="0.2">
      <c r="A43" s="249" t="s">
        <v>39</v>
      </c>
      <c r="B43" s="250">
        <v>147</v>
      </c>
      <c r="C43" s="250">
        <v>214</v>
      </c>
      <c r="D43" s="251">
        <f t="shared" si="8"/>
        <v>1.4557823129251701</v>
      </c>
      <c r="E43" s="255"/>
      <c r="F43" s="250">
        <v>69</v>
      </c>
      <c r="G43" s="250">
        <v>70</v>
      </c>
      <c r="H43" s="251">
        <f t="shared" si="9"/>
        <v>1.0144927536231885</v>
      </c>
      <c r="I43" s="255"/>
      <c r="J43" s="250">
        <f t="shared" si="10"/>
        <v>216</v>
      </c>
      <c r="K43" s="250">
        <f t="shared" si="11"/>
        <v>284</v>
      </c>
      <c r="L43" s="253">
        <f t="shared" si="12"/>
        <v>35</v>
      </c>
      <c r="M43" s="254">
        <f t="shared" si="13"/>
        <v>-0.2688172043010752</v>
      </c>
    </row>
    <row r="44" spans="1:13" x14ac:dyDescent="0.2">
      <c r="A44" s="249" t="s">
        <v>40</v>
      </c>
      <c r="B44" s="250">
        <v>599</v>
      </c>
      <c r="C44" s="250">
        <v>157</v>
      </c>
      <c r="D44" s="251">
        <f t="shared" si="8"/>
        <v>0.26210350584307179</v>
      </c>
      <c r="E44" s="255"/>
      <c r="F44" s="250">
        <v>372</v>
      </c>
      <c r="G44" s="250">
        <v>407</v>
      </c>
      <c r="H44" s="251">
        <f t="shared" si="9"/>
        <v>1.0940860215053763</v>
      </c>
      <c r="I44" s="255"/>
      <c r="J44" s="250">
        <f t="shared" si="10"/>
        <v>971</v>
      </c>
      <c r="K44" s="250">
        <f t="shared" si="11"/>
        <v>564</v>
      </c>
      <c r="L44" s="253">
        <f t="shared" si="12"/>
        <v>15</v>
      </c>
      <c r="M44" s="254">
        <f t="shared" si="13"/>
        <v>-0.69892473118279563</v>
      </c>
    </row>
    <row r="45" spans="1:13" x14ac:dyDescent="0.2">
      <c r="A45" s="249" t="s">
        <v>41</v>
      </c>
      <c r="B45" s="250">
        <v>289</v>
      </c>
      <c r="C45" s="250">
        <v>99</v>
      </c>
      <c r="D45" s="251">
        <f t="shared" si="8"/>
        <v>0.34256055363321797</v>
      </c>
      <c r="E45" s="255"/>
      <c r="F45" s="250">
        <v>195</v>
      </c>
      <c r="G45" s="250">
        <v>80</v>
      </c>
      <c r="H45" s="251">
        <f t="shared" si="9"/>
        <v>0.41025641025641024</v>
      </c>
      <c r="I45" s="255"/>
      <c r="J45" s="250">
        <f t="shared" si="10"/>
        <v>484</v>
      </c>
      <c r="K45" s="250">
        <f t="shared" si="11"/>
        <v>179</v>
      </c>
      <c r="L45" s="253">
        <f t="shared" si="12"/>
        <v>45</v>
      </c>
      <c r="M45" s="254">
        <f t="shared" si="13"/>
        <v>-5.3763440860215041E-2</v>
      </c>
    </row>
    <row r="46" spans="1:13" x14ac:dyDescent="0.2">
      <c r="A46" s="262" t="s">
        <v>106</v>
      </c>
      <c r="B46" s="250">
        <v>1101</v>
      </c>
      <c r="C46" s="250">
        <v>372</v>
      </c>
      <c r="D46" s="251">
        <f t="shared" si="8"/>
        <v>0.33787465940054495</v>
      </c>
      <c r="E46" s="255"/>
      <c r="F46" s="250">
        <v>642</v>
      </c>
      <c r="G46" s="250">
        <v>177</v>
      </c>
      <c r="H46" s="251">
        <f t="shared" si="9"/>
        <v>0.27570093457943923</v>
      </c>
      <c r="I46" s="255"/>
      <c r="J46" s="250">
        <f t="shared" si="10"/>
        <v>1743</v>
      </c>
      <c r="K46" s="250">
        <f t="shared" si="11"/>
        <v>549</v>
      </c>
      <c r="L46" s="253">
        <f t="shared" si="12"/>
        <v>18</v>
      </c>
      <c r="M46" s="254">
        <f t="shared" si="13"/>
        <v>-0.63440860215053763</v>
      </c>
    </row>
    <row r="47" spans="1:13" x14ac:dyDescent="0.2">
      <c r="A47" s="257"/>
      <c r="B47" s="258"/>
      <c r="C47" s="258"/>
      <c r="D47" s="259"/>
      <c r="E47" s="255"/>
      <c r="F47" s="258"/>
      <c r="G47" s="258"/>
      <c r="H47" s="259"/>
      <c r="I47" s="255"/>
      <c r="J47" s="258"/>
      <c r="K47" s="258"/>
      <c r="M47" s="260"/>
    </row>
    <row r="48" spans="1:13" x14ac:dyDescent="0.2">
      <c r="A48" s="261" t="s">
        <v>115</v>
      </c>
      <c r="B48" s="258"/>
      <c r="C48" s="258"/>
      <c r="D48" s="259"/>
      <c r="E48" s="255"/>
      <c r="F48" s="258"/>
      <c r="G48" s="258"/>
      <c r="H48" s="259"/>
      <c r="I48" s="255"/>
      <c r="J48" s="258"/>
      <c r="K48" s="258"/>
      <c r="M48" s="260"/>
    </row>
    <row r="49" spans="1:13" x14ac:dyDescent="0.2">
      <c r="A49" s="249" t="s">
        <v>42</v>
      </c>
      <c r="B49" s="250">
        <v>1</v>
      </c>
      <c r="C49" s="250">
        <v>0</v>
      </c>
      <c r="D49" s="251">
        <f t="shared" ref="D49:D60" si="14">C49/B49</f>
        <v>0</v>
      </c>
      <c r="E49" s="255"/>
      <c r="F49" s="250">
        <v>1</v>
      </c>
      <c r="G49" s="250">
        <v>0</v>
      </c>
      <c r="H49" s="251">
        <f t="shared" ref="H49:H60" si="15">G49/F49</f>
        <v>0</v>
      </c>
      <c r="I49" s="255"/>
      <c r="J49" s="250">
        <f t="shared" ref="J49:J60" si="16">B49+F49</f>
        <v>2</v>
      </c>
      <c r="K49" s="250">
        <f t="shared" ref="K49:K60" si="17">C49+G49</f>
        <v>0</v>
      </c>
      <c r="L49" s="253">
        <f t="shared" ref="L49:L60" si="18">RANK(K49,$K$10:$K$134)</f>
        <v>94</v>
      </c>
      <c r="M49" s="254">
        <f t="shared" ref="M49:M60" si="19">((L49-$L$7)/($L$6-$L$7)*200-100)/100</f>
        <v>1</v>
      </c>
    </row>
    <row r="50" spans="1:13" x14ac:dyDescent="0.2">
      <c r="A50" s="249" t="s">
        <v>43</v>
      </c>
      <c r="B50" s="250">
        <v>29</v>
      </c>
      <c r="C50" s="250">
        <v>0</v>
      </c>
      <c r="D50" s="251">
        <f t="shared" si="14"/>
        <v>0</v>
      </c>
      <c r="E50" s="255"/>
      <c r="F50" s="250">
        <v>17</v>
      </c>
      <c r="G50" s="250">
        <v>0</v>
      </c>
      <c r="H50" s="251">
        <f t="shared" si="15"/>
        <v>0</v>
      </c>
      <c r="I50" s="255"/>
      <c r="J50" s="250">
        <f t="shared" si="16"/>
        <v>46</v>
      </c>
      <c r="K50" s="250">
        <f t="shared" si="17"/>
        <v>0</v>
      </c>
      <c r="L50" s="253">
        <f t="shared" si="18"/>
        <v>94</v>
      </c>
      <c r="M50" s="254">
        <f t="shared" si="19"/>
        <v>1</v>
      </c>
    </row>
    <row r="51" spans="1:13" x14ac:dyDescent="0.2">
      <c r="A51" s="249" t="s">
        <v>44</v>
      </c>
      <c r="B51" s="250">
        <v>12</v>
      </c>
      <c r="C51" s="250">
        <v>0</v>
      </c>
      <c r="D51" s="251">
        <f t="shared" si="14"/>
        <v>0</v>
      </c>
      <c r="E51" s="255"/>
      <c r="F51" s="250">
        <v>7</v>
      </c>
      <c r="G51" s="250">
        <v>0</v>
      </c>
      <c r="H51" s="251">
        <f t="shared" si="15"/>
        <v>0</v>
      </c>
      <c r="I51" s="255"/>
      <c r="J51" s="250">
        <f t="shared" si="16"/>
        <v>19</v>
      </c>
      <c r="K51" s="250">
        <f t="shared" si="17"/>
        <v>0</v>
      </c>
      <c r="L51" s="253">
        <f t="shared" si="18"/>
        <v>94</v>
      </c>
      <c r="M51" s="254">
        <f t="shared" si="19"/>
        <v>1</v>
      </c>
    </row>
    <row r="52" spans="1:13" x14ac:dyDescent="0.2">
      <c r="A52" s="249" t="s">
        <v>163</v>
      </c>
      <c r="B52" s="250">
        <v>56</v>
      </c>
      <c r="C52" s="250">
        <v>7</v>
      </c>
      <c r="D52" s="251">
        <f t="shared" si="14"/>
        <v>0.125</v>
      </c>
      <c r="E52" s="255"/>
      <c r="F52" s="250">
        <v>29</v>
      </c>
      <c r="G52" s="250">
        <v>6</v>
      </c>
      <c r="H52" s="251">
        <f t="shared" si="15"/>
        <v>0.20689655172413793</v>
      </c>
      <c r="I52" s="255"/>
      <c r="J52" s="250">
        <f t="shared" si="16"/>
        <v>85</v>
      </c>
      <c r="K52" s="250">
        <f t="shared" si="17"/>
        <v>13</v>
      </c>
      <c r="L52" s="253">
        <f t="shared" si="18"/>
        <v>87</v>
      </c>
      <c r="M52" s="254">
        <f t="shared" si="19"/>
        <v>0.84946236559139776</v>
      </c>
    </row>
    <row r="53" spans="1:13" x14ac:dyDescent="0.2">
      <c r="A53" s="249" t="s">
        <v>46</v>
      </c>
      <c r="B53" s="250">
        <v>40</v>
      </c>
      <c r="C53" s="250">
        <v>69</v>
      </c>
      <c r="D53" s="251">
        <f t="shared" si="14"/>
        <v>1.7250000000000001</v>
      </c>
      <c r="E53" s="255"/>
      <c r="F53" s="250">
        <v>21</v>
      </c>
      <c r="G53" s="250">
        <v>28</v>
      </c>
      <c r="H53" s="251">
        <f t="shared" si="15"/>
        <v>1.3333333333333333</v>
      </c>
      <c r="I53" s="255"/>
      <c r="J53" s="250">
        <f t="shared" si="16"/>
        <v>61</v>
      </c>
      <c r="K53" s="250">
        <f t="shared" si="17"/>
        <v>97</v>
      </c>
      <c r="L53" s="253">
        <f t="shared" si="18"/>
        <v>59</v>
      </c>
      <c r="M53" s="254">
        <f t="shared" si="19"/>
        <v>0.24731182795698928</v>
      </c>
    </row>
    <row r="54" spans="1:13" x14ac:dyDescent="0.2">
      <c r="A54" s="249" t="s">
        <v>47</v>
      </c>
      <c r="B54" s="250">
        <v>476</v>
      </c>
      <c r="C54" s="250">
        <v>297</v>
      </c>
      <c r="D54" s="251">
        <f t="shared" si="14"/>
        <v>0.62394957983193278</v>
      </c>
      <c r="E54" s="255"/>
      <c r="F54" s="250">
        <v>242</v>
      </c>
      <c r="G54" s="250">
        <v>527</v>
      </c>
      <c r="H54" s="251">
        <f t="shared" si="15"/>
        <v>2.1776859504132231</v>
      </c>
      <c r="I54" s="255"/>
      <c r="J54" s="250">
        <f t="shared" si="16"/>
        <v>718</v>
      </c>
      <c r="K54" s="250">
        <f t="shared" si="17"/>
        <v>824</v>
      </c>
      <c r="L54" s="253">
        <f t="shared" si="18"/>
        <v>8</v>
      </c>
      <c r="M54" s="254">
        <f t="shared" si="19"/>
        <v>-0.84946236559139776</v>
      </c>
    </row>
    <row r="55" spans="1:13" x14ac:dyDescent="0.2">
      <c r="A55" s="249" t="s">
        <v>48</v>
      </c>
      <c r="B55" s="250">
        <v>3</v>
      </c>
      <c r="C55" s="250">
        <v>0</v>
      </c>
      <c r="D55" s="251">
        <f t="shared" si="14"/>
        <v>0</v>
      </c>
      <c r="E55" s="255"/>
      <c r="F55" s="250">
        <v>2</v>
      </c>
      <c r="G55" s="250">
        <v>0</v>
      </c>
      <c r="H55" s="251">
        <f t="shared" si="15"/>
        <v>0</v>
      </c>
      <c r="I55" s="255"/>
      <c r="J55" s="250">
        <f t="shared" si="16"/>
        <v>5</v>
      </c>
      <c r="K55" s="250">
        <f t="shared" si="17"/>
        <v>0</v>
      </c>
      <c r="L55" s="253">
        <f t="shared" si="18"/>
        <v>94</v>
      </c>
      <c r="M55" s="254">
        <f t="shared" si="19"/>
        <v>1</v>
      </c>
    </row>
    <row r="56" spans="1:13" x14ac:dyDescent="0.2">
      <c r="A56" s="249" t="s">
        <v>49</v>
      </c>
      <c r="B56" s="250">
        <v>32</v>
      </c>
      <c r="C56" s="250">
        <v>0</v>
      </c>
      <c r="D56" s="251">
        <f t="shared" si="14"/>
        <v>0</v>
      </c>
      <c r="E56" s="255"/>
      <c r="F56" s="250">
        <v>13</v>
      </c>
      <c r="G56" s="250">
        <v>0</v>
      </c>
      <c r="H56" s="251">
        <f t="shared" si="15"/>
        <v>0</v>
      </c>
      <c r="I56" s="255"/>
      <c r="J56" s="250">
        <f t="shared" si="16"/>
        <v>45</v>
      </c>
      <c r="K56" s="250">
        <f t="shared" si="17"/>
        <v>0</v>
      </c>
      <c r="L56" s="253">
        <f t="shared" si="18"/>
        <v>94</v>
      </c>
      <c r="M56" s="254">
        <f t="shared" si="19"/>
        <v>1</v>
      </c>
    </row>
    <row r="57" spans="1:13" x14ac:dyDescent="0.2">
      <c r="A57" s="249" t="s">
        <v>50</v>
      </c>
      <c r="B57" s="250">
        <v>445</v>
      </c>
      <c r="C57" s="250">
        <v>25</v>
      </c>
      <c r="D57" s="251">
        <f t="shared" si="14"/>
        <v>5.6179775280898875E-2</v>
      </c>
      <c r="E57" s="255"/>
      <c r="F57" s="250">
        <v>207</v>
      </c>
      <c r="G57" s="250">
        <v>87</v>
      </c>
      <c r="H57" s="251">
        <f t="shared" si="15"/>
        <v>0.42028985507246375</v>
      </c>
      <c r="I57" s="255"/>
      <c r="J57" s="250">
        <f t="shared" si="16"/>
        <v>652</v>
      </c>
      <c r="K57" s="250">
        <f t="shared" si="17"/>
        <v>112</v>
      </c>
      <c r="L57" s="253">
        <f t="shared" si="18"/>
        <v>54</v>
      </c>
      <c r="M57" s="254">
        <f t="shared" si="19"/>
        <v>0.13978494623655918</v>
      </c>
    </row>
    <row r="58" spans="1:13" x14ac:dyDescent="0.2">
      <c r="A58" s="249" t="s">
        <v>118</v>
      </c>
      <c r="B58" s="250">
        <v>36</v>
      </c>
      <c r="C58" s="250">
        <v>22</v>
      </c>
      <c r="D58" s="251">
        <f t="shared" si="14"/>
        <v>0.61111111111111116</v>
      </c>
      <c r="E58" s="255"/>
      <c r="F58" s="250">
        <v>17</v>
      </c>
      <c r="G58" s="250">
        <v>0</v>
      </c>
      <c r="H58" s="251">
        <f t="shared" si="15"/>
        <v>0</v>
      </c>
      <c r="I58" s="255"/>
      <c r="J58" s="250">
        <f t="shared" si="16"/>
        <v>53</v>
      </c>
      <c r="K58" s="250">
        <f t="shared" si="17"/>
        <v>22</v>
      </c>
      <c r="L58" s="253">
        <f t="shared" si="18"/>
        <v>78</v>
      </c>
      <c r="M58" s="254">
        <f t="shared" si="19"/>
        <v>0.65591397849462363</v>
      </c>
    </row>
    <row r="59" spans="1:13" x14ac:dyDescent="0.2">
      <c r="A59" s="249" t="s">
        <v>51</v>
      </c>
      <c r="B59" s="250">
        <v>26</v>
      </c>
      <c r="C59" s="250">
        <v>4</v>
      </c>
      <c r="D59" s="251">
        <f t="shared" si="14"/>
        <v>0.15384615384615385</v>
      </c>
      <c r="E59" s="255"/>
      <c r="F59" s="250">
        <v>14</v>
      </c>
      <c r="G59" s="250">
        <v>3</v>
      </c>
      <c r="H59" s="251">
        <f t="shared" si="15"/>
        <v>0.21428571428571427</v>
      </c>
      <c r="I59" s="255"/>
      <c r="J59" s="250">
        <f t="shared" si="16"/>
        <v>40</v>
      </c>
      <c r="K59" s="250">
        <f t="shared" si="17"/>
        <v>7</v>
      </c>
      <c r="L59" s="253">
        <f t="shared" si="18"/>
        <v>90</v>
      </c>
      <c r="M59" s="254">
        <f t="shared" si="19"/>
        <v>0.91397849462365599</v>
      </c>
    </row>
    <row r="60" spans="1:13" x14ac:dyDescent="0.2">
      <c r="A60" s="262" t="s">
        <v>107</v>
      </c>
      <c r="B60" s="250">
        <v>85</v>
      </c>
      <c r="C60" s="250">
        <v>104</v>
      </c>
      <c r="D60" s="251">
        <f t="shared" si="14"/>
        <v>1.223529411764706</v>
      </c>
      <c r="E60" s="255"/>
      <c r="F60" s="250">
        <v>48</v>
      </c>
      <c r="G60" s="250">
        <v>100</v>
      </c>
      <c r="H60" s="251">
        <f t="shared" si="15"/>
        <v>2.0833333333333335</v>
      </c>
      <c r="I60" s="255"/>
      <c r="J60" s="250">
        <f t="shared" si="16"/>
        <v>133</v>
      </c>
      <c r="K60" s="250">
        <f t="shared" si="17"/>
        <v>204</v>
      </c>
      <c r="L60" s="253">
        <f t="shared" si="18"/>
        <v>40</v>
      </c>
      <c r="M60" s="254">
        <f t="shared" si="19"/>
        <v>-0.16129032258064513</v>
      </c>
    </row>
    <row r="61" spans="1:13" x14ac:dyDescent="0.2">
      <c r="A61" s="257"/>
      <c r="B61" s="258"/>
      <c r="C61" s="258"/>
      <c r="D61" s="259"/>
      <c r="E61" s="255"/>
      <c r="F61" s="258"/>
      <c r="G61" s="258"/>
      <c r="H61" s="259"/>
      <c r="I61" s="255"/>
      <c r="J61" s="258"/>
      <c r="K61" s="258"/>
      <c r="M61" s="260"/>
    </row>
    <row r="62" spans="1:13" x14ac:dyDescent="0.2">
      <c r="A62" s="261" t="s">
        <v>119</v>
      </c>
      <c r="B62" s="258"/>
      <c r="C62" s="258"/>
      <c r="D62" s="259"/>
      <c r="E62" s="255"/>
      <c r="F62" s="258"/>
      <c r="G62" s="258"/>
      <c r="H62" s="259"/>
      <c r="I62" s="255"/>
      <c r="J62" s="258"/>
      <c r="K62" s="258"/>
      <c r="M62" s="260"/>
    </row>
    <row r="63" spans="1:13" x14ac:dyDescent="0.2">
      <c r="A63" s="249" t="s">
        <v>52</v>
      </c>
      <c r="B63" s="250">
        <v>230</v>
      </c>
      <c r="C63" s="250">
        <v>114</v>
      </c>
      <c r="D63" s="251">
        <f t="shared" ref="D63:D68" si="20">C63/B63</f>
        <v>0.4956521739130435</v>
      </c>
      <c r="E63" s="263"/>
      <c r="F63" s="250">
        <v>181</v>
      </c>
      <c r="G63" s="250">
        <v>60</v>
      </c>
      <c r="H63" s="251">
        <f t="shared" ref="H63:H68" si="21">G63/F63</f>
        <v>0.33149171270718231</v>
      </c>
      <c r="I63" s="263"/>
      <c r="J63" s="250">
        <f t="shared" ref="J63:J68" si="22">B63+F63</f>
        <v>411</v>
      </c>
      <c r="K63" s="250">
        <f t="shared" ref="K63:K68" si="23">C63+G63</f>
        <v>174</v>
      </c>
      <c r="L63" s="253">
        <f t="shared" ref="L63:L68" si="24">RANK(K63,$K$10:$K$134)</f>
        <v>47</v>
      </c>
      <c r="M63" s="254">
        <f t="shared" ref="M63:M68" si="25">((L63-$L$7)/($L$6-$L$7)*200-100)/100</f>
        <v>-1.0752688172043036E-2</v>
      </c>
    </row>
    <row r="64" spans="1:13" x14ac:dyDescent="0.2">
      <c r="A64" s="249" t="s">
        <v>53</v>
      </c>
      <c r="B64" s="250">
        <v>44</v>
      </c>
      <c r="C64" s="250">
        <v>3</v>
      </c>
      <c r="D64" s="251">
        <f t="shared" si="20"/>
        <v>6.8181818181818177E-2</v>
      </c>
      <c r="E64" s="255"/>
      <c r="F64" s="250">
        <v>31</v>
      </c>
      <c r="G64" s="250">
        <v>15</v>
      </c>
      <c r="H64" s="251">
        <f t="shared" si="21"/>
        <v>0.4838709677419355</v>
      </c>
      <c r="I64" s="255"/>
      <c r="J64" s="250">
        <f t="shared" si="22"/>
        <v>75</v>
      </c>
      <c r="K64" s="250">
        <f t="shared" si="23"/>
        <v>18</v>
      </c>
      <c r="L64" s="253">
        <f t="shared" si="24"/>
        <v>82</v>
      </c>
      <c r="M64" s="254">
        <f t="shared" si="25"/>
        <v>0.74193548387096764</v>
      </c>
    </row>
    <row r="65" spans="1:13" x14ac:dyDescent="0.2">
      <c r="A65" s="249" t="s">
        <v>4</v>
      </c>
      <c r="B65" s="250">
        <v>703</v>
      </c>
      <c r="C65" s="250">
        <v>177</v>
      </c>
      <c r="D65" s="251">
        <f t="shared" si="20"/>
        <v>0.25177809388335703</v>
      </c>
      <c r="E65" s="255"/>
      <c r="F65" s="250">
        <v>500</v>
      </c>
      <c r="G65" s="250">
        <v>351</v>
      </c>
      <c r="H65" s="251">
        <f t="shared" si="21"/>
        <v>0.70199999999999996</v>
      </c>
      <c r="I65" s="255"/>
      <c r="J65" s="250">
        <f t="shared" si="22"/>
        <v>1203</v>
      </c>
      <c r="K65" s="250">
        <f t="shared" si="23"/>
        <v>528</v>
      </c>
      <c r="L65" s="253">
        <f t="shared" si="24"/>
        <v>20</v>
      </c>
      <c r="M65" s="254">
        <f t="shared" si="25"/>
        <v>-0.59139784946236562</v>
      </c>
    </row>
    <row r="66" spans="1:13" x14ac:dyDescent="0.2">
      <c r="A66" s="249" t="s">
        <v>54</v>
      </c>
      <c r="B66" s="250">
        <v>31</v>
      </c>
      <c r="C66" s="250">
        <v>10</v>
      </c>
      <c r="D66" s="251">
        <f t="shared" si="20"/>
        <v>0.32258064516129031</v>
      </c>
      <c r="E66" s="255"/>
      <c r="F66" s="250">
        <v>20</v>
      </c>
      <c r="G66" s="250">
        <v>10</v>
      </c>
      <c r="H66" s="251">
        <f t="shared" si="21"/>
        <v>0.5</v>
      </c>
      <c r="I66" s="255"/>
      <c r="J66" s="250">
        <f t="shared" si="22"/>
        <v>51</v>
      </c>
      <c r="K66" s="250">
        <f t="shared" si="23"/>
        <v>20</v>
      </c>
      <c r="L66" s="253">
        <f t="shared" si="24"/>
        <v>80</v>
      </c>
      <c r="M66" s="254">
        <f t="shared" si="25"/>
        <v>0.69892473118279586</v>
      </c>
    </row>
    <row r="67" spans="1:13" x14ac:dyDescent="0.2">
      <c r="A67" s="249" t="s">
        <v>55</v>
      </c>
      <c r="B67" s="250">
        <v>21</v>
      </c>
      <c r="C67" s="250">
        <v>0</v>
      </c>
      <c r="D67" s="251">
        <f t="shared" si="20"/>
        <v>0</v>
      </c>
      <c r="E67" s="255"/>
      <c r="F67" s="250">
        <v>15</v>
      </c>
      <c r="G67" s="250">
        <v>2</v>
      </c>
      <c r="H67" s="251">
        <f t="shared" si="21"/>
        <v>0.13333333333333333</v>
      </c>
      <c r="I67" s="255"/>
      <c r="J67" s="250">
        <f t="shared" si="22"/>
        <v>36</v>
      </c>
      <c r="K67" s="250">
        <f t="shared" si="23"/>
        <v>2</v>
      </c>
      <c r="L67" s="253">
        <f t="shared" si="24"/>
        <v>93</v>
      </c>
      <c r="M67" s="254">
        <f t="shared" si="25"/>
        <v>0.97849462365591389</v>
      </c>
    </row>
    <row r="68" spans="1:13" x14ac:dyDescent="0.2">
      <c r="A68" s="262" t="s">
        <v>108</v>
      </c>
      <c r="B68" s="250">
        <v>405</v>
      </c>
      <c r="C68" s="250">
        <v>30</v>
      </c>
      <c r="D68" s="251">
        <f t="shared" si="20"/>
        <v>7.407407407407407E-2</v>
      </c>
      <c r="E68" s="255"/>
      <c r="F68" s="250">
        <v>272</v>
      </c>
      <c r="G68" s="250">
        <v>45</v>
      </c>
      <c r="H68" s="251">
        <f t="shared" si="21"/>
        <v>0.16544117647058823</v>
      </c>
      <c r="I68" s="255"/>
      <c r="J68" s="250">
        <f t="shared" si="22"/>
        <v>677</v>
      </c>
      <c r="K68" s="250">
        <f t="shared" si="23"/>
        <v>75</v>
      </c>
      <c r="L68" s="253">
        <f t="shared" si="24"/>
        <v>64</v>
      </c>
      <c r="M68" s="254">
        <f t="shared" si="25"/>
        <v>0.35483870967741921</v>
      </c>
    </row>
    <row r="69" spans="1:13" x14ac:dyDescent="0.2">
      <c r="A69" s="257"/>
      <c r="B69" s="258"/>
      <c r="C69" s="258"/>
      <c r="D69" s="259"/>
      <c r="E69" s="255"/>
      <c r="F69" s="258"/>
      <c r="G69" s="258"/>
      <c r="H69" s="259"/>
      <c r="I69" s="255"/>
      <c r="J69" s="258"/>
      <c r="K69" s="258"/>
      <c r="M69" s="260"/>
    </row>
    <row r="70" spans="1:13" x14ac:dyDescent="0.2">
      <c r="A70" s="261" t="s">
        <v>120</v>
      </c>
      <c r="B70" s="258"/>
      <c r="C70" s="258"/>
      <c r="D70" s="259"/>
      <c r="E70" s="255"/>
      <c r="F70" s="258"/>
      <c r="G70" s="258"/>
      <c r="H70" s="259"/>
      <c r="I70" s="255"/>
      <c r="J70" s="258"/>
      <c r="K70" s="258"/>
      <c r="M70" s="260"/>
    </row>
    <row r="71" spans="1:13" x14ac:dyDescent="0.2">
      <c r="A71" s="249" t="s">
        <v>5</v>
      </c>
      <c r="B71" s="250">
        <v>5244</v>
      </c>
      <c r="C71" s="250">
        <v>4203</v>
      </c>
      <c r="D71" s="251">
        <f>C71/B71</f>
        <v>0.80148741418764302</v>
      </c>
      <c r="E71" s="255"/>
      <c r="F71" s="250">
        <v>2126</v>
      </c>
      <c r="G71" s="250">
        <v>1101</v>
      </c>
      <c r="H71" s="251">
        <f>G71/F71</f>
        <v>0.51787394167450607</v>
      </c>
      <c r="I71" s="255"/>
      <c r="J71" s="250">
        <f>B71+F71</f>
        <v>7370</v>
      </c>
      <c r="K71" s="250">
        <f>C71+G71</f>
        <v>5304</v>
      </c>
      <c r="L71" s="253">
        <f>RANK(K71,$K$10:$K$134)</f>
        <v>2</v>
      </c>
      <c r="M71" s="254">
        <f>((L71-$L$7)/($L$6-$L$7)*200-100)/100</f>
        <v>-0.97849462365591389</v>
      </c>
    </row>
    <row r="72" spans="1:13" x14ac:dyDescent="0.2">
      <c r="A72" s="257"/>
      <c r="B72" s="258"/>
      <c r="C72" s="258"/>
      <c r="D72" s="259"/>
      <c r="E72" s="255"/>
      <c r="F72" s="258"/>
      <c r="G72" s="258"/>
      <c r="H72" s="259"/>
      <c r="I72" s="255"/>
      <c r="J72" s="258"/>
      <c r="K72" s="258"/>
      <c r="M72" s="260"/>
    </row>
    <row r="73" spans="1:13" x14ac:dyDescent="0.2">
      <c r="A73" s="261" t="s">
        <v>114</v>
      </c>
      <c r="B73" s="258"/>
      <c r="C73" s="258"/>
      <c r="D73" s="259"/>
      <c r="E73" s="255"/>
      <c r="F73" s="258"/>
      <c r="G73" s="258"/>
      <c r="H73" s="259"/>
      <c r="I73" s="255"/>
      <c r="J73" s="258"/>
      <c r="K73" s="258"/>
      <c r="M73" s="260"/>
    </row>
    <row r="74" spans="1:13" x14ac:dyDescent="0.2">
      <c r="A74" s="249" t="s">
        <v>56</v>
      </c>
      <c r="B74" s="250">
        <v>22</v>
      </c>
      <c r="C74" s="250">
        <v>0</v>
      </c>
      <c r="D74" s="251">
        <f t="shared" ref="D74:D94" si="26">C74/B74</f>
        <v>0</v>
      </c>
      <c r="E74" s="255"/>
      <c r="F74" s="250">
        <v>10</v>
      </c>
      <c r="G74" s="250">
        <v>0</v>
      </c>
      <c r="H74" s="251">
        <f t="shared" ref="H74:H94" si="27">G74/F74</f>
        <v>0</v>
      </c>
      <c r="I74" s="255"/>
      <c r="J74" s="250">
        <f t="shared" ref="J74:J94" si="28">B74+F74</f>
        <v>32</v>
      </c>
      <c r="K74" s="250">
        <f t="shared" ref="K74:K94" si="29">C74+G74</f>
        <v>0</v>
      </c>
      <c r="L74" s="253">
        <f t="shared" ref="L74:L94" si="30">RANK(K74,$K$10:$K$134)</f>
        <v>94</v>
      </c>
      <c r="M74" s="254">
        <f t="shared" ref="M74:M94" si="31">((L74-$L$7)/($L$6-$L$7)*200-100)/100</f>
        <v>1</v>
      </c>
    </row>
    <row r="75" spans="1:13" x14ac:dyDescent="0.2">
      <c r="A75" s="249" t="s">
        <v>57</v>
      </c>
      <c r="B75" s="250">
        <v>57</v>
      </c>
      <c r="C75" s="250">
        <v>24</v>
      </c>
      <c r="D75" s="251">
        <f t="shared" si="26"/>
        <v>0.42105263157894735</v>
      </c>
      <c r="E75" s="255"/>
      <c r="F75" s="250">
        <v>30</v>
      </c>
      <c r="G75" s="250">
        <v>20</v>
      </c>
      <c r="H75" s="251">
        <f t="shared" si="27"/>
        <v>0.66666666666666663</v>
      </c>
      <c r="I75" s="255"/>
      <c r="J75" s="250">
        <f t="shared" si="28"/>
        <v>87</v>
      </c>
      <c r="K75" s="250">
        <f t="shared" si="29"/>
        <v>44</v>
      </c>
      <c r="L75" s="253">
        <f t="shared" si="30"/>
        <v>70</v>
      </c>
      <c r="M75" s="254">
        <f t="shared" si="31"/>
        <v>0.48387096774193539</v>
      </c>
    </row>
    <row r="76" spans="1:13" x14ac:dyDescent="0.2">
      <c r="A76" s="249" t="s">
        <v>58</v>
      </c>
      <c r="B76" s="250">
        <v>107</v>
      </c>
      <c r="C76" s="250">
        <v>7</v>
      </c>
      <c r="D76" s="251">
        <f t="shared" si="26"/>
        <v>6.5420560747663545E-2</v>
      </c>
      <c r="E76" s="255"/>
      <c r="F76" s="250">
        <v>43</v>
      </c>
      <c r="G76" s="250">
        <v>1</v>
      </c>
      <c r="H76" s="251">
        <f t="shared" si="27"/>
        <v>2.3255813953488372E-2</v>
      </c>
      <c r="I76" s="255"/>
      <c r="J76" s="250">
        <f t="shared" si="28"/>
        <v>150</v>
      </c>
      <c r="K76" s="250">
        <f t="shared" si="29"/>
        <v>8</v>
      </c>
      <c r="L76" s="253">
        <f t="shared" si="30"/>
        <v>89</v>
      </c>
      <c r="M76" s="254">
        <f t="shared" si="31"/>
        <v>0.89247311827956988</v>
      </c>
    </row>
    <row r="77" spans="1:13" x14ac:dyDescent="0.2">
      <c r="A77" s="249" t="s">
        <v>59</v>
      </c>
      <c r="B77" s="250">
        <v>110</v>
      </c>
      <c r="C77" s="250">
        <v>0</v>
      </c>
      <c r="D77" s="251">
        <f t="shared" si="26"/>
        <v>0</v>
      </c>
      <c r="E77" s="255"/>
      <c r="F77" s="250">
        <v>56</v>
      </c>
      <c r="G77" s="250">
        <v>0</v>
      </c>
      <c r="H77" s="251">
        <f t="shared" si="27"/>
        <v>0</v>
      </c>
      <c r="I77" s="255"/>
      <c r="J77" s="250">
        <f t="shared" si="28"/>
        <v>166</v>
      </c>
      <c r="K77" s="250">
        <f t="shared" si="29"/>
        <v>0</v>
      </c>
      <c r="L77" s="253">
        <f t="shared" si="30"/>
        <v>94</v>
      </c>
      <c r="M77" s="254">
        <f t="shared" si="31"/>
        <v>1</v>
      </c>
    </row>
    <row r="78" spans="1:13" x14ac:dyDescent="0.2">
      <c r="A78" s="249" t="s">
        <v>60</v>
      </c>
      <c r="B78" s="250">
        <v>17</v>
      </c>
      <c r="C78" s="250">
        <v>0</v>
      </c>
      <c r="D78" s="251">
        <f t="shared" si="26"/>
        <v>0</v>
      </c>
      <c r="E78" s="255"/>
      <c r="F78" s="250">
        <v>8</v>
      </c>
      <c r="G78" s="250">
        <v>73</v>
      </c>
      <c r="H78" s="251">
        <f t="shared" si="27"/>
        <v>9.125</v>
      </c>
      <c r="I78" s="255"/>
      <c r="J78" s="250">
        <f t="shared" si="28"/>
        <v>25</v>
      </c>
      <c r="K78" s="250">
        <f t="shared" si="29"/>
        <v>73</v>
      </c>
      <c r="L78" s="253">
        <f t="shared" si="30"/>
        <v>65</v>
      </c>
      <c r="M78" s="254">
        <f t="shared" si="31"/>
        <v>0.3763440860215056</v>
      </c>
    </row>
    <row r="79" spans="1:13" x14ac:dyDescent="0.2">
      <c r="A79" s="249" t="s">
        <v>61</v>
      </c>
      <c r="B79" s="250">
        <v>282</v>
      </c>
      <c r="C79" s="250">
        <v>11</v>
      </c>
      <c r="D79" s="251">
        <f t="shared" si="26"/>
        <v>3.9007092198581561E-2</v>
      </c>
      <c r="E79" s="255"/>
      <c r="F79" s="250">
        <v>139</v>
      </c>
      <c r="G79" s="250">
        <v>22</v>
      </c>
      <c r="H79" s="251">
        <f t="shared" si="27"/>
        <v>0.15827338129496402</v>
      </c>
      <c r="I79" s="255"/>
      <c r="J79" s="250">
        <f t="shared" si="28"/>
        <v>421</v>
      </c>
      <c r="K79" s="250">
        <f t="shared" si="29"/>
        <v>33</v>
      </c>
      <c r="L79" s="253">
        <f t="shared" si="30"/>
        <v>75</v>
      </c>
      <c r="M79" s="254">
        <f t="shared" si="31"/>
        <v>0.59139784946236551</v>
      </c>
    </row>
    <row r="80" spans="1:13" x14ac:dyDescent="0.2">
      <c r="A80" s="249" t="s">
        <v>62</v>
      </c>
      <c r="B80" s="250">
        <v>358</v>
      </c>
      <c r="C80" s="250">
        <v>57</v>
      </c>
      <c r="D80" s="251">
        <f t="shared" si="26"/>
        <v>0.15921787709497207</v>
      </c>
      <c r="E80" s="255"/>
      <c r="F80" s="250">
        <v>148</v>
      </c>
      <c r="G80" s="250">
        <v>155</v>
      </c>
      <c r="H80" s="251">
        <f t="shared" si="27"/>
        <v>1.0472972972972974</v>
      </c>
      <c r="I80" s="255"/>
      <c r="J80" s="250">
        <f t="shared" si="28"/>
        <v>506</v>
      </c>
      <c r="K80" s="250">
        <f t="shared" si="29"/>
        <v>212</v>
      </c>
      <c r="L80" s="253">
        <f t="shared" si="30"/>
        <v>38</v>
      </c>
      <c r="M80" s="254">
        <f t="shared" si="31"/>
        <v>-0.20430107526881727</v>
      </c>
    </row>
    <row r="81" spans="1:13" x14ac:dyDescent="0.2">
      <c r="A81" s="249" t="s">
        <v>63</v>
      </c>
      <c r="B81" s="250">
        <v>96</v>
      </c>
      <c r="C81" s="250">
        <v>88</v>
      </c>
      <c r="D81" s="251">
        <f t="shared" si="26"/>
        <v>0.91666666666666663</v>
      </c>
      <c r="E81" s="255"/>
      <c r="F81" s="250">
        <v>53</v>
      </c>
      <c r="G81" s="250">
        <v>0</v>
      </c>
      <c r="H81" s="251">
        <f t="shared" si="27"/>
        <v>0</v>
      </c>
      <c r="I81" s="255"/>
      <c r="J81" s="250">
        <f t="shared" si="28"/>
        <v>149</v>
      </c>
      <c r="K81" s="250">
        <f t="shared" si="29"/>
        <v>88</v>
      </c>
      <c r="L81" s="253">
        <f t="shared" si="30"/>
        <v>60</v>
      </c>
      <c r="M81" s="254">
        <f t="shared" si="31"/>
        <v>0.2688172043010752</v>
      </c>
    </row>
    <row r="82" spans="1:13" x14ac:dyDescent="0.2">
      <c r="A82" s="249" t="s">
        <v>64</v>
      </c>
      <c r="B82" s="250">
        <v>86</v>
      </c>
      <c r="C82" s="250">
        <v>0</v>
      </c>
      <c r="D82" s="251">
        <f t="shared" si="26"/>
        <v>0</v>
      </c>
      <c r="E82" s="255"/>
      <c r="F82" s="250">
        <v>42</v>
      </c>
      <c r="G82" s="250">
        <v>106</v>
      </c>
      <c r="H82" s="251">
        <f t="shared" si="27"/>
        <v>2.5238095238095237</v>
      </c>
      <c r="I82" s="255"/>
      <c r="J82" s="250">
        <f t="shared" si="28"/>
        <v>128</v>
      </c>
      <c r="K82" s="250">
        <f t="shared" si="29"/>
        <v>106</v>
      </c>
      <c r="L82" s="253">
        <f t="shared" si="30"/>
        <v>57</v>
      </c>
      <c r="M82" s="254">
        <f t="shared" si="31"/>
        <v>0.20430107526881727</v>
      </c>
    </row>
    <row r="83" spans="1:13" x14ac:dyDescent="0.2">
      <c r="A83" s="249" t="s">
        <v>65</v>
      </c>
      <c r="B83" s="250">
        <v>11</v>
      </c>
      <c r="C83" s="250">
        <v>0</v>
      </c>
      <c r="D83" s="251">
        <f t="shared" si="26"/>
        <v>0</v>
      </c>
      <c r="E83" s="255"/>
      <c r="F83" s="250">
        <v>5</v>
      </c>
      <c r="G83" s="250">
        <v>15</v>
      </c>
      <c r="H83" s="251">
        <f t="shared" si="27"/>
        <v>3</v>
      </c>
      <c r="I83" s="255"/>
      <c r="J83" s="250">
        <f t="shared" si="28"/>
        <v>16</v>
      </c>
      <c r="K83" s="250">
        <f t="shared" si="29"/>
        <v>15</v>
      </c>
      <c r="L83" s="253">
        <f t="shared" si="30"/>
        <v>84</v>
      </c>
      <c r="M83" s="254">
        <f t="shared" si="31"/>
        <v>0.78494623655913986</v>
      </c>
    </row>
    <row r="84" spans="1:13" x14ac:dyDescent="0.2">
      <c r="A84" s="249" t="s">
        <v>66</v>
      </c>
      <c r="B84" s="250">
        <v>184</v>
      </c>
      <c r="C84" s="250">
        <v>0</v>
      </c>
      <c r="D84" s="251">
        <f t="shared" si="26"/>
        <v>0</v>
      </c>
      <c r="E84" s="255"/>
      <c r="F84" s="250">
        <v>90</v>
      </c>
      <c r="G84" s="250">
        <v>0</v>
      </c>
      <c r="H84" s="251">
        <f t="shared" si="27"/>
        <v>0</v>
      </c>
      <c r="I84" s="255"/>
      <c r="J84" s="250">
        <f t="shared" si="28"/>
        <v>274</v>
      </c>
      <c r="K84" s="250">
        <f t="shared" si="29"/>
        <v>0</v>
      </c>
      <c r="L84" s="253">
        <f t="shared" si="30"/>
        <v>94</v>
      </c>
      <c r="M84" s="254">
        <f t="shared" si="31"/>
        <v>1</v>
      </c>
    </row>
    <row r="85" spans="1:13" x14ac:dyDescent="0.2">
      <c r="A85" s="249" t="s">
        <v>67</v>
      </c>
      <c r="B85" s="250">
        <v>67</v>
      </c>
      <c r="C85" s="250">
        <v>0</v>
      </c>
      <c r="D85" s="251">
        <f t="shared" si="26"/>
        <v>0</v>
      </c>
      <c r="E85" s="255"/>
      <c r="F85" s="250">
        <v>32</v>
      </c>
      <c r="G85" s="250">
        <v>0</v>
      </c>
      <c r="H85" s="251">
        <f t="shared" si="27"/>
        <v>0</v>
      </c>
      <c r="I85" s="255"/>
      <c r="J85" s="250">
        <f t="shared" si="28"/>
        <v>99</v>
      </c>
      <c r="K85" s="250">
        <f t="shared" si="29"/>
        <v>0</v>
      </c>
      <c r="L85" s="253">
        <f t="shared" si="30"/>
        <v>94</v>
      </c>
      <c r="M85" s="254">
        <f t="shared" si="31"/>
        <v>1</v>
      </c>
    </row>
    <row r="86" spans="1:13" x14ac:dyDescent="0.2">
      <c r="A86" s="249" t="s">
        <v>68</v>
      </c>
      <c r="B86" s="250">
        <v>120</v>
      </c>
      <c r="C86" s="250">
        <v>0</v>
      </c>
      <c r="D86" s="251">
        <f t="shared" si="26"/>
        <v>0</v>
      </c>
      <c r="E86" s="255"/>
      <c r="F86" s="250">
        <v>60</v>
      </c>
      <c r="G86" s="250">
        <v>10</v>
      </c>
      <c r="H86" s="251">
        <f t="shared" si="27"/>
        <v>0.16666666666666666</v>
      </c>
      <c r="I86" s="255"/>
      <c r="J86" s="250">
        <f t="shared" si="28"/>
        <v>180</v>
      </c>
      <c r="K86" s="250">
        <f t="shared" si="29"/>
        <v>10</v>
      </c>
      <c r="L86" s="253">
        <f t="shared" si="30"/>
        <v>88</v>
      </c>
      <c r="M86" s="254">
        <f t="shared" si="31"/>
        <v>0.87096774193548387</v>
      </c>
    </row>
    <row r="87" spans="1:13" x14ac:dyDescent="0.2">
      <c r="A87" s="249" t="s">
        <v>69</v>
      </c>
      <c r="B87" s="250">
        <v>13</v>
      </c>
      <c r="C87" s="250">
        <v>12</v>
      </c>
      <c r="D87" s="251">
        <f t="shared" si="26"/>
        <v>0.92307692307692313</v>
      </c>
      <c r="E87" s="255"/>
      <c r="F87" s="250">
        <v>5</v>
      </c>
      <c r="G87" s="250">
        <v>3</v>
      </c>
      <c r="H87" s="251">
        <f t="shared" si="27"/>
        <v>0.6</v>
      </c>
      <c r="I87" s="255"/>
      <c r="J87" s="250">
        <f t="shared" si="28"/>
        <v>18</v>
      </c>
      <c r="K87" s="250">
        <f t="shared" si="29"/>
        <v>15</v>
      </c>
      <c r="L87" s="253">
        <f t="shared" si="30"/>
        <v>84</v>
      </c>
      <c r="M87" s="254">
        <f t="shared" si="31"/>
        <v>0.78494623655913986</v>
      </c>
    </row>
    <row r="88" spans="1:13" x14ac:dyDescent="0.2">
      <c r="A88" s="249" t="s">
        <v>70</v>
      </c>
      <c r="B88" s="250">
        <v>534</v>
      </c>
      <c r="C88" s="250">
        <v>36</v>
      </c>
      <c r="D88" s="251">
        <f t="shared" si="26"/>
        <v>6.741573033707865E-2</v>
      </c>
      <c r="E88" s="255"/>
      <c r="F88" s="250">
        <v>256</v>
      </c>
      <c r="G88" s="250">
        <v>70</v>
      </c>
      <c r="H88" s="251">
        <f t="shared" si="27"/>
        <v>0.2734375</v>
      </c>
      <c r="I88" s="255"/>
      <c r="J88" s="250">
        <f t="shared" si="28"/>
        <v>790</v>
      </c>
      <c r="K88" s="250">
        <f t="shared" si="29"/>
        <v>106</v>
      </c>
      <c r="L88" s="253">
        <f t="shared" si="30"/>
        <v>57</v>
      </c>
      <c r="M88" s="254">
        <f t="shared" si="31"/>
        <v>0.20430107526881727</v>
      </c>
    </row>
    <row r="89" spans="1:13" x14ac:dyDescent="0.2">
      <c r="A89" s="249" t="s">
        <v>71</v>
      </c>
      <c r="B89" s="250">
        <v>72</v>
      </c>
      <c r="C89" s="250">
        <v>138</v>
      </c>
      <c r="D89" s="251">
        <f t="shared" si="26"/>
        <v>1.9166666666666667</v>
      </c>
      <c r="E89" s="255"/>
      <c r="F89" s="250">
        <v>39</v>
      </c>
      <c r="G89" s="250">
        <v>187</v>
      </c>
      <c r="H89" s="251">
        <f t="shared" si="27"/>
        <v>4.7948717948717947</v>
      </c>
      <c r="I89" s="255"/>
      <c r="J89" s="250">
        <f t="shared" si="28"/>
        <v>111</v>
      </c>
      <c r="K89" s="250">
        <f t="shared" si="29"/>
        <v>325</v>
      </c>
      <c r="L89" s="253">
        <f t="shared" si="30"/>
        <v>32</v>
      </c>
      <c r="M89" s="254">
        <f t="shared" si="31"/>
        <v>-0.33333333333333343</v>
      </c>
    </row>
    <row r="90" spans="1:13" x14ac:dyDescent="0.2">
      <c r="A90" s="249" t="s">
        <v>72</v>
      </c>
      <c r="B90" s="250">
        <v>65</v>
      </c>
      <c r="C90" s="250">
        <v>0</v>
      </c>
      <c r="D90" s="251">
        <f t="shared" si="26"/>
        <v>0</v>
      </c>
      <c r="E90" s="255"/>
      <c r="F90" s="250">
        <v>32</v>
      </c>
      <c r="G90" s="250">
        <v>0</v>
      </c>
      <c r="H90" s="251">
        <f t="shared" si="27"/>
        <v>0</v>
      </c>
      <c r="I90" s="255"/>
      <c r="J90" s="250">
        <f t="shared" si="28"/>
        <v>97</v>
      </c>
      <c r="K90" s="250">
        <f t="shared" si="29"/>
        <v>0</v>
      </c>
      <c r="L90" s="253">
        <f t="shared" si="30"/>
        <v>94</v>
      </c>
      <c r="M90" s="254">
        <f t="shared" si="31"/>
        <v>1</v>
      </c>
    </row>
    <row r="91" spans="1:13" x14ac:dyDescent="0.2">
      <c r="A91" s="249" t="s">
        <v>6</v>
      </c>
      <c r="B91" s="250">
        <v>479</v>
      </c>
      <c r="C91" s="250">
        <v>125</v>
      </c>
      <c r="D91" s="251">
        <f t="shared" si="26"/>
        <v>0.26096033402922758</v>
      </c>
      <c r="E91" s="255"/>
      <c r="F91" s="250">
        <v>239</v>
      </c>
      <c r="G91" s="250">
        <v>85</v>
      </c>
      <c r="H91" s="251">
        <f t="shared" si="27"/>
        <v>0.35564853556485354</v>
      </c>
      <c r="I91" s="255"/>
      <c r="J91" s="250">
        <f t="shared" si="28"/>
        <v>718</v>
      </c>
      <c r="K91" s="250">
        <f t="shared" si="29"/>
        <v>210</v>
      </c>
      <c r="L91" s="253">
        <f t="shared" si="30"/>
        <v>39</v>
      </c>
      <c r="M91" s="254">
        <f t="shared" si="31"/>
        <v>-0.18279569892473119</v>
      </c>
    </row>
    <row r="92" spans="1:13" x14ac:dyDescent="0.2">
      <c r="A92" s="249" t="s">
        <v>73</v>
      </c>
      <c r="B92" s="250">
        <v>277</v>
      </c>
      <c r="C92" s="250">
        <v>121</v>
      </c>
      <c r="D92" s="251">
        <f t="shared" si="26"/>
        <v>0.43682310469314078</v>
      </c>
      <c r="E92" s="255"/>
      <c r="F92" s="250">
        <v>131</v>
      </c>
      <c r="G92" s="250">
        <v>71</v>
      </c>
      <c r="H92" s="251">
        <f t="shared" si="27"/>
        <v>0.5419847328244275</v>
      </c>
      <c r="I92" s="255"/>
      <c r="J92" s="250">
        <f t="shared" si="28"/>
        <v>408</v>
      </c>
      <c r="K92" s="250">
        <f t="shared" si="29"/>
        <v>192</v>
      </c>
      <c r="L92" s="253">
        <f t="shared" si="30"/>
        <v>41</v>
      </c>
      <c r="M92" s="254">
        <f t="shared" si="31"/>
        <v>-0.13978494623655918</v>
      </c>
    </row>
    <row r="93" spans="1:13" x14ac:dyDescent="0.2">
      <c r="A93" s="249" t="s">
        <v>74</v>
      </c>
      <c r="B93" s="250">
        <v>5</v>
      </c>
      <c r="C93" s="250">
        <v>0</v>
      </c>
      <c r="D93" s="251">
        <f t="shared" si="26"/>
        <v>0</v>
      </c>
      <c r="E93" s="255"/>
      <c r="F93" s="250">
        <v>3</v>
      </c>
      <c r="G93" s="250">
        <v>0</v>
      </c>
      <c r="H93" s="251">
        <f t="shared" si="27"/>
        <v>0</v>
      </c>
      <c r="I93" s="255"/>
      <c r="J93" s="250">
        <f t="shared" si="28"/>
        <v>8</v>
      </c>
      <c r="K93" s="250">
        <f t="shared" si="29"/>
        <v>0</v>
      </c>
      <c r="L93" s="253">
        <f t="shared" si="30"/>
        <v>94</v>
      </c>
      <c r="M93" s="254">
        <f t="shared" si="31"/>
        <v>1</v>
      </c>
    </row>
    <row r="94" spans="1:13" x14ac:dyDescent="0.2">
      <c r="A94" s="262" t="s">
        <v>109</v>
      </c>
      <c r="B94" s="250">
        <v>252</v>
      </c>
      <c r="C94" s="250">
        <v>31</v>
      </c>
      <c r="D94" s="251">
        <f t="shared" si="26"/>
        <v>0.12301587301587301</v>
      </c>
      <c r="E94" s="255"/>
      <c r="F94" s="250">
        <v>146</v>
      </c>
      <c r="G94" s="250">
        <v>0</v>
      </c>
      <c r="H94" s="251">
        <f t="shared" si="27"/>
        <v>0</v>
      </c>
      <c r="I94" s="255"/>
      <c r="J94" s="250">
        <f t="shared" si="28"/>
        <v>398</v>
      </c>
      <c r="K94" s="250">
        <f t="shared" si="29"/>
        <v>31</v>
      </c>
      <c r="L94" s="253">
        <f t="shared" si="30"/>
        <v>77</v>
      </c>
      <c r="M94" s="254">
        <f t="shared" si="31"/>
        <v>0.63440860215053763</v>
      </c>
    </row>
    <row r="95" spans="1:13" x14ac:dyDescent="0.2">
      <c r="A95" s="257"/>
      <c r="B95" s="258"/>
      <c r="C95" s="258"/>
      <c r="D95" s="259"/>
      <c r="E95" s="255"/>
      <c r="F95" s="258"/>
      <c r="G95" s="258"/>
      <c r="H95" s="259"/>
      <c r="I95" s="255"/>
      <c r="J95" s="258"/>
      <c r="K95" s="258"/>
      <c r="M95" s="260"/>
    </row>
    <row r="96" spans="1:13" x14ac:dyDescent="0.2">
      <c r="A96" s="261" t="s">
        <v>164</v>
      </c>
      <c r="B96" s="258"/>
      <c r="C96" s="258"/>
      <c r="D96" s="259"/>
      <c r="E96" s="255"/>
      <c r="F96" s="258"/>
      <c r="G96" s="258"/>
      <c r="H96" s="259"/>
      <c r="I96" s="255"/>
      <c r="J96" s="258"/>
      <c r="K96" s="258"/>
      <c r="M96" s="260"/>
    </row>
    <row r="97" spans="1:13" x14ac:dyDescent="0.2">
      <c r="A97" s="249" t="s">
        <v>75</v>
      </c>
      <c r="B97" s="250">
        <v>165</v>
      </c>
      <c r="C97" s="250">
        <v>23</v>
      </c>
      <c r="D97" s="251">
        <f t="shared" ref="D97:D112" si="32">C97/B97</f>
        <v>0.1393939393939394</v>
      </c>
      <c r="E97" s="255"/>
      <c r="F97" s="250">
        <v>77</v>
      </c>
      <c r="G97" s="250">
        <v>14</v>
      </c>
      <c r="H97" s="251">
        <f t="shared" ref="H97:H112" si="33">G97/F97</f>
        <v>0.18181818181818182</v>
      </c>
      <c r="I97" s="255"/>
      <c r="J97" s="250">
        <f t="shared" ref="J97:J112" si="34">B97+F97</f>
        <v>242</v>
      </c>
      <c r="K97" s="250">
        <f t="shared" ref="K97:K112" si="35">C97+G97</f>
        <v>37</v>
      </c>
      <c r="L97" s="253">
        <f t="shared" ref="L97:L112" si="36">RANK(K97,$K$10:$K$134)</f>
        <v>74</v>
      </c>
      <c r="M97" s="254">
        <f t="shared" ref="M97:M112" si="37">((L97-$L$7)/($L$6-$L$7)*200-100)/100</f>
        <v>0.5698924731182794</v>
      </c>
    </row>
    <row r="98" spans="1:13" x14ac:dyDescent="0.2">
      <c r="A98" s="249" t="s">
        <v>76</v>
      </c>
      <c r="B98" s="250">
        <v>412</v>
      </c>
      <c r="C98" s="250">
        <v>36</v>
      </c>
      <c r="D98" s="251">
        <f t="shared" si="32"/>
        <v>8.7378640776699032E-2</v>
      </c>
      <c r="E98" s="255"/>
      <c r="F98" s="250">
        <v>198</v>
      </c>
      <c r="G98" s="250">
        <v>12</v>
      </c>
      <c r="H98" s="251">
        <f t="shared" si="33"/>
        <v>6.0606060606060608E-2</v>
      </c>
      <c r="I98" s="255"/>
      <c r="J98" s="250">
        <f t="shared" si="34"/>
        <v>610</v>
      </c>
      <c r="K98" s="250">
        <f t="shared" si="35"/>
        <v>48</v>
      </c>
      <c r="L98" s="253">
        <f t="shared" si="36"/>
        <v>69</v>
      </c>
      <c r="M98" s="254">
        <f t="shared" si="37"/>
        <v>0.46236559139784961</v>
      </c>
    </row>
    <row r="99" spans="1:13" x14ac:dyDescent="0.2">
      <c r="A99" s="249" t="s">
        <v>77</v>
      </c>
      <c r="B99" s="250">
        <v>906</v>
      </c>
      <c r="C99" s="250">
        <v>189</v>
      </c>
      <c r="D99" s="251">
        <f t="shared" si="32"/>
        <v>0.20860927152317882</v>
      </c>
      <c r="E99" s="255"/>
      <c r="F99" s="250">
        <v>334</v>
      </c>
      <c r="G99" s="250">
        <v>327</v>
      </c>
      <c r="H99" s="251">
        <f t="shared" si="33"/>
        <v>0.97904191616766467</v>
      </c>
      <c r="I99" s="255"/>
      <c r="J99" s="250">
        <f t="shared" si="34"/>
        <v>1240</v>
      </c>
      <c r="K99" s="250">
        <f t="shared" si="35"/>
        <v>516</v>
      </c>
      <c r="L99" s="253">
        <f t="shared" si="36"/>
        <v>21</v>
      </c>
      <c r="M99" s="254">
        <f t="shared" si="37"/>
        <v>-0.56989247311827962</v>
      </c>
    </row>
    <row r="100" spans="1:13" x14ac:dyDescent="0.2">
      <c r="A100" s="249" t="s">
        <v>78</v>
      </c>
      <c r="B100" s="250">
        <v>38</v>
      </c>
      <c r="C100" s="250">
        <v>24</v>
      </c>
      <c r="D100" s="251">
        <f t="shared" si="32"/>
        <v>0.63157894736842102</v>
      </c>
      <c r="E100" s="255"/>
      <c r="F100" s="250">
        <v>20</v>
      </c>
      <c r="G100" s="250">
        <v>16</v>
      </c>
      <c r="H100" s="251">
        <f t="shared" si="33"/>
        <v>0.8</v>
      </c>
      <c r="I100" s="255"/>
      <c r="J100" s="250">
        <f t="shared" si="34"/>
        <v>58</v>
      </c>
      <c r="K100" s="250">
        <f t="shared" si="35"/>
        <v>40</v>
      </c>
      <c r="L100" s="253">
        <f t="shared" si="36"/>
        <v>71</v>
      </c>
      <c r="M100" s="254">
        <f t="shared" si="37"/>
        <v>0.5053763440860215</v>
      </c>
    </row>
    <row r="101" spans="1:13" x14ac:dyDescent="0.2">
      <c r="A101" s="249" t="s">
        <v>79</v>
      </c>
      <c r="B101" s="250">
        <v>10</v>
      </c>
      <c r="C101" s="250">
        <v>26</v>
      </c>
      <c r="D101" s="251">
        <f t="shared" si="32"/>
        <v>2.6</v>
      </c>
      <c r="E101" s="255"/>
      <c r="F101" s="250">
        <v>5</v>
      </c>
      <c r="G101" s="250">
        <v>6</v>
      </c>
      <c r="H101" s="251">
        <f t="shared" si="33"/>
        <v>1.2</v>
      </c>
      <c r="I101" s="255"/>
      <c r="J101" s="250">
        <f t="shared" si="34"/>
        <v>15</v>
      </c>
      <c r="K101" s="250">
        <f t="shared" si="35"/>
        <v>32</v>
      </c>
      <c r="L101" s="253">
        <f t="shared" si="36"/>
        <v>76</v>
      </c>
      <c r="M101" s="254">
        <f t="shared" si="37"/>
        <v>0.61290322580645151</v>
      </c>
    </row>
    <row r="102" spans="1:13" x14ac:dyDescent="0.2">
      <c r="A102" s="249" t="s">
        <v>80</v>
      </c>
      <c r="B102" s="250">
        <v>72</v>
      </c>
      <c r="C102" s="250">
        <v>13</v>
      </c>
      <c r="D102" s="251">
        <f t="shared" si="32"/>
        <v>0.18055555555555555</v>
      </c>
      <c r="E102" s="255"/>
      <c r="F102" s="250">
        <v>35</v>
      </c>
      <c r="G102" s="250">
        <v>73</v>
      </c>
      <c r="H102" s="251">
        <f t="shared" si="33"/>
        <v>2.0857142857142859</v>
      </c>
      <c r="I102" s="255"/>
      <c r="J102" s="250">
        <f t="shared" si="34"/>
        <v>107</v>
      </c>
      <c r="K102" s="250">
        <f t="shared" si="35"/>
        <v>86</v>
      </c>
      <c r="L102" s="253">
        <f t="shared" si="36"/>
        <v>61</v>
      </c>
      <c r="M102" s="254">
        <f t="shared" si="37"/>
        <v>0.29032258064516125</v>
      </c>
    </row>
    <row r="103" spans="1:13" x14ac:dyDescent="0.2">
      <c r="A103" s="249" t="s">
        <v>81</v>
      </c>
      <c r="B103" s="250">
        <v>698</v>
      </c>
      <c r="C103" s="250">
        <v>524</v>
      </c>
      <c r="D103" s="251">
        <f t="shared" si="32"/>
        <v>0.75071633237822355</v>
      </c>
      <c r="E103" s="255"/>
      <c r="F103" s="250">
        <v>351</v>
      </c>
      <c r="G103" s="250">
        <v>177</v>
      </c>
      <c r="H103" s="251">
        <f t="shared" si="33"/>
        <v>0.50427350427350426</v>
      </c>
      <c r="I103" s="255"/>
      <c r="J103" s="250">
        <f t="shared" si="34"/>
        <v>1049</v>
      </c>
      <c r="K103" s="250">
        <f t="shared" si="35"/>
        <v>701</v>
      </c>
      <c r="L103" s="253">
        <f t="shared" si="36"/>
        <v>12</v>
      </c>
      <c r="M103" s="254">
        <f t="shared" si="37"/>
        <v>-0.76344086021505375</v>
      </c>
    </row>
    <row r="104" spans="1:13" x14ac:dyDescent="0.2">
      <c r="A104" s="249" t="s">
        <v>82</v>
      </c>
      <c r="B104" s="250">
        <v>10</v>
      </c>
      <c r="C104" s="250">
        <v>12</v>
      </c>
      <c r="D104" s="251">
        <f t="shared" si="32"/>
        <v>1.2</v>
      </c>
      <c r="E104" s="255"/>
      <c r="F104" s="250">
        <v>5</v>
      </c>
      <c r="G104" s="250">
        <v>7</v>
      </c>
      <c r="H104" s="251">
        <f t="shared" si="33"/>
        <v>1.4</v>
      </c>
      <c r="I104" s="255"/>
      <c r="J104" s="250">
        <f t="shared" si="34"/>
        <v>15</v>
      </c>
      <c r="K104" s="250">
        <f t="shared" si="35"/>
        <v>19</v>
      </c>
      <c r="L104" s="253">
        <f t="shared" si="36"/>
        <v>81</v>
      </c>
      <c r="M104" s="254">
        <f t="shared" si="37"/>
        <v>0.72043010752688164</v>
      </c>
    </row>
    <row r="105" spans="1:13" x14ac:dyDescent="0.2">
      <c r="A105" s="249" t="s">
        <v>83</v>
      </c>
      <c r="B105" s="250">
        <v>455</v>
      </c>
      <c r="C105" s="250">
        <v>258</v>
      </c>
      <c r="D105" s="251">
        <f t="shared" si="32"/>
        <v>0.56703296703296702</v>
      </c>
      <c r="E105" s="255"/>
      <c r="F105" s="250">
        <v>228</v>
      </c>
      <c r="G105" s="250">
        <v>298</v>
      </c>
      <c r="H105" s="251">
        <f t="shared" si="33"/>
        <v>1.3070175438596492</v>
      </c>
      <c r="I105" s="255"/>
      <c r="J105" s="250">
        <f t="shared" si="34"/>
        <v>683</v>
      </c>
      <c r="K105" s="250">
        <f t="shared" si="35"/>
        <v>556</v>
      </c>
      <c r="L105" s="253">
        <f t="shared" si="36"/>
        <v>16</v>
      </c>
      <c r="M105" s="254">
        <f t="shared" si="37"/>
        <v>-0.67741935483870974</v>
      </c>
    </row>
    <row r="106" spans="1:13" x14ac:dyDescent="0.2">
      <c r="A106" s="249" t="s">
        <v>84</v>
      </c>
      <c r="B106" s="250">
        <v>698</v>
      </c>
      <c r="C106" s="250">
        <v>118</v>
      </c>
      <c r="D106" s="251">
        <f t="shared" si="32"/>
        <v>0.16905444126074498</v>
      </c>
      <c r="E106" s="255"/>
      <c r="F106" s="250">
        <v>331</v>
      </c>
      <c r="G106" s="250">
        <v>5</v>
      </c>
      <c r="H106" s="251">
        <f t="shared" si="33"/>
        <v>1.5105740181268883E-2</v>
      </c>
      <c r="I106" s="255"/>
      <c r="J106" s="250">
        <f t="shared" si="34"/>
        <v>1029</v>
      </c>
      <c r="K106" s="250">
        <f t="shared" si="35"/>
        <v>123</v>
      </c>
      <c r="L106" s="253">
        <f t="shared" si="36"/>
        <v>52</v>
      </c>
      <c r="M106" s="254">
        <f t="shared" si="37"/>
        <v>9.6774193548387052E-2</v>
      </c>
    </row>
    <row r="107" spans="1:13" x14ac:dyDescent="0.2">
      <c r="A107" s="249" t="s">
        <v>85</v>
      </c>
      <c r="B107" s="250">
        <v>265</v>
      </c>
      <c r="C107" s="250">
        <v>214</v>
      </c>
      <c r="D107" s="251">
        <f t="shared" si="32"/>
        <v>0.8075471698113208</v>
      </c>
      <c r="E107" s="255"/>
      <c r="F107" s="250">
        <v>116</v>
      </c>
      <c r="G107" s="250">
        <v>130</v>
      </c>
      <c r="H107" s="251">
        <f t="shared" si="33"/>
        <v>1.1206896551724137</v>
      </c>
      <c r="I107" s="255"/>
      <c r="J107" s="250">
        <f t="shared" si="34"/>
        <v>381</v>
      </c>
      <c r="K107" s="250">
        <f t="shared" si="35"/>
        <v>344</v>
      </c>
      <c r="L107" s="253">
        <f t="shared" si="36"/>
        <v>29</v>
      </c>
      <c r="M107" s="254">
        <f t="shared" si="37"/>
        <v>-0.39784946236559138</v>
      </c>
    </row>
    <row r="108" spans="1:13" x14ac:dyDescent="0.2">
      <c r="A108" s="249" t="s">
        <v>86</v>
      </c>
      <c r="B108" s="250">
        <v>5337</v>
      </c>
      <c r="C108" s="250">
        <v>4415</v>
      </c>
      <c r="D108" s="251">
        <f t="shared" si="32"/>
        <v>0.82724376990818815</v>
      </c>
      <c r="E108" s="255"/>
      <c r="F108" s="250">
        <v>2364</v>
      </c>
      <c r="G108" s="250">
        <v>3886</v>
      </c>
      <c r="H108" s="251">
        <f t="shared" si="33"/>
        <v>1.643824027072758</v>
      </c>
      <c r="I108" s="255"/>
      <c r="J108" s="250">
        <f t="shared" si="34"/>
        <v>7701</v>
      </c>
      <c r="K108" s="250">
        <f t="shared" si="35"/>
        <v>8301</v>
      </c>
      <c r="L108" s="253">
        <f t="shared" si="36"/>
        <v>1</v>
      </c>
      <c r="M108" s="254">
        <f t="shared" si="37"/>
        <v>-1</v>
      </c>
    </row>
    <row r="109" spans="1:13" x14ac:dyDescent="0.2">
      <c r="A109" s="249" t="s">
        <v>7</v>
      </c>
      <c r="B109" s="250">
        <v>1294</v>
      </c>
      <c r="C109" s="250">
        <v>279</v>
      </c>
      <c r="D109" s="251">
        <f t="shared" si="32"/>
        <v>0.21561051004636786</v>
      </c>
      <c r="E109" s="255"/>
      <c r="F109" s="250">
        <v>590</v>
      </c>
      <c r="G109" s="250">
        <v>479</v>
      </c>
      <c r="H109" s="251">
        <f t="shared" si="33"/>
        <v>0.81186440677966099</v>
      </c>
      <c r="I109" s="255"/>
      <c r="J109" s="250">
        <f t="shared" si="34"/>
        <v>1884</v>
      </c>
      <c r="K109" s="250">
        <f t="shared" si="35"/>
        <v>758</v>
      </c>
      <c r="L109" s="253">
        <f t="shared" si="36"/>
        <v>11</v>
      </c>
      <c r="M109" s="254">
        <f t="shared" si="37"/>
        <v>-0.78494623655913986</v>
      </c>
    </row>
    <row r="110" spans="1:13" x14ac:dyDescent="0.2">
      <c r="A110" s="249" t="s">
        <v>87</v>
      </c>
      <c r="B110" s="250">
        <v>75</v>
      </c>
      <c r="C110" s="250">
        <v>60</v>
      </c>
      <c r="D110" s="251">
        <f t="shared" si="32"/>
        <v>0.8</v>
      </c>
      <c r="E110" s="255"/>
      <c r="F110" s="250">
        <v>36</v>
      </c>
      <c r="G110" s="250">
        <v>1</v>
      </c>
      <c r="H110" s="251">
        <f t="shared" si="33"/>
        <v>2.7777777777777776E-2</v>
      </c>
      <c r="I110" s="255"/>
      <c r="J110" s="250">
        <f t="shared" si="34"/>
        <v>111</v>
      </c>
      <c r="K110" s="250">
        <f t="shared" si="35"/>
        <v>61</v>
      </c>
      <c r="L110" s="253">
        <f t="shared" si="36"/>
        <v>67</v>
      </c>
      <c r="M110" s="254">
        <f t="shared" si="37"/>
        <v>0.41935483870967744</v>
      </c>
    </row>
    <row r="111" spans="1:13" x14ac:dyDescent="0.2">
      <c r="A111" s="249" t="s">
        <v>88</v>
      </c>
      <c r="B111" s="250">
        <v>736</v>
      </c>
      <c r="C111" s="250">
        <v>55</v>
      </c>
      <c r="D111" s="251">
        <f t="shared" si="32"/>
        <v>7.4728260869565216E-2</v>
      </c>
      <c r="E111" s="255"/>
      <c r="F111" s="250">
        <v>361</v>
      </c>
      <c r="G111" s="250">
        <v>57</v>
      </c>
      <c r="H111" s="251">
        <f t="shared" si="33"/>
        <v>0.15789473684210525</v>
      </c>
      <c r="I111" s="255"/>
      <c r="J111" s="250">
        <f t="shared" si="34"/>
        <v>1097</v>
      </c>
      <c r="K111" s="250">
        <f t="shared" si="35"/>
        <v>112</v>
      </c>
      <c r="L111" s="253">
        <f t="shared" si="36"/>
        <v>54</v>
      </c>
      <c r="M111" s="254">
        <f t="shared" si="37"/>
        <v>0.13978494623655918</v>
      </c>
    </row>
    <row r="112" spans="1:13" x14ac:dyDescent="0.2">
      <c r="A112" s="262" t="s">
        <v>110</v>
      </c>
      <c r="B112" s="250">
        <v>325</v>
      </c>
      <c r="C112" s="250">
        <v>325</v>
      </c>
      <c r="D112" s="251">
        <f t="shared" si="32"/>
        <v>1</v>
      </c>
      <c r="E112" s="255"/>
      <c r="F112" s="250">
        <v>158</v>
      </c>
      <c r="G112" s="250">
        <v>158</v>
      </c>
      <c r="H112" s="251">
        <f t="shared" si="33"/>
        <v>1</v>
      </c>
      <c r="I112" s="255"/>
      <c r="J112" s="250">
        <f t="shared" si="34"/>
        <v>483</v>
      </c>
      <c r="K112" s="250">
        <f t="shared" si="35"/>
        <v>483</v>
      </c>
      <c r="L112" s="253">
        <f t="shared" si="36"/>
        <v>25</v>
      </c>
      <c r="M112" s="254">
        <f t="shared" si="37"/>
        <v>-0.4838709677419355</v>
      </c>
    </row>
    <row r="113" spans="1:13" x14ac:dyDescent="0.2">
      <c r="A113" s="257"/>
      <c r="B113" s="258"/>
      <c r="C113" s="258"/>
      <c r="D113" s="259"/>
      <c r="E113" s="255"/>
      <c r="F113" s="258"/>
      <c r="G113" s="258"/>
      <c r="H113" s="259"/>
      <c r="I113" s="255"/>
      <c r="J113" s="258"/>
      <c r="K113" s="258"/>
      <c r="M113" s="260"/>
    </row>
    <row r="114" spans="1:13" x14ac:dyDescent="0.2">
      <c r="A114" s="261" t="s">
        <v>121</v>
      </c>
      <c r="B114" s="258"/>
      <c r="C114" s="258"/>
      <c r="D114" s="259"/>
      <c r="E114" s="255"/>
      <c r="F114" s="258"/>
      <c r="G114" s="258"/>
      <c r="H114" s="259"/>
      <c r="I114" s="255"/>
      <c r="J114" s="258"/>
      <c r="K114" s="258"/>
      <c r="M114" s="260"/>
    </row>
    <row r="115" spans="1:13" x14ac:dyDescent="0.2">
      <c r="A115" s="249" t="s">
        <v>89</v>
      </c>
      <c r="B115" s="250">
        <v>70</v>
      </c>
      <c r="C115" s="250">
        <v>54</v>
      </c>
      <c r="D115" s="251">
        <f t="shared" ref="D115:D121" si="38">C115/B115</f>
        <v>0.77142857142857146</v>
      </c>
      <c r="E115" s="255"/>
      <c r="F115" s="250">
        <v>49</v>
      </c>
      <c r="G115" s="250">
        <v>128</v>
      </c>
      <c r="H115" s="251">
        <f t="shared" ref="H115:H122" si="39">G115/F115</f>
        <v>2.6122448979591835</v>
      </c>
      <c r="I115" s="255"/>
      <c r="J115" s="250">
        <f t="shared" ref="J115:J122" si="40">B115+F115</f>
        <v>119</v>
      </c>
      <c r="K115" s="250">
        <f t="shared" ref="K115:K122" si="41">C115+G115</f>
        <v>182</v>
      </c>
      <c r="L115" s="253">
        <f t="shared" ref="L115:L122" si="42">RANK(K115,$K$10:$K$134)</f>
        <v>44</v>
      </c>
      <c r="M115" s="254">
        <f t="shared" ref="M115:M122" si="43">((L115-$L$7)/($L$6-$L$7)*200-100)/100</f>
        <v>-7.5268817204301119E-2</v>
      </c>
    </row>
    <row r="116" spans="1:13" x14ac:dyDescent="0.2">
      <c r="A116" s="249" t="s">
        <v>90</v>
      </c>
      <c r="B116" s="250">
        <v>268</v>
      </c>
      <c r="C116" s="250">
        <v>0</v>
      </c>
      <c r="D116" s="251">
        <f t="shared" si="38"/>
        <v>0</v>
      </c>
      <c r="E116" s="255"/>
      <c r="F116" s="250">
        <v>237</v>
      </c>
      <c r="G116" s="250">
        <v>0</v>
      </c>
      <c r="H116" s="251">
        <f t="shared" si="39"/>
        <v>0</v>
      </c>
      <c r="I116" s="255"/>
      <c r="J116" s="250">
        <f t="shared" si="40"/>
        <v>505</v>
      </c>
      <c r="K116" s="250">
        <f t="shared" si="41"/>
        <v>0</v>
      </c>
      <c r="L116" s="253">
        <f t="shared" si="42"/>
        <v>94</v>
      </c>
      <c r="M116" s="254">
        <f t="shared" si="43"/>
        <v>1</v>
      </c>
    </row>
    <row r="117" spans="1:13" x14ac:dyDescent="0.2">
      <c r="A117" s="249" t="s">
        <v>91</v>
      </c>
      <c r="B117" s="250">
        <v>860</v>
      </c>
      <c r="C117" s="250">
        <v>57</v>
      </c>
      <c r="D117" s="251">
        <f>C117/B117</f>
        <v>6.6279069767441856E-2</v>
      </c>
      <c r="E117" s="255"/>
      <c r="F117" s="250">
        <v>641</v>
      </c>
      <c r="G117" s="250">
        <v>192</v>
      </c>
      <c r="H117" s="251">
        <f t="shared" si="39"/>
        <v>0.29953198127925118</v>
      </c>
      <c r="I117" s="255"/>
      <c r="J117" s="250">
        <f t="shared" si="40"/>
        <v>1501</v>
      </c>
      <c r="K117" s="250">
        <f t="shared" si="41"/>
        <v>249</v>
      </c>
      <c r="L117" s="253">
        <f t="shared" si="42"/>
        <v>36</v>
      </c>
      <c r="M117" s="254">
        <f t="shared" si="43"/>
        <v>-0.24731182795698928</v>
      </c>
    </row>
    <row r="118" spans="1:13" x14ac:dyDescent="0.2">
      <c r="A118" s="249" t="s">
        <v>92</v>
      </c>
      <c r="B118" s="250">
        <v>369</v>
      </c>
      <c r="C118" s="250">
        <v>12</v>
      </c>
      <c r="D118" s="251">
        <f t="shared" si="38"/>
        <v>3.2520325203252036E-2</v>
      </c>
      <c r="E118" s="255"/>
      <c r="F118" s="250">
        <v>198</v>
      </c>
      <c r="G118" s="250">
        <v>27</v>
      </c>
      <c r="H118" s="251">
        <f t="shared" si="39"/>
        <v>0.13636363636363635</v>
      </c>
      <c r="I118" s="255"/>
      <c r="J118" s="250">
        <f t="shared" si="40"/>
        <v>567</v>
      </c>
      <c r="K118" s="250">
        <f t="shared" si="41"/>
        <v>39</v>
      </c>
      <c r="L118" s="253">
        <f t="shared" si="42"/>
        <v>73</v>
      </c>
      <c r="M118" s="254">
        <f t="shared" si="43"/>
        <v>0.54838709677419362</v>
      </c>
    </row>
    <row r="119" spans="1:13" x14ac:dyDescent="0.2">
      <c r="A119" s="249" t="s">
        <v>93</v>
      </c>
      <c r="B119" s="250">
        <v>191</v>
      </c>
      <c r="C119" s="250">
        <v>16</v>
      </c>
      <c r="D119" s="251">
        <f t="shared" si="38"/>
        <v>8.3769633507853408E-2</v>
      </c>
      <c r="E119" s="255"/>
      <c r="F119" s="250">
        <v>123</v>
      </c>
      <c r="G119" s="250">
        <v>64</v>
      </c>
      <c r="H119" s="251">
        <f t="shared" si="39"/>
        <v>0.52032520325203258</v>
      </c>
      <c r="I119" s="255"/>
      <c r="J119" s="250">
        <f t="shared" si="40"/>
        <v>314</v>
      </c>
      <c r="K119" s="250">
        <f t="shared" si="41"/>
        <v>80</v>
      </c>
      <c r="L119" s="253">
        <f t="shared" si="42"/>
        <v>63</v>
      </c>
      <c r="M119" s="254">
        <f t="shared" si="43"/>
        <v>0.33333333333333315</v>
      </c>
    </row>
    <row r="120" spans="1:13" x14ac:dyDescent="0.2">
      <c r="A120" s="249" t="s">
        <v>94</v>
      </c>
      <c r="B120" s="250">
        <v>1249</v>
      </c>
      <c r="C120" s="250">
        <v>87</v>
      </c>
      <c r="D120" s="251">
        <f t="shared" si="38"/>
        <v>6.9655724579663736E-2</v>
      </c>
      <c r="E120" s="255"/>
      <c r="F120" s="250">
        <v>915</v>
      </c>
      <c r="G120" s="250">
        <v>691</v>
      </c>
      <c r="H120" s="251">
        <f t="shared" si="39"/>
        <v>0.75519125683060107</v>
      </c>
      <c r="I120" s="255"/>
      <c r="J120" s="250">
        <f t="shared" si="40"/>
        <v>2164</v>
      </c>
      <c r="K120" s="250">
        <f t="shared" si="41"/>
        <v>778</v>
      </c>
      <c r="L120" s="253">
        <f t="shared" si="42"/>
        <v>9</v>
      </c>
      <c r="M120" s="254">
        <f t="shared" si="43"/>
        <v>-0.82795698924731187</v>
      </c>
    </row>
    <row r="121" spans="1:13" x14ac:dyDescent="0.2">
      <c r="A121" s="249" t="s">
        <v>95</v>
      </c>
      <c r="B121" s="250">
        <v>690</v>
      </c>
      <c r="C121" s="250">
        <v>322</v>
      </c>
      <c r="D121" s="251">
        <f t="shared" si="38"/>
        <v>0.46666666666666667</v>
      </c>
      <c r="E121" s="255"/>
      <c r="F121" s="250">
        <v>474</v>
      </c>
      <c r="G121" s="250">
        <v>231</v>
      </c>
      <c r="H121" s="251">
        <f t="shared" si="39"/>
        <v>0.48734177215189872</v>
      </c>
      <c r="I121" s="255"/>
      <c r="J121" s="250">
        <f t="shared" si="40"/>
        <v>1164</v>
      </c>
      <c r="K121" s="250">
        <f t="shared" si="41"/>
        <v>553</v>
      </c>
      <c r="L121" s="253">
        <f t="shared" si="42"/>
        <v>17</v>
      </c>
      <c r="M121" s="254">
        <f t="shared" si="43"/>
        <v>-0.65591397849462363</v>
      </c>
    </row>
    <row r="122" spans="1:13" x14ac:dyDescent="0.2">
      <c r="A122" s="262" t="s">
        <v>111</v>
      </c>
      <c r="B122" s="250">
        <v>0</v>
      </c>
      <c r="C122" s="250">
        <v>0</v>
      </c>
      <c r="D122" s="251">
        <v>1</v>
      </c>
      <c r="E122" s="255"/>
      <c r="F122" s="250">
        <v>1</v>
      </c>
      <c r="G122" s="250">
        <v>71</v>
      </c>
      <c r="H122" s="251">
        <f t="shared" si="39"/>
        <v>71</v>
      </c>
      <c r="I122" s="255"/>
      <c r="J122" s="250">
        <f t="shared" si="40"/>
        <v>1</v>
      </c>
      <c r="K122" s="250">
        <f t="shared" si="41"/>
        <v>71</v>
      </c>
      <c r="L122" s="253">
        <f t="shared" si="42"/>
        <v>66</v>
      </c>
      <c r="M122" s="254">
        <f t="shared" si="43"/>
        <v>0.39784946236559138</v>
      </c>
    </row>
    <row r="123" spans="1:13" x14ac:dyDescent="0.2">
      <c r="A123" s="257"/>
      <c r="B123" s="258"/>
      <c r="C123" s="258"/>
      <c r="D123" s="259"/>
      <c r="E123" s="255"/>
      <c r="F123" s="258"/>
      <c r="G123" s="258"/>
      <c r="H123" s="259"/>
      <c r="I123" s="255"/>
      <c r="J123" s="258"/>
      <c r="K123" s="258"/>
      <c r="M123" s="260"/>
    </row>
    <row r="124" spans="1:13" x14ac:dyDescent="0.2">
      <c r="A124" s="261" t="s">
        <v>117</v>
      </c>
      <c r="B124" s="258"/>
      <c r="C124" s="258"/>
      <c r="D124" s="259"/>
      <c r="E124" s="255"/>
      <c r="F124" s="258"/>
      <c r="G124" s="258"/>
      <c r="H124" s="259"/>
      <c r="I124" s="255"/>
      <c r="J124" s="258"/>
      <c r="K124" s="258"/>
      <c r="M124" s="260"/>
    </row>
    <row r="125" spans="1:13" x14ac:dyDescent="0.2">
      <c r="A125" s="249" t="s">
        <v>96</v>
      </c>
      <c r="B125" s="250">
        <v>95</v>
      </c>
      <c r="C125" s="250">
        <v>104</v>
      </c>
      <c r="D125" s="251">
        <f t="shared" ref="D125:D134" si="44">C125/B125</f>
        <v>1.0947368421052632</v>
      </c>
      <c r="E125" s="255"/>
      <c r="F125" s="250">
        <v>51</v>
      </c>
      <c r="G125" s="250">
        <v>59</v>
      </c>
      <c r="H125" s="251">
        <f t="shared" ref="H125:H134" si="45">G125/F125</f>
        <v>1.1568627450980393</v>
      </c>
      <c r="I125" s="255"/>
      <c r="J125" s="250">
        <f t="shared" ref="J125:J134" si="46">B125+F125</f>
        <v>146</v>
      </c>
      <c r="K125" s="250">
        <f t="shared" ref="K125:K134" si="47">C125+G125</f>
        <v>163</v>
      </c>
      <c r="L125" s="253">
        <f t="shared" ref="L125:L134" si="48">RANK(K125,$K$10:$K$134)</f>
        <v>50</v>
      </c>
      <c r="M125" s="254">
        <f t="shared" ref="M125:M134" si="49">((L125-$L$7)/($L$6-$L$7)*200-100)/100</f>
        <v>5.3763440860215041E-2</v>
      </c>
    </row>
    <row r="126" spans="1:13" x14ac:dyDescent="0.2">
      <c r="A126" s="249" t="s">
        <v>97</v>
      </c>
      <c r="B126" s="250">
        <v>113</v>
      </c>
      <c r="C126" s="250">
        <v>74</v>
      </c>
      <c r="D126" s="251">
        <f t="shared" si="44"/>
        <v>0.65486725663716816</v>
      </c>
      <c r="E126" s="255"/>
      <c r="F126" s="250">
        <v>63</v>
      </c>
      <c r="G126" s="250">
        <v>40</v>
      </c>
      <c r="H126" s="251">
        <f t="shared" si="45"/>
        <v>0.63492063492063489</v>
      </c>
      <c r="I126" s="255"/>
      <c r="J126" s="250">
        <f t="shared" si="46"/>
        <v>176</v>
      </c>
      <c r="K126" s="250">
        <f t="shared" si="47"/>
        <v>114</v>
      </c>
      <c r="L126" s="253">
        <f t="shared" si="48"/>
        <v>53</v>
      </c>
      <c r="M126" s="254">
        <f t="shared" si="49"/>
        <v>0.11827956989247297</v>
      </c>
    </row>
    <row r="127" spans="1:13" x14ac:dyDescent="0.2">
      <c r="A127" s="249" t="s">
        <v>98</v>
      </c>
      <c r="B127" s="250">
        <v>112</v>
      </c>
      <c r="C127" s="250">
        <v>76</v>
      </c>
      <c r="D127" s="251">
        <f t="shared" si="44"/>
        <v>0.6785714285714286</v>
      </c>
      <c r="E127" s="255"/>
      <c r="F127" s="250">
        <v>78</v>
      </c>
      <c r="G127" s="250">
        <v>112</v>
      </c>
      <c r="H127" s="251">
        <f t="shared" si="45"/>
        <v>1.4358974358974359</v>
      </c>
      <c r="I127" s="255"/>
      <c r="J127" s="250">
        <f t="shared" si="46"/>
        <v>190</v>
      </c>
      <c r="K127" s="250">
        <f t="shared" si="47"/>
        <v>188</v>
      </c>
      <c r="L127" s="253">
        <f t="shared" si="48"/>
        <v>42</v>
      </c>
      <c r="M127" s="254">
        <f t="shared" si="49"/>
        <v>-0.11827956989247312</v>
      </c>
    </row>
    <row r="128" spans="1:13" x14ac:dyDescent="0.2">
      <c r="A128" s="249" t="s">
        <v>99</v>
      </c>
      <c r="B128" s="250">
        <v>206</v>
      </c>
      <c r="C128" s="250">
        <v>250</v>
      </c>
      <c r="D128" s="251">
        <f t="shared" si="44"/>
        <v>1.2135922330097086</v>
      </c>
      <c r="E128" s="264"/>
      <c r="F128" s="250">
        <v>124</v>
      </c>
      <c r="G128" s="250">
        <v>201</v>
      </c>
      <c r="H128" s="251">
        <f t="shared" si="45"/>
        <v>1.6209677419354838</v>
      </c>
      <c r="I128" s="264"/>
      <c r="J128" s="250">
        <f t="shared" si="46"/>
        <v>330</v>
      </c>
      <c r="K128" s="250">
        <f t="shared" si="47"/>
        <v>451</v>
      </c>
      <c r="L128" s="253">
        <f t="shared" si="48"/>
        <v>28</v>
      </c>
      <c r="M128" s="254">
        <f t="shared" si="49"/>
        <v>-0.41935483870967738</v>
      </c>
    </row>
    <row r="129" spans="1:13" x14ac:dyDescent="0.2">
      <c r="A129" s="249" t="s">
        <v>100</v>
      </c>
      <c r="B129" s="250">
        <v>401</v>
      </c>
      <c r="C129" s="250">
        <v>293</v>
      </c>
      <c r="D129" s="251">
        <f t="shared" si="44"/>
        <v>0.73067331670822944</v>
      </c>
      <c r="E129" s="228"/>
      <c r="F129" s="250">
        <v>270</v>
      </c>
      <c r="G129" s="250">
        <v>467</v>
      </c>
      <c r="H129" s="251">
        <f t="shared" si="45"/>
        <v>1.7296296296296296</v>
      </c>
      <c r="I129" s="228"/>
      <c r="J129" s="250">
        <f t="shared" si="46"/>
        <v>671</v>
      </c>
      <c r="K129" s="250">
        <f t="shared" si="47"/>
        <v>760</v>
      </c>
      <c r="L129" s="253">
        <f t="shared" si="48"/>
        <v>10</v>
      </c>
      <c r="M129" s="254">
        <f t="shared" si="49"/>
        <v>-0.80645161290322576</v>
      </c>
    </row>
    <row r="130" spans="1:13" x14ac:dyDescent="0.2">
      <c r="A130" s="249" t="s">
        <v>101</v>
      </c>
      <c r="B130" s="250">
        <v>1539</v>
      </c>
      <c r="C130" s="250">
        <v>591</v>
      </c>
      <c r="D130" s="251">
        <f t="shared" si="44"/>
        <v>0.38401559454191031</v>
      </c>
      <c r="E130" s="228"/>
      <c r="F130" s="250">
        <v>970</v>
      </c>
      <c r="G130" s="250">
        <v>1338</v>
      </c>
      <c r="H130" s="251">
        <f t="shared" si="45"/>
        <v>1.3793814432989691</v>
      </c>
      <c r="I130" s="228"/>
      <c r="J130" s="250">
        <f t="shared" si="46"/>
        <v>2509</v>
      </c>
      <c r="K130" s="250">
        <f t="shared" si="47"/>
        <v>1929</v>
      </c>
      <c r="L130" s="253">
        <f t="shared" si="48"/>
        <v>3</v>
      </c>
      <c r="M130" s="254">
        <f t="shared" si="49"/>
        <v>-0.956989247311828</v>
      </c>
    </row>
    <row r="131" spans="1:13" x14ac:dyDescent="0.2">
      <c r="A131" s="249" t="s">
        <v>102</v>
      </c>
      <c r="B131" s="250">
        <v>58</v>
      </c>
      <c r="C131" s="250">
        <v>0</v>
      </c>
      <c r="D131" s="251">
        <f t="shared" si="44"/>
        <v>0</v>
      </c>
      <c r="E131" s="228"/>
      <c r="F131" s="250">
        <v>35</v>
      </c>
      <c r="G131" s="250">
        <v>5</v>
      </c>
      <c r="H131" s="251">
        <f t="shared" si="45"/>
        <v>0.14285714285714285</v>
      </c>
      <c r="I131" s="228"/>
      <c r="J131" s="250">
        <f t="shared" si="46"/>
        <v>93</v>
      </c>
      <c r="K131" s="250">
        <f t="shared" si="47"/>
        <v>5</v>
      </c>
      <c r="L131" s="253">
        <f t="shared" si="48"/>
        <v>91</v>
      </c>
      <c r="M131" s="254">
        <f t="shared" si="49"/>
        <v>0.9354838709677421</v>
      </c>
    </row>
    <row r="132" spans="1:13" x14ac:dyDescent="0.2">
      <c r="A132" s="249" t="s">
        <v>9</v>
      </c>
      <c r="B132" s="250">
        <v>146</v>
      </c>
      <c r="C132" s="250">
        <v>111</v>
      </c>
      <c r="D132" s="251">
        <f t="shared" si="44"/>
        <v>0.76027397260273977</v>
      </c>
      <c r="E132" s="228"/>
      <c r="F132" s="250">
        <v>90</v>
      </c>
      <c r="G132" s="250">
        <v>68</v>
      </c>
      <c r="H132" s="251">
        <f t="shared" si="45"/>
        <v>0.75555555555555554</v>
      </c>
      <c r="I132" s="228"/>
      <c r="J132" s="250">
        <f t="shared" si="46"/>
        <v>236</v>
      </c>
      <c r="K132" s="250">
        <f t="shared" si="47"/>
        <v>179</v>
      </c>
      <c r="L132" s="253">
        <f t="shared" si="48"/>
        <v>45</v>
      </c>
      <c r="M132" s="254">
        <f t="shared" si="49"/>
        <v>-5.3763440860215041E-2</v>
      </c>
    </row>
    <row r="133" spans="1:13" x14ac:dyDescent="0.2">
      <c r="A133" s="249" t="s">
        <v>103</v>
      </c>
      <c r="B133" s="250">
        <v>430</v>
      </c>
      <c r="C133" s="250">
        <v>161</v>
      </c>
      <c r="D133" s="251">
        <f t="shared" si="44"/>
        <v>0.37441860465116278</v>
      </c>
      <c r="E133" s="228"/>
      <c r="F133" s="250">
        <v>232</v>
      </c>
      <c r="G133" s="250">
        <v>171</v>
      </c>
      <c r="H133" s="251">
        <f t="shared" si="45"/>
        <v>0.73706896551724133</v>
      </c>
      <c r="I133" s="228"/>
      <c r="J133" s="250">
        <f t="shared" si="46"/>
        <v>662</v>
      </c>
      <c r="K133" s="250">
        <f t="shared" si="47"/>
        <v>332</v>
      </c>
      <c r="L133" s="253">
        <f t="shared" si="48"/>
        <v>31</v>
      </c>
      <c r="M133" s="254">
        <f t="shared" si="49"/>
        <v>-0.35483870967741937</v>
      </c>
    </row>
    <row r="134" spans="1:13" x14ac:dyDescent="0.2">
      <c r="A134" s="262" t="s">
        <v>112</v>
      </c>
      <c r="B134" s="250">
        <v>1311</v>
      </c>
      <c r="C134" s="250">
        <v>650</v>
      </c>
      <c r="D134" s="251">
        <f t="shared" si="44"/>
        <v>0.49580472921434021</v>
      </c>
      <c r="E134" s="228"/>
      <c r="F134" s="250">
        <v>1116</v>
      </c>
      <c r="G134" s="250">
        <v>339</v>
      </c>
      <c r="H134" s="251">
        <f t="shared" si="45"/>
        <v>0.30376344086021506</v>
      </c>
      <c r="I134" s="228"/>
      <c r="J134" s="250">
        <f t="shared" si="46"/>
        <v>2427</v>
      </c>
      <c r="K134" s="250">
        <f t="shared" si="47"/>
        <v>989</v>
      </c>
      <c r="L134" s="253">
        <f t="shared" si="48"/>
        <v>6</v>
      </c>
      <c r="M134" s="254">
        <f t="shared" si="49"/>
        <v>-0.89247311827956988</v>
      </c>
    </row>
    <row r="135" spans="1:13" s="218" customFormat="1" x14ac:dyDescent="0.2">
      <c r="B135" s="265"/>
      <c r="C135" s="265"/>
      <c r="E135" s="219"/>
      <c r="F135" s="265"/>
      <c r="G135" s="265"/>
      <c r="I135" s="219"/>
      <c r="J135" s="265"/>
      <c r="K135" s="265"/>
    </row>
    <row r="136" spans="1:13" x14ac:dyDescent="0.2">
      <c r="A136" s="266" t="s">
        <v>214</v>
      </c>
    </row>
    <row r="137" spans="1:13" x14ac:dyDescent="0.2">
      <c r="A137" s="266" t="s">
        <v>215</v>
      </c>
    </row>
    <row r="138" spans="1:13" x14ac:dyDescent="0.2">
      <c r="A138" s="266"/>
    </row>
    <row r="139" spans="1:13" s="267" customFormat="1" ht="12" x14ac:dyDescent="0.2">
      <c r="A139" s="267" t="s">
        <v>275</v>
      </c>
      <c r="B139" s="268"/>
      <c r="C139" s="269"/>
      <c r="D139" s="269"/>
      <c r="E139" s="270"/>
      <c r="F139" s="269"/>
      <c r="G139" s="269"/>
      <c r="H139" s="270"/>
      <c r="I139" s="270"/>
      <c r="J139" s="270"/>
      <c r="K139" s="269"/>
    </row>
    <row r="140" spans="1:13" s="218" customFormat="1" x14ac:dyDescent="0.2">
      <c r="A140" s="271" t="s">
        <v>199</v>
      </c>
      <c r="E140" s="219"/>
      <c r="I140" s="219"/>
    </row>
    <row r="141" spans="1:13" s="267" customFormat="1" ht="12" x14ac:dyDescent="0.2">
      <c r="A141" s="266"/>
      <c r="B141" s="268"/>
      <c r="C141" s="269"/>
      <c r="D141" s="269"/>
      <c r="E141" s="270"/>
      <c r="F141" s="269"/>
      <c r="G141" s="269"/>
      <c r="H141" s="270"/>
      <c r="I141" s="270"/>
      <c r="J141" s="270"/>
      <c r="K141" s="269"/>
    </row>
    <row r="142" spans="1:13" s="267" customFormat="1" ht="12" x14ac:dyDescent="0.2">
      <c r="A142" s="266"/>
      <c r="B142" s="268"/>
      <c r="C142" s="269"/>
      <c r="D142" s="269"/>
      <c r="E142" s="270"/>
      <c r="F142" s="269"/>
      <c r="G142" s="269"/>
      <c r="H142" s="270"/>
      <c r="I142" s="270"/>
      <c r="J142" s="270"/>
      <c r="K142" s="269"/>
    </row>
    <row r="143" spans="1:13" s="267" customFormat="1" ht="12" x14ac:dyDescent="0.2">
      <c r="A143" s="266"/>
      <c r="B143" s="268"/>
      <c r="C143" s="269"/>
      <c r="D143" s="269"/>
      <c r="E143" s="270"/>
      <c r="F143" s="269"/>
      <c r="G143" s="269"/>
      <c r="H143" s="270"/>
      <c r="I143" s="270"/>
      <c r="J143" s="270"/>
      <c r="K143" s="269"/>
    </row>
  </sheetData>
  <sheetProtection password="EC67" sheet="1" objects="1" scenarios="1"/>
  <mergeCells count="3">
    <mergeCell ref="B3:D3"/>
    <mergeCell ref="F3:H3"/>
    <mergeCell ref="J3:M3"/>
  </mergeCells>
  <phoneticPr fontId="5" type="noConversion"/>
  <pageMargins left="0.5" right="0.25" top="0.5" bottom="0.5" header="0.5" footer="0.5"/>
  <pageSetup paperSize="17" orientation="portrait" r:id="rId1"/>
  <headerFooter alignWithMargins="0"/>
  <rowBreaks count="1" manualBreakCount="1">
    <brk id="72" max="16383" man="1"/>
  </rowBreaks>
  <ignoredErrors>
    <ignoredError sqref="L6:M7 L10:L134 K6:K7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H142"/>
  <sheetViews>
    <sheetView zoomScaleNormal="100" zoomScaleSheetLayoutView="25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34" style="273" customWidth="1"/>
    <col min="2" max="4" width="12.7109375" style="273" customWidth="1"/>
    <col min="5" max="5" width="1.7109375" style="219" customWidth="1"/>
    <col min="6" max="7" width="12.7109375" style="273" customWidth="1"/>
    <col min="8" max="16384" width="9.140625" style="273"/>
  </cols>
  <sheetData>
    <row r="1" spans="1:7" ht="18.75" x14ac:dyDescent="0.3">
      <c r="A1" s="272" t="s">
        <v>167</v>
      </c>
    </row>
    <row r="2" spans="1:7" ht="18" customHeight="1" x14ac:dyDescent="0.3">
      <c r="A2" s="272"/>
    </row>
    <row r="3" spans="1:7" ht="38.25" x14ac:dyDescent="0.2">
      <c r="A3" s="274"/>
      <c r="B3" s="275" t="s">
        <v>201</v>
      </c>
      <c r="C3" s="223" t="s">
        <v>188</v>
      </c>
      <c r="D3" s="275" t="s">
        <v>189</v>
      </c>
      <c r="E3" s="224"/>
      <c r="F3" s="223" t="s">
        <v>193</v>
      </c>
      <c r="G3" s="276" t="s">
        <v>168</v>
      </c>
    </row>
    <row r="4" spans="1:7" s="279" customFormat="1" ht="6" customHeight="1" x14ac:dyDescent="0.2">
      <c r="A4" s="274"/>
      <c r="B4" s="277"/>
      <c r="C4" s="277"/>
      <c r="D4" s="277"/>
      <c r="E4" s="221"/>
      <c r="F4" s="277"/>
      <c r="G4" s="278"/>
    </row>
    <row r="5" spans="1:7" x14ac:dyDescent="0.2">
      <c r="A5" s="233" t="s">
        <v>165</v>
      </c>
      <c r="B5" s="234">
        <f>MAX(B9:B133)</f>
        <v>462444</v>
      </c>
      <c r="C5" s="234">
        <f>MAX(C9:C133)</f>
        <v>145721</v>
      </c>
      <c r="D5" s="234">
        <f>MAX(D9:D133)</f>
        <v>550386</v>
      </c>
      <c r="E5" s="221"/>
      <c r="F5" s="234">
        <f>MAX(F9:F133)</f>
        <v>109</v>
      </c>
      <c r="G5" s="234">
        <f>MAX(G9:G133)</f>
        <v>1</v>
      </c>
    </row>
    <row r="6" spans="1:7" x14ac:dyDescent="0.2">
      <c r="A6" s="239" t="s">
        <v>166</v>
      </c>
      <c r="B6" s="240">
        <f>MIN(B9:B133)</f>
        <v>0</v>
      </c>
      <c r="C6" s="240">
        <f>MIN(C9:C133)</f>
        <v>464</v>
      </c>
      <c r="D6" s="240">
        <f>MIN(D9:D133)</f>
        <v>464</v>
      </c>
      <c r="E6" s="221"/>
      <c r="F6" s="240">
        <f>MIN(F9:F133)</f>
        <v>1</v>
      </c>
      <c r="G6" s="240">
        <f>MIN(G9:G133)</f>
        <v>-1</v>
      </c>
    </row>
    <row r="7" spans="1:7" ht="6" customHeight="1" x14ac:dyDescent="0.2">
      <c r="A7" s="245"/>
      <c r="B7" s="280"/>
      <c r="C7" s="280"/>
      <c r="D7" s="280"/>
      <c r="E7" s="221"/>
      <c r="F7" s="280"/>
      <c r="G7" s="280"/>
    </row>
    <row r="8" spans="1:7" x14ac:dyDescent="0.2">
      <c r="A8" s="261" t="s">
        <v>116</v>
      </c>
      <c r="B8" s="281"/>
      <c r="C8" s="281"/>
      <c r="D8" s="281"/>
      <c r="E8" s="221"/>
      <c r="F8" s="281"/>
      <c r="G8" s="282"/>
    </row>
    <row r="9" spans="1:7" x14ac:dyDescent="0.2">
      <c r="A9" s="262" t="s">
        <v>1</v>
      </c>
      <c r="B9" s="253">
        <v>2595</v>
      </c>
      <c r="C9" s="253">
        <v>23888</v>
      </c>
      <c r="D9" s="253">
        <f>B9+C9</f>
        <v>26483</v>
      </c>
      <c r="E9" s="283"/>
      <c r="F9" s="253">
        <f>RANK(C9,$C$9:$C$133)</f>
        <v>29</v>
      </c>
      <c r="G9" s="284">
        <f t="shared" ref="G9:G22" si="0">-((F9-$F$6)/($F$5-$F$6)*200-100)/100</f>
        <v>0.48148148148148151</v>
      </c>
    </row>
    <row r="10" spans="1:7" x14ac:dyDescent="0.2">
      <c r="A10" s="262" t="s">
        <v>10</v>
      </c>
      <c r="B10" s="253">
        <v>2883</v>
      </c>
      <c r="C10" s="253">
        <v>2184</v>
      </c>
      <c r="D10" s="253">
        <f t="shared" ref="D10:D23" si="1">B10+C10</f>
        <v>5067</v>
      </c>
      <c r="E10" s="252"/>
      <c r="F10" s="253">
        <f t="shared" ref="F10:F23" si="2">RANK(C10,$C$9:$C$133)</f>
        <v>90</v>
      </c>
      <c r="G10" s="284">
        <f t="shared" si="0"/>
        <v>-0.64814814814814814</v>
      </c>
    </row>
    <row r="11" spans="1:7" x14ac:dyDescent="0.2">
      <c r="A11" s="262" t="s">
        <v>11</v>
      </c>
      <c r="B11" s="253">
        <v>21700</v>
      </c>
      <c r="C11" s="253">
        <v>52082</v>
      </c>
      <c r="D11" s="253">
        <f t="shared" si="1"/>
        <v>73782</v>
      </c>
      <c r="E11" s="255"/>
      <c r="F11" s="253">
        <f t="shared" si="2"/>
        <v>6</v>
      </c>
      <c r="G11" s="284">
        <f t="shared" si="0"/>
        <v>0.90740740740740733</v>
      </c>
    </row>
    <row r="12" spans="1:7" x14ac:dyDescent="0.2">
      <c r="A12" s="262" t="s">
        <v>12</v>
      </c>
      <c r="B12" s="253">
        <v>4943</v>
      </c>
      <c r="C12" s="253">
        <v>12538</v>
      </c>
      <c r="D12" s="253">
        <f t="shared" si="1"/>
        <v>17481</v>
      </c>
      <c r="E12" s="255"/>
      <c r="F12" s="253">
        <f t="shared" si="2"/>
        <v>47</v>
      </c>
      <c r="G12" s="284">
        <f t="shared" si="0"/>
        <v>0.14814814814814808</v>
      </c>
    </row>
    <row r="13" spans="1:7" x14ac:dyDescent="0.2">
      <c r="A13" s="262" t="s">
        <v>13</v>
      </c>
      <c r="B13" s="253">
        <v>11487</v>
      </c>
      <c r="C13" s="253">
        <v>4865</v>
      </c>
      <c r="D13" s="253">
        <f t="shared" si="1"/>
        <v>16352</v>
      </c>
      <c r="E13" s="255"/>
      <c r="F13" s="253">
        <f t="shared" si="2"/>
        <v>70</v>
      </c>
      <c r="G13" s="284">
        <f t="shared" si="0"/>
        <v>-0.27777777777777773</v>
      </c>
    </row>
    <row r="14" spans="1:7" x14ac:dyDescent="0.2">
      <c r="A14" s="262" t="s">
        <v>14</v>
      </c>
      <c r="B14" s="253">
        <v>41842</v>
      </c>
      <c r="C14" s="253">
        <v>47438</v>
      </c>
      <c r="D14" s="253">
        <f t="shared" si="1"/>
        <v>89280</v>
      </c>
      <c r="E14" s="255"/>
      <c r="F14" s="253">
        <f t="shared" si="2"/>
        <v>8</v>
      </c>
      <c r="G14" s="284">
        <f t="shared" si="0"/>
        <v>0.87037037037037035</v>
      </c>
    </row>
    <row r="15" spans="1:7" x14ac:dyDescent="0.2">
      <c r="A15" s="262" t="s">
        <v>15</v>
      </c>
      <c r="B15" s="253">
        <v>9652</v>
      </c>
      <c r="C15" s="253">
        <v>54252</v>
      </c>
      <c r="D15" s="253">
        <f t="shared" si="1"/>
        <v>63904</v>
      </c>
      <c r="E15" s="255"/>
      <c r="F15" s="253">
        <f t="shared" si="2"/>
        <v>5</v>
      </c>
      <c r="G15" s="284">
        <f t="shared" si="0"/>
        <v>0.92592592592592593</v>
      </c>
    </row>
    <row r="16" spans="1:7" x14ac:dyDescent="0.2">
      <c r="A16" s="262" t="s">
        <v>16</v>
      </c>
      <c r="B16" s="253">
        <v>8779</v>
      </c>
      <c r="C16" s="253">
        <v>27536</v>
      </c>
      <c r="D16" s="253">
        <f t="shared" si="1"/>
        <v>36315</v>
      </c>
      <c r="E16" s="255"/>
      <c r="F16" s="253">
        <f t="shared" si="2"/>
        <v>24</v>
      </c>
      <c r="G16" s="284">
        <f t="shared" si="0"/>
        <v>0.57407407407407407</v>
      </c>
    </row>
    <row r="17" spans="1:7" x14ac:dyDescent="0.2">
      <c r="A17" s="262" t="s">
        <v>17</v>
      </c>
      <c r="B17" s="253">
        <v>2059</v>
      </c>
      <c r="C17" s="253">
        <v>14757</v>
      </c>
      <c r="D17" s="253">
        <f t="shared" si="1"/>
        <v>16816</v>
      </c>
      <c r="E17" s="255"/>
      <c r="F17" s="253">
        <f t="shared" si="2"/>
        <v>42</v>
      </c>
      <c r="G17" s="284">
        <f t="shared" si="0"/>
        <v>0.24074074074074076</v>
      </c>
    </row>
    <row r="18" spans="1:7" x14ac:dyDescent="0.2">
      <c r="A18" s="262" t="s">
        <v>18</v>
      </c>
      <c r="B18" s="253">
        <v>157455</v>
      </c>
      <c r="C18" s="253">
        <v>36399</v>
      </c>
      <c r="D18" s="253">
        <f t="shared" si="1"/>
        <v>193854</v>
      </c>
      <c r="E18" s="255"/>
      <c r="F18" s="253">
        <f t="shared" si="2"/>
        <v>10</v>
      </c>
      <c r="G18" s="284">
        <f t="shared" si="0"/>
        <v>0.83333333333333348</v>
      </c>
    </row>
    <row r="19" spans="1:7" x14ac:dyDescent="0.2">
      <c r="A19" s="262" t="s">
        <v>19</v>
      </c>
      <c r="B19" s="253">
        <v>0</v>
      </c>
      <c r="C19" s="253">
        <v>2101</v>
      </c>
      <c r="D19" s="253">
        <f t="shared" si="1"/>
        <v>2101</v>
      </c>
      <c r="E19" s="255"/>
      <c r="F19" s="253">
        <f t="shared" si="2"/>
        <v>93</v>
      </c>
      <c r="G19" s="284">
        <f t="shared" si="0"/>
        <v>-0.70370370370370383</v>
      </c>
    </row>
    <row r="20" spans="1:7" x14ac:dyDescent="0.2">
      <c r="A20" s="262" t="s">
        <v>20</v>
      </c>
      <c r="B20" s="253">
        <v>9871</v>
      </c>
      <c r="C20" s="253">
        <v>42054</v>
      </c>
      <c r="D20" s="253">
        <f t="shared" si="1"/>
        <v>51925</v>
      </c>
      <c r="E20" s="255"/>
      <c r="F20" s="253">
        <f t="shared" si="2"/>
        <v>9</v>
      </c>
      <c r="G20" s="284">
        <f t="shared" si="0"/>
        <v>0.85185185185185186</v>
      </c>
    </row>
    <row r="21" spans="1:7" x14ac:dyDescent="0.2">
      <c r="A21" s="262" t="s">
        <v>21</v>
      </c>
      <c r="B21" s="253">
        <v>11681</v>
      </c>
      <c r="C21" s="253">
        <v>27667</v>
      </c>
      <c r="D21" s="253">
        <f t="shared" si="1"/>
        <v>39348</v>
      </c>
      <c r="E21" s="255"/>
      <c r="F21" s="253">
        <f t="shared" si="2"/>
        <v>23</v>
      </c>
      <c r="G21" s="284">
        <f t="shared" si="0"/>
        <v>0.59259259259259256</v>
      </c>
    </row>
    <row r="22" spans="1:7" x14ac:dyDescent="0.2">
      <c r="A22" s="262" t="s">
        <v>22</v>
      </c>
      <c r="B22" s="253">
        <v>839</v>
      </c>
      <c r="C22" s="253">
        <v>18417</v>
      </c>
      <c r="D22" s="253">
        <f t="shared" si="1"/>
        <v>19256</v>
      </c>
      <c r="E22" s="255"/>
      <c r="F22" s="253">
        <f t="shared" si="2"/>
        <v>34</v>
      </c>
      <c r="G22" s="284">
        <f t="shared" si="0"/>
        <v>0.38888888888888884</v>
      </c>
    </row>
    <row r="23" spans="1:7" x14ac:dyDescent="0.2">
      <c r="A23" s="262" t="s">
        <v>105</v>
      </c>
      <c r="B23" s="253">
        <v>4427</v>
      </c>
      <c r="C23" s="253">
        <v>30605</v>
      </c>
      <c r="D23" s="253">
        <f t="shared" si="1"/>
        <v>35032</v>
      </c>
      <c r="E23" s="255"/>
      <c r="F23" s="253">
        <f t="shared" si="2"/>
        <v>17</v>
      </c>
      <c r="G23" s="284">
        <f>-((F23-$F$6)/($F$5-$F$6)*200-100)/100</f>
        <v>0.70370370370370383</v>
      </c>
    </row>
    <row r="24" spans="1:7" x14ac:dyDescent="0.2">
      <c r="A24" s="285"/>
      <c r="B24" s="286"/>
      <c r="C24" s="286"/>
      <c r="D24" s="286"/>
      <c r="E24" s="255"/>
      <c r="F24" s="286"/>
      <c r="G24" s="287"/>
    </row>
    <row r="25" spans="1:7" x14ac:dyDescent="0.2">
      <c r="A25" s="288" t="s">
        <v>113</v>
      </c>
      <c r="B25" s="286"/>
      <c r="C25" s="286"/>
      <c r="D25" s="286"/>
      <c r="E25" s="255"/>
      <c r="F25" s="286"/>
      <c r="G25" s="287"/>
    </row>
    <row r="26" spans="1:7" x14ac:dyDescent="0.2">
      <c r="A26" s="262" t="s">
        <v>23</v>
      </c>
      <c r="B26" s="253">
        <v>3931</v>
      </c>
      <c r="C26" s="253">
        <v>15490</v>
      </c>
      <c r="D26" s="253">
        <f t="shared" ref="D26:D45" si="3">B26+C26</f>
        <v>19421</v>
      </c>
      <c r="E26" s="255"/>
      <c r="F26" s="253">
        <f>RANK(C26,$C$9:$C$133)</f>
        <v>38</v>
      </c>
      <c r="G26" s="284">
        <f t="shared" ref="G26:G44" si="4">-((F26-$F$6)/($F$5-$F$6)*200-100)/100</f>
        <v>0.31481481481481483</v>
      </c>
    </row>
    <row r="27" spans="1:7" x14ac:dyDescent="0.2">
      <c r="A27" s="262" t="s">
        <v>24</v>
      </c>
      <c r="B27" s="253">
        <v>0</v>
      </c>
      <c r="C27" s="253">
        <v>8286</v>
      </c>
      <c r="D27" s="253">
        <f t="shared" si="3"/>
        <v>8286</v>
      </c>
      <c r="E27" s="255"/>
      <c r="F27" s="253">
        <f t="shared" ref="F27:F45" si="5">RANK(C27,$C$9:$C$133)</f>
        <v>56</v>
      </c>
      <c r="G27" s="284">
        <f t="shared" si="4"/>
        <v>-1.8518518518518618E-2</v>
      </c>
    </row>
    <row r="28" spans="1:7" x14ac:dyDescent="0.2">
      <c r="A28" s="262" t="s">
        <v>25</v>
      </c>
      <c r="B28" s="253">
        <v>0</v>
      </c>
      <c r="C28" s="253">
        <v>2242</v>
      </c>
      <c r="D28" s="253">
        <f t="shared" si="3"/>
        <v>2242</v>
      </c>
      <c r="E28" s="255"/>
      <c r="F28" s="253">
        <f t="shared" si="5"/>
        <v>88</v>
      </c>
      <c r="G28" s="284">
        <f t="shared" si="4"/>
        <v>-0.61111111111111116</v>
      </c>
    </row>
    <row r="29" spans="1:7" x14ac:dyDescent="0.2">
      <c r="A29" s="262" t="s">
        <v>26</v>
      </c>
      <c r="B29" s="253">
        <v>16316</v>
      </c>
      <c r="C29" s="253">
        <v>31305</v>
      </c>
      <c r="D29" s="253">
        <f t="shared" si="3"/>
        <v>47621</v>
      </c>
      <c r="E29" s="255"/>
      <c r="F29" s="253">
        <f t="shared" si="5"/>
        <v>16</v>
      </c>
      <c r="G29" s="284">
        <f t="shared" si="4"/>
        <v>0.72222222222222232</v>
      </c>
    </row>
    <row r="30" spans="1:7" x14ac:dyDescent="0.2">
      <c r="A30" s="262" t="s">
        <v>27</v>
      </c>
      <c r="B30" s="253">
        <v>0</v>
      </c>
      <c r="C30" s="253">
        <v>12535</v>
      </c>
      <c r="D30" s="253">
        <f t="shared" si="3"/>
        <v>12535</v>
      </c>
      <c r="E30" s="255"/>
      <c r="F30" s="253">
        <f t="shared" si="5"/>
        <v>48</v>
      </c>
      <c r="G30" s="284">
        <f t="shared" si="4"/>
        <v>0.12962962962962962</v>
      </c>
    </row>
    <row r="31" spans="1:7" x14ac:dyDescent="0.2">
      <c r="A31" s="262" t="s">
        <v>28</v>
      </c>
      <c r="B31" s="253">
        <v>3492</v>
      </c>
      <c r="C31" s="253">
        <v>2222</v>
      </c>
      <c r="D31" s="253">
        <f t="shared" si="3"/>
        <v>5714</v>
      </c>
      <c r="E31" s="255"/>
      <c r="F31" s="253">
        <f t="shared" si="5"/>
        <v>89</v>
      </c>
      <c r="G31" s="284">
        <f t="shared" si="4"/>
        <v>-0.62962962962962965</v>
      </c>
    </row>
    <row r="32" spans="1:7" x14ac:dyDescent="0.2">
      <c r="A32" s="262" t="s">
        <v>29</v>
      </c>
      <c r="B32" s="253">
        <v>2922</v>
      </c>
      <c r="C32" s="253">
        <v>1173</v>
      </c>
      <c r="D32" s="253">
        <f t="shared" si="3"/>
        <v>4095</v>
      </c>
      <c r="E32" s="255"/>
      <c r="F32" s="253">
        <f t="shared" si="5"/>
        <v>103</v>
      </c>
      <c r="G32" s="284">
        <f t="shared" si="4"/>
        <v>-0.88888888888888884</v>
      </c>
    </row>
    <row r="33" spans="1:7" x14ac:dyDescent="0.2">
      <c r="A33" s="262" t="s">
        <v>30</v>
      </c>
      <c r="B33" s="253">
        <v>6183</v>
      </c>
      <c r="C33" s="253">
        <v>4052</v>
      </c>
      <c r="D33" s="253">
        <f t="shared" si="3"/>
        <v>10235</v>
      </c>
      <c r="E33" s="255"/>
      <c r="F33" s="253">
        <f t="shared" si="5"/>
        <v>75</v>
      </c>
      <c r="G33" s="284">
        <f t="shared" si="4"/>
        <v>-0.37037037037037041</v>
      </c>
    </row>
    <row r="34" spans="1:7" x14ac:dyDescent="0.2">
      <c r="A34" s="262" t="s">
        <v>31</v>
      </c>
      <c r="B34" s="253">
        <v>6821</v>
      </c>
      <c r="C34" s="253">
        <v>18099</v>
      </c>
      <c r="D34" s="253">
        <f t="shared" si="3"/>
        <v>24920</v>
      </c>
      <c r="E34" s="255"/>
      <c r="F34" s="253">
        <f t="shared" si="5"/>
        <v>35</v>
      </c>
      <c r="G34" s="284">
        <f t="shared" si="4"/>
        <v>0.37037037037037041</v>
      </c>
    </row>
    <row r="35" spans="1:7" x14ac:dyDescent="0.2">
      <c r="A35" s="262" t="s">
        <v>32</v>
      </c>
      <c r="B35" s="253">
        <v>1199</v>
      </c>
      <c r="C35" s="253">
        <v>2978</v>
      </c>
      <c r="D35" s="253">
        <f t="shared" si="3"/>
        <v>4177</v>
      </c>
      <c r="E35" s="255"/>
      <c r="F35" s="253">
        <f t="shared" si="5"/>
        <v>79</v>
      </c>
      <c r="G35" s="284">
        <f t="shared" si="4"/>
        <v>-0.44444444444444431</v>
      </c>
    </row>
    <row r="36" spans="1:7" x14ac:dyDescent="0.2">
      <c r="A36" s="262" t="s">
        <v>33</v>
      </c>
      <c r="B36" s="253">
        <v>1608</v>
      </c>
      <c r="C36" s="253">
        <v>2107</v>
      </c>
      <c r="D36" s="253">
        <f t="shared" si="3"/>
        <v>3715</v>
      </c>
      <c r="E36" s="255"/>
      <c r="F36" s="253">
        <f t="shared" si="5"/>
        <v>92</v>
      </c>
      <c r="G36" s="284">
        <f t="shared" si="4"/>
        <v>-0.68518518518518501</v>
      </c>
    </row>
    <row r="37" spans="1:7" x14ac:dyDescent="0.2">
      <c r="A37" s="262" t="s">
        <v>34</v>
      </c>
      <c r="B37" s="253">
        <v>2755</v>
      </c>
      <c r="C37" s="253">
        <v>2447</v>
      </c>
      <c r="D37" s="253">
        <f t="shared" si="3"/>
        <v>5202</v>
      </c>
      <c r="E37" s="255"/>
      <c r="F37" s="253">
        <f t="shared" si="5"/>
        <v>84</v>
      </c>
      <c r="G37" s="284">
        <f t="shared" si="4"/>
        <v>-0.53703703703703698</v>
      </c>
    </row>
    <row r="38" spans="1:7" x14ac:dyDescent="0.2">
      <c r="A38" s="262" t="s">
        <v>35</v>
      </c>
      <c r="B38" s="253">
        <v>4543</v>
      </c>
      <c r="C38" s="253">
        <v>1487</v>
      </c>
      <c r="D38" s="253">
        <f t="shared" si="3"/>
        <v>6030</v>
      </c>
      <c r="E38" s="255"/>
      <c r="F38" s="253">
        <f t="shared" si="5"/>
        <v>100</v>
      </c>
      <c r="G38" s="284">
        <f t="shared" si="4"/>
        <v>-0.83333333333333315</v>
      </c>
    </row>
    <row r="39" spans="1:7" x14ac:dyDescent="0.2">
      <c r="A39" s="262" t="s">
        <v>36</v>
      </c>
      <c r="B39" s="253">
        <v>8210</v>
      </c>
      <c r="C39" s="253">
        <v>7184</v>
      </c>
      <c r="D39" s="253">
        <f t="shared" si="3"/>
        <v>15394</v>
      </c>
      <c r="E39" s="255"/>
      <c r="F39" s="253">
        <f t="shared" si="5"/>
        <v>59</v>
      </c>
      <c r="G39" s="284">
        <f t="shared" si="4"/>
        <v>-7.4074074074074195E-2</v>
      </c>
    </row>
    <row r="40" spans="1:7" x14ac:dyDescent="0.2">
      <c r="A40" s="262" t="s">
        <v>37</v>
      </c>
      <c r="B40" s="253">
        <v>6332</v>
      </c>
      <c r="C40" s="253">
        <v>11635</v>
      </c>
      <c r="D40" s="253">
        <f t="shared" si="3"/>
        <v>17967</v>
      </c>
      <c r="E40" s="255"/>
      <c r="F40" s="253">
        <f t="shared" si="5"/>
        <v>50</v>
      </c>
      <c r="G40" s="284">
        <f t="shared" si="4"/>
        <v>9.2592592592592518E-2</v>
      </c>
    </row>
    <row r="41" spans="1:7" x14ac:dyDescent="0.2">
      <c r="A41" s="262" t="s">
        <v>38</v>
      </c>
      <c r="B41" s="253">
        <v>15401</v>
      </c>
      <c r="C41" s="253">
        <v>15868</v>
      </c>
      <c r="D41" s="253">
        <f t="shared" si="3"/>
        <v>31269</v>
      </c>
      <c r="E41" s="255"/>
      <c r="F41" s="253">
        <f t="shared" si="5"/>
        <v>37</v>
      </c>
      <c r="G41" s="284">
        <f t="shared" si="4"/>
        <v>0.33333333333333343</v>
      </c>
    </row>
    <row r="42" spans="1:7" x14ac:dyDescent="0.2">
      <c r="A42" s="262" t="s">
        <v>39</v>
      </c>
      <c r="B42" s="253">
        <v>5874</v>
      </c>
      <c r="C42" s="253">
        <v>2025</v>
      </c>
      <c r="D42" s="253">
        <f t="shared" si="3"/>
        <v>7899</v>
      </c>
      <c r="E42" s="255"/>
      <c r="F42" s="253">
        <f t="shared" si="5"/>
        <v>94</v>
      </c>
      <c r="G42" s="284">
        <f t="shared" si="4"/>
        <v>-0.72222222222222232</v>
      </c>
    </row>
    <row r="43" spans="1:7" x14ac:dyDescent="0.2">
      <c r="A43" s="262" t="s">
        <v>40</v>
      </c>
      <c r="B43" s="253">
        <v>22012</v>
      </c>
      <c r="C43" s="253">
        <v>19635</v>
      </c>
      <c r="D43" s="253">
        <f t="shared" si="3"/>
        <v>41647</v>
      </c>
      <c r="E43" s="255"/>
      <c r="F43" s="253">
        <f t="shared" si="5"/>
        <v>33</v>
      </c>
      <c r="G43" s="284">
        <f t="shared" si="4"/>
        <v>0.4074074074074075</v>
      </c>
    </row>
    <row r="44" spans="1:7" x14ac:dyDescent="0.2">
      <c r="A44" s="262" t="s">
        <v>41</v>
      </c>
      <c r="B44" s="253">
        <v>7412</v>
      </c>
      <c r="C44" s="253">
        <v>36294</v>
      </c>
      <c r="D44" s="253">
        <f t="shared" si="3"/>
        <v>43706</v>
      </c>
      <c r="E44" s="255"/>
      <c r="F44" s="253">
        <f t="shared" si="5"/>
        <v>11</v>
      </c>
      <c r="G44" s="284">
        <f t="shared" si="4"/>
        <v>0.81481481481481477</v>
      </c>
    </row>
    <row r="45" spans="1:7" x14ac:dyDescent="0.2">
      <c r="A45" s="262" t="s">
        <v>106</v>
      </c>
      <c r="B45" s="253">
        <v>7212</v>
      </c>
      <c r="C45" s="253">
        <v>33584</v>
      </c>
      <c r="D45" s="253">
        <f t="shared" si="3"/>
        <v>40796</v>
      </c>
      <c r="E45" s="255"/>
      <c r="F45" s="253">
        <f t="shared" si="5"/>
        <v>12</v>
      </c>
      <c r="G45" s="284">
        <f>-((F45-$F$6)/($F$5-$F$6)*200-100)/100</f>
        <v>0.79629629629629628</v>
      </c>
    </row>
    <row r="46" spans="1:7" x14ac:dyDescent="0.2">
      <c r="A46" s="285"/>
      <c r="B46" s="286"/>
      <c r="C46" s="286"/>
      <c r="D46" s="286"/>
      <c r="E46" s="255"/>
      <c r="F46" s="286"/>
      <c r="G46" s="287"/>
    </row>
    <row r="47" spans="1:7" x14ac:dyDescent="0.2">
      <c r="A47" s="288" t="s">
        <v>115</v>
      </c>
      <c r="B47" s="286"/>
      <c r="C47" s="286"/>
      <c r="D47" s="286"/>
      <c r="E47" s="255"/>
      <c r="F47" s="286"/>
      <c r="G47" s="287"/>
    </row>
    <row r="48" spans="1:7" x14ac:dyDescent="0.2">
      <c r="A48" s="262" t="s">
        <v>42</v>
      </c>
      <c r="B48" s="253">
        <v>0</v>
      </c>
      <c r="C48" s="253">
        <v>464</v>
      </c>
      <c r="D48" s="253">
        <f t="shared" ref="D48:D59" si="6">B48+C48</f>
        <v>464</v>
      </c>
      <c r="E48" s="255"/>
      <c r="F48" s="253">
        <f>RANK(C48,$C$9:$C$133)</f>
        <v>109</v>
      </c>
      <c r="G48" s="284">
        <f t="shared" ref="G48:G58" si="7">-((F48-$F$6)/($F$5-$F$6)*200-100)/100</f>
        <v>-1</v>
      </c>
    </row>
    <row r="49" spans="1:7" x14ac:dyDescent="0.2">
      <c r="A49" s="262" t="s">
        <v>43</v>
      </c>
      <c r="B49" s="253">
        <v>0</v>
      </c>
      <c r="C49" s="253">
        <v>6812</v>
      </c>
      <c r="D49" s="253">
        <f t="shared" si="6"/>
        <v>6812</v>
      </c>
      <c r="E49" s="255"/>
      <c r="F49" s="253">
        <f t="shared" ref="F49:F59" si="8">RANK(C49,$C$9:$C$133)</f>
        <v>60</v>
      </c>
      <c r="G49" s="284">
        <f t="shared" si="7"/>
        <v>-9.2592592592592518E-2</v>
      </c>
    </row>
    <row r="50" spans="1:7" x14ac:dyDescent="0.2">
      <c r="A50" s="262" t="s">
        <v>44</v>
      </c>
      <c r="B50" s="253">
        <v>0</v>
      </c>
      <c r="C50" s="253">
        <v>2376</v>
      </c>
      <c r="D50" s="253">
        <f t="shared" si="6"/>
        <v>2376</v>
      </c>
      <c r="E50" s="255"/>
      <c r="F50" s="253">
        <f t="shared" si="8"/>
        <v>85</v>
      </c>
      <c r="G50" s="284">
        <f t="shared" si="7"/>
        <v>-0.55555555555555569</v>
      </c>
    </row>
    <row r="51" spans="1:7" x14ac:dyDescent="0.2">
      <c r="A51" s="262" t="s">
        <v>45</v>
      </c>
      <c r="B51" s="253">
        <v>1549</v>
      </c>
      <c r="C51" s="253">
        <v>5002</v>
      </c>
      <c r="D51" s="253">
        <f t="shared" si="6"/>
        <v>6551</v>
      </c>
      <c r="E51" s="255"/>
      <c r="F51" s="253">
        <f t="shared" si="8"/>
        <v>68</v>
      </c>
      <c r="G51" s="284">
        <f t="shared" si="7"/>
        <v>-0.24074074074074076</v>
      </c>
    </row>
    <row r="52" spans="1:7" x14ac:dyDescent="0.2">
      <c r="A52" s="262" t="s">
        <v>46</v>
      </c>
      <c r="B52" s="253">
        <v>0</v>
      </c>
      <c r="C52" s="253">
        <v>5912</v>
      </c>
      <c r="D52" s="253">
        <f t="shared" si="6"/>
        <v>5912</v>
      </c>
      <c r="E52" s="255"/>
      <c r="F52" s="253">
        <f t="shared" si="8"/>
        <v>64</v>
      </c>
      <c r="G52" s="284">
        <f t="shared" si="7"/>
        <v>-0.16666666666666671</v>
      </c>
    </row>
    <row r="53" spans="1:7" x14ac:dyDescent="0.2">
      <c r="A53" s="262" t="s">
        <v>47</v>
      </c>
      <c r="B53" s="253">
        <v>0</v>
      </c>
      <c r="C53" s="253">
        <v>22450</v>
      </c>
      <c r="D53" s="253">
        <f t="shared" si="6"/>
        <v>22450</v>
      </c>
      <c r="E53" s="255"/>
      <c r="F53" s="253">
        <f t="shared" si="8"/>
        <v>30</v>
      </c>
      <c r="G53" s="284">
        <f t="shared" si="7"/>
        <v>0.46296296296296291</v>
      </c>
    </row>
    <row r="54" spans="1:7" x14ac:dyDescent="0.2">
      <c r="A54" s="262" t="s">
        <v>48</v>
      </c>
      <c r="B54" s="253">
        <v>0</v>
      </c>
      <c r="C54" s="253">
        <v>507</v>
      </c>
      <c r="D54" s="253">
        <f t="shared" si="6"/>
        <v>507</v>
      </c>
      <c r="E54" s="255"/>
      <c r="F54" s="253">
        <f t="shared" si="8"/>
        <v>108</v>
      </c>
      <c r="G54" s="284">
        <f t="shared" si="7"/>
        <v>-0.98148148148148151</v>
      </c>
    </row>
    <row r="55" spans="1:7" x14ac:dyDescent="0.2">
      <c r="A55" s="262" t="s">
        <v>49</v>
      </c>
      <c r="B55" s="253">
        <v>0</v>
      </c>
      <c r="C55" s="253">
        <v>3901</v>
      </c>
      <c r="D55" s="253">
        <f t="shared" si="6"/>
        <v>3901</v>
      </c>
      <c r="E55" s="255"/>
      <c r="F55" s="253">
        <f t="shared" si="8"/>
        <v>76</v>
      </c>
      <c r="G55" s="284">
        <f t="shared" si="7"/>
        <v>-0.38888888888888884</v>
      </c>
    </row>
    <row r="56" spans="1:7" x14ac:dyDescent="0.2">
      <c r="A56" s="262" t="s">
        <v>50</v>
      </c>
      <c r="B56" s="253">
        <v>14695</v>
      </c>
      <c r="C56" s="253">
        <v>26291</v>
      </c>
      <c r="D56" s="253">
        <f t="shared" si="6"/>
        <v>40986</v>
      </c>
      <c r="E56" s="255"/>
      <c r="F56" s="253">
        <f t="shared" si="8"/>
        <v>26</v>
      </c>
      <c r="G56" s="284">
        <f t="shared" si="7"/>
        <v>0.53703703703703698</v>
      </c>
    </row>
    <row r="57" spans="1:7" x14ac:dyDescent="0.2">
      <c r="A57" s="262" t="s">
        <v>169</v>
      </c>
      <c r="B57" s="253">
        <v>0</v>
      </c>
      <c r="C57" s="253">
        <v>7392</v>
      </c>
      <c r="D57" s="253">
        <f t="shared" si="6"/>
        <v>7392</v>
      </c>
      <c r="E57" s="255"/>
      <c r="F57" s="253">
        <f t="shared" si="8"/>
        <v>58</v>
      </c>
      <c r="G57" s="284">
        <f t="shared" si="7"/>
        <v>-5.5555555555555573E-2</v>
      </c>
    </row>
    <row r="58" spans="1:7" x14ac:dyDescent="0.2">
      <c r="A58" s="262" t="s">
        <v>51</v>
      </c>
      <c r="B58" s="253">
        <v>54</v>
      </c>
      <c r="C58" s="253">
        <v>2702</v>
      </c>
      <c r="D58" s="253">
        <f t="shared" si="6"/>
        <v>2756</v>
      </c>
      <c r="E58" s="255"/>
      <c r="F58" s="253">
        <f t="shared" si="8"/>
        <v>81</v>
      </c>
      <c r="G58" s="284">
        <f t="shared" si="7"/>
        <v>-0.48148148148148151</v>
      </c>
    </row>
    <row r="59" spans="1:7" x14ac:dyDescent="0.2">
      <c r="A59" s="262" t="s">
        <v>107</v>
      </c>
      <c r="B59" s="253">
        <v>4061</v>
      </c>
      <c r="C59" s="253">
        <v>10691</v>
      </c>
      <c r="D59" s="253">
        <f t="shared" si="6"/>
        <v>14752</v>
      </c>
      <c r="E59" s="255"/>
      <c r="F59" s="253">
        <f t="shared" si="8"/>
        <v>53</v>
      </c>
      <c r="G59" s="284">
        <f>-((F59-$F$6)/($F$5-$F$6)*200-100)/100</f>
        <v>3.7037037037037097E-2</v>
      </c>
    </row>
    <row r="60" spans="1:7" x14ac:dyDescent="0.2">
      <c r="A60" s="285"/>
      <c r="B60" s="286"/>
      <c r="C60" s="286"/>
      <c r="D60" s="286"/>
      <c r="E60" s="255"/>
      <c r="F60" s="286"/>
      <c r="G60" s="287"/>
    </row>
    <row r="61" spans="1:7" x14ac:dyDescent="0.2">
      <c r="A61" s="288" t="s">
        <v>119</v>
      </c>
      <c r="B61" s="286"/>
      <c r="C61" s="286"/>
      <c r="D61" s="286"/>
      <c r="E61" s="255"/>
      <c r="F61" s="286"/>
      <c r="G61" s="287"/>
    </row>
    <row r="62" spans="1:7" x14ac:dyDescent="0.2">
      <c r="A62" s="262" t="s">
        <v>52</v>
      </c>
      <c r="B62" s="253">
        <v>1037</v>
      </c>
      <c r="C62" s="253">
        <v>1443</v>
      </c>
      <c r="D62" s="253">
        <f t="shared" ref="D62:D67" si="9">B62+C62</f>
        <v>2480</v>
      </c>
      <c r="E62" s="255"/>
      <c r="F62" s="253">
        <f t="shared" ref="F62:F67" si="10">RANK(C62,$C$9:$C$133)</f>
        <v>102</v>
      </c>
      <c r="G62" s="284">
        <f t="shared" ref="G62:G67" si="11">-((F62-$F$6)/($F$5-$F$6)*200-100)/100</f>
        <v>-0.87037037037037035</v>
      </c>
    </row>
    <row r="63" spans="1:7" x14ac:dyDescent="0.2">
      <c r="A63" s="262" t="s">
        <v>53</v>
      </c>
      <c r="B63" s="253">
        <v>0</v>
      </c>
      <c r="C63" s="253">
        <v>2299</v>
      </c>
      <c r="D63" s="253">
        <f t="shared" si="9"/>
        <v>2299</v>
      </c>
      <c r="E63" s="263"/>
      <c r="F63" s="253">
        <f t="shared" si="10"/>
        <v>86</v>
      </c>
      <c r="G63" s="284">
        <f t="shared" si="11"/>
        <v>-0.57407407407407418</v>
      </c>
    </row>
    <row r="64" spans="1:7" x14ac:dyDescent="0.2">
      <c r="A64" s="262" t="s">
        <v>4</v>
      </c>
      <c r="B64" s="253">
        <v>0</v>
      </c>
      <c r="C64" s="253">
        <v>28741</v>
      </c>
      <c r="D64" s="253">
        <f t="shared" si="9"/>
        <v>28741</v>
      </c>
      <c r="E64" s="255"/>
      <c r="F64" s="253">
        <f t="shared" si="10"/>
        <v>21</v>
      </c>
      <c r="G64" s="284">
        <f t="shared" si="11"/>
        <v>0.62962962962962965</v>
      </c>
    </row>
    <row r="65" spans="1:7" x14ac:dyDescent="0.2">
      <c r="A65" s="262" t="s">
        <v>54</v>
      </c>
      <c r="B65" s="253">
        <v>0</v>
      </c>
      <c r="C65" s="253">
        <v>4393</v>
      </c>
      <c r="D65" s="253">
        <f t="shared" si="9"/>
        <v>4393</v>
      </c>
      <c r="E65" s="255"/>
      <c r="F65" s="253">
        <f t="shared" si="10"/>
        <v>73</v>
      </c>
      <c r="G65" s="284">
        <f t="shared" si="11"/>
        <v>-0.33333333333333315</v>
      </c>
    </row>
    <row r="66" spans="1:7" x14ac:dyDescent="0.2">
      <c r="A66" s="262" t="s">
        <v>55</v>
      </c>
      <c r="B66" s="253">
        <v>0</v>
      </c>
      <c r="C66" s="253">
        <v>1445</v>
      </c>
      <c r="D66" s="253">
        <f t="shared" si="9"/>
        <v>1445</v>
      </c>
      <c r="E66" s="255"/>
      <c r="F66" s="253">
        <f t="shared" si="10"/>
        <v>101</v>
      </c>
      <c r="G66" s="284">
        <f t="shared" si="11"/>
        <v>-0.85185185185185186</v>
      </c>
    </row>
    <row r="67" spans="1:7" x14ac:dyDescent="0.2">
      <c r="A67" s="262" t="s">
        <v>108</v>
      </c>
      <c r="B67" s="253">
        <v>0</v>
      </c>
      <c r="C67" s="253">
        <v>22391</v>
      </c>
      <c r="D67" s="253">
        <f t="shared" si="9"/>
        <v>22391</v>
      </c>
      <c r="E67" s="255"/>
      <c r="F67" s="253">
        <f t="shared" si="10"/>
        <v>31</v>
      </c>
      <c r="G67" s="284">
        <f t="shared" si="11"/>
        <v>0.44444444444444442</v>
      </c>
    </row>
    <row r="68" spans="1:7" x14ac:dyDescent="0.2">
      <c r="A68" s="285"/>
      <c r="B68" s="286"/>
      <c r="C68" s="286"/>
      <c r="D68" s="286"/>
      <c r="E68" s="255"/>
      <c r="F68" s="286"/>
      <c r="G68" s="287"/>
    </row>
    <row r="69" spans="1:7" x14ac:dyDescent="0.2">
      <c r="A69" s="288" t="s">
        <v>120</v>
      </c>
      <c r="B69" s="286"/>
      <c r="C69" s="286"/>
      <c r="D69" s="286"/>
      <c r="E69" s="255"/>
      <c r="F69" s="286"/>
      <c r="G69" s="287"/>
    </row>
    <row r="70" spans="1:7" x14ac:dyDescent="0.2">
      <c r="A70" s="262" t="s">
        <v>5</v>
      </c>
      <c r="B70" s="253">
        <v>462444</v>
      </c>
      <c r="C70" s="253">
        <v>87942</v>
      </c>
      <c r="D70" s="253">
        <f>B70+C70</f>
        <v>550386</v>
      </c>
      <c r="E70" s="255"/>
      <c r="F70" s="253">
        <f>RANK(C70,$C$9:$C$133)</f>
        <v>2</v>
      </c>
      <c r="G70" s="284">
        <f>-((F70-$F$6)/($F$5-$F$6)*200-100)/100</f>
        <v>0.98148148148148151</v>
      </c>
    </row>
    <row r="71" spans="1:7" x14ac:dyDescent="0.2">
      <c r="A71" s="285"/>
      <c r="B71" s="286"/>
      <c r="C71" s="286"/>
      <c r="D71" s="286"/>
      <c r="E71" s="255"/>
      <c r="F71" s="286"/>
      <c r="G71" s="287"/>
    </row>
    <row r="72" spans="1:7" x14ac:dyDescent="0.2">
      <c r="A72" s="288" t="s">
        <v>114</v>
      </c>
      <c r="B72" s="286"/>
      <c r="C72" s="286"/>
      <c r="D72" s="286"/>
      <c r="E72" s="255"/>
      <c r="F72" s="286"/>
      <c r="G72" s="287"/>
    </row>
    <row r="73" spans="1:7" x14ac:dyDescent="0.2">
      <c r="A73" s="262" t="s">
        <v>56</v>
      </c>
      <c r="B73" s="253">
        <v>0</v>
      </c>
      <c r="C73" s="253">
        <v>2282</v>
      </c>
      <c r="D73" s="253">
        <f t="shared" ref="D73:D93" si="12">B73+C73</f>
        <v>2282</v>
      </c>
      <c r="E73" s="255"/>
      <c r="F73" s="253">
        <f>RANK(C73,$C$9:$C$133)</f>
        <v>87</v>
      </c>
      <c r="G73" s="284">
        <f t="shared" ref="G73:G92" si="13">-((F73-$F$6)/($F$5-$F$6)*200-100)/100</f>
        <v>-0.59259259259259267</v>
      </c>
    </row>
    <row r="74" spans="1:7" x14ac:dyDescent="0.2">
      <c r="A74" s="262" t="s">
        <v>57</v>
      </c>
      <c r="B74" s="253">
        <v>4057</v>
      </c>
      <c r="C74" s="253">
        <v>3345</v>
      </c>
      <c r="D74" s="253">
        <f t="shared" si="12"/>
        <v>7402</v>
      </c>
      <c r="E74" s="255"/>
      <c r="F74" s="253">
        <f t="shared" ref="F74:F93" si="14">RANK(C74,$C$9:$C$133)</f>
        <v>78</v>
      </c>
      <c r="G74" s="284">
        <f t="shared" si="13"/>
        <v>-0.42592592592592582</v>
      </c>
    </row>
    <row r="75" spans="1:7" x14ac:dyDescent="0.2">
      <c r="A75" s="262" t="s">
        <v>58</v>
      </c>
      <c r="B75" s="253">
        <v>442</v>
      </c>
      <c r="C75" s="253">
        <v>5827</v>
      </c>
      <c r="D75" s="253">
        <f t="shared" si="12"/>
        <v>6269</v>
      </c>
      <c r="E75" s="255"/>
      <c r="F75" s="253">
        <f t="shared" si="14"/>
        <v>66</v>
      </c>
      <c r="G75" s="284">
        <f t="shared" si="13"/>
        <v>-0.20370370370370366</v>
      </c>
    </row>
    <row r="76" spans="1:7" x14ac:dyDescent="0.2">
      <c r="A76" s="262" t="s">
        <v>59</v>
      </c>
      <c r="B76" s="253">
        <v>10522</v>
      </c>
      <c r="C76" s="253">
        <v>15354</v>
      </c>
      <c r="D76" s="253">
        <f t="shared" si="12"/>
        <v>25876</v>
      </c>
      <c r="E76" s="255"/>
      <c r="F76" s="253">
        <f t="shared" si="14"/>
        <v>40</v>
      </c>
      <c r="G76" s="284">
        <f t="shared" si="13"/>
        <v>0.27777777777777785</v>
      </c>
    </row>
    <row r="77" spans="1:7" x14ac:dyDescent="0.2">
      <c r="A77" s="262" t="s">
        <v>60</v>
      </c>
      <c r="B77" s="253">
        <v>1961</v>
      </c>
      <c r="C77" s="253">
        <v>574</v>
      </c>
      <c r="D77" s="253">
        <f t="shared" si="12"/>
        <v>2535</v>
      </c>
      <c r="E77" s="255"/>
      <c r="F77" s="253">
        <f t="shared" si="14"/>
        <v>106</v>
      </c>
      <c r="G77" s="284">
        <f t="shared" si="13"/>
        <v>-0.94444444444444431</v>
      </c>
    </row>
    <row r="78" spans="1:7" x14ac:dyDescent="0.2">
      <c r="A78" s="262" t="s">
        <v>61</v>
      </c>
      <c r="B78" s="253">
        <v>6201</v>
      </c>
      <c r="C78" s="253">
        <v>13166</v>
      </c>
      <c r="D78" s="253">
        <f t="shared" si="12"/>
        <v>19367</v>
      </c>
      <c r="E78" s="255"/>
      <c r="F78" s="253">
        <f>RANK(C78,$C$9:$C$133)</f>
        <v>46</v>
      </c>
      <c r="G78" s="284">
        <f t="shared" si="13"/>
        <v>0.16666666666666657</v>
      </c>
    </row>
    <row r="79" spans="1:7" x14ac:dyDescent="0.2">
      <c r="A79" s="262" t="s">
        <v>62</v>
      </c>
      <c r="B79" s="253">
        <v>1077</v>
      </c>
      <c r="C79" s="253">
        <v>1590</v>
      </c>
      <c r="D79" s="253">
        <f t="shared" si="12"/>
        <v>2667</v>
      </c>
      <c r="E79" s="255"/>
      <c r="F79" s="253">
        <f t="shared" si="14"/>
        <v>99</v>
      </c>
      <c r="G79" s="284">
        <f t="shared" si="13"/>
        <v>-0.81481481481481499</v>
      </c>
    </row>
    <row r="80" spans="1:7" x14ac:dyDescent="0.2">
      <c r="A80" s="262" t="s">
        <v>63</v>
      </c>
      <c r="B80" s="253">
        <v>0</v>
      </c>
      <c r="C80" s="253">
        <v>13385</v>
      </c>
      <c r="D80" s="253">
        <f t="shared" si="12"/>
        <v>13385</v>
      </c>
      <c r="E80" s="255"/>
      <c r="F80" s="253">
        <f t="shared" si="14"/>
        <v>45</v>
      </c>
      <c r="G80" s="284">
        <f t="shared" si="13"/>
        <v>0.1851851851851852</v>
      </c>
    </row>
    <row r="81" spans="1:7" x14ac:dyDescent="0.2">
      <c r="A81" s="262" t="s">
        <v>64</v>
      </c>
      <c r="B81" s="253">
        <v>0</v>
      </c>
      <c r="C81" s="253">
        <v>4944</v>
      </c>
      <c r="D81" s="253">
        <f t="shared" si="12"/>
        <v>4944</v>
      </c>
      <c r="E81" s="255"/>
      <c r="F81" s="253">
        <f t="shared" si="14"/>
        <v>69</v>
      </c>
      <c r="G81" s="284">
        <f t="shared" si="13"/>
        <v>-0.25925925925925924</v>
      </c>
    </row>
    <row r="82" spans="1:7" x14ac:dyDescent="0.2">
      <c r="A82" s="262" t="s">
        <v>65</v>
      </c>
      <c r="B82" s="253">
        <v>0</v>
      </c>
      <c r="C82" s="253">
        <v>2109</v>
      </c>
      <c r="D82" s="253">
        <f t="shared" si="12"/>
        <v>2109</v>
      </c>
      <c r="E82" s="255"/>
      <c r="F82" s="253">
        <f t="shared" si="14"/>
        <v>91</v>
      </c>
      <c r="G82" s="284">
        <f t="shared" si="13"/>
        <v>-0.66666666666666685</v>
      </c>
    </row>
    <row r="83" spans="1:7" x14ac:dyDescent="0.2">
      <c r="A83" s="262" t="s">
        <v>66</v>
      </c>
      <c r="B83" s="253">
        <v>9617</v>
      </c>
      <c r="C83" s="253">
        <v>31703</v>
      </c>
      <c r="D83" s="253">
        <f t="shared" si="12"/>
        <v>41320</v>
      </c>
      <c r="E83" s="255"/>
      <c r="F83" s="253">
        <f t="shared" si="14"/>
        <v>15</v>
      </c>
      <c r="G83" s="284">
        <f t="shared" si="13"/>
        <v>0.74074074074074081</v>
      </c>
    </row>
    <row r="84" spans="1:7" x14ac:dyDescent="0.2">
      <c r="A84" s="262" t="s">
        <v>67</v>
      </c>
      <c r="B84" s="253">
        <v>5205</v>
      </c>
      <c r="C84" s="253">
        <v>1702</v>
      </c>
      <c r="D84" s="253">
        <f t="shared" si="12"/>
        <v>6907</v>
      </c>
      <c r="E84" s="255"/>
      <c r="F84" s="253">
        <f t="shared" si="14"/>
        <v>98</v>
      </c>
      <c r="G84" s="284">
        <f t="shared" si="13"/>
        <v>-0.79629629629629617</v>
      </c>
    </row>
    <row r="85" spans="1:7" x14ac:dyDescent="0.2">
      <c r="A85" s="262" t="s">
        <v>68</v>
      </c>
      <c r="B85" s="253">
        <v>0</v>
      </c>
      <c r="C85" s="253">
        <v>5691</v>
      </c>
      <c r="D85" s="253">
        <f t="shared" si="12"/>
        <v>5691</v>
      </c>
      <c r="E85" s="255"/>
      <c r="F85" s="253">
        <f t="shared" si="14"/>
        <v>67</v>
      </c>
      <c r="G85" s="284">
        <f t="shared" si="13"/>
        <v>-0.22222222222222229</v>
      </c>
    </row>
    <row r="86" spans="1:7" x14ac:dyDescent="0.2">
      <c r="A86" s="262" t="s">
        <v>69</v>
      </c>
      <c r="B86" s="253">
        <v>0</v>
      </c>
      <c r="C86" s="253">
        <v>1783</v>
      </c>
      <c r="D86" s="253">
        <f t="shared" si="12"/>
        <v>1783</v>
      </c>
      <c r="E86" s="255"/>
      <c r="F86" s="253">
        <f t="shared" si="14"/>
        <v>97</v>
      </c>
      <c r="G86" s="284">
        <f t="shared" si="13"/>
        <v>-0.77777777777777768</v>
      </c>
    </row>
    <row r="87" spans="1:7" x14ac:dyDescent="0.2">
      <c r="A87" s="262" t="s">
        <v>70</v>
      </c>
      <c r="B87" s="253">
        <v>25408</v>
      </c>
      <c r="C87" s="253">
        <v>32965</v>
      </c>
      <c r="D87" s="253">
        <f t="shared" si="12"/>
        <v>58373</v>
      </c>
      <c r="E87" s="255"/>
      <c r="F87" s="253">
        <f t="shared" si="14"/>
        <v>14</v>
      </c>
      <c r="G87" s="284">
        <f t="shared" si="13"/>
        <v>0.75925925925925919</v>
      </c>
    </row>
    <row r="88" spans="1:7" x14ac:dyDescent="0.2">
      <c r="A88" s="262" t="s">
        <v>71</v>
      </c>
      <c r="B88" s="253">
        <v>7955</v>
      </c>
      <c r="C88" s="253">
        <v>4154</v>
      </c>
      <c r="D88" s="253">
        <f t="shared" si="12"/>
        <v>12109</v>
      </c>
      <c r="E88" s="255"/>
      <c r="F88" s="253">
        <f t="shared" si="14"/>
        <v>74</v>
      </c>
      <c r="G88" s="284">
        <f t="shared" si="13"/>
        <v>-0.35185185185185192</v>
      </c>
    </row>
    <row r="89" spans="1:7" x14ac:dyDescent="0.2">
      <c r="A89" s="262" t="s">
        <v>72</v>
      </c>
      <c r="B89" s="253">
        <v>9684</v>
      </c>
      <c r="C89" s="253">
        <v>6364</v>
      </c>
      <c r="D89" s="253">
        <f t="shared" si="12"/>
        <v>16048</v>
      </c>
      <c r="E89" s="255"/>
      <c r="F89" s="253">
        <f t="shared" si="14"/>
        <v>61</v>
      </c>
      <c r="G89" s="284">
        <f t="shared" si="13"/>
        <v>-0.11111111111111115</v>
      </c>
    </row>
    <row r="90" spans="1:7" x14ac:dyDescent="0.2">
      <c r="A90" s="262" t="s">
        <v>6</v>
      </c>
      <c r="B90" s="253">
        <v>24045</v>
      </c>
      <c r="C90" s="253">
        <v>26597</v>
      </c>
      <c r="D90" s="253">
        <f t="shared" si="12"/>
        <v>50642</v>
      </c>
      <c r="E90" s="255"/>
      <c r="F90" s="253">
        <f t="shared" si="14"/>
        <v>25</v>
      </c>
      <c r="G90" s="284">
        <f t="shared" si="13"/>
        <v>0.55555555555555558</v>
      </c>
    </row>
    <row r="91" spans="1:7" x14ac:dyDescent="0.2">
      <c r="A91" s="262" t="s">
        <v>73</v>
      </c>
      <c r="B91" s="253">
        <v>8805</v>
      </c>
      <c r="C91" s="253">
        <v>29682</v>
      </c>
      <c r="D91" s="253">
        <f t="shared" si="12"/>
        <v>38487</v>
      </c>
      <c r="E91" s="255"/>
      <c r="F91" s="253">
        <f t="shared" si="14"/>
        <v>19</v>
      </c>
      <c r="G91" s="284">
        <f t="shared" si="13"/>
        <v>0.66666666666666674</v>
      </c>
    </row>
    <row r="92" spans="1:7" x14ac:dyDescent="0.2">
      <c r="A92" s="262" t="s">
        <v>74</v>
      </c>
      <c r="B92" s="253">
        <v>0</v>
      </c>
      <c r="C92" s="253">
        <v>2626</v>
      </c>
      <c r="D92" s="253">
        <f t="shared" si="12"/>
        <v>2626</v>
      </c>
      <c r="E92" s="255"/>
      <c r="F92" s="253">
        <f t="shared" si="14"/>
        <v>82</v>
      </c>
      <c r="G92" s="284">
        <f t="shared" si="13"/>
        <v>-0.5</v>
      </c>
    </row>
    <row r="93" spans="1:7" x14ac:dyDescent="0.2">
      <c r="A93" s="262" t="s">
        <v>109</v>
      </c>
      <c r="B93" s="253">
        <v>0</v>
      </c>
      <c r="C93" s="253">
        <v>11113</v>
      </c>
      <c r="D93" s="253">
        <f t="shared" si="12"/>
        <v>11113</v>
      </c>
      <c r="E93" s="255"/>
      <c r="F93" s="253">
        <f t="shared" si="14"/>
        <v>51</v>
      </c>
      <c r="G93" s="284">
        <f>-((F93-$F$6)/($F$5-$F$6)*200-100)/100</f>
        <v>7.4074074074074042E-2</v>
      </c>
    </row>
    <row r="94" spans="1:7" x14ac:dyDescent="0.2">
      <c r="A94" s="285"/>
      <c r="B94" s="286"/>
      <c r="C94" s="286"/>
      <c r="D94" s="286"/>
      <c r="E94" s="255"/>
      <c r="F94" s="286"/>
      <c r="G94" s="287"/>
    </row>
    <row r="95" spans="1:7" x14ac:dyDescent="0.2">
      <c r="A95" s="288" t="s">
        <v>164</v>
      </c>
      <c r="B95" s="286"/>
      <c r="C95" s="286"/>
      <c r="D95" s="286"/>
      <c r="E95" s="255"/>
      <c r="F95" s="286"/>
      <c r="G95" s="287"/>
    </row>
    <row r="96" spans="1:7" x14ac:dyDescent="0.2">
      <c r="A96" s="262" t="s">
        <v>75</v>
      </c>
      <c r="B96" s="253">
        <v>9935</v>
      </c>
      <c r="C96" s="253">
        <v>14014</v>
      </c>
      <c r="D96" s="253">
        <f t="shared" ref="D96:D111" si="15">B96+C96</f>
        <v>23949</v>
      </c>
      <c r="E96" s="255"/>
      <c r="F96" s="253">
        <f t="shared" ref="F96:F111" si="16">RANK(C96,$C$9:$C$133)</f>
        <v>43</v>
      </c>
      <c r="G96" s="284">
        <f t="shared" ref="G96:G110" si="17">-((F96-$F$6)/($F$5-$F$6)*200-100)/100</f>
        <v>0.22222222222222215</v>
      </c>
    </row>
    <row r="97" spans="1:7" x14ac:dyDescent="0.2">
      <c r="A97" s="262" t="s">
        <v>76</v>
      </c>
      <c r="B97" s="253">
        <v>9976</v>
      </c>
      <c r="C97" s="253">
        <v>11014</v>
      </c>
      <c r="D97" s="253">
        <f t="shared" si="15"/>
        <v>20990</v>
      </c>
      <c r="E97" s="255"/>
      <c r="F97" s="253">
        <f t="shared" si="16"/>
        <v>52</v>
      </c>
      <c r="G97" s="284">
        <f t="shared" si="17"/>
        <v>5.5555555555555573E-2</v>
      </c>
    </row>
    <row r="98" spans="1:7" x14ac:dyDescent="0.2">
      <c r="A98" s="262" t="s">
        <v>77</v>
      </c>
      <c r="B98" s="253">
        <v>4087</v>
      </c>
      <c r="C98" s="253">
        <v>13642</v>
      </c>
      <c r="D98" s="253">
        <f t="shared" si="15"/>
        <v>17729</v>
      </c>
      <c r="E98" s="255"/>
      <c r="F98" s="253">
        <f t="shared" si="16"/>
        <v>44</v>
      </c>
      <c r="G98" s="284">
        <f t="shared" si="17"/>
        <v>0.20370370370370366</v>
      </c>
    </row>
    <row r="99" spans="1:7" x14ac:dyDescent="0.2">
      <c r="A99" s="262" t="s">
        <v>78</v>
      </c>
      <c r="B99" s="253">
        <v>5153</v>
      </c>
      <c r="C99" s="253">
        <v>8141</v>
      </c>
      <c r="D99" s="253">
        <f t="shared" si="15"/>
        <v>13294</v>
      </c>
      <c r="E99" s="255"/>
      <c r="F99" s="253">
        <f t="shared" si="16"/>
        <v>57</v>
      </c>
      <c r="G99" s="284">
        <f t="shared" si="17"/>
        <v>-3.7037037037036952E-2</v>
      </c>
    </row>
    <row r="100" spans="1:7" x14ac:dyDescent="0.2">
      <c r="A100" s="262" t="s">
        <v>79</v>
      </c>
      <c r="B100" s="253">
        <v>0</v>
      </c>
      <c r="C100" s="253">
        <v>2957</v>
      </c>
      <c r="D100" s="253">
        <f t="shared" si="15"/>
        <v>2957</v>
      </c>
      <c r="E100" s="255"/>
      <c r="F100" s="253">
        <f t="shared" si="16"/>
        <v>80</v>
      </c>
      <c r="G100" s="284">
        <f t="shared" si="17"/>
        <v>-0.46296296296296302</v>
      </c>
    </row>
    <row r="101" spans="1:7" x14ac:dyDescent="0.2">
      <c r="A101" s="262" t="s">
        <v>80</v>
      </c>
      <c r="B101" s="253">
        <v>1681</v>
      </c>
      <c r="C101" s="253">
        <v>17218</v>
      </c>
      <c r="D101" s="253">
        <f t="shared" si="15"/>
        <v>18899</v>
      </c>
      <c r="E101" s="255"/>
      <c r="F101" s="253">
        <f t="shared" si="16"/>
        <v>36</v>
      </c>
      <c r="G101" s="284">
        <f t="shared" si="17"/>
        <v>0.35185185185185192</v>
      </c>
    </row>
    <row r="102" spans="1:7" x14ac:dyDescent="0.2">
      <c r="A102" s="262" t="s">
        <v>81</v>
      </c>
      <c r="B102" s="253">
        <v>23435</v>
      </c>
      <c r="C102" s="253">
        <v>15391</v>
      </c>
      <c r="D102" s="253">
        <f t="shared" si="15"/>
        <v>38826</v>
      </c>
      <c r="E102" s="255"/>
      <c r="F102" s="253">
        <f t="shared" si="16"/>
        <v>39</v>
      </c>
      <c r="G102" s="284">
        <f t="shared" si="17"/>
        <v>0.29629629629629634</v>
      </c>
    </row>
    <row r="103" spans="1:7" x14ac:dyDescent="0.2">
      <c r="A103" s="262" t="s">
        <v>82</v>
      </c>
      <c r="B103" s="253">
        <v>0</v>
      </c>
      <c r="C103" s="253">
        <v>525</v>
      </c>
      <c r="D103" s="253">
        <f t="shared" si="15"/>
        <v>525</v>
      </c>
      <c r="E103" s="255"/>
      <c r="F103" s="253">
        <f t="shared" si="16"/>
        <v>107</v>
      </c>
      <c r="G103" s="284">
        <f t="shared" si="17"/>
        <v>-0.96296296296296302</v>
      </c>
    </row>
    <row r="104" spans="1:7" x14ac:dyDescent="0.2">
      <c r="A104" s="262" t="s">
        <v>83</v>
      </c>
      <c r="B104" s="253">
        <v>1383</v>
      </c>
      <c r="C104" s="253">
        <v>14983</v>
      </c>
      <c r="D104" s="253">
        <f t="shared" si="15"/>
        <v>16366</v>
      </c>
      <c r="E104" s="255"/>
      <c r="F104" s="253">
        <f t="shared" si="16"/>
        <v>41</v>
      </c>
      <c r="G104" s="284">
        <f t="shared" si="17"/>
        <v>0.25925925925925924</v>
      </c>
    </row>
    <row r="105" spans="1:7" x14ac:dyDescent="0.2">
      <c r="A105" s="262" t="s">
        <v>84</v>
      </c>
      <c r="B105" s="253">
        <v>24048</v>
      </c>
      <c r="C105" s="253">
        <v>21642</v>
      </c>
      <c r="D105" s="253">
        <f t="shared" si="15"/>
        <v>45690</v>
      </c>
      <c r="E105" s="255"/>
      <c r="F105" s="253">
        <f t="shared" si="16"/>
        <v>32</v>
      </c>
      <c r="G105" s="284">
        <f t="shared" si="17"/>
        <v>0.42592592592592593</v>
      </c>
    </row>
    <row r="106" spans="1:7" x14ac:dyDescent="0.2">
      <c r="A106" s="262" t="s">
        <v>85</v>
      </c>
      <c r="B106" s="253">
        <v>25903</v>
      </c>
      <c r="C106" s="253">
        <v>49478</v>
      </c>
      <c r="D106" s="253">
        <f t="shared" si="15"/>
        <v>75381</v>
      </c>
      <c r="E106" s="255"/>
      <c r="F106" s="253">
        <f t="shared" si="16"/>
        <v>7</v>
      </c>
      <c r="G106" s="284">
        <f t="shared" si="17"/>
        <v>0.88888888888888884</v>
      </c>
    </row>
    <row r="107" spans="1:7" x14ac:dyDescent="0.2">
      <c r="A107" s="262" t="s">
        <v>86</v>
      </c>
      <c r="B107" s="253">
        <v>218010</v>
      </c>
      <c r="C107" s="253">
        <v>145721</v>
      </c>
      <c r="D107" s="253">
        <f t="shared" si="15"/>
        <v>363731</v>
      </c>
      <c r="E107" s="255"/>
      <c r="F107" s="253">
        <f t="shared" si="16"/>
        <v>1</v>
      </c>
      <c r="G107" s="284">
        <f t="shared" si="17"/>
        <v>1</v>
      </c>
    </row>
    <row r="108" spans="1:7" x14ac:dyDescent="0.2">
      <c r="A108" s="262" t="s">
        <v>7</v>
      </c>
      <c r="B108" s="253">
        <v>23993</v>
      </c>
      <c r="C108" s="253">
        <v>72350</v>
      </c>
      <c r="D108" s="253">
        <f t="shared" si="15"/>
        <v>96343</v>
      </c>
      <c r="E108" s="255"/>
      <c r="F108" s="253">
        <f t="shared" si="16"/>
        <v>4</v>
      </c>
      <c r="G108" s="284">
        <f t="shared" si="17"/>
        <v>0.94444444444444442</v>
      </c>
    </row>
    <row r="109" spans="1:7" x14ac:dyDescent="0.2">
      <c r="A109" s="262" t="s">
        <v>87</v>
      </c>
      <c r="B109" s="253">
        <v>917</v>
      </c>
      <c r="C109" s="253">
        <v>8933</v>
      </c>
      <c r="D109" s="253">
        <f t="shared" si="15"/>
        <v>9850</v>
      </c>
      <c r="E109" s="255"/>
      <c r="F109" s="253">
        <f t="shared" si="16"/>
        <v>55</v>
      </c>
      <c r="G109" s="284">
        <f t="shared" si="17"/>
        <v>0</v>
      </c>
    </row>
    <row r="110" spans="1:7" x14ac:dyDescent="0.2">
      <c r="A110" s="262" t="s">
        <v>88</v>
      </c>
      <c r="B110" s="253">
        <v>38641</v>
      </c>
      <c r="C110" s="253">
        <v>25214</v>
      </c>
      <c r="D110" s="253">
        <f t="shared" si="15"/>
        <v>63855</v>
      </c>
      <c r="E110" s="255"/>
      <c r="F110" s="253">
        <f t="shared" si="16"/>
        <v>27</v>
      </c>
      <c r="G110" s="284">
        <f t="shared" si="17"/>
        <v>0.5185185185185186</v>
      </c>
    </row>
    <row r="111" spans="1:7" x14ac:dyDescent="0.2">
      <c r="A111" s="262" t="s">
        <v>110</v>
      </c>
      <c r="B111" s="253">
        <v>151</v>
      </c>
      <c r="C111" s="253">
        <v>3359</v>
      </c>
      <c r="D111" s="253">
        <f t="shared" si="15"/>
        <v>3510</v>
      </c>
      <c r="E111" s="255"/>
      <c r="F111" s="253">
        <f t="shared" si="16"/>
        <v>77</v>
      </c>
      <c r="G111" s="284">
        <f>-((F111-$F$6)/($F$5-$F$6)*200-100)/100</f>
        <v>-0.40740740740740733</v>
      </c>
    </row>
    <row r="112" spans="1:7" x14ac:dyDescent="0.2">
      <c r="A112" s="285"/>
      <c r="B112" s="286"/>
      <c r="C112" s="286"/>
      <c r="D112" s="286"/>
      <c r="E112" s="255"/>
      <c r="F112" s="286"/>
      <c r="G112" s="287"/>
    </row>
    <row r="113" spans="1:7" x14ac:dyDescent="0.2">
      <c r="A113" s="288" t="s">
        <v>121</v>
      </c>
      <c r="B113" s="286"/>
      <c r="C113" s="286"/>
      <c r="D113" s="286"/>
      <c r="E113" s="255"/>
      <c r="F113" s="286"/>
      <c r="G113" s="287"/>
    </row>
    <row r="114" spans="1:7" x14ac:dyDescent="0.2">
      <c r="A114" s="262" t="s">
        <v>89</v>
      </c>
      <c r="B114" s="253">
        <v>4401</v>
      </c>
      <c r="C114" s="253">
        <v>9756</v>
      </c>
      <c r="D114" s="253">
        <f t="shared" ref="D114:D121" si="18">B114+C114</f>
        <v>14157</v>
      </c>
      <c r="E114" s="255"/>
      <c r="F114" s="253">
        <f t="shared" ref="F114:F121" si="19">RANK(C114,$C$9:$C$133)</f>
        <v>54</v>
      </c>
      <c r="G114" s="284">
        <f t="shared" ref="G114:G120" si="20">-((F114-$F$6)/($F$5-$F$6)*200-100)/100</f>
        <v>1.8518518518518476E-2</v>
      </c>
    </row>
    <row r="115" spans="1:7" x14ac:dyDescent="0.2">
      <c r="A115" s="262" t="s">
        <v>90</v>
      </c>
      <c r="B115" s="253">
        <v>0</v>
      </c>
      <c r="C115" s="253">
        <v>4491</v>
      </c>
      <c r="D115" s="253">
        <f t="shared" si="18"/>
        <v>4491</v>
      </c>
      <c r="E115" s="255"/>
      <c r="F115" s="253">
        <f t="shared" si="19"/>
        <v>71</v>
      </c>
      <c r="G115" s="284">
        <f t="shared" si="20"/>
        <v>-0.29629629629629617</v>
      </c>
    </row>
    <row r="116" spans="1:7" x14ac:dyDescent="0.2">
      <c r="A116" s="262" t="s">
        <v>91</v>
      </c>
      <c r="B116" s="253">
        <v>7479</v>
      </c>
      <c r="C116" s="253">
        <v>75366</v>
      </c>
      <c r="D116" s="253">
        <f t="shared" si="18"/>
        <v>82845</v>
      </c>
      <c r="E116" s="255"/>
      <c r="F116" s="253">
        <f t="shared" si="19"/>
        <v>3</v>
      </c>
      <c r="G116" s="284">
        <f t="shared" si="20"/>
        <v>0.96296296296296291</v>
      </c>
    </row>
    <row r="117" spans="1:7" x14ac:dyDescent="0.2">
      <c r="A117" s="262" t="s">
        <v>92</v>
      </c>
      <c r="B117" s="253">
        <v>0</v>
      </c>
      <c r="C117" s="253">
        <v>2009</v>
      </c>
      <c r="D117" s="253">
        <f t="shared" si="18"/>
        <v>2009</v>
      </c>
      <c r="E117" s="255"/>
      <c r="F117" s="253">
        <f t="shared" si="19"/>
        <v>95</v>
      </c>
      <c r="G117" s="284">
        <f t="shared" si="20"/>
        <v>-0.74074074074074081</v>
      </c>
    </row>
    <row r="118" spans="1:7" x14ac:dyDescent="0.2">
      <c r="A118" s="262" t="s">
        <v>93</v>
      </c>
      <c r="B118" s="253">
        <v>1670</v>
      </c>
      <c r="C118" s="253">
        <v>1837</v>
      </c>
      <c r="D118" s="253">
        <f t="shared" si="18"/>
        <v>3507</v>
      </c>
      <c r="E118" s="255"/>
      <c r="F118" s="253">
        <f t="shared" si="19"/>
        <v>96</v>
      </c>
      <c r="G118" s="284">
        <f t="shared" si="20"/>
        <v>-0.75925925925925919</v>
      </c>
    </row>
    <row r="119" spans="1:7" x14ac:dyDescent="0.2">
      <c r="A119" s="262" t="s">
        <v>94</v>
      </c>
      <c r="B119" s="253">
        <v>3898</v>
      </c>
      <c r="C119" s="253">
        <v>28388</v>
      </c>
      <c r="D119" s="253">
        <f t="shared" si="18"/>
        <v>32286</v>
      </c>
      <c r="E119" s="255"/>
      <c r="F119" s="253">
        <f t="shared" si="19"/>
        <v>22</v>
      </c>
      <c r="G119" s="284">
        <f t="shared" si="20"/>
        <v>0.61111111111111105</v>
      </c>
    </row>
    <row r="120" spans="1:7" x14ac:dyDescent="0.2">
      <c r="A120" s="262" t="s">
        <v>95</v>
      </c>
      <c r="B120" s="253">
        <v>4663</v>
      </c>
      <c r="C120" s="253">
        <v>30129</v>
      </c>
      <c r="D120" s="253">
        <f t="shared" si="18"/>
        <v>34792</v>
      </c>
      <c r="E120" s="255"/>
      <c r="F120" s="253">
        <f t="shared" si="19"/>
        <v>18</v>
      </c>
      <c r="G120" s="284">
        <f t="shared" si="20"/>
        <v>0.68518518518518523</v>
      </c>
    </row>
    <row r="121" spans="1:7" x14ac:dyDescent="0.2">
      <c r="A121" s="262" t="s">
        <v>111</v>
      </c>
      <c r="B121" s="253">
        <v>0</v>
      </c>
      <c r="C121" s="253">
        <v>5838</v>
      </c>
      <c r="D121" s="253">
        <f t="shared" si="18"/>
        <v>5838</v>
      </c>
      <c r="E121" s="255"/>
      <c r="F121" s="253">
        <f t="shared" si="19"/>
        <v>65</v>
      </c>
      <c r="G121" s="284">
        <f>-((F121-$F$6)/($F$5-$F$6)*200-100)/100</f>
        <v>-0.18518518518518504</v>
      </c>
    </row>
    <row r="122" spans="1:7" x14ac:dyDescent="0.2">
      <c r="A122" s="285"/>
      <c r="B122" s="286"/>
      <c r="C122" s="286"/>
      <c r="D122" s="286"/>
      <c r="E122" s="255"/>
      <c r="F122" s="286"/>
      <c r="G122" s="287"/>
    </row>
    <row r="123" spans="1:7" x14ac:dyDescent="0.2">
      <c r="A123" s="288" t="s">
        <v>117</v>
      </c>
      <c r="B123" s="286"/>
      <c r="C123" s="286"/>
      <c r="D123" s="286"/>
      <c r="E123" s="255"/>
      <c r="F123" s="286"/>
      <c r="G123" s="287"/>
    </row>
    <row r="124" spans="1:7" x14ac:dyDescent="0.2">
      <c r="A124" s="262" t="s">
        <v>96</v>
      </c>
      <c r="B124" s="253">
        <v>981</v>
      </c>
      <c r="C124" s="253">
        <v>862</v>
      </c>
      <c r="D124" s="253">
        <f t="shared" ref="D124:D133" si="21">B124+C124</f>
        <v>1843</v>
      </c>
      <c r="E124" s="255"/>
      <c r="F124" s="253">
        <f t="shared" ref="F124:F133" si="22">RANK(C124,$C$9:$C$133)</f>
        <v>105</v>
      </c>
      <c r="G124" s="284">
        <f t="shared" ref="G124:G132" si="23">-((F124-$F$6)/($F$5-$F$6)*200-100)/100</f>
        <v>-0.92592592592592582</v>
      </c>
    </row>
    <row r="125" spans="1:7" x14ac:dyDescent="0.2">
      <c r="A125" s="262" t="s">
        <v>97</v>
      </c>
      <c r="B125" s="253">
        <v>563</v>
      </c>
      <c r="C125" s="253">
        <v>2607</v>
      </c>
      <c r="D125" s="253">
        <f t="shared" si="21"/>
        <v>3170</v>
      </c>
      <c r="E125" s="255"/>
      <c r="F125" s="253">
        <f t="shared" si="22"/>
        <v>83</v>
      </c>
      <c r="G125" s="284">
        <f t="shared" si="23"/>
        <v>-0.51851851851851849</v>
      </c>
    </row>
    <row r="126" spans="1:7" x14ac:dyDescent="0.2">
      <c r="A126" s="262" t="s">
        <v>98</v>
      </c>
      <c r="B126" s="253">
        <v>0</v>
      </c>
      <c r="C126" s="253">
        <v>6326</v>
      </c>
      <c r="D126" s="253">
        <f t="shared" si="21"/>
        <v>6326</v>
      </c>
      <c r="E126" s="255"/>
      <c r="F126" s="253">
        <f t="shared" si="22"/>
        <v>62</v>
      </c>
      <c r="G126" s="284">
        <f t="shared" si="23"/>
        <v>-0.12962962962962948</v>
      </c>
    </row>
    <row r="127" spans="1:7" x14ac:dyDescent="0.2">
      <c r="A127" s="262" t="s">
        <v>99</v>
      </c>
      <c r="B127" s="253">
        <v>2707</v>
      </c>
      <c r="C127" s="253">
        <v>25170</v>
      </c>
      <c r="D127" s="253">
        <f t="shared" si="21"/>
        <v>27877</v>
      </c>
      <c r="E127" s="255"/>
      <c r="F127" s="253">
        <f t="shared" si="22"/>
        <v>28</v>
      </c>
      <c r="G127" s="284">
        <f t="shared" si="23"/>
        <v>0.5</v>
      </c>
    </row>
    <row r="128" spans="1:7" x14ac:dyDescent="0.2">
      <c r="A128" s="262" t="s">
        <v>100</v>
      </c>
      <c r="B128" s="253">
        <v>135</v>
      </c>
      <c r="C128" s="253">
        <v>12463</v>
      </c>
      <c r="D128" s="253">
        <f t="shared" si="21"/>
        <v>12598</v>
      </c>
      <c r="E128" s="264"/>
      <c r="F128" s="253">
        <f t="shared" si="22"/>
        <v>49</v>
      </c>
      <c r="G128" s="284">
        <f t="shared" si="23"/>
        <v>0.11111111111111115</v>
      </c>
    </row>
    <row r="129" spans="1:8" x14ac:dyDescent="0.2">
      <c r="A129" s="262" t="s">
        <v>101</v>
      </c>
      <c r="B129" s="253">
        <v>37444</v>
      </c>
      <c r="C129" s="253">
        <v>33229</v>
      </c>
      <c r="D129" s="253">
        <f t="shared" si="21"/>
        <v>70673</v>
      </c>
      <c r="E129" s="221"/>
      <c r="F129" s="253">
        <f t="shared" si="22"/>
        <v>13</v>
      </c>
      <c r="G129" s="284">
        <f t="shared" si="23"/>
        <v>0.77777777777777768</v>
      </c>
    </row>
    <row r="130" spans="1:8" x14ac:dyDescent="0.2">
      <c r="A130" s="262" t="s">
        <v>102</v>
      </c>
      <c r="B130" s="253">
        <v>3833</v>
      </c>
      <c r="C130" s="253">
        <v>1150</v>
      </c>
      <c r="D130" s="253">
        <f t="shared" si="21"/>
        <v>4983</v>
      </c>
      <c r="E130" s="221"/>
      <c r="F130" s="253">
        <f t="shared" si="22"/>
        <v>104</v>
      </c>
      <c r="G130" s="284">
        <f t="shared" si="23"/>
        <v>-0.90740740740740733</v>
      </c>
    </row>
    <row r="131" spans="1:8" x14ac:dyDescent="0.2">
      <c r="A131" s="262" t="s">
        <v>9</v>
      </c>
      <c r="B131" s="253">
        <v>0</v>
      </c>
      <c r="C131" s="253">
        <v>6086</v>
      </c>
      <c r="D131" s="253">
        <f t="shared" si="21"/>
        <v>6086</v>
      </c>
      <c r="E131" s="221"/>
      <c r="F131" s="253">
        <f t="shared" si="22"/>
        <v>63</v>
      </c>
      <c r="G131" s="284">
        <f t="shared" si="23"/>
        <v>-0.14814814814814808</v>
      </c>
    </row>
    <row r="132" spans="1:8" x14ac:dyDescent="0.2">
      <c r="A132" s="262" t="s">
        <v>103</v>
      </c>
      <c r="B132" s="253">
        <v>1177</v>
      </c>
      <c r="C132" s="253">
        <v>4451</v>
      </c>
      <c r="D132" s="253">
        <f t="shared" si="21"/>
        <v>5628</v>
      </c>
      <c r="E132" s="221"/>
      <c r="F132" s="253">
        <f t="shared" si="22"/>
        <v>72</v>
      </c>
      <c r="G132" s="284">
        <f t="shared" si="23"/>
        <v>-0.31481481481481494</v>
      </c>
    </row>
    <row r="133" spans="1:8" x14ac:dyDescent="0.2">
      <c r="A133" s="262" t="s">
        <v>112</v>
      </c>
      <c r="B133" s="253">
        <v>9684</v>
      </c>
      <c r="C133" s="253">
        <v>28745</v>
      </c>
      <c r="D133" s="253">
        <f t="shared" si="21"/>
        <v>38429</v>
      </c>
      <c r="E133" s="221"/>
      <c r="F133" s="253">
        <f t="shared" si="22"/>
        <v>20</v>
      </c>
      <c r="G133" s="284">
        <f>-((F133-$F$6)/($F$5-$F$6)*200-100)/100</f>
        <v>0.64814814814814814</v>
      </c>
    </row>
    <row r="134" spans="1:8" x14ac:dyDescent="0.2">
      <c r="A134" s="289"/>
      <c r="B134" s="289"/>
      <c r="C134" s="289"/>
      <c r="D134" s="289"/>
      <c r="E134" s="290"/>
      <c r="F134" s="289"/>
      <c r="G134" s="289"/>
    </row>
    <row r="135" spans="1:8" x14ac:dyDescent="0.2">
      <c r="A135" s="266" t="s">
        <v>214</v>
      </c>
      <c r="B135" s="289"/>
      <c r="C135" s="289"/>
      <c r="D135" s="289"/>
      <c r="E135" s="290"/>
      <c r="F135" s="289"/>
      <c r="G135" s="289"/>
    </row>
    <row r="136" spans="1:8" x14ac:dyDescent="0.2">
      <c r="A136" s="266" t="s">
        <v>216</v>
      </c>
      <c r="B136" s="289"/>
      <c r="C136" s="289"/>
      <c r="D136" s="289"/>
      <c r="E136" s="290"/>
      <c r="F136" s="289"/>
      <c r="G136" s="289"/>
    </row>
    <row r="137" spans="1:8" x14ac:dyDescent="0.2">
      <c r="A137" s="266"/>
      <c r="B137" s="289"/>
      <c r="C137" s="289"/>
      <c r="D137" s="289"/>
      <c r="E137" s="290"/>
      <c r="F137" s="289"/>
      <c r="G137" s="289"/>
    </row>
    <row r="138" spans="1:8" s="267" customFormat="1" ht="12" x14ac:dyDescent="0.2">
      <c r="B138" s="268"/>
      <c r="C138" s="269"/>
      <c r="D138" s="269"/>
      <c r="E138" s="270"/>
      <c r="F138" s="269"/>
      <c r="G138" s="270"/>
      <c r="H138" s="270"/>
    </row>
    <row r="139" spans="1:8" s="267" customFormat="1" ht="12" x14ac:dyDescent="0.2">
      <c r="A139" s="266"/>
      <c r="B139" s="268"/>
      <c r="C139" s="269"/>
      <c r="D139" s="269"/>
      <c r="E139" s="270"/>
      <c r="F139" s="269"/>
      <c r="G139" s="270"/>
      <c r="H139" s="270"/>
    </row>
    <row r="140" spans="1:8" s="267" customFormat="1" ht="12" x14ac:dyDescent="0.2">
      <c r="A140" s="266"/>
      <c r="B140" s="268"/>
      <c r="C140" s="269"/>
      <c r="D140" s="269"/>
      <c r="E140" s="270"/>
      <c r="F140" s="269"/>
      <c r="G140" s="270"/>
      <c r="H140" s="270"/>
    </row>
    <row r="141" spans="1:8" x14ac:dyDescent="0.2">
      <c r="A141" s="289"/>
      <c r="B141" s="289"/>
      <c r="C141" s="289"/>
      <c r="D141" s="289"/>
      <c r="E141" s="290"/>
      <c r="F141" s="289"/>
      <c r="G141" s="289"/>
    </row>
    <row r="142" spans="1:8" x14ac:dyDescent="0.2">
      <c r="A142" s="291" t="s">
        <v>194</v>
      </c>
    </row>
  </sheetData>
  <sheetProtection password="9EE7" sheet="1" objects="1" scenarios="1"/>
  <phoneticPr fontId="5" type="noConversion"/>
  <pageMargins left="0.5" right="0.5" top="0.5" bottom="0.5" header="0.5" footer="0.5"/>
  <pageSetup paperSize="17" orientation="portrait" r:id="rId1"/>
  <headerFooter alignWithMargins="0"/>
  <rowBreaks count="1" manualBreakCount="1">
    <brk id="71" max="16383" man="1"/>
  </rowBreaks>
  <ignoredErrors>
    <ignoredError sqref="F5:F6 B5:D6 F9:F133 G5:G6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M140"/>
  <sheetViews>
    <sheetView zoomScaleNormal="100" zoomScaleSheetLayoutView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ColWidth="8.85546875" defaultRowHeight="12.75" x14ac:dyDescent="0.2"/>
  <cols>
    <col min="1" max="1" width="30.7109375" style="220" customWidth="1"/>
    <col min="2" max="4" width="9.7109375" style="220" customWidth="1"/>
    <col min="5" max="5" width="9.7109375" style="292" customWidth="1"/>
    <col min="6" max="6" width="1.7109375" style="219" customWidth="1"/>
    <col min="7" max="9" width="9.7109375" style="220" customWidth="1"/>
    <col min="10" max="10" width="9.7109375" style="293" customWidth="1"/>
    <col min="11" max="11" width="1.7109375" style="219" customWidth="1"/>
    <col min="12" max="13" width="9.7109375" style="293" customWidth="1"/>
    <col min="14" max="16384" width="8.85546875" style="220"/>
  </cols>
  <sheetData>
    <row r="1" spans="1:13" ht="18.75" x14ac:dyDescent="0.3">
      <c r="A1" s="272" t="s">
        <v>170</v>
      </c>
    </row>
    <row r="2" spans="1:13" ht="18.75" x14ac:dyDescent="0.3">
      <c r="A2" s="272"/>
    </row>
    <row r="3" spans="1:13" ht="20.25" customHeight="1" x14ac:dyDescent="0.2">
      <c r="B3" s="423" t="s">
        <v>171</v>
      </c>
      <c r="C3" s="424"/>
      <c r="D3" s="424"/>
      <c r="E3" s="475"/>
      <c r="F3" s="221"/>
      <c r="G3" s="425" t="s">
        <v>172</v>
      </c>
      <c r="H3" s="424"/>
      <c r="I3" s="424"/>
      <c r="J3" s="475"/>
      <c r="K3" s="221"/>
      <c r="L3" s="426" t="s">
        <v>151</v>
      </c>
      <c r="M3" s="427"/>
    </row>
    <row r="4" spans="1:13" ht="49.5" customHeight="1" x14ac:dyDescent="0.2">
      <c r="A4" s="294"/>
      <c r="B4" s="295" t="s">
        <v>173</v>
      </c>
      <c r="C4" s="295" t="s">
        <v>174</v>
      </c>
      <c r="D4" s="295" t="s">
        <v>175</v>
      </c>
      <c r="E4" s="296" t="s">
        <v>176</v>
      </c>
      <c r="F4" s="297"/>
      <c r="G4" s="295" t="s">
        <v>177</v>
      </c>
      <c r="H4" s="295" t="s">
        <v>178</v>
      </c>
      <c r="I4" s="295" t="s">
        <v>179</v>
      </c>
      <c r="J4" s="296" t="s">
        <v>180</v>
      </c>
      <c r="K4" s="297"/>
      <c r="L4" s="298" t="s">
        <v>200</v>
      </c>
      <c r="M4" s="299" t="s">
        <v>181</v>
      </c>
    </row>
    <row r="5" spans="1:13" x14ac:dyDescent="0.2">
      <c r="A5" s="300"/>
      <c r="B5" s="301"/>
      <c r="C5" s="301"/>
      <c r="D5" s="302" t="s">
        <v>182</v>
      </c>
      <c r="E5" s="303">
        <v>0.5</v>
      </c>
      <c r="F5" s="252"/>
      <c r="G5" s="289"/>
      <c r="H5" s="289"/>
      <c r="I5" s="302" t="s">
        <v>182</v>
      </c>
      <c r="J5" s="303">
        <v>0.5</v>
      </c>
      <c r="K5" s="283"/>
      <c r="L5" s="301"/>
      <c r="M5" s="301"/>
    </row>
    <row r="6" spans="1:13" ht="6" customHeight="1" x14ac:dyDescent="0.2">
      <c r="A6" s="300"/>
      <c r="B6" s="301"/>
      <c r="C6" s="301"/>
      <c r="D6" s="301"/>
      <c r="E6" s="304"/>
      <c r="F6" s="252"/>
      <c r="G6" s="289"/>
      <c r="H6" s="289"/>
      <c r="I6" s="289"/>
      <c r="J6" s="304"/>
      <c r="K6" s="283"/>
      <c r="L6" s="301"/>
      <c r="M6" s="301"/>
    </row>
    <row r="7" spans="1:13" s="257" customFormat="1" ht="12" x14ac:dyDescent="0.2">
      <c r="A7" s="233" t="s">
        <v>165</v>
      </c>
      <c r="B7" s="230"/>
      <c r="C7" s="230"/>
      <c r="D7" s="305">
        <f>MAX(D11:D136)</f>
        <v>225</v>
      </c>
      <c r="E7" s="305">
        <f>MAX(E11:E136)</f>
        <v>1</v>
      </c>
      <c r="F7" s="283"/>
      <c r="G7" s="230"/>
      <c r="H7" s="230"/>
      <c r="I7" s="306">
        <f>MAX(I11:I136)</f>
        <v>0.26763348714568225</v>
      </c>
      <c r="J7" s="305">
        <f>MAX(J11:J136)</f>
        <v>1</v>
      </c>
      <c r="K7" s="283"/>
      <c r="L7" s="305">
        <f>MAX(L11:L136)</f>
        <v>1</v>
      </c>
      <c r="M7" s="305">
        <f>MAX(M11:M136)</f>
        <v>1</v>
      </c>
    </row>
    <row r="8" spans="1:13" s="257" customFormat="1" ht="12" x14ac:dyDescent="0.2">
      <c r="A8" s="239" t="s">
        <v>166</v>
      </c>
      <c r="B8" s="236"/>
      <c r="C8" s="236"/>
      <c r="D8" s="307">
        <f>MIN(D11:D136)</f>
        <v>6.9076852488199494</v>
      </c>
      <c r="E8" s="307">
        <f>MIN(E11:E136)</f>
        <v>-1</v>
      </c>
      <c r="F8" s="283"/>
      <c r="G8" s="236"/>
      <c r="H8" s="236"/>
      <c r="I8" s="308">
        <f>MIN(I11:I136)</f>
        <v>0</v>
      </c>
      <c r="J8" s="307">
        <f>MIN(J11:J136)</f>
        <v>-1</v>
      </c>
      <c r="K8" s="283"/>
      <c r="L8" s="307">
        <f>MIN(L11:L136)</f>
        <v>-0.64750441490844868</v>
      </c>
      <c r="M8" s="307">
        <f>MIN(M11:M136)</f>
        <v>-1</v>
      </c>
    </row>
    <row r="9" spans="1:13" s="257" customFormat="1" ht="6" customHeight="1" x14ac:dyDescent="0.2">
      <c r="A9" s="245"/>
      <c r="B9" s="242"/>
      <c r="C9" s="242"/>
      <c r="D9" s="309"/>
      <c r="E9" s="309"/>
      <c r="F9" s="283"/>
      <c r="G9" s="242"/>
      <c r="H9" s="242"/>
      <c r="I9" s="310"/>
      <c r="J9" s="309"/>
      <c r="K9" s="283"/>
      <c r="L9" s="309"/>
      <c r="M9" s="309"/>
    </row>
    <row r="10" spans="1:13" x14ac:dyDescent="0.2">
      <c r="A10" s="247" t="s">
        <v>116</v>
      </c>
      <c r="B10" s="311"/>
      <c r="C10" s="311"/>
      <c r="D10" s="311"/>
      <c r="E10" s="312"/>
      <c r="F10" s="283"/>
      <c r="G10" s="313"/>
      <c r="H10" s="313"/>
      <c r="I10" s="313"/>
      <c r="J10" s="314"/>
      <c r="K10" s="252"/>
      <c r="L10" s="315"/>
      <c r="M10" s="315"/>
    </row>
    <row r="11" spans="1:13" s="257" customFormat="1" ht="13.5" customHeight="1" x14ac:dyDescent="0.2">
      <c r="A11" s="256" t="s">
        <v>1</v>
      </c>
      <c r="B11" s="316">
        <v>92.744791666666671</v>
      </c>
      <c r="C11" s="316">
        <f>B11/24</f>
        <v>3.8643663194444446</v>
      </c>
      <c r="D11" s="316">
        <f>60/C11</f>
        <v>15.526478351210198</v>
      </c>
      <c r="E11" s="317">
        <f>(-((D11-$D$8)/($D$7-$D$8)*200-100))/100</f>
        <v>0.92096197326142959</v>
      </c>
      <c r="F11" s="255"/>
      <c r="G11" s="318">
        <v>192</v>
      </c>
      <c r="H11" s="318">
        <v>1508</v>
      </c>
      <c r="I11" s="319">
        <f t="shared" ref="I11:I25" si="0">G11/H11</f>
        <v>0.1273209549071618</v>
      </c>
      <c r="J11" s="320">
        <f>((I11-$I$8)/($I$7-$I$8)*200-100)/100</f>
        <v>-4.8542420718401619E-2</v>
      </c>
      <c r="K11" s="255"/>
      <c r="L11" s="321">
        <f t="shared" ref="L11:L25" si="1">(E11*E$5+J11*J$5)/($E$5+$J$5)</f>
        <v>0.43620977627151397</v>
      </c>
      <c r="M11" s="322">
        <f>((L11-$L$8)/($L$7-$L$8)*200-100)/100</f>
        <v>0.31558274608955655</v>
      </c>
    </row>
    <row r="12" spans="1:13" s="257" customFormat="1" ht="13.5" customHeight="1" x14ac:dyDescent="0.2">
      <c r="A12" s="256" t="s">
        <v>10</v>
      </c>
      <c r="B12" s="316">
        <v>104.45945945945945</v>
      </c>
      <c r="C12" s="316">
        <f t="shared" ref="C12:C25" si="2">B12/24</f>
        <v>4.3524774774774775</v>
      </c>
      <c r="D12" s="316">
        <f t="shared" ref="D12:D25" si="3">60/C12</f>
        <v>13.785252263906857</v>
      </c>
      <c r="E12" s="317">
        <f t="shared" ref="E12:E25" si="4">(-((D12-$D$8)/($D$7-$D$8)*200-100))/100</f>
        <v>0.93692976276643702</v>
      </c>
      <c r="F12" s="255"/>
      <c r="G12" s="318">
        <v>37</v>
      </c>
      <c r="H12" s="318">
        <v>262</v>
      </c>
      <c r="I12" s="319">
        <f t="shared" si="0"/>
        <v>0.14122137404580154</v>
      </c>
      <c r="J12" s="320">
        <f t="shared" ref="J12:J25" si="5">((I12-$I$8)/($I$7-$I$8)*200-100)/100</f>
        <v>5.5334110480201704E-2</v>
      </c>
      <c r="K12" s="255"/>
      <c r="L12" s="321">
        <f t="shared" si="1"/>
        <v>0.49613193662331934</v>
      </c>
      <c r="M12" s="322">
        <f t="shared" ref="M12:M25" si="6">((L12-$L$8)/($L$7-$L$8)*200-100)/100</f>
        <v>0.38832568967084624</v>
      </c>
    </row>
    <row r="13" spans="1:13" s="257" customFormat="1" ht="13.5" customHeight="1" x14ac:dyDescent="0.2">
      <c r="A13" s="256" t="s">
        <v>11</v>
      </c>
      <c r="B13" s="316">
        <v>93.886524822695037</v>
      </c>
      <c r="C13" s="316">
        <f t="shared" si="2"/>
        <v>3.9119385342789599</v>
      </c>
      <c r="D13" s="316">
        <f t="shared" si="3"/>
        <v>15.337664299743164</v>
      </c>
      <c r="E13" s="317">
        <f t="shared" si="4"/>
        <v>0.92269347903853538</v>
      </c>
      <c r="F13" s="255"/>
      <c r="G13" s="318">
        <v>423</v>
      </c>
      <c r="H13" s="318">
        <v>1826</v>
      </c>
      <c r="I13" s="319">
        <f t="shared" si="0"/>
        <v>0.23165388828039429</v>
      </c>
      <c r="J13" s="320">
        <f t="shared" si="5"/>
        <v>0.73112782522836539</v>
      </c>
      <c r="K13" s="255"/>
      <c r="L13" s="321">
        <f t="shared" si="1"/>
        <v>0.82691065213345039</v>
      </c>
      <c r="M13" s="322">
        <f t="shared" si="6"/>
        <v>0.78987692378819163</v>
      </c>
    </row>
    <row r="14" spans="1:13" s="257" customFormat="1" ht="13.5" customHeight="1" x14ac:dyDescent="0.2">
      <c r="A14" s="256" t="s">
        <v>12</v>
      </c>
      <c r="B14" s="316">
        <v>22.796747967479675</v>
      </c>
      <c r="C14" s="316">
        <f t="shared" si="2"/>
        <v>0.94986449864498645</v>
      </c>
      <c r="D14" s="316">
        <f t="shared" si="3"/>
        <v>63.166904422253921</v>
      </c>
      <c r="E14" s="317">
        <f t="shared" si="4"/>
        <v>0.48407884764192899</v>
      </c>
      <c r="F14" s="255"/>
      <c r="G14" s="318">
        <v>123</v>
      </c>
      <c r="H14" s="318">
        <v>1224</v>
      </c>
      <c r="I14" s="319">
        <f t="shared" si="0"/>
        <v>0.10049019607843138</v>
      </c>
      <c r="J14" s="320">
        <f t="shared" si="5"/>
        <v>-0.24904617019221476</v>
      </c>
      <c r="K14" s="255"/>
      <c r="L14" s="321">
        <f t="shared" si="1"/>
        <v>0.11751633872485712</v>
      </c>
      <c r="M14" s="322">
        <f t="shared" si="6"/>
        <v>-7.1297476704099971E-2</v>
      </c>
    </row>
    <row r="15" spans="1:13" s="257" customFormat="1" ht="13.5" customHeight="1" x14ac:dyDescent="0.2">
      <c r="A15" s="256" t="s">
        <v>13</v>
      </c>
      <c r="B15" s="316">
        <v>113</v>
      </c>
      <c r="C15" s="316">
        <f t="shared" si="2"/>
        <v>4.708333333333333</v>
      </c>
      <c r="D15" s="316">
        <f t="shared" si="3"/>
        <v>12.743362831858407</v>
      </c>
      <c r="E15" s="317">
        <f t="shared" si="4"/>
        <v>0.94648433540910104</v>
      </c>
      <c r="F15" s="255"/>
      <c r="G15" s="318">
        <v>49</v>
      </c>
      <c r="H15" s="318">
        <v>215</v>
      </c>
      <c r="I15" s="319">
        <f t="shared" si="0"/>
        <v>0.22790697674418606</v>
      </c>
      <c r="J15" s="320">
        <f t="shared" si="5"/>
        <v>0.70312750601443497</v>
      </c>
      <c r="K15" s="255"/>
      <c r="L15" s="321">
        <f t="shared" si="1"/>
        <v>0.82480592071176795</v>
      </c>
      <c r="M15" s="322">
        <f t="shared" si="6"/>
        <v>0.78732186972868623</v>
      </c>
    </row>
    <row r="16" spans="1:13" s="257" customFormat="1" ht="13.5" customHeight="1" x14ac:dyDescent="0.2">
      <c r="A16" s="256" t="s">
        <v>14</v>
      </c>
      <c r="B16" s="316">
        <v>42.016393442622949</v>
      </c>
      <c r="C16" s="316">
        <f t="shared" si="2"/>
        <v>1.7506830601092895</v>
      </c>
      <c r="D16" s="316">
        <f t="shared" si="3"/>
        <v>34.272337104955135</v>
      </c>
      <c r="E16" s="317">
        <f t="shared" si="4"/>
        <v>0.74905441406905771</v>
      </c>
      <c r="F16" s="255"/>
      <c r="G16" s="318">
        <v>488</v>
      </c>
      <c r="H16" s="318">
        <v>5125</v>
      </c>
      <c r="I16" s="319">
        <f t="shared" si="0"/>
        <v>9.5219512195121953E-2</v>
      </c>
      <c r="J16" s="320">
        <f t="shared" si="5"/>
        <v>-0.2884334975369458</v>
      </c>
      <c r="K16" s="255"/>
      <c r="L16" s="321">
        <f t="shared" si="1"/>
        <v>0.23031045826605595</v>
      </c>
      <c r="M16" s="322">
        <f t="shared" si="6"/>
        <v>6.5629767339087264E-2</v>
      </c>
    </row>
    <row r="17" spans="1:13" s="257" customFormat="1" ht="13.5" customHeight="1" x14ac:dyDescent="0.2">
      <c r="A17" s="256" t="s">
        <v>15</v>
      </c>
      <c r="B17" s="316">
        <v>64.62326869806094</v>
      </c>
      <c r="C17" s="316">
        <f t="shared" si="2"/>
        <v>2.6926361957525393</v>
      </c>
      <c r="D17" s="316">
        <f t="shared" si="3"/>
        <v>22.282995413433923</v>
      </c>
      <c r="E17" s="317">
        <f t="shared" si="4"/>
        <v>0.85900181597727954</v>
      </c>
      <c r="F17" s="255"/>
      <c r="G17" s="318">
        <v>361</v>
      </c>
      <c r="H17" s="318">
        <v>2570</v>
      </c>
      <c r="I17" s="319">
        <f t="shared" si="0"/>
        <v>0.14046692607003891</v>
      </c>
      <c r="J17" s="320">
        <f t="shared" si="5"/>
        <v>4.969619137068506E-2</v>
      </c>
      <c r="K17" s="255"/>
      <c r="L17" s="321">
        <f t="shared" si="1"/>
        <v>0.45434900367398229</v>
      </c>
      <c r="M17" s="322">
        <f t="shared" si="6"/>
        <v>0.33760299348716527</v>
      </c>
    </row>
    <row r="18" spans="1:13" s="257" customFormat="1" ht="13.5" customHeight="1" x14ac:dyDescent="0.2">
      <c r="A18" s="256" t="s">
        <v>16</v>
      </c>
      <c r="B18" s="316">
        <v>28.922779922779924</v>
      </c>
      <c r="C18" s="316">
        <f t="shared" si="2"/>
        <v>1.2051158301158302</v>
      </c>
      <c r="D18" s="316">
        <f t="shared" si="3"/>
        <v>49.787745294353222</v>
      </c>
      <c r="E18" s="317">
        <f t="shared" si="4"/>
        <v>0.60677147111346108</v>
      </c>
      <c r="F18" s="255"/>
      <c r="G18" s="318">
        <v>259</v>
      </c>
      <c r="H18" s="318">
        <v>2646</v>
      </c>
      <c r="I18" s="319">
        <f t="shared" si="0"/>
        <v>9.7883597883597878E-2</v>
      </c>
      <c r="J18" s="320">
        <f t="shared" si="5"/>
        <v>-0.2685250345348868</v>
      </c>
      <c r="K18" s="255"/>
      <c r="L18" s="321">
        <f t="shared" si="1"/>
        <v>0.16912321828928714</v>
      </c>
      <c r="M18" s="322">
        <f t="shared" si="6"/>
        <v>-8.6489288793613634E-3</v>
      </c>
    </row>
    <row r="19" spans="1:13" s="257" customFormat="1" ht="13.5" customHeight="1" x14ac:dyDescent="0.2">
      <c r="A19" s="256" t="s">
        <v>17</v>
      </c>
      <c r="B19" s="316">
        <v>47.103703703703701</v>
      </c>
      <c r="C19" s="316">
        <f t="shared" si="2"/>
        <v>1.9626543209876541</v>
      </c>
      <c r="D19" s="316">
        <f t="shared" si="3"/>
        <v>30.570844472401323</v>
      </c>
      <c r="E19" s="317">
        <f t="shared" si="4"/>
        <v>0.78299868795855088</v>
      </c>
      <c r="F19" s="255"/>
      <c r="G19" s="318">
        <v>135</v>
      </c>
      <c r="H19" s="318">
        <v>915</v>
      </c>
      <c r="I19" s="319">
        <f t="shared" si="0"/>
        <v>0.14754098360655737</v>
      </c>
      <c r="J19" s="320">
        <f t="shared" si="5"/>
        <v>0.1025599612371802</v>
      </c>
      <c r="K19" s="255"/>
      <c r="L19" s="321">
        <f t="shared" si="1"/>
        <v>0.44277932459786551</v>
      </c>
      <c r="M19" s="322">
        <f t="shared" si="6"/>
        <v>0.32355789719313266</v>
      </c>
    </row>
    <row r="20" spans="1:13" s="257" customFormat="1" ht="13.5" customHeight="1" x14ac:dyDescent="0.2">
      <c r="A20" s="256" t="s">
        <v>18</v>
      </c>
      <c r="B20" s="316">
        <v>94.25487364620939</v>
      </c>
      <c r="C20" s="316">
        <f t="shared" si="2"/>
        <v>3.9272864019253912</v>
      </c>
      <c r="D20" s="316">
        <f t="shared" si="3"/>
        <v>15.277724581172487</v>
      </c>
      <c r="E20" s="317">
        <f t="shared" si="4"/>
        <v>0.92324315194781759</v>
      </c>
      <c r="F20" s="255"/>
      <c r="G20" s="318">
        <v>1385</v>
      </c>
      <c r="H20" s="318">
        <v>7221</v>
      </c>
      <c r="I20" s="319">
        <f t="shared" si="0"/>
        <v>0.19180168951668744</v>
      </c>
      <c r="J20" s="320">
        <f t="shared" si="5"/>
        <v>0.43331607387593551</v>
      </c>
      <c r="K20" s="255"/>
      <c r="L20" s="321">
        <f t="shared" si="1"/>
        <v>0.67827961291187655</v>
      </c>
      <c r="M20" s="322">
        <f t="shared" si="6"/>
        <v>0.60944518973443673</v>
      </c>
    </row>
    <row r="21" spans="1:13" s="257" customFormat="1" ht="13.5" customHeight="1" x14ac:dyDescent="0.2">
      <c r="A21" s="256" t="s">
        <v>19</v>
      </c>
      <c r="B21" s="316">
        <v>42.911111111111111</v>
      </c>
      <c r="C21" s="316">
        <f t="shared" si="2"/>
        <v>1.787962962962963</v>
      </c>
      <c r="D21" s="316">
        <f t="shared" si="3"/>
        <v>33.557742102537546</v>
      </c>
      <c r="E21" s="317">
        <f t="shared" si="4"/>
        <v>0.75560755651456635</v>
      </c>
      <c r="F21" s="255"/>
      <c r="G21" s="318">
        <v>45</v>
      </c>
      <c r="H21" s="318">
        <v>277</v>
      </c>
      <c r="I21" s="319">
        <f t="shared" si="0"/>
        <v>0.16245487364620939</v>
      </c>
      <c r="J21" s="320">
        <f t="shared" si="5"/>
        <v>0.21401006562216579</v>
      </c>
      <c r="K21" s="255"/>
      <c r="L21" s="321">
        <f t="shared" si="1"/>
        <v>0.48480881106836604</v>
      </c>
      <c r="M21" s="322">
        <f t="shared" si="6"/>
        <v>0.37457989882198517</v>
      </c>
    </row>
    <row r="22" spans="1:13" s="257" customFormat="1" ht="13.5" customHeight="1" x14ac:dyDescent="0.2">
      <c r="A22" s="256" t="s">
        <v>20</v>
      </c>
      <c r="B22" s="316">
        <v>25.719298245614034</v>
      </c>
      <c r="C22" s="316">
        <f>B22/24</f>
        <v>1.0716374269005848</v>
      </c>
      <c r="D22" s="316">
        <f t="shared" si="3"/>
        <v>55.989085948158255</v>
      </c>
      <c r="E22" s="317">
        <f t="shared" si="4"/>
        <v>0.54990251944150426</v>
      </c>
      <c r="F22" s="255"/>
      <c r="G22" s="318">
        <v>228</v>
      </c>
      <c r="H22" s="318">
        <v>2095</v>
      </c>
      <c r="I22" s="319">
        <f t="shared" si="0"/>
        <v>0.10883054892601432</v>
      </c>
      <c r="J22" s="320">
        <f t="shared" si="5"/>
        <v>-0.1867194939863856</v>
      </c>
      <c r="K22" s="255"/>
      <c r="L22" s="321">
        <f t="shared" si="1"/>
        <v>0.18159151272755933</v>
      </c>
      <c r="M22" s="322">
        <f t="shared" si="6"/>
        <v>6.4870480873105403E-3</v>
      </c>
    </row>
    <row r="23" spans="1:13" s="257" customFormat="1" ht="13.5" customHeight="1" x14ac:dyDescent="0.2">
      <c r="A23" s="256" t="s">
        <v>21</v>
      </c>
      <c r="B23" s="316">
        <v>65.794642857142861</v>
      </c>
      <c r="C23" s="316">
        <f t="shared" si="2"/>
        <v>2.7414434523809526</v>
      </c>
      <c r="D23" s="316">
        <f t="shared" si="3"/>
        <v>21.88628036368571</v>
      </c>
      <c r="E23" s="317">
        <f t="shared" si="4"/>
        <v>0.86263986301438689</v>
      </c>
      <c r="F23" s="255"/>
      <c r="G23" s="318">
        <v>224</v>
      </c>
      <c r="H23" s="318">
        <v>1699</v>
      </c>
      <c r="I23" s="319">
        <f t="shared" si="0"/>
        <v>0.13184226015303119</v>
      </c>
      <c r="J23" s="320">
        <f t="shared" si="5"/>
        <v>-1.4755129792372798E-2</v>
      </c>
      <c r="K23" s="255"/>
      <c r="L23" s="321">
        <f t="shared" si="1"/>
        <v>0.42394236661100704</v>
      </c>
      <c r="M23" s="322">
        <f t="shared" si="6"/>
        <v>0.30069063466393914</v>
      </c>
    </row>
    <row r="24" spans="1:13" s="257" customFormat="1" ht="13.5" customHeight="1" x14ac:dyDescent="0.2">
      <c r="A24" s="256" t="s">
        <v>22</v>
      </c>
      <c r="B24" s="316">
        <v>80.723926380368098</v>
      </c>
      <c r="C24" s="316">
        <f t="shared" si="2"/>
        <v>3.3634969325153374</v>
      </c>
      <c r="D24" s="316">
        <f t="shared" si="3"/>
        <v>17.838577291381668</v>
      </c>
      <c r="E24" s="317">
        <f t="shared" si="4"/>
        <v>0.89975903502117716</v>
      </c>
      <c r="F24" s="255"/>
      <c r="G24" s="318">
        <v>163</v>
      </c>
      <c r="H24" s="318">
        <v>1342</v>
      </c>
      <c r="I24" s="319">
        <f t="shared" si="0"/>
        <v>0.12146050670640834</v>
      </c>
      <c r="J24" s="320">
        <f t="shared" si="5"/>
        <v>-9.2337001607776012E-2</v>
      </c>
      <c r="K24" s="255"/>
      <c r="L24" s="321">
        <f t="shared" si="1"/>
        <v>0.40371101670670057</v>
      </c>
      <c r="M24" s="322">
        <f t="shared" si="6"/>
        <v>0.27613063989702868</v>
      </c>
    </row>
    <row r="25" spans="1:13" s="257" customFormat="1" ht="13.5" customHeight="1" x14ac:dyDescent="0.2">
      <c r="A25" s="256" t="s">
        <v>105</v>
      </c>
      <c r="B25" s="316">
        <v>52.852739726027394</v>
      </c>
      <c r="C25" s="316">
        <f t="shared" si="2"/>
        <v>2.2021974885844746</v>
      </c>
      <c r="D25" s="316">
        <f t="shared" si="3"/>
        <v>27.245512862048859</v>
      </c>
      <c r="E25" s="317">
        <f t="shared" si="4"/>
        <v>0.81349340405293791</v>
      </c>
      <c r="F25" s="255"/>
      <c r="G25" s="318">
        <v>292</v>
      </c>
      <c r="H25" s="318">
        <v>2929</v>
      </c>
      <c r="I25" s="319">
        <f t="shared" si="0"/>
        <v>9.9692727893479008E-2</v>
      </c>
      <c r="J25" s="320">
        <f t="shared" si="5"/>
        <v>-0.2550055752984845</v>
      </c>
      <c r="K25" s="255"/>
      <c r="L25" s="321">
        <f t="shared" si="1"/>
        <v>0.27924391437722673</v>
      </c>
      <c r="M25" s="322">
        <f t="shared" si="6"/>
        <v>0.12503289326502312</v>
      </c>
    </row>
    <row r="26" spans="1:13" s="289" customFormat="1" ht="13.5" customHeight="1" x14ac:dyDescent="0.2">
      <c r="A26" s="323"/>
      <c r="B26" s="324"/>
      <c r="C26" s="324"/>
      <c r="D26" s="324"/>
      <c r="E26" s="325"/>
      <c r="F26" s="255"/>
      <c r="G26" s="326"/>
      <c r="H26" s="326"/>
      <c r="I26" s="327"/>
      <c r="J26" s="328"/>
      <c r="K26" s="255"/>
      <c r="L26" s="329"/>
      <c r="M26" s="330"/>
    </row>
    <row r="27" spans="1:13" s="289" customFormat="1" ht="13.5" customHeight="1" x14ac:dyDescent="0.2">
      <c r="A27" s="288" t="s">
        <v>113</v>
      </c>
      <c r="B27" s="324"/>
      <c r="C27" s="324"/>
      <c r="D27" s="324"/>
      <c r="E27" s="325"/>
      <c r="F27" s="255"/>
      <c r="G27" s="326"/>
      <c r="H27" s="326"/>
      <c r="I27" s="327"/>
      <c r="J27" s="328"/>
      <c r="K27" s="255"/>
      <c r="L27" s="329"/>
      <c r="M27" s="330"/>
    </row>
    <row r="28" spans="1:13" s="257" customFormat="1" ht="13.5" customHeight="1" x14ac:dyDescent="0.2">
      <c r="A28" s="256" t="s">
        <v>23</v>
      </c>
      <c r="B28" s="316">
        <v>51.082352941176474</v>
      </c>
      <c r="C28" s="316">
        <f t="shared" ref="C28:C47" si="7">B28/24</f>
        <v>2.1284313725490196</v>
      </c>
      <c r="D28" s="316">
        <f t="shared" ref="D28:D47" si="8">60/C28</f>
        <v>28.189774297558728</v>
      </c>
      <c r="E28" s="317">
        <f t="shared" ref="E28:E47" si="9">(-((D28-$D$8)/($D$7-$D$8)*200-100))/100</f>
        <v>0.80483412198160809</v>
      </c>
      <c r="F28" s="255"/>
      <c r="G28" s="318">
        <v>170</v>
      </c>
      <c r="H28" s="318">
        <v>2491</v>
      </c>
      <c r="I28" s="319">
        <f t="shared" ref="I28:I47" si="10">G28/H28</f>
        <v>6.8245684464070658E-2</v>
      </c>
      <c r="J28" s="320">
        <f t="shared" ref="J28:J47" si="11">((I28-$I$8)/($I$7-$I$8)*200-100)/100</f>
        <v>-0.49000638752711723</v>
      </c>
      <c r="K28" s="255"/>
      <c r="L28" s="321">
        <f t="shared" ref="L28:L47" si="12">(E28*E$5+J28*J$5)/($E$5+$J$5)</f>
        <v>0.15741386722724543</v>
      </c>
      <c r="M28" s="322">
        <f t="shared" ref="M28:M47" si="13">((L28-$L$8)/($L$7-$L$8)*200-100)/100</f>
        <v>-2.2863580999358531E-2</v>
      </c>
    </row>
    <row r="29" spans="1:13" s="257" customFormat="1" ht="13.5" customHeight="1" x14ac:dyDescent="0.2">
      <c r="A29" s="256" t="s">
        <v>24</v>
      </c>
      <c r="B29" s="316">
        <v>26.62857142857143</v>
      </c>
      <c r="C29" s="316">
        <f t="shared" si="7"/>
        <v>1.1095238095238096</v>
      </c>
      <c r="D29" s="316">
        <f t="shared" si="8"/>
        <v>54.077253218884117</v>
      </c>
      <c r="E29" s="317">
        <f t="shared" si="9"/>
        <v>0.56743484497489438</v>
      </c>
      <c r="F29" s="255"/>
      <c r="G29" s="318">
        <v>70</v>
      </c>
      <c r="H29" s="318">
        <v>1476</v>
      </c>
      <c r="I29" s="319">
        <f t="shared" si="10"/>
        <v>4.7425474254742549E-2</v>
      </c>
      <c r="J29" s="320">
        <f t="shared" si="11"/>
        <v>-0.64559386973180066</v>
      </c>
      <c r="K29" s="255"/>
      <c r="L29" s="321">
        <f t="shared" si="12"/>
        <v>-3.9079512378453141E-2</v>
      </c>
      <c r="M29" s="322">
        <f t="shared" si="13"/>
        <v>-0.26139815223037743</v>
      </c>
    </row>
    <row r="30" spans="1:13" s="257" customFormat="1" ht="13.5" customHeight="1" x14ac:dyDescent="0.2">
      <c r="A30" s="256" t="s">
        <v>25</v>
      </c>
      <c r="B30" s="316">
        <v>13.2</v>
      </c>
      <c r="C30" s="316">
        <f t="shared" si="7"/>
        <v>0.54999999999999993</v>
      </c>
      <c r="D30" s="316">
        <f t="shared" si="8"/>
        <v>109.09090909090911</v>
      </c>
      <c r="E30" s="317">
        <f t="shared" si="9"/>
        <v>6.2936041935551398E-2</v>
      </c>
      <c r="F30" s="255"/>
      <c r="G30" s="318">
        <v>30</v>
      </c>
      <c r="H30" s="318">
        <v>350</v>
      </c>
      <c r="I30" s="319">
        <f t="shared" si="10"/>
        <v>8.5714285714285715E-2</v>
      </c>
      <c r="J30" s="320">
        <f t="shared" si="11"/>
        <v>-0.35946516537649542</v>
      </c>
      <c r="K30" s="255"/>
      <c r="L30" s="321">
        <f t="shared" si="12"/>
        <v>-0.148264561720472</v>
      </c>
      <c r="M30" s="322">
        <f t="shared" si="13"/>
        <v>-0.39394413918372495</v>
      </c>
    </row>
    <row r="31" spans="1:13" s="257" customFormat="1" ht="13.5" customHeight="1" x14ac:dyDescent="0.2">
      <c r="A31" s="256" t="s">
        <v>26</v>
      </c>
      <c r="B31" s="316">
        <v>30.473684210526315</v>
      </c>
      <c r="C31" s="316">
        <f t="shared" si="7"/>
        <v>1.2697368421052631</v>
      </c>
      <c r="D31" s="316">
        <f t="shared" si="8"/>
        <v>47.253886010362699</v>
      </c>
      <c r="E31" s="317">
        <f t="shared" si="9"/>
        <v>0.63000804675237243</v>
      </c>
      <c r="F31" s="255"/>
      <c r="G31" s="318">
        <v>266</v>
      </c>
      <c r="H31" s="318">
        <v>2866</v>
      </c>
      <c r="I31" s="319">
        <f t="shared" si="10"/>
        <v>9.2812281926029305E-2</v>
      </c>
      <c r="J31" s="320">
        <f t="shared" si="11"/>
        <v>-0.30642250403060856</v>
      </c>
      <c r="K31" s="255"/>
      <c r="L31" s="321">
        <f t="shared" si="12"/>
        <v>0.16179277136088194</v>
      </c>
      <c r="M31" s="322">
        <f t="shared" si="13"/>
        <v>-1.7547778390259481E-2</v>
      </c>
    </row>
    <row r="32" spans="1:13" s="257" customFormat="1" ht="13.5" customHeight="1" x14ac:dyDescent="0.2">
      <c r="A32" s="256" t="s">
        <v>27</v>
      </c>
      <c r="B32" s="316">
        <v>26.484848484848484</v>
      </c>
      <c r="C32" s="316">
        <f t="shared" si="7"/>
        <v>1.1035353535353536</v>
      </c>
      <c r="D32" s="316">
        <f t="shared" si="8"/>
        <v>54.370709382151027</v>
      </c>
      <c r="E32" s="317">
        <f t="shared" si="9"/>
        <v>0.56474372618327895</v>
      </c>
      <c r="F32" s="255"/>
      <c r="G32" s="318">
        <v>33</v>
      </c>
      <c r="H32" s="318">
        <v>1216</v>
      </c>
      <c r="I32" s="319">
        <f t="shared" si="10"/>
        <v>2.7138157894736843E-2</v>
      </c>
      <c r="J32" s="320">
        <f t="shared" si="11"/>
        <v>-0.79719908607726209</v>
      </c>
      <c r="K32" s="255"/>
      <c r="L32" s="321">
        <f t="shared" si="12"/>
        <v>-0.11622767994699157</v>
      </c>
      <c r="M32" s="322">
        <f t="shared" si="13"/>
        <v>-0.35505273290453659</v>
      </c>
    </row>
    <row r="33" spans="1:13" s="257" customFormat="1" ht="13.5" customHeight="1" x14ac:dyDescent="0.2">
      <c r="A33" s="256" t="s">
        <v>28</v>
      </c>
      <c r="B33" s="316">
        <v>74.436363636363637</v>
      </c>
      <c r="C33" s="316">
        <f t="shared" si="7"/>
        <v>3.1015151515151516</v>
      </c>
      <c r="D33" s="316">
        <f t="shared" si="8"/>
        <v>19.345383488031263</v>
      </c>
      <c r="E33" s="317">
        <f t="shared" si="9"/>
        <v>0.88594097638514779</v>
      </c>
      <c r="F33" s="255"/>
      <c r="G33" s="318">
        <v>110</v>
      </c>
      <c r="H33" s="318">
        <v>636</v>
      </c>
      <c r="I33" s="319">
        <f t="shared" si="10"/>
        <v>0.17295597484276728</v>
      </c>
      <c r="J33" s="320">
        <f t="shared" si="11"/>
        <v>0.29248381200235485</v>
      </c>
      <c r="K33" s="255"/>
      <c r="L33" s="321">
        <f t="shared" si="12"/>
        <v>0.58921239419375127</v>
      </c>
      <c r="M33" s="322">
        <f t="shared" si="13"/>
        <v>0.5013213899896275</v>
      </c>
    </row>
    <row r="34" spans="1:13" s="257" customFormat="1" ht="13.5" customHeight="1" x14ac:dyDescent="0.2">
      <c r="A34" s="256" t="s">
        <v>29</v>
      </c>
      <c r="B34" s="316">
        <v>44.784313725490193</v>
      </c>
      <c r="C34" s="316">
        <f t="shared" si="7"/>
        <v>1.8660130718954246</v>
      </c>
      <c r="D34" s="316">
        <f t="shared" si="8"/>
        <v>32.154115586690018</v>
      </c>
      <c r="E34" s="317">
        <f t="shared" si="9"/>
        <v>0.76847941325512981</v>
      </c>
      <c r="F34" s="255"/>
      <c r="G34" s="318">
        <v>51</v>
      </c>
      <c r="H34" s="318">
        <v>601</v>
      </c>
      <c r="I34" s="319">
        <f t="shared" si="10"/>
        <v>8.4858569051580693E-2</v>
      </c>
      <c r="J34" s="320">
        <f t="shared" si="11"/>
        <v>-0.36585985590518261</v>
      </c>
      <c r="K34" s="255"/>
      <c r="L34" s="321">
        <f t="shared" si="12"/>
        <v>0.2013097786749736</v>
      </c>
      <c r="M34" s="322">
        <f t="shared" si="13"/>
        <v>3.042418084274516E-2</v>
      </c>
    </row>
    <row r="35" spans="1:13" s="257" customFormat="1" ht="13.5" customHeight="1" x14ac:dyDescent="0.2">
      <c r="A35" s="256" t="s">
        <v>30</v>
      </c>
      <c r="B35" s="316">
        <v>20.5</v>
      </c>
      <c r="C35" s="316">
        <f t="shared" si="7"/>
        <v>0.85416666666666663</v>
      </c>
      <c r="D35" s="316">
        <f t="shared" si="8"/>
        <v>70.243902439024396</v>
      </c>
      <c r="E35" s="317">
        <f t="shared" si="9"/>
        <v>0.41917974264738056</v>
      </c>
      <c r="F35" s="255"/>
      <c r="G35" s="318">
        <v>36</v>
      </c>
      <c r="H35" s="318">
        <v>732</v>
      </c>
      <c r="I35" s="319">
        <f t="shared" si="10"/>
        <v>4.9180327868852458E-2</v>
      </c>
      <c r="J35" s="320">
        <f t="shared" si="11"/>
        <v>-0.63248001292093992</v>
      </c>
      <c r="K35" s="255"/>
      <c r="L35" s="321">
        <f t="shared" si="12"/>
        <v>-0.10665013513677968</v>
      </c>
      <c r="M35" s="322">
        <f t="shared" si="13"/>
        <v>-0.34342600253156336</v>
      </c>
    </row>
    <row r="36" spans="1:13" s="257" customFormat="1" ht="13.5" customHeight="1" x14ac:dyDescent="0.2">
      <c r="A36" s="256" t="s">
        <v>31</v>
      </c>
      <c r="B36" s="316">
        <v>35.076086956521742</v>
      </c>
      <c r="C36" s="316">
        <f t="shared" si="7"/>
        <v>1.461503623188406</v>
      </c>
      <c r="D36" s="316">
        <f t="shared" si="8"/>
        <v>41.053610164239224</v>
      </c>
      <c r="E36" s="317">
        <f t="shared" si="9"/>
        <v>0.68686723368151592</v>
      </c>
      <c r="F36" s="255"/>
      <c r="G36" s="318">
        <v>92</v>
      </c>
      <c r="H36" s="318">
        <v>1018</v>
      </c>
      <c r="I36" s="319">
        <f t="shared" si="10"/>
        <v>9.0373280943025547E-2</v>
      </c>
      <c r="J36" s="320">
        <f t="shared" si="11"/>
        <v>-0.32464893009571555</v>
      </c>
      <c r="K36" s="255"/>
      <c r="L36" s="321">
        <f t="shared" si="12"/>
        <v>0.18110915179290019</v>
      </c>
      <c r="M36" s="322">
        <f t="shared" si="13"/>
        <v>5.9014825127430013E-3</v>
      </c>
    </row>
    <row r="37" spans="1:13" s="257" customFormat="1" ht="13.5" customHeight="1" x14ac:dyDescent="0.2">
      <c r="A37" s="256" t="s">
        <v>32</v>
      </c>
      <c r="B37" s="316">
        <v>26.80952380952381</v>
      </c>
      <c r="C37" s="316">
        <f t="shared" si="7"/>
        <v>1.1170634920634921</v>
      </c>
      <c r="D37" s="316">
        <f t="shared" si="8"/>
        <v>53.712255772646536</v>
      </c>
      <c r="E37" s="317">
        <f t="shared" si="9"/>
        <v>0.57078202799373667</v>
      </c>
      <c r="F37" s="255"/>
      <c r="G37" s="318">
        <v>21</v>
      </c>
      <c r="H37" s="318">
        <v>353</v>
      </c>
      <c r="I37" s="319">
        <f t="shared" si="10"/>
        <v>5.9490084985835696E-2</v>
      </c>
      <c r="J37" s="320">
        <f t="shared" si="11"/>
        <v>-0.55543616293836084</v>
      </c>
      <c r="K37" s="255"/>
      <c r="L37" s="321">
        <f t="shared" si="12"/>
        <v>7.6729325276879146E-3</v>
      </c>
      <c r="M37" s="322">
        <f t="shared" si="13"/>
        <v>-0.2046426807632625</v>
      </c>
    </row>
    <row r="38" spans="1:13" s="257" customFormat="1" ht="13.5" customHeight="1" x14ac:dyDescent="0.2">
      <c r="A38" s="256" t="s">
        <v>33</v>
      </c>
      <c r="B38" s="316">
        <v>31.755102040816325</v>
      </c>
      <c r="C38" s="316">
        <f t="shared" si="7"/>
        <v>1.3231292517006803</v>
      </c>
      <c r="D38" s="316">
        <f t="shared" si="8"/>
        <v>45.347043701799485</v>
      </c>
      <c r="E38" s="317">
        <f t="shared" si="9"/>
        <v>0.64749460798896363</v>
      </c>
      <c r="F38" s="255"/>
      <c r="G38" s="318">
        <v>49</v>
      </c>
      <c r="H38" s="318">
        <v>928</v>
      </c>
      <c r="I38" s="319">
        <f t="shared" si="10"/>
        <v>5.2801724137931036E-2</v>
      </c>
      <c r="J38" s="320">
        <f t="shared" si="11"/>
        <v>-0.605417657550535</v>
      </c>
      <c r="K38" s="255"/>
      <c r="L38" s="321">
        <f t="shared" si="12"/>
        <v>2.1038475219214314E-2</v>
      </c>
      <c r="M38" s="322">
        <f t="shared" si="13"/>
        <v>-0.18841748273577308</v>
      </c>
    </row>
    <row r="39" spans="1:13" s="257" customFormat="1" ht="13.5" customHeight="1" x14ac:dyDescent="0.2">
      <c r="A39" s="256" t="s">
        <v>34</v>
      </c>
      <c r="B39" s="316">
        <v>20.75</v>
      </c>
      <c r="C39" s="316">
        <f t="shared" si="7"/>
        <v>0.86458333333333337</v>
      </c>
      <c r="D39" s="316">
        <f t="shared" si="8"/>
        <v>69.397590361445779</v>
      </c>
      <c r="E39" s="317">
        <f t="shared" si="9"/>
        <v>0.42694078712567096</v>
      </c>
      <c r="F39" s="255"/>
      <c r="G39" s="318">
        <v>44</v>
      </c>
      <c r="H39" s="318">
        <v>557</v>
      </c>
      <c r="I39" s="319">
        <f t="shared" si="10"/>
        <v>7.899461400359066E-2</v>
      </c>
      <c r="J39" s="320">
        <f t="shared" si="11"/>
        <v>-0.40968064313572883</v>
      </c>
      <c r="K39" s="255"/>
      <c r="L39" s="321">
        <f t="shared" si="12"/>
        <v>8.6300719949710669E-3</v>
      </c>
      <c r="M39" s="322">
        <f t="shared" si="13"/>
        <v>-0.20348075432637786</v>
      </c>
    </row>
    <row r="40" spans="1:13" s="257" customFormat="1" ht="13.5" customHeight="1" x14ac:dyDescent="0.2">
      <c r="A40" s="256" t="s">
        <v>35</v>
      </c>
      <c r="B40" s="316">
        <v>66.5</v>
      </c>
      <c r="C40" s="316">
        <f t="shared" si="7"/>
        <v>2.7708333333333335</v>
      </c>
      <c r="D40" s="316">
        <f t="shared" si="8"/>
        <v>21.654135338345863</v>
      </c>
      <c r="E40" s="317">
        <f t="shared" si="9"/>
        <v>0.86476873239343588</v>
      </c>
      <c r="F40" s="255"/>
      <c r="G40" s="318">
        <v>54</v>
      </c>
      <c r="H40" s="318">
        <v>430</v>
      </c>
      <c r="I40" s="319">
        <f t="shared" si="10"/>
        <v>0.12558139534883722</v>
      </c>
      <c r="J40" s="320">
        <f t="shared" si="11"/>
        <v>-6.154198648184192E-2</v>
      </c>
      <c r="K40" s="255"/>
      <c r="L40" s="321">
        <f t="shared" si="12"/>
        <v>0.40161337295579697</v>
      </c>
      <c r="M40" s="322">
        <f t="shared" si="13"/>
        <v>0.273584189967157</v>
      </c>
    </row>
    <row r="41" spans="1:13" s="257" customFormat="1" ht="13.5" customHeight="1" x14ac:dyDescent="0.2">
      <c r="A41" s="256" t="s">
        <v>36</v>
      </c>
      <c r="B41" s="316">
        <v>61.536842105263155</v>
      </c>
      <c r="C41" s="316">
        <f t="shared" si="7"/>
        <v>2.5640350877192981</v>
      </c>
      <c r="D41" s="316">
        <f t="shared" si="8"/>
        <v>23.400615805679099</v>
      </c>
      <c r="E41" s="317">
        <f t="shared" si="9"/>
        <v>0.84875275797154226</v>
      </c>
      <c r="F41" s="255"/>
      <c r="G41" s="318">
        <v>95</v>
      </c>
      <c r="H41" s="318">
        <v>1508</v>
      </c>
      <c r="I41" s="319">
        <f t="shared" si="10"/>
        <v>6.2997347480106103E-2</v>
      </c>
      <c r="J41" s="320">
        <f t="shared" si="11"/>
        <v>-0.52922671858462578</v>
      </c>
      <c r="K41" s="255"/>
      <c r="L41" s="321">
        <f t="shared" si="12"/>
        <v>0.15976301969345824</v>
      </c>
      <c r="M41" s="322">
        <f t="shared" si="13"/>
        <v>-2.0011810230242729E-2</v>
      </c>
    </row>
    <row r="42" spans="1:13" s="257" customFormat="1" ht="13.5" customHeight="1" x14ac:dyDescent="0.2">
      <c r="A42" s="256" t="s">
        <v>37</v>
      </c>
      <c r="B42" s="316">
        <v>43.2</v>
      </c>
      <c r="C42" s="316">
        <f t="shared" si="7"/>
        <v>1.8</v>
      </c>
      <c r="D42" s="316">
        <f t="shared" si="8"/>
        <v>33.333333333333336</v>
      </c>
      <c r="E42" s="317">
        <f t="shared" si="9"/>
        <v>0.75766548110911458</v>
      </c>
      <c r="F42" s="255"/>
      <c r="G42" s="318">
        <v>90</v>
      </c>
      <c r="H42" s="318">
        <v>966</v>
      </c>
      <c r="I42" s="319">
        <f t="shared" si="10"/>
        <v>9.3167701863354033E-2</v>
      </c>
      <c r="J42" s="320">
        <f t="shared" si="11"/>
        <v>-0.30376648410488627</v>
      </c>
      <c r="K42" s="255"/>
      <c r="L42" s="321">
        <f t="shared" si="12"/>
        <v>0.22694949850211416</v>
      </c>
      <c r="M42" s="322">
        <f t="shared" si="13"/>
        <v>6.1549705721615451E-2</v>
      </c>
    </row>
    <row r="43" spans="1:13" s="257" customFormat="1" ht="13.5" customHeight="1" x14ac:dyDescent="0.2">
      <c r="A43" s="256" t="s">
        <v>38</v>
      </c>
      <c r="B43" s="316">
        <v>62.508960573476699</v>
      </c>
      <c r="C43" s="316">
        <f t="shared" si="7"/>
        <v>2.6045400238948626</v>
      </c>
      <c r="D43" s="316">
        <f t="shared" si="8"/>
        <v>23.036697247706421</v>
      </c>
      <c r="E43" s="317">
        <f t="shared" si="9"/>
        <v>0.85209004712258707</v>
      </c>
      <c r="F43" s="255"/>
      <c r="G43" s="318">
        <v>279</v>
      </c>
      <c r="H43" s="318">
        <v>2350</v>
      </c>
      <c r="I43" s="319">
        <f t="shared" si="10"/>
        <v>0.11872340425531915</v>
      </c>
      <c r="J43" s="320">
        <f t="shared" si="11"/>
        <v>-0.11279111204276276</v>
      </c>
      <c r="K43" s="255"/>
      <c r="L43" s="321">
        <f t="shared" si="12"/>
        <v>0.36964946753991212</v>
      </c>
      <c r="M43" s="322">
        <f t="shared" si="13"/>
        <v>0.23478137386950038</v>
      </c>
    </row>
    <row r="44" spans="1:13" s="257" customFormat="1" ht="13.5" customHeight="1" x14ac:dyDescent="0.2">
      <c r="A44" s="256" t="s">
        <v>39</v>
      </c>
      <c r="B44" s="316">
        <v>67.752808988764045</v>
      </c>
      <c r="C44" s="316">
        <f t="shared" si="7"/>
        <v>2.8230337078651684</v>
      </c>
      <c r="D44" s="316">
        <f t="shared" si="8"/>
        <v>21.253731343283583</v>
      </c>
      <c r="E44" s="317">
        <f t="shared" si="9"/>
        <v>0.8684406086401445</v>
      </c>
      <c r="F44" s="255"/>
      <c r="G44" s="318">
        <v>89</v>
      </c>
      <c r="H44" s="318">
        <v>551</v>
      </c>
      <c r="I44" s="319">
        <f t="shared" si="10"/>
        <v>0.16152450090744103</v>
      </c>
      <c r="J44" s="320">
        <f t="shared" si="11"/>
        <v>0.20705747722457177</v>
      </c>
      <c r="K44" s="255"/>
      <c r="L44" s="321">
        <f t="shared" si="12"/>
        <v>0.53774904293235815</v>
      </c>
      <c r="M44" s="322">
        <f t="shared" si="13"/>
        <v>0.43884707939513617</v>
      </c>
    </row>
    <row r="45" spans="1:13" s="257" customFormat="1" ht="13.5" customHeight="1" x14ac:dyDescent="0.2">
      <c r="A45" s="256" t="s">
        <v>40</v>
      </c>
      <c r="B45" s="316">
        <v>30.703296703296704</v>
      </c>
      <c r="C45" s="316">
        <f t="shared" si="7"/>
        <v>1.2793040293040294</v>
      </c>
      <c r="D45" s="316">
        <f t="shared" si="8"/>
        <v>46.900501073729416</v>
      </c>
      <c r="E45" s="317">
        <f t="shared" si="9"/>
        <v>0.63324873808105553</v>
      </c>
      <c r="F45" s="255"/>
      <c r="G45" s="318">
        <v>91</v>
      </c>
      <c r="H45" s="318">
        <v>1204</v>
      </c>
      <c r="I45" s="319">
        <f t="shared" si="10"/>
        <v>7.5581395348837205E-2</v>
      </c>
      <c r="J45" s="320">
        <f t="shared" si="11"/>
        <v>-0.4351873066788865</v>
      </c>
      <c r="K45" s="255"/>
      <c r="L45" s="321">
        <f t="shared" si="12"/>
        <v>9.9030715701084515E-2</v>
      </c>
      <c r="M45" s="322">
        <f t="shared" si="13"/>
        <v>-9.3738233592511475E-2</v>
      </c>
    </row>
    <row r="46" spans="1:13" s="257" customFormat="1" ht="13.5" customHeight="1" x14ac:dyDescent="0.2">
      <c r="A46" s="256" t="s">
        <v>41</v>
      </c>
      <c r="B46" s="316">
        <v>34.280487804878049</v>
      </c>
      <c r="C46" s="316">
        <f t="shared" si="7"/>
        <v>1.4283536585365855</v>
      </c>
      <c r="D46" s="316">
        <f t="shared" si="8"/>
        <v>42.006403415154743</v>
      </c>
      <c r="E46" s="317">
        <f t="shared" si="9"/>
        <v>0.67812971120620491</v>
      </c>
      <c r="F46" s="255"/>
      <c r="G46" s="318">
        <v>164</v>
      </c>
      <c r="H46" s="318">
        <v>1639</v>
      </c>
      <c r="I46" s="319">
        <f t="shared" si="10"/>
        <v>0.10006101281269067</v>
      </c>
      <c r="J46" s="320">
        <f t="shared" si="11"/>
        <v>-0.25225341656723271</v>
      </c>
      <c r="K46" s="255"/>
      <c r="L46" s="321">
        <f t="shared" si="12"/>
        <v>0.2129381473194861</v>
      </c>
      <c r="M46" s="322">
        <f t="shared" si="13"/>
        <v>4.454052376636497E-2</v>
      </c>
    </row>
    <row r="47" spans="1:13" s="257" customFormat="1" ht="13.5" customHeight="1" x14ac:dyDescent="0.2">
      <c r="A47" s="256" t="s">
        <v>106</v>
      </c>
      <c r="B47" s="316">
        <v>40.015625</v>
      </c>
      <c r="C47" s="316">
        <f t="shared" si="7"/>
        <v>1.6673177083333333</v>
      </c>
      <c r="D47" s="316">
        <f t="shared" si="8"/>
        <v>35.985942991019137</v>
      </c>
      <c r="E47" s="317">
        <f t="shared" si="9"/>
        <v>0.73333991364735285</v>
      </c>
      <c r="F47" s="255"/>
      <c r="G47" s="318">
        <v>320</v>
      </c>
      <c r="H47" s="318">
        <v>5142</v>
      </c>
      <c r="I47" s="319">
        <f t="shared" si="10"/>
        <v>6.2232594321275765E-2</v>
      </c>
      <c r="J47" s="320">
        <f t="shared" si="11"/>
        <v>-0.53494164736268301</v>
      </c>
      <c r="K47" s="255"/>
      <c r="L47" s="321">
        <f t="shared" si="12"/>
        <v>9.9199133142334917E-2</v>
      </c>
      <c r="M47" s="322">
        <f t="shared" si="13"/>
        <v>-9.353378201140955E-2</v>
      </c>
    </row>
    <row r="48" spans="1:13" s="289" customFormat="1" ht="13.5" customHeight="1" x14ac:dyDescent="0.2">
      <c r="A48" s="331"/>
      <c r="B48" s="332"/>
      <c r="C48" s="332"/>
      <c r="D48" s="332"/>
      <c r="E48" s="333"/>
      <c r="F48" s="255"/>
      <c r="G48" s="334"/>
      <c r="H48" s="334"/>
      <c r="I48" s="335"/>
      <c r="J48" s="336"/>
      <c r="K48" s="255"/>
      <c r="L48" s="337"/>
      <c r="M48" s="338"/>
    </row>
    <row r="49" spans="1:13" s="289" customFormat="1" ht="13.5" customHeight="1" x14ac:dyDescent="0.2">
      <c r="A49" s="288" t="s">
        <v>115</v>
      </c>
      <c r="B49" s="324"/>
      <c r="C49" s="324"/>
      <c r="D49" s="324"/>
      <c r="E49" s="325"/>
      <c r="F49" s="255"/>
      <c r="G49" s="326"/>
      <c r="H49" s="326"/>
      <c r="I49" s="327"/>
      <c r="J49" s="328"/>
      <c r="K49" s="255"/>
      <c r="L49" s="329"/>
      <c r="M49" s="330"/>
    </row>
    <row r="50" spans="1:13" s="257" customFormat="1" ht="13.5" customHeight="1" x14ac:dyDescent="0.2">
      <c r="A50" s="256" t="s">
        <v>42</v>
      </c>
      <c r="B50" s="316">
        <v>21.5</v>
      </c>
      <c r="C50" s="316">
        <f t="shared" ref="C50:C61" si="14">B50/24</f>
        <v>0.89583333333333337</v>
      </c>
      <c r="D50" s="316">
        <f t="shared" ref="D50:D61" si="15">60/C50</f>
        <v>66.976744186046503</v>
      </c>
      <c r="E50" s="317">
        <f t="shared" ref="E50:E61" si="16">(-((D50-$D$8)/($D$7-$D$8)*200-100))/100</f>
        <v>0.449140984121711</v>
      </c>
      <c r="F50" s="255"/>
      <c r="G50" s="318">
        <v>2</v>
      </c>
      <c r="H50" s="318">
        <v>62</v>
      </c>
      <c r="I50" s="319">
        <f t="shared" ref="I50:I61" si="17">G50/H50</f>
        <v>3.2258064516129031E-2</v>
      </c>
      <c r="J50" s="320">
        <f t="shared" ref="J50:J61" si="18">((I50-$I$8)/($I$7-$I$8)*200-100)/100</f>
        <v>-0.75893850309868105</v>
      </c>
      <c r="K50" s="255"/>
      <c r="L50" s="321">
        <f t="shared" ref="L50:L61" si="19">(E50*E$5+J50*J$5)/($E$5+$J$5)</f>
        <v>-0.15489875948848503</v>
      </c>
      <c r="M50" s="322">
        <f t="shared" ref="M50:M61" si="20">((L50-$L$8)/($L$7-$L$8)*200-100)/100</f>
        <v>-0.40199777194850467</v>
      </c>
    </row>
    <row r="51" spans="1:13" s="257" customFormat="1" ht="13.5" customHeight="1" x14ac:dyDescent="0.2">
      <c r="A51" s="256" t="s">
        <v>43</v>
      </c>
      <c r="B51" s="316">
        <v>28.363636363636363</v>
      </c>
      <c r="C51" s="316">
        <f t="shared" si="14"/>
        <v>1.1818181818181819</v>
      </c>
      <c r="D51" s="316">
        <f t="shared" si="15"/>
        <v>50.769230769230766</v>
      </c>
      <c r="E51" s="317">
        <f t="shared" si="16"/>
        <v>0.59777082864701458</v>
      </c>
      <c r="F51" s="255"/>
      <c r="G51" s="318">
        <v>22</v>
      </c>
      <c r="H51" s="318">
        <v>281</v>
      </c>
      <c r="I51" s="319">
        <f t="shared" si="17"/>
        <v>7.8291814946619215E-2</v>
      </c>
      <c r="J51" s="320">
        <f t="shared" si="18"/>
        <v>-0.41493259470925437</v>
      </c>
      <c r="K51" s="255"/>
      <c r="L51" s="321">
        <f t="shared" si="19"/>
        <v>9.141911696888011E-2</v>
      </c>
      <c r="M51" s="322">
        <f t="shared" si="20"/>
        <v>-0.10297838938611818</v>
      </c>
    </row>
    <row r="52" spans="1:13" s="257" customFormat="1" ht="13.5" customHeight="1" x14ac:dyDescent="0.2">
      <c r="A52" s="256" t="s">
        <v>44</v>
      </c>
      <c r="B52" s="316">
        <v>73.692307692307693</v>
      </c>
      <c r="C52" s="316">
        <f t="shared" si="14"/>
        <v>3.0705128205128207</v>
      </c>
      <c r="D52" s="316">
        <f t="shared" si="15"/>
        <v>19.54070981210856</v>
      </c>
      <c r="E52" s="317">
        <f t="shared" si="16"/>
        <v>0.88414975027706477</v>
      </c>
      <c r="F52" s="255"/>
      <c r="G52" s="318">
        <v>13</v>
      </c>
      <c r="H52" s="318">
        <v>192</v>
      </c>
      <c r="I52" s="319">
        <f t="shared" si="17"/>
        <v>6.7708333333333329E-2</v>
      </c>
      <c r="J52" s="320">
        <f t="shared" si="18"/>
        <v>-0.49402196223316908</v>
      </c>
      <c r="K52" s="255"/>
      <c r="L52" s="321">
        <f t="shared" si="19"/>
        <v>0.19506389402194785</v>
      </c>
      <c r="M52" s="322">
        <f t="shared" si="20"/>
        <v>2.2841943615936201E-2</v>
      </c>
    </row>
    <row r="53" spans="1:13" s="257" customFormat="1" ht="13.5" customHeight="1" x14ac:dyDescent="0.2">
      <c r="A53" s="256" t="s">
        <v>45</v>
      </c>
      <c r="B53" s="316">
        <v>43.714285714285715</v>
      </c>
      <c r="C53" s="316">
        <f t="shared" si="14"/>
        <v>1.8214285714285714</v>
      </c>
      <c r="D53" s="316">
        <f t="shared" si="15"/>
        <v>32.941176470588239</v>
      </c>
      <c r="E53" s="317">
        <f t="shared" si="16"/>
        <v>0.76126172761777766</v>
      </c>
      <c r="F53" s="255"/>
      <c r="G53" s="318">
        <v>21</v>
      </c>
      <c r="H53" s="318">
        <v>314</v>
      </c>
      <c r="I53" s="319">
        <f t="shared" si="17"/>
        <v>6.6878980891719744E-2</v>
      </c>
      <c r="J53" s="320">
        <f t="shared" si="18"/>
        <v>-0.50021963540522729</v>
      </c>
      <c r="K53" s="255"/>
      <c r="L53" s="321">
        <f t="shared" si="19"/>
        <v>0.13052104610627518</v>
      </c>
      <c r="M53" s="322">
        <f t="shared" si="20"/>
        <v>-5.5510317332947923E-2</v>
      </c>
    </row>
    <row r="54" spans="1:13" s="257" customFormat="1" ht="13.5" customHeight="1" x14ac:dyDescent="0.2">
      <c r="A54" s="256" t="s">
        <v>46</v>
      </c>
      <c r="B54" s="316">
        <v>62.8</v>
      </c>
      <c r="C54" s="316">
        <f t="shared" si="14"/>
        <v>2.6166666666666667</v>
      </c>
      <c r="D54" s="316">
        <f t="shared" si="15"/>
        <v>22.929936305732483</v>
      </c>
      <c r="E54" s="317">
        <f t="shared" si="16"/>
        <v>0.85306909071791726</v>
      </c>
      <c r="F54" s="255"/>
      <c r="G54" s="318">
        <v>20</v>
      </c>
      <c r="H54" s="318">
        <v>440</v>
      </c>
      <c r="I54" s="319">
        <f t="shared" si="17"/>
        <v>4.5454545454545456E-2</v>
      </c>
      <c r="J54" s="320">
        <f t="shared" si="18"/>
        <v>-0.66032243618450503</v>
      </c>
      <c r="K54" s="255"/>
      <c r="L54" s="321">
        <f t="shared" si="19"/>
        <v>9.637332726670611E-2</v>
      </c>
      <c r="M54" s="322">
        <f t="shared" si="20"/>
        <v>-9.6964189663198114E-2</v>
      </c>
    </row>
    <row r="55" spans="1:13" s="257" customFormat="1" ht="13.5" customHeight="1" x14ac:dyDescent="0.2">
      <c r="A55" s="256" t="s">
        <v>47</v>
      </c>
      <c r="B55" s="316">
        <v>46.606837606837608</v>
      </c>
      <c r="C55" s="316">
        <f t="shared" si="14"/>
        <v>1.941951566951567</v>
      </c>
      <c r="D55" s="316">
        <f t="shared" si="15"/>
        <v>30.896754080322758</v>
      </c>
      <c r="E55" s="317">
        <f t="shared" si="16"/>
        <v>0.78000995717000154</v>
      </c>
      <c r="F55" s="255"/>
      <c r="G55" s="318">
        <v>117</v>
      </c>
      <c r="H55" s="318">
        <v>1366</v>
      </c>
      <c r="I55" s="319">
        <f t="shared" si="17"/>
        <v>8.5651537335285508E-2</v>
      </c>
      <c r="J55" s="320">
        <f t="shared" si="18"/>
        <v>-0.35993407813976291</v>
      </c>
      <c r="K55" s="255"/>
      <c r="L55" s="321">
        <f t="shared" si="19"/>
        <v>0.21003793951511932</v>
      </c>
      <c r="M55" s="322">
        <f t="shared" si="20"/>
        <v>4.1019795350559038E-2</v>
      </c>
    </row>
    <row r="56" spans="1:13" s="257" customFormat="1" ht="13.5" customHeight="1" x14ac:dyDescent="0.2">
      <c r="A56" s="256" t="s">
        <v>48</v>
      </c>
      <c r="B56" s="316">
        <v>68</v>
      </c>
      <c r="C56" s="316">
        <f t="shared" si="14"/>
        <v>2.8333333333333335</v>
      </c>
      <c r="D56" s="316">
        <f t="shared" si="15"/>
        <v>21.176470588235293</v>
      </c>
      <c r="E56" s="317">
        <f t="shared" si="16"/>
        <v>0.86914912287767221</v>
      </c>
      <c r="F56" s="255"/>
      <c r="G56" s="318">
        <v>4</v>
      </c>
      <c r="H56" s="318">
        <v>79</v>
      </c>
      <c r="I56" s="319">
        <f t="shared" si="17"/>
        <v>5.0632911392405063E-2</v>
      </c>
      <c r="J56" s="320">
        <f t="shared" si="18"/>
        <v>-0.6216249922055247</v>
      </c>
      <c r="K56" s="255"/>
      <c r="L56" s="321">
        <f t="shared" si="19"/>
        <v>0.12376206533607376</v>
      </c>
      <c r="M56" s="322">
        <f t="shared" si="20"/>
        <v>-6.3715431333297656E-2</v>
      </c>
    </row>
    <row r="57" spans="1:13" s="257" customFormat="1" ht="13.5" customHeight="1" x14ac:dyDescent="0.2">
      <c r="A57" s="256" t="s">
        <v>49</v>
      </c>
      <c r="B57" s="316">
        <v>79.05</v>
      </c>
      <c r="C57" s="316">
        <f t="shared" si="14"/>
        <v>3.2937499999999997</v>
      </c>
      <c r="D57" s="316">
        <f t="shared" si="15"/>
        <v>18.21631878557875</v>
      </c>
      <c r="E57" s="317">
        <f t="shared" si="16"/>
        <v>0.89629498362048432</v>
      </c>
      <c r="F57" s="255"/>
      <c r="G57" s="318">
        <v>20</v>
      </c>
      <c r="H57" s="318">
        <v>389</v>
      </c>
      <c r="I57" s="319">
        <f t="shared" si="17"/>
        <v>5.1413881748071981E-2</v>
      </c>
      <c r="J57" s="320">
        <f t="shared" si="18"/>
        <v>-0.61578887383337344</v>
      </c>
      <c r="K57" s="255"/>
      <c r="L57" s="321">
        <f t="shared" si="19"/>
        <v>0.14025305489355544</v>
      </c>
      <c r="M57" s="322">
        <f t="shared" si="20"/>
        <v>-4.3696074288481268E-2</v>
      </c>
    </row>
    <row r="58" spans="1:13" s="257" customFormat="1" ht="13.5" customHeight="1" x14ac:dyDescent="0.2">
      <c r="A58" s="256" t="s">
        <v>50</v>
      </c>
      <c r="B58" s="316">
        <v>61</v>
      </c>
      <c r="C58" s="316">
        <f t="shared" si="14"/>
        <v>2.5416666666666665</v>
      </c>
      <c r="D58" s="316">
        <f t="shared" si="15"/>
        <v>23.606557377049182</v>
      </c>
      <c r="E58" s="317">
        <f t="shared" si="16"/>
        <v>0.8468641854961203</v>
      </c>
      <c r="F58" s="255"/>
      <c r="G58" s="318">
        <v>111</v>
      </c>
      <c r="H58" s="318">
        <v>1296</v>
      </c>
      <c r="I58" s="319">
        <f t="shared" si="17"/>
        <v>8.5648148148148154E-2</v>
      </c>
      <c r="J58" s="320">
        <f t="shared" si="18"/>
        <v>-0.35995940521802583</v>
      </c>
      <c r="K58" s="255"/>
      <c r="L58" s="321">
        <f t="shared" si="19"/>
        <v>0.24345239013904724</v>
      </c>
      <c r="M58" s="322">
        <f t="shared" si="20"/>
        <v>8.1583511382585391E-2</v>
      </c>
    </row>
    <row r="59" spans="1:13" s="257" customFormat="1" ht="13.5" customHeight="1" x14ac:dyDescent="0.2">
      <c r="A59" s="256" t="s">
        <v>118</v>
      </c>
      <c r="B59" s="316">
        <v>69.909090909090907</v>
      </c>
      <c r="C59" s="316">
        <f t="shared" si="14"/>
        <v>2.9128787878787876</v>
      </c>
      <c r="D59" s="316">
        <f t="shared" si="15"/>
        <v>20.598179453836153</v>
      </c>
      <c r="E59" s="317">
        <f t="shared" si="16"/>
        <v>0.87445230043401034</v>
      </c>
      <c r="F59" s="255"/>
      <c r="G59" s="318">
        <v>22</v>
      </c>
      <c r="H59" s="318">
        <v>223</v>
      </c>
      <c r="I59" s="319">
        <f t="shared" si="17"/>
        <v>9.8654708520179366E-2</v>
      </c>
      <c r="J59" s="320">
        <f t="shared" si="18"/>
        <v>-0.26276259692062992</v>
      </c>
      <c r="K59" s="255"/>
      <c r="L59" s="321">
        <f t="shared" si="19"/>
        <v>0.30584485175669018</v>
      </c>
      <c r="M59" s="322">
        <f t="shared" si="20"/>
        <v>0.15732529520185382</v>
      </c>
    </row>
    <row r="60" spans="1:13" s="257" customFormat="1" ht="13.5" customHeight="1" x14ac:dyDescent="0.2">
      <c r="A60" s="256" t="s">
        <v>51</v>
      </c>
      <c r="B60" s="316">
        <v>25.333333333333332</v>
      </c>
      <c r="C60" s="316">
        <f t="shared" si="14"/>
        <v>1.0555555555555556</v>
      </c>
      <c r="D60" s="316">
        <f t="shared" si="15"/>
        <v>56.84210526315789</v>
      </c>
      <c r="E60" s="317">
        <f t="shared" si="16"/>
        <v>0.5420799667213605</v>
      </c>
      <c r="F60" s="255"/>
      <c r="G60" s="318">
        <v>18</v>
      </c>
      <c r="H60" s="318">
        <v>225</v>
      </c>
      <c r="I60" s="319">
        <f t="shared" si="17"/>
        <v>0.08</v>
      </c>
      <c r="J60" s="320">
        <f t="shared" si="18"/>
        <v>-0.40216748768472899</v>
      </c>
      <c r="K60" s="255"/>
      <c r="L60" s="321">
        <f t="shared" si="19"/>
        <v>6.9956239518315755E-2</v>
      </c>
      <c r="M60" s="322">
        <f t="shared" si="20"/>
        <v>-0.12903340599954191</v>
      </c>
    </row>
    <row r="61" spans="1:13" s="257" customFormat="1" ht="13.5" customHeight="1" x14ac:dyDescent="0.2">
      <c r="A61" s="256" t="s">
        <v>107</v>
      </c>
      <c r="B61" s="316">
        <v>40.422018348623851</v>
      </c>
      <c r="C61" s="316">
        <f t="shared" si="14"/>
        <v>1.6842507645259939</v>
      </c>
      <c r="D61" s="316">
        <f t="shared" si="15"/>
        <v>35.62414888788016</v>
      </c>
      <c r="E61" s="317">
        <f t="shared" si="16"/>
        <v>0.73665772063703738</v>
      </c>
      <c r="F61" s="255"/>
      <c r="G61" s="318">
        <v>109</v>
      </c>
      <c r="H61" s="318">
        <v>2151</v>
      </c>
      <c r="I61" s="319">
        <f t="shared" si="17"/>
        <v>5.0674105067410505E-2</v>
      </c>
      <c r="J61" s="320">
        <f t="shared" si="18"/>
        <v>-0.62131715572777468</v>
      </c>
      <c r="K61" s="255"/>
      <c r="L61" s="321">
        <f t="shared" si="19"/>
        <v>5.767028245463135E-2</v>
      </c>
      <c r="M61" s="322">
        <f t="shared" si="20"/>
        <v>-0.1439480331805163</v>
      </c>
    </row>
    <row r="62" spans="1:13" s="289" customFormat="1" ht="13.5" customHeight="1" x14ac:dyDescent="0.2">
      <c r="A62" s="323"/>
      <c r="B62" s="324"/>
      <c r="C62" s="324"/>
      <c r="D62" s="324"/>
      <c r="E62" s="325"/>
      <c r="F62" s="255"/>
      <c r="G62" s="326"/>
      <c r="H62" s="326"/>
      <c r="I62" s="327"/>
      <c r="J62" s="328"/>
      <c r="K62" s="255"/>
      <c r="L62" s="329"/>
      <c r="M62" s="330"/>
    </row>
    <row r="63" spans="1:13" s="289" customFormat="1" ht="13.5" customHeight="1" x14ac:dyDescent="0.2">
      <c r="A63" s="288" t="s">
        <v>119</v>
      </c>
      <c r="B63" s="324"/>
      <c r="C63" s="324"/>
      <c r="D63" s="324"/>
      <c r="E63" s="325"/>
      <c r="F63" s="255"/>
      <c r="G63" s="326"/>
      <c r="H63" s="326"/>
      <c r="I63" s="327"/>
      <c r="J63" s="328"/>
      <c r="K63" s="255"/>
      <c r="L63" s="329"/>
      <c r="M63" s="330"/>
    </row>
    <row r="64" spans="1:13" s="257" customFormat="1" ht="13.5" customHeight="1" x14ac:dyDescent="0.2">
      <c r="A64" s="256" t="s">
        <v>52</v>
      </c>
      <c r="B64" s="316">
        <v>28.25</v>
      </c>
      <c r="C64" s="316">
        <f t="shared" ref="C64:C69" si="21">B64/24</f>
        <v>1.1770833333333333</v>
      </c>
      <c r="D64" s="316">
        <f t="shared" ref="D64:D69" si="22">60/C64</f>
        <v>50.973451327433629</v>
      </c>
      <c r="E64" s="317">
        <f t="shared" ref="E64:E69" si="23">(-((D64-$D$8)/($D$7-$D$8)*200-100))/100</f>
        <v>0.59589803859995716</v>
      </c>
      <c r="F64" s="255"/>
      <c r="G64" s="318">
        <v>16</v>
      </c>
      <c r="H64" s="318">
        <v>411</v>
      </c>
      <c r="I64" s="319">
        <f t="shared" ref="I64:I69" si="24">G64/H64</f>
        <v>3.8929440389294405E-2</v>
      </c>
      <c r="J64" s="320">
        <f t="shared" ref="J64:J69" si="25">((I64-$I$8)/($I$7-$I$8)*200-100)/100</f>
        <v>-0.70908393561300687</v>
      </c>
      <c r="K64" s="255"/>
      <c r="L64" s="321">
        <f t="shared" ref="L64:L69" si="26">(E64*E$5+J64*J$5)/($E$5+$J$5)</f>
        <v>-5.6592948506524854E-2</v>
      </c>
      <c r="M64" s="322">
        <f t="shared" ref="M64:M69" si="27">((L64-$L$8)/($L$7-$L$8)*200-100)/100</f>
        <v>-0.28265871574643314</v>
      </c>
    </row>
    <row r="65" spans="1:13" s="257" customFormat="1" ht="13.5" customHeight="1" x14ac:dyDescent="0.2">
      <c r="A65" s="256" t="s">
        <v>53</v>
      </c>
      <c r="B65" s="316">
        <v>36.5</v>
      </c>
      <c r="C65" s="316">
        <f t="shared" si="21"/>
        <v>1.5208333333333333</v>
      </c>
      <c r="D65" s="316">
        <f t="shared" si="22"/>
        <v>39.452054794520549</v>
      </c>
      <c r="E65" s="317">
        <f t="shared" si="23"/>
        <v>0.70155418284380888</v>
      </c>
      <c r="F65" s="255"/>
      <c r="G65" s="318">
        <v>2</v>
      </c>
      <c r="H65" s="318">
        <v>154</v>
      </c>
      <c r="I65" s="319">
        <f t="shared" si="24"/>
        <v>1.2987012987012988E-2</v>
      </c>
      <c r="J65" s="320">
        <f t="shared" si="25"/>
        <v>-0.90294926748128712</v>
      </c>
      <c r="K65" s="255"/>
      <c r="L65" s="321">
        <f t="shared" si="26"/>
        <v>-0.10069754231873912</v>
      </c>
      <c r="M65" s="322">
        <f t="shared" si="27"/>
        <v>-0.33619980906686026</v>
      </c>
    </row>
    <row r="66" spans="1:13" s="257" customFormat="1" ht="13.5" customHeight="1" x14ac:dyDescent="0.2">
      <c r="A66" s="256" t="s">
        <v>4</v>
      </c>
      <c r="B66" s="316">
        <v>27.816326530612244</v>
      </c>
      <c r="C66" s="316">
        <f t="shared" si="21"/>
        <v>1.1590136054421769</v>
      </c>
      <c r="D66" s="316">
        <f t="shared" si="22"/>
        <v>51.768158473954507</v>
      </c>
      <c r="E66" s="317">
        <f t="shared" si="23"/>
        <v>0.58861023345718944</v>
      </c>
      <c r="F66" s="255"/>
      <c r="G66" s="318">
        <v>196</v>
      </c>
      <c r="H66" s="318">
        <v>1837</v>
      </c>
      <c r="I66" s="319">
        <f t="shared" si="24"/>
        <v>0.10669569951007077</v>
      </c>
      <c r="J66" s="320">
        <f t="shared" si="25"/>
        <v>-0.20267302385823954</v>
      </c>
      <c r="K66" s="255"/>
      <c r="L66" s="321">
        <f t="shared" si="26"/>
        <v>0.19296860479947495</v>
      </c>
      <c r="M66" s="322">
        <f t="shared" si="27"/>
        <v>2.0298351983024644E-2</v>
      </c>
    </row>
    <row r="67" spans="1:13" s="257" customFormat="1" ht="13.5" customHeight="1" x14ac:dyDescent="0.2">
      <c r="A67" s="256" t="s">
        <v>54</v>
      </c>
      <c r="B67" s="316">
        <v>29.05</v>
      </c>
      <c r="C67" s="316">
        <f t="shared" si="21"/>
        <v>1.2104166666666667</v>
      </c>
      <c r="D67" s="316">
        <f t="shared" si="22"/>
        <v>49.569707401032701</v>
      </c>
      <c r="E67" s="317">
        <f t="shared" si="23"/>
        <v>0.60877097204561703</v>
      </c>
      <c r="F67" s="255"/>
      <c r="G67" s="318">
        <v>20</v>
      </c>
      <c r="H67" s="318">
        <v>201</v>
      </c>
      <c r="I67" s="319">
        <f t="shared" si="24"/>
        <v>9.950248756218906E-2</v>
      </c>
      <c r="J67" s="320">
        <f t="shared" si="25"/>
        <v>-0.25642722348846886</v>
      </c>
      <c r="K67" s="255"/>
      <c r="L67" s="321">
        <f t="shared" si="26"/>
        <v>0.17617187427857409</v>
      </c>
      <c r="M67" s="322">
        <f t="shared" si="27"/>
        <v>-9.2161534153802909E-5</v>
      </c>
    </row>
    <row r="68" spans="1:13" s="257" customFormat="1" ht="13.5" customHeight="1" x14ac:dyDescent="0.2">
      <c r="A68" s="256" t="s">
        <v>55</v>
      </c>
      <c r="B68" s="316">
        <v>55.5</v>
      </c>
      <c r="C68" s="316">
        <f t="shared" si="21"/>
        <v>2.3125</v>
      </c>
      <c r="D68" s="316">
        <f t="shared" si="22"/>
        <v>25.945945945945947</v>
      </c>
      <c r="E68" s="317">
        <f t="shared" si="23"/>
        <v>0.82541098966420146</v>
      </c>
      <c r="F68" s="255"/>
      <c r="G68" s="318">
        <v>6</v>
      </c>
      <c r="H68" s="318">
        <v>111</v>
      </c>
      <c r="I68" s="319">
        <f t="shared" si="24"/>
        <v>5.4054054054054057E-2</v>
      </c>
      <c r="J68" s="320">
        <f t="shared" si="25"/>
        <v>-0.59605911330049255</v>
      </c>
      <c r="K68" s="255"/>
      <c r="L68" s="321">
        <f t="shared" si="26"/>
        <v>0.11467593818185445</v>
      </c>
      <c r="M68" s="322">
        <f t="shared" si="27"/>
        <v>-7.474560165878856E-2</v>
      </c>
    </row>
    <row r="69" spans="1:13" s="257" customFormat="1" ht="13.5" customHeight="1" x14ac:dyDescent="0.2">
      <c r="A69" s="256" t="s">
        <v>108</v>
      </c>
      <c r="B69" s="316">
        <v>34.952380952380949</v>
      </c>
      <c r="C69" s="316">
        <f t="shared" si="21"/>
        <v>1.4563492063492063</v>
      </c>
      <c r="D69" s="316">
        <f t="shared" si="22"/>
        <v>41.198910081743868</v>
      </c>
      <c r="E69" s="317">
        <f t="shared" si="23"/>
        <v>0.68553477116287642</v>
      </c>
      <c r="F69" s="255"/>
      <c r="G69" s="318">
        <v>21</v>
      </c>
      <c r="H69" s="318">
        <v>884</v>
      </c>
      <c r="I69" s="319">
        <f t="shared" si="24"/>
        <v>2.3755656108597284E-2</v>
      </c>
      <c r="J69" s="320">
        <f t="shared" si="25"/>
        <v>-0.82247620533624599</v>
      </c>
      <c r="K69" s="255"/>
      <c r="L69" s="321">
        <f t="shared" si="26"/>
        <v>-6.8470717086684785E-2</v>
      </c>
      <c r="M69" s="322">
        <f t="shared" si="27"/>
        <v>-0.29707781954084694</v>
      </c>
    </row>
    <row r="70" spans="1:13" s="289" customFormat="1" ht="13.5" customHeight="1" x14ac:dyDescent="0.2">
      <c r="A70" s="323"/>
      <c r="B70" s="324"/>
      <c r="C70" s="324"/>
      <c r="D70" s="324"/>
      <c r="E70" s="325"/>
      <c r="F70" s="255"/>
      <c r="G70" s="326"/>
      <c r="H70" s="326"/>
      <c r="I70" s="327"/>
      <c r="J70" s="328"/>
      <c r="K70" s="255"/>
      <c r="L70" s="329"/>
      <c r="M70" s="330"/>
    </row>
    <row r="71" spans="1:13" s="289" customFormat="1" ht="13.5" customHeight="1" x14ac:dyDescent="0.2">
      <c r="A71" s="288" t="s">
        <v>120</v>
      </c>
      <c r="B71" s="324"/>
      <c r="C71" s="324"/>
      <c r="D71" s="324"/>
      <c r="E71" s="325"/>
      <c r="F71" s="255"/>
      <c r="G71" s="326"/>
      <c r="H71" s="326"/>
      <c r="I71" s="327"/>
      <c r="J71" s="328"/>
      <c r="K71" s="255"/>
      <c r="L71" s="329"/>
      <c r="M71" s="330"/>
    </row>
    <row r="72" spans="1:13" s="249" customFormat="1" ht="13.5" customHeight="1" x14ac:dyDescent="0.2">
      <c r="A72" s="256" t="s">
        <v>5</v>
      </c>
      <c r="B72" s="316">
        <v>208.46346469622333</v>
      </c>
      <c r="C72" s="316">
        <f>B72/24</f>
        <v>8.6859776956759713</v>
      </c>
      <c r="D72" s="316">
        <f>60/C72</f>
        <v>6.9076852488199494</v>
      </c>
      <c r="E72" s="317">
        <f>(-((D72-$D$8)/($D$7-$D$8)*200-100))/100</f>
        <v>1</v>
      </c>
      <c r="F72" s="255"/>
      <c r="G72" s="318">
        <v>2436</v>
      </c>
      <c r="H72" s="318">
        <v>9102</v>
      </c>
      <c r="I72" s="319">
        <f>G72/H72</f>
        <v>0.26763348714568225</v>
      </c>
      <c r="J72" s="320">
        <f>((I72-$I$8)/($I$7-$I$8)*200-100)/100</f>
        <v>1</v>
      </c>
      <c r="K72" s="255"/>
      <c r="L72" s="321">
        <f>(E72*E$5+J72*J$5)/($E$5+$J$5)</f>
        <v>1</v>
      </c>
      <c r="M72" s="322">
        <f>((L72-$L$8)/($L$7-$L$8)*200-100)/100</f>
        <v>1</v>
      </c>
    </row>
    <row r="73" spans="1:13" s="339" customFormat="1" ht="13.5" customHeight="1" x14ac:dyDescent="0.2">
      <c r="A73" s="331"/>
      <c r="B73" s="332"/>
      <c r="C73" s="332"/>
      <c r="D73" s="332"/>
      <c r="E73" s="333"/>
      <c r="F73" s="255"/>
      <c r="G73" s="334"/>
      <c r="H73" s="334"/>
      <c r="I73" s="335"/>
      <c r="J73" s="336"/>
      <c r="K73" s="255"/>
      <c r="L73" s="337"/>
      <c r="M73" s="338"/>
    </row>
    <row r="74" spans="1:13" s="311" customFormat="1" ht="13.5" customHeight="1" x14ac:dyDescent="0.2">
      <c r="A74" s="247" t="s">
        <v>114</v>
      </c>
      <c r="B74" s="340"/>
      <c r="C74" s="340"/>
      <c r="D74" s="340"/>
      <c r="E74" s="341"/>
      <c r="F74" s="255"/>
      <c r="G74" s="342"/>
      <c r="H74" s="342"/>
      <c r="I74" s="343"/>
      <c r="J74" s="344"/>
      <c r="K74" s="255"/>
      <c r="L74" s="345"/>
      <c r="M74" s="346"/>
    </row>
    <row r="75" spans="1:13" s="257" customFormat="1" ht="13.5" customHeight="1" x14ac:dyDescent="0.2">
      <c r="A75" s="256" t="s">
        <v>56</v>
      </c>
      <c r="B75" s="316">
        <v>44.166666666666664</v>
      </c>
      <c r="C75" s="316">
        <f t="shared" ref="C75:C95" si="28">B75/24</f>
        <v>1.8402777777777777</v>
      </c>
      <c r="D75" s="316">
        <f t="shared" ref="D75:D95" si="29">60/C75</f>
        <v>32.60377358490566</v>
      </c>
      <c r="E75" s="317">
        <f t="shared" ref="E75:E95" si="30">(-((D75-$D$8)/($D$7-$D$8)*200-100))/100</f>
        <v>0.76435585668938233</v>
      </c>
      <c r="F75" s="255"/>
      <c r="G75" s="318">
        <v>30</v>
      </c>
      <c r="H75" s="318">
        <v>292</v>
      </c>
      <c r="I75" s="319">
        <f t="shared" ref="I75:I95" si="31">G75/H75</f>
        <v>0.10273972602739725</v>
      </c>
      <c r="J75" s="320">
        <f t="shared" ref="J75:J95" si="32">((I75-$I$8)/($I$7-$I$8)*200-100)/100</f>
        <v>-0.23223564343073078</v>
      </c>
      <c r="K75" s="255"/>
      <c r="L75" s="321">
        <f>(E75*E$5+J75*J$5)/($E$5+$J$5)</f>
        <v>0.26606010662932578</v>
      </c>
      <c r="M75" s="322">
        <f t="shared" ref="M75:M95" si="33">((L75-$L$8)/($L$7-$L$8)*200-100)/100</f>
        <v>0.10902831369777061</v>
      </c>
    </row>
    <row r="76" spans="1:13" s="257" customFormat="1" ht="13.5" customHeight="1" x14ac:dyDescent="0.2">
      <c r="A76" s="256" t="s">
        <v>57</v>
      </c>
      <c r="B76" s="316">
        <v>55.833333333333336</v>
      </c>
      <c r="C76" s="316">
        <f t="shared" si="28"/>
        <v>2.3263888888888888</v>
      </c>
      <c r="D76" s="316">
        <f t="shared" si="29"/>
        <v>25.791044776119403</v>
      </c>
      <c r="E76" s="317">
        <f t="shared" si="30"/>
        <v>0.82683149978170167</v>
      </c>
      <c r="F76" s="255"/>
      <c r="G76" s="318">
        <v>60</v>
      </c>
      <c r="H76" s="318">
        <v>498</v>
      </c>
      <c r="I76" s="319">
        <f t="shared" si="31"/>
        <v>0.12048192771084337</v>
      </c>
      <c r="J76" s="320">
        <f t="shared" si="32"/>
        <v>-9.964983085049553E-2</v>
      </c>
      <c r="K76" s="255"/>
      <c r="L76" s="321">
        <f t="shared" ref="L76:L95" si="34">(E76*E$5+J76*J$5)/($E$5+$J$5)</f>
        <v>0.36359083446560309</v>
      </c>
      <c r="M76" s="322">
        <f t="shared" si="33"/>
        <v>0.22742645206233106</v>
      </c>
    </row>
    <row r="77" spans="1:13" s="257" customFormat="1" ht="13.5" customHeight="1" x14ac:dyDescent="0.2">
      <c r="A77" s="256" t="s">
        <v>58</v>
      </c>
      <c r="B77" s="316">
        <v>31.473684210526315</v>
      </c>
      <c r="C77" s="316">
        <f t="shared" si="28"/>
        <v>1.3114035087719298</v>
      </c>
      <c r="D77" s="316">
        <f t="shared" si="29"/>
        <v>45.752508361204015</v>
      </c>
      <c r="E77" s="317">
        <f t="shared" si="30"/>
        <v>0.64377632328125056</v>
      </c>
      <c r="F77" s="255"/>
      <c r="G77" s="318">
        <v>19</v>
      </c>
      <c r="H77" s="318">
        <v>206</v>
      </c>
      <c r="I77" s="319">
        <f t="shared" si="31"/>
        <v>9.2233009708737865E-2</v>
      </c>
      <c r="J77" s="320">
        <f t="shared" si="32"/>
        <v>-0.31075135109283081</v>
      </c>
      <c r="K77" s="255"/>
      <c r="L77" s="321">
        <f t="shared" si="34"/>
        <v>0.16651248609420988</v>
      </c>
      <c r="M77" s="322">
        <f t="shared" si="33"/>
        <v>-1.1818246268076536E-2</v>
      </c>
    </row>
    <row r="78" spans="1:13" s="257" customFormat="1" ht="13.5" customHeight="1" x14ac:dyDescent="0.2">
      <c r="A78" s="256" t="s">
        <v>59</v>
      </c>
      <c r="B78" s="316">
        <v>72.306122448979593</v>
      </c>
      <c r="C78" s="316">
        <f t="shared" si="28"/>
        <v>3.0127551020408165</v>
      </c>
      <c r="D78" s="316">
        <f t="shared" si="29"/>
        <v>19.915325994919559</v>
      </c>
      <c r="E78" s="317">
        <f t="shared" si="30"/>
        <v>0.88071435932128173</v>
      </c>
      <c r="F78" s="255"/>
      <c r="G78" s="318">
        <v>49</v>
      </c>
      <c r="H78" s="318">
        <v>571</v>
      </c>
      <c r="I78" s="319">
        <f t="shared" si="31"/>
        <v>8.5814360770577927E-2</v>
      </c>
      <c r="J78" s="320">
        <f t="shared" si="32"/>
        <v>-0.35871731384745459</v>
      </c>
      <c r="K78" s="255"/>
      <c r="L78" s="321">
        <f t="shared" si="34"/>
        <v>0.2609985227369136</v>
      </c>
      <c r="M78" s="322">
        <f t="shared" si="33"/>
        <v>0.10288376701660923</v>
      </c>
    </row>
    <row r="79" spans="1:13" s="257" customFormat="1" ht="13.5" customHeight="1" x14ac:dyDescent="0.2">
      <c r="A79" s="256" t="s">
        <v>60</v>
      </c>
      <c r="B79" s="316">
        <v>110.93333333333334</v>
      </c>
      <c r="C79" s="316">
        <f t="shared" si="28"/>
        <v>4.6222222222222227</v>
      </c>
      <c r="D79" s="316">
        <f t="shared" si="29"/>
        <v>12.98076923076923</v>
      </c>
      <c r="E79" s="317">
        <f t="shared" si="30"/>
        <v>0.9443072169793969</v>
      </c>
      <c r="F79" s="255"/>
      <c r="G79" s="318">
        <v>15</v>
      </c>
      <c r="H79" s="318">
        <v>62</v>
      </c>
      <c r="I79" s="319">
        <f t="shared" si="31"/>
        <v>0.24193548387096775</v>
      </c>
      <c r="J79" s="320">
        <f t="shared" si="32"/>
        <v>0.80796122675989213</v>
      </c>
      <c r="K79" s="255"/>
      <c r="L79" s="321">
        <f t="shared" si="34"/>
        <v>0.87613422186964451</v>
      </c>
      <c r="M79" s="322">
        <f t="shared" si="33"/>
        <v>0.84963223526507081</v>
      </c>
    </row>
    <row r="80" spans="1:13" s="257" customFormat="1" ht="13.5" customHeight="1" x14ac:dyDescent="0.2">
      <c r="A80" s="256" t="s">
        <v>61</v>
      </c>
      <c r="B80" s="316">
        <v>75.38095238095238</v>
      </c>
      <c r="C80" s="316">
        <f t="shared" si="28"/>
        <v>3.1408730158730158</v>
      </c>
      <c r="D80" s="316">
        <f t="shared" si="29"/>
        <v>19.102969046114971</v>
      </c>
      <c r="E80" s="317">
        <f t="shared" si="30"/>
        <v>0.88816402071564482</v>
      </c>
      <c r="F80" s="255"/>
      <c r="G80" s="318">
        <v>189</v>
      </c>
      <c r="H80" s="318">
        <v>1088</v>
      </c>
      <c r="I80" s="319">
        <f t="shared" si="31"/>
        <v>0.17371323529411764</v>
      </c>
      <c r="J80" s="320">
        <f t="shared" si="32"/>
        <v>0.29814274847870192</v>
      </c>
      <c r="K80" s="255"/>
      <c r="L80" s="321">
        <f t="shared" si="34"/>
        <v>0.59315338459717337</v>
      </c>
      <c r="M80" s="322">
        <f t="shared" si="33"/>
        <v>0.50610558403215578</v>
      </c>
    </row>
    <row r="81" spans="1:13" s="257" customFormat="1" ht="13.5" customHeight="1" x14ac:dyDescent="0.2">
      <c r="A81" s="256" t="s">
        <v>62</v>
      </c>
      <c r="B81" s="316">
        <v>59.725490196078432</v>
      </c>
      <c r="C81" s="316">
        <f t="shared" si="28"/>
        <v>2.488562091503268</v>
      </c>
      <c r="D81" s="316">
        <f t="shared" si="29"/>
        <v>24.110308601444515</v>
      </c>
      <c r="E81" s="317">
        <f t="shared" si="30"/>
        <v>0.84224457086210558</v>
      </c>
      <c r="F81" s="255"/>
      <c r="G81" s="318">
        <v>51</v>
      </c>
      <c r="H81" s="318">
        <v>326</v>
      </c>
      <c r="I81" s="319">
        <f t="shared" si="31"/>
        <v>0.15644171779141106</v>
      </c>
      <c r="J81" s="320">
        <f t="shared" si="32"/>
        <v>0.16907431472694867</v>
      </c>
      <c r="K81" s="255"/>
      <c r="L81" s="321">
        <f t="shared" si="34"/>
        <v>0.50565944279452713</v>
      </c>
      <c r="M81" s="322">
        <f t="shared" si="33"/>
        <v>0.3998916752730608</v>
      </c>
    </row>
    <row r="82" spans="1:13" s="257" customFormat="1" ht="13.5" customHeight="1" x14ac:dyDescent="0.2">
      <c r="A82" s="256" t="s">
        <v>63</v>
      </c>
      <c r="B82" s="316">
        <v>28.114942528735632</v>
      </c>
      <c r="C82" s="316">
        <f t="shared" si="28"/>
        <v>1.171455938697318</v>
      </c>
      <c r="D82" s="316">
        <f t="shared" si="29"/>
        <v>51.218315617334426</v>
      </c>
      <c r="E82" s="317">
        <f t="shared" si="30"/>
        <v>0.59365252811344449</v>
      </c>
      <c r="F82" s="255"/>
      <c r="G82" s="318">
        <v>87</v>
      </c>
      <c r="H82" s="318">
        <v>579</v>
      </c>
      <c r="I82" s="319">
        <f t="shared" si="31"/>
        <v>0.15025906735751296</v>
      </c>
      <c r="J82" s="320">
        <f t="shared" si="32"/>
        <v>0.12287194670614369</v>
      </c>
      <c r="K82" s="255"/>
      <c r="L82" s="321">
        <f t="shared" si="34"/>
        <v>0.35826223740979407</v>
      </c>
      <c r="M82" s="322">
        <f t="shared" si="33"/>
        <v>0.22095776280409282</v>
      </c>
    </row>
    <row r="83" spans="1:13" s="257" customFormat="1" ht="13.5" customHeight="1" x14ac:dyDescent="0.2">
      <c r="A83" s="256" t="s">
        <v>64</v>
      </c>
      <c r="B83" s="316">
        <v>35.361111111111114</v>
      </c>
      <c r="C83" s="316">
        <f t="shared" si="28"/>
        <v>1.4733796296296298</v>
      </c>
      <c r="D83" s="316">
        <f t="shared" si="29"/>
        <v>40.722702278083261</v>
      </c>
      <c r="E83" s="317">
        <f t="shared" si="30"/>
        <v>0.68990180082372343</v>
      </c>
      <c r="F83" s="255"/>
      <c r="G83" s="318">
        <v>36</v>
      </c>
      <c r="H83" s="318">
        <v>345</v>
      </c>
      <c r="I83" s="319">
        <f t="shared" si="31"/>
        <v>0.10434782608695652</v>
      </c>
      <c r="J83" s="320">
        <f t="shared" si="32"/>
        <v>-0.2202184621974726</v>
      </c>
      <c r="K83" s="255"/>
      <c r="L83" s="321">
        <f t="shared" si="34"/>
        <v>0.23484166931312542</v>
      </c>
      <c r="M83" s="322">
        <f t="shared" si="33"/>
        <v>7.1130464036548199E-2</v>
      </c>
    </row>
    <row r="84" spans="1:13" s="257" customFormat="1" ht="13.5" customHeight="1" x14ac:dyDescent="0.2">
      <c r="A84" s="256" t="s">
        <v>65</v>
      </c>
      <c r="B84" s="316">
        <v>101</v>
      </c>
      <c r="C84" s="316">
        <f t="shared" si="28"/>
        <v>4.208333333333333</v>
      </c>
      <c r="D84" s="316">
        <f t="shared" si="29"/>
        <v>14.257425742574258</v>
      </c>
      <c r="E84" s="317">
        <f t="shared" si="30"/>
        <v>0.93259972959487758</v>
      </c>
      <c r="F84" s="255"/>
      <c r="G84" s="318">
        <v>2</v>
      </c>
      <c r="H84" s="318">
        <v>422</v>
      </c>
      <c r="I84" s="319">
        <f t="shared" si="31"/>
        <v>4.7393364928909956E-3</v>
      </c>
      <c r="J84" s="320">
        <f t="shared" si="32"/>
        <v>-0.96458338197184412</v>
      </c>
      <c r="K84" s="255"/>
      <c r="L84" s="321">
        <f t="shared" si="34"/>
        <v>-1.5991826188483271E-2</v>
      </c>
      <c r="M84" s="322">
        <f t="shared" si="33"/>
        <v>-0.23337068719775375</v>
      </c>
    </row>
    <row r="85" spans="1:13" s="257" customFormat="1" ht="13.5" customHeight="1" x14ac:dyDescent="0.2">
      <c r="A85" s="256" t="s">
        <v>66</v>
      </c>
      <c r="B85" s="316">
        <v>43.09</v>
      </c>
      <c r="C85" s="316">
        <f t="shared" si="28"/>
        <v>1.7954166666666669</v>
      </c>
      <c r="D85" s="316">
        <f t="shared" si="29"/>
        <v>33.418426549083307</v>
      </c>
      <c r="E85" s="317">
        <f t="shared" si="30"/>
        <v>0.75688513984998251</v>
      </c>
      <c r="F85" s="255"/>
      <c r="G85" s="318">
        <v>100</v>
      </c>
      <c r="H85" s="318">
        <v>821</v>
      </c>
      <c r="I85" s="319">
        <f t="shared" si="31"/>
        <v>0.1218026796589525</v>
      </c>
      <c r="J85" s="320">
        <f t="shared" si="32"/>
        <v>-8.9779975159453476E-2</v>
      </c>
      <c r="K85" s="255"/>
      <c r="L85" s="321">
        <f t="shared" si="34"/>
        <v>0.33355258234526453</v>
      </c>
      <c r="M85" s="322">
        <f t="shared" si="33"/>
        <v>0.19096129682691057</v>
      </c>
    </row>
    <row r="86" spans="1:13" s="257" customFormat="1" ht="13.5" customHeight="1" x14ac:dyDescent="0.2">
      <c r="A86" s="256" t="s">
        <v>67</v>
      </c>
      <c r="B86" s="316">
        <v>43.642857142857146</v>
      </c>
      <c r="C86" s="316">
        <f t="shared" si="28"/>
        <v>1.8184523809523812</v>
      </c>
      <c r="D86" s="316">
        <f t="shared" si="29"/>
        <v>32.995090016366611</v>
      </c>
      <c r="E86" s="317">
        <f t="shared" si="30"/>
        <v>0.76076731729580116</v>
      </c>
      <c r="F86" s="255"/>
      <c r="G86" s="318">
        <v>56</v>
      </c>
      <c r="H86" s="318">
        <v>433</v>
      </c>
      <c r="I86" s="319">
        <f t="shared" si="31"/>
        <v>0.12933025404157045</v>
      </c>
      <c r="J86" s="320">
        <f t="shared" si="32"/>
        <v>-3.3527116349446405E-2</v>
      </c>
      <c r="K86" s="255"/>
      <c r="L86" s="321">
        <f t="shared" si="34"/>
        <v>0.36362010047317739</v>
      </c>
      <c r="M86" s="322">
        <f t="shared" si="33"/>
        <v>0.2274619797456677</v>
      </c>
    </row>
    <row r="87" spans="1:13" s="257" customFormat="1" ht="13.5" customHeight="1" x14ac:dyDescent="0.2">
      <c r="A87" s="256" t="s">
        <v>68</v>
      </c>
      <c r="B87" s="316">
        <v>45.989690721649481</v>
      </c>
      <c r="C87" s="316">
        <f t="shared" si="28"/>
        <v>1.9162371134020617</v>
      </c>
      <c r="D87" s="316">
        <f t="shared" si="29"/>
        <v>31.311365164761266</v>
      </c>
      <c r="E87" s="317">
        <f t="shared" si="30"/>
        <v>0.77620779582459565</v>
      </c>
      <c r="F87" s="255"/>
      <c r="G87" s="318">
        <v>97</v>
      </c>
      <c r="H87" s="318">
        <v>641</v>
      </c>
      <c r="I87" s="319">
        <f t="shared" si="31"/>
        <v>0.15132605304212168</v>
      </c>
      <c r="J87" s="320">
        <f t="shared" si="32"/>
        <v>0.13084543086156941</v>
      </c>
      <c r="K87" s="255"/>
      <c r="L87" s="321">
        <f t="shared" si="34"/>
        <v>0.45352661334308253</v>
      </c>
      <c r="M87" s="322">
        <f t="shared" si="33"/>
        <v>0.33660464674714119</v>
      </c>
    </row>
    <row r="88" spans="1:13" s="257" customFormat="1" ht="13.5" customHeight="1" x14ac:dyDescent="0.2">
      <c r="A88" s="256" t="s">
        <v>69</v>
      </c>
      <c r="B88" s="316">
        <v>6.4</v>
      </c>
      <c r="C88" s="316">
        <f t="shared" si="28"/>
        <v>0.26666666666666666</v>
      </c>
      <c r="D88" s="316">
        <f t="shared" si="29"/>
        <v>225</v>
      </c>
      <c r="E88" s="317">
        <f t="shared" si="30"/>
        <v>-1</v>
      </c>
      <c r="F88" s="255"/>
      <c r="G88" s="318">
        <v>15</v>
      </c>
      <c r="H88" s="318">
        <v>159</v>
      </c>
      <c r="I88" s="319">
        <f t="shared" si="31"/>
        <v>9.4339622641509441E-2</v>
      </c>
      <c r="J88" s="320">
        <f t="shared" si="32"/>
        <v>-0.29500882981689741</v>
      </c>
      <c r="K88" s="255"/>
      <c r="L88" s="321">
        <f t="shared" si="34"/>
        <v>-0.64750441490844868</v>
      </c>
      <c r="M88" s="322">
        <f t="shared" si="33"/>
        <v>-1</v>
      </c>
    </row>
    <row r="89" spans="1:13" s="257" customFormat="1" ht="13.5" customHeight="1" x14ac:dyDescent="0.2">
      <c r="A89" s="256" t="s">
        <v>70</v>
      </c>
      <c r="B89" s="316">
        <v>47.637500000000003</v>
      </c>
      <c r="C89" s="316">
        <f t="shared" si="28"/>
        <v>1.9848958333333335</v>
      </c>
      <c r="D89" s="316">
        <f t="shared" si="29"/>
        <v>30.228286538966149</v>
      </c>
      <c r="E89" s="317">
        <f t="shared" si="30"/>
        <v>0.78614009102748528</v>
      </c>
      <c r="F89" s="255"/>
      <c r="G89" s="318">
        <v>160</v>
      </c>
      <c r="H89" s="318">
        <v>1637</v>
      </c>
      <c r="I89" s="319">
        <f t="shared" si="31"/>
        <v>9.7739767868051317E-2</v>
      </c>
      <c r="J89" s="320">
        <f t="shared" si="32"/>
        <v>-0.26959986277914366</v>
      </c>
      <c r="K89" s="255"/>
      <c r="L89" s="321">
        <f t="shared" si="34"/>
        <v>0.25827011412417078</v>
      </c>
      <c r="M89" s="322">
        <f t="shared" si="33"/>
        <v>9.9571595482435382E-2</v>
      </c>
    </row>
    <row r="90" spans="1:13" s="257" customFormat="1" ht="13.5" customHeight="1" x14ac:dyDescent="0.2">
      <c r="A90" s="256" t="s">
        <v>71</v>
      </c>
      <c r="B90" s="316">
        <v>49.644230769230766</v>
      </c>
      <c r="C90" s="316">
        <f t="shared" si="28"/>
        <v>2.0685096153846154</v>
      </c>
      <c r="D90" s="316">
        <f t="shared" si="29"/>
        <v>29.006391632771646</v>
      </c>
      <c r="E90" s="317">
        <f t="shared" si="30"/>
        <v>0.79734539101789126</v>
      </c>
      <c r="F90" s="255"/>
      <c r="G90" s="318">
        <v>104</v>
      </c>
      <c r="H90" s="318">
        <v>721</v>
      </c>
      <c r="I90" s="319">
        <f t="shared" si="31"/>
        <v>0.14424410540915394</v>
      </c>
      <c r="J90" s="320">
        <f t="shared" si="32"/>
        <v>7.7922699042790811E-2</v>
      </c>
      <c r="K90" s="255"/>
      <c r="L90" s="321">
        <f t="shared" si="34"/>
        <v>0.43763404503034103</v>
      </c>
      <c r="M90" s="322">
        <f t="shared" si="33"/>
        <v>0.31731174753676217</v>
      </c>
    </row>
    <row r="91" spans="1:13" s="257" customFormat="1" ht="13.5" customHeight="1" x14ac:dyDescent="0.2">
      <c r="A91" s="256" t="s">
        <v>72</v>
      </c>
      <c r="B91" s="316">
        <v>62.285714285714285</v>
      </c>
      <c r="C91" s="316">
        <f t="shared" si="28"/>
        <v>2.5952380952380953</v>
      </c>
      <c r="D91" s="316">
        <f t="shared" si="29"/>
        <v>23.11926605504587</v>
      </c>
      <c r="E91" s="317">
        <f t="shared" si="30"/>
        <v>0.85133285577053375</v>
      </c>
      <c r="F91" s="255"/>
      <c r="G91" s="318">
        <v>42</v>
      </c>
      <c r="H91" s="318">
        <v>621</v>
      </c>
      <c r="I91" s="319">
        <f t="shared" si="31"/>
        <v>6.7632850241545889E-2</v>
      </c>
      <c r="J91" s="320">
        <f t="shared" si="32"/>
        <v>-0.49458604031317677</v>
      </c>
      <c r="K91" s="255"/>
      <c r="L91" s="321">
        <f t="shared" si="34"/>
        <v>0.17837340772867849</v>
      </c>
      <c r="M91" s="322">
        <f t="shared" si="33"/>
        <v>2.5804060537477371E-3</v>
      </c>
    </row>
    <row r="92" spans="1:13" s="257" customFormat="1" ht="13.5" customHeight="1" x14ac:dyDescent="0.2">
      <c r="A92" s="256" t="s">
        <v>6</v>
      </c>
      <c r="B92" s="316">
        <v>55.680628272251312</v>
      </c>
      <c r="C92" s="316">
        <f t="shared" si="28"/>
        <v>2.3200261780104712</v>
      </c>
      <c r="D92" s="316">
        <f t="shared" si="29"/>
        <v>25.861777150916783</v>
      </c>
      <c r="E92" s="317">
        <f t="shared" si="30"/>
        <v>0.82618285358911958</v>
      </c>
      <c r="F92" s="255"/>
      <c r="G92" s="318">
        <v>191</v>
      </c>
      <c r="H92" s="318">
        <v>1708</v>
      </c>
      <c r="I92" s="319">
        <f t="shared" si="31"/>
        <v>0.11182669789227166</v>
      </c>
      <c r="J92" s="320">
        <f t="shared" si="32"/>
        <v>-0.16432955318928022</v>
      </c>
      <c r="K92" s="255"/>
      <c r="L92" s="321">
        <f t="shared" si="34"/>
        <v>0.33092665019991968</v>
      </c>
      <c r="M92" s="322">
        <f t="shared" si="33"/>
        <v>0.18777352734771213</v>
      </c>
    </row>
    <row r="93" spans="1:13" s="257" customFormat="1" ht="13.5" customHeight="1" x14ac:dyDescent="0.2">
      <c r="A93" s="256" t="s">
        <v>73</v>
      </c>
      <c r="B93" s="316">
        <v>63.804195804195807</v>
      </c>
      <c r="C93" s="316">
        <f t="shared" si="28"/>
        <v>2.6585081585081585</v>
      </c>
      <c r="D93" s="316">
        <f t="shared" si="29"/>
        <v>22.569048662867164</v>
      </c>
      <c r="E93" s="317">
        <f t="shared" si="30"/>
        <v>0.85637858507838616</v>
      </c>
      <c r="F93" s="255"/>
      <c r="G93" s="318">
        <v>143</v>
      </c>
      <c r="H93" s="318">
        <v>1161</v>
      </c>
      <c r="I93" s="319">
        <f t="shared" si="31"/>
        <v>0.1231696813092162</v>
      </c>
      <c r="J93" s="320">
        <f t="shared" si="32"/>
        <v>-7.9564499773000105E-2</v>
      </c>
      <c r="K93" s="255"/>
      <c r="L93" s="321">
        <f t="shared" si="34"/>
        <v>0.38840704265269305</v>
      </c>
      <c r="M93" s="322">
        <f t="shared" si="33"/>
        <v>0.25755226897975519</v>
      </c>
    </row>
    <row r="94" spans="1:13" s="257" customFormat="1" ht="13.5" customHeight="1" x14ac:dyDescent="0.2">
      <c r="A94" s="256" t="s">
        <v>74</v>
      </c>
      <c r="B94" s="316">
        <v>12</v>
      </c>
      <c r="C94" s="316">
        <f t="shared" si="28"/>
        <v>0.5</v>
      </c>
      <c r="D94" s="316">
        <f t="shared" si="29"/>
        <v>120</v>
      </c>
      <c r="E94" s="317">
        <f t="shared" si="30"/>
        <v>-3.7104997305441569E-2</v>
      </c>
      <c r="F94" s="255"/>
      <c r="G94" s="318">
        <v>14</v>
      </c>
      <c r="H94" s="318">
        <v>261</v>
      </c>
      <c r="I94" s="319">
        <f t="shared" si="31"/>
        <v>5.3639846743295021E-2</v>
      </c>
      <c r="J94" s="320">
        <f t="shared" si="32"/>
        <v>-0.59915444576562282</v>
      </c>
      <c r="K94" s="255"/>
      <c r="L94" s="321">
        <f t="shared" si="34"/>
        <v>-0.31812972153553221</v>
      </c>
      <c r="M94" s="322">
        <f t="shared" si="33"/>
        <v>-0.60015318879589197</v>
      </c>
    </row>
    <row r="95" spans="1:13" s="257" customFormat="1" ht="13.5" customHeight="1" x14ac:dyDescent="0.2">
      <c r="A95" s="256" t="s">
        <v>109</v>
      </c>
      <c r="B95" s="316">
        <v>41.707142857142856</v>
      </c>
      <c r="C95" s="316">
        <f t="shared" si="28"/>
        <v>1.737797619047619</v>
      </c>
      <c r="D95" s="316">
        <f t="shared" si="29"/>
        <v>34.526460010275734</v>
      </c>
      <c r="E95" s="317">
        <f t="shared" si="30"/>
        <v>0.74672399811092982</v>
      </c>
      <c r="F95" s="255"/>
      <c r="G95" s="318">
        <v>140</v>
      </c>
      <c r="H95" s="318">
        <v>1882</v>
      </c>
      <c r="I95" s="319">
        <f t="shared" si="31"/>
        <v>7.4388947927736454E-2</v>
      </c>
      <c r="J95" s="320">
        <f t="shared" si="32"/>
        <v>-0.44409835464839309</v>
      </c>
      <c r="K95" s="255"/>
      <c r="L95" s="321">
        <f t="shared" si="34"/>
        <v>0.15131282173126837</v>
      </c>
      <c r="M95" s="322">
        <f t="shared" si="33"/>
        <v>-3.0269989675132791E-2</v>
      </c>
    </row>
    <row r="96" spans="1:13" s="289" customFormat="1" ht="13.5" customHeight="1" x14ac:dyDescent="0.2">
      <c r="A96" s="323"/>
      <c r="B96" s="324"/>
      <c r="C96" s="324"/>
      <c r="D96" s="324"/>
      <c r="E96" s="325"/>
      <c r="F96" s="255"/>
      <c r="G96" s="326"/>
      <c r="H96" s="326"/>
      <c r="I96" s="327"/>
      <c r="J96" s="328"/>
      <c r="K96" s="255"/>
      <c r="L96" s="329"/>
      <c r="M96" s="330"/>
    </row>
    <row r="97" spans="1:13" s="289" customFormat="1" ht="13.5" customHeight="1" x14ac:dyDescent="0.2">
      <c r="A97" s="288" t="s">
        <v>164</v>
      </c>
      <c r="B97" s="324"/>
      <c r="C97" s="324"/>
      <c r="D97" s="324"/>
      <c r="E97" s="325"/>
      <c r="F97" s="255"/>
      <c r="G97" s="326"/>
      <c r="H97" s="326"/>
      <c r="I97" s="327"/>
      <c r="J97" s="328"/>
      <c r="K97" s="255"/>
      <c r="L97" s="329"/>
      <c r="M97" s="330"/>
    </row>
    <row r="98" spans="1:13" s="257" customFormat="1" ht="13.5" customHeight="1" x14ac:dyDescent="0.2">
      <c r="A98" s="256" t="s">
        <v>75</v>
      </c>
      <c r="B98" s="316">
        <v>58.689655172413794</v>
      </c>
      <c r="C98" s="316">
        <f t="shared" ref="C98:C104" si="35">B98/24</f>
        <v>2.4454022988505746</v>
      </c>
      <c r="D98" s="316">
        <f t="shared" ref="D98:D104" si="36">60/C98</f>
        <v>24.535840188014102</v>
      </c>
      <c r="E98" s="317">
        <f t="shared" ref="E98:E113" si="37">(-((D98-$D$8)/($D$7-$D$8)*200-100))/100</f>
        <v>0.83834226383166244</v>
      </c>
      <c r="F98" s="255"/>
      <c r="G98" s="318">
        <v>87</v>
      </c>
      <c r="H98" s="318">
        <v>856</v>
      </c>
      <c r="I98" s="319">
        <f t="shared" ref="I98:I113" si="38">G98/H98</f>
        <v>0.10163551401869159</v>
      </c>
      <c r="J98" s="320">
        <f t="shared" ref="J98:J113" si="39">((I98-$I$8)/($I$7-$I$8)*200-100)/100</f>
        <v>-0.2404873164218958</v>
      </c>
      <c r="K98" s="255"/>
      <c r="L98" s="321">
        <f>(E98*E$5+J98*J$5)/($E$5+$J$5)</f>
        <v>0.29892747370488332</v>
      </c>
      <c r="M98" s="322">
        <f t="shared" ref="M98:M113" si="40">((L98-$L$8)/($L$7-$L$8)*200-100)/100</f>
        <v>0.14892789366628192</v>
      </c>
    </row>
    <row r="99" spans="1:13" s="257" customFormat="1" ht="13.5" customHeight="1" x14ac:dyDescent="0.2">
      <c r="A99" s="256" t="s">
        <v>76</v>
      </c>
      <c r="B99" s="316">
        <v>57.75</v>
      </c>
      <c r="C99" s="316">
        <f t="shared" si="35"/>
        <v>2.40625</v>
      </c>
      <c r="D99" s="316">
        <f t="shared" si="36"/>
        <v>24.935064935064936</v>
      </c>
      <c r="E99" s="317">
        <f t="shared" si="37"/>
        <v>0.83468120179464111</v>
      </c>
      <c r="F99" s="255"/>
      <c r="G99" s="318">
        <v>80</v>
      </c>
      <c r="H99" s="318">
        <v>1297</v>
      </c>
      <c r="I99" s="319">
        <f t="shared" si="38"/>
        <v>6.1680801850424058E-2</v>
      </c>
      <c r="J99" s="320">
        <f t="shared" si="39"/>
        <v>-0.53906514085175705</v>
      </c>
      <c r="K99" s="255"/>
      <c r="L99" s="321">
        <f t="shared" ref="L99:L104" si="41">(E99*E$5+J99*J$5)/($E$5+$J$5)</f>
        <v>0.14780803047144203</v>
      </c>
      <c r="M99" s="322">
        <f t="shared" si="40"/>
        <v>-3.4524656586020656E-2</v>
      </c>
    </row>
    <row r="100" spans="1:13" s="257" customFormat="1" ht="13.5" customHeight="1" x14ac:dyDescent="0.2">
      <c r="A100" s="256" t="s">
        <v>77</v>
      </c>
      <c r="B100" s="316">
        <v>49.445783132530117</v>
      </c>
      <c r="C100" s="316">
        <f t="shared" si="35"/>
        <v>2.0602409638554215</v>
      </c>
      <c r="D100" s="316">
        <f t="shared" si="36"/>
        <v>29.122807017543863</v>
      </c>
      <c r="E100" s="317">
        <f t="shared" si="37"/>
        <v>0.79627781204423476</v>
      </c>
      <c r="F100" s="255"/>
      <c r="G100" s="318">
        <v>83</v>
      </c>
      <c r="H100" s="318">
        <v>961</v>
      </c>
      <c r="I100" s="319">
        <f t="shared" si="38"/>
        <v>8.6368366285119666E-2</v>
      </c>
      <c r="J100" s="320">
        <f t="shared" si="39"/>
        <v>-0.35457728249001702</v>
      </c>
      <c r="K100" s="255"/>
      <c r="L100" s="321">
        <f t="shared" si="41"/>
        <v>0.22085026477710887</v>
      </c>
      <c r="M100" s="322">
        <f t="shared" si="40"/>
        <v>5.4145496458425979E-2</v>
      </c>
    </row>
    <row r="101" spans="1:13" s="257" customFormat="1" ht="13.5" customHeight="1" x14ac:dyDescent="0.2">
      <c r="A101" s="256" t="s">
        <v>78</v>
      </c>
      <c r="B101" s="316">
        <v>39.896551724137929</v>
      </c>
      <c r="C101" s="316">
        <f t="shared" si="35"/>
        <v>1.6623563218390804</v>
      </c>
      <c r="D101" s="316">
        <f t="shared" si="36"/>
        <v>36.093344857389802</v>
      </c>
      <c r="E101" s="317">
        <f t="shared" si="37"/>
        <v>0.73235499250060643</v>
      </c>
      <c r="F101" s="255"/>
      <c r="G101" s="318">
        <v>58</v>
      </c>
      <c r="H101" s="318">
        <v>1001</v>
      </c>
      <c r="I101" s="319">
        <f t="shared" si="38"/>
        <v>5.7942057942057944E-2</v>
      </c>
      <c r="J101" s="320">
        <f t="shared" si="39"/>
        <v>-0.56700442414728125</v>
      </c>
      <c r="K101" s="255"/>
      <c r="L101" s="321">
        <f t="shared" si="41"/>
        <v>8.2675284176662589E-2</v>
      </c>
      <c r="M101" s="322">
        <f t="shared" si="40"/>
        <v>-0.11359302897444777</v>
      </c>
    </row>
    <row r="102" spans="1:13" s="257" customFormat="1" ht="13.5" customHeight="1" x14ac:dyDescent="0.2">
      <c r="A102" s="256" t="s">
        <v>79</v>
      </c>
      <c r="B102" s="316">
        <v>60.833333333333336</v>
      </c>
      <c r="C102" s="316">
        <f t="shared" si="35"/>
        <v>2.5347222222222223</v>
      </c>
      <c r="D102" s="316">
        <f t="shared" si="36"/>
        <v>23.671232876712327</v>
      </c>
      <c r="E102" s="317">
        <f t="shared" si="37"/>
        <v>0.84627108344447821</v>
      </c>
      <c r="F102" s="255"/>
      <c r="G102" s="318">
        <v>6</v>
      </c>
      <c r="H102" s="318">
        <v>325</v>
      </c>
      <c r="I102" s="319">
        <f t="shared" si="38"/>
        <v>1.8461538461538463E-2</v>
      </c>
      <c r="J102" s="320">
        <f t="shared" si="39"/>
        <v>-0.86203865100416821</v>
      </c>
      <c r="K102" s="255"/>
      <c r="L102" s="321">
        <f t="shared" si="41"/>
        <v>-7.8837837798449995E-3</v>
      </c>
      <c r="M102" s="322">
        <f t="shared" si="40"/>
        <v>-0.22352786998249441</v>
      </c>
    </row>
    <row r="103" spans="1:13" s="257" customFormat="1" ht="13.5" customHeight="1" x14ac:dyDescent="0.2">
      <c r="A103" s="256" t="s">
        <v>80</v>
      </c>
      <c r="B103" s="316">
        <v>39.321428571428569</v>
      </c>
      <c r="C103" s="316">
        <f t="shared" si="35"/>
        <v>1.638392857142857</v>
      </c>
      <c r="D103" s="316">
        <f t="shared" si="36"/>
        <v>36.621253405994551</v>
      </c>
      <c r="E103" s="317">
        <f t="shared" si="37"/>
        <v>0.7275138448498325</v>
      </c>
      <c r="F103" s="255"/>
      <c r="G103" s="318">
        <v>56</v>
      </c>
      <c r="H103" s="318">
        <v>888</v>
      </c>
      <c r="I103" s="319">
        <f t="shared" si="38"/>
        <v>6.3063063063063057E-2</v>
      </c>
      <c r="J103" s="320">
        <f t="shared" si="39"/>
        <v>-0.52873563218390807</v>
      </c>
      <c r="K103" s="255"/>
      <c r="L103" s="321">
        <f t="shared" si="41"/>
        <v>9.9389106332962218E-2</v>
      </c>
      <c r="M103" s="322">
        <f t="shared" si="40"/>
        <v>-9.3303162671141415E-2</v>
      </c>
    </row>
    <row r="104" spans="1:13" s="257" customFormat="1" ht="13.5" customHeight="1" x14ac:dyDescent="0.2">
      <c r="A104" s="256" t="s">
        <v>81</v>
      </c>
      <c r="B104" s="316">
        <v>60.608391608391607</v>
      </c>
      <c r="C104" s="316">
        <f t="shared" si="35"/>
        <v>2.5253496503496504</v>
      </c>
      <c r="D104" s="316">
        <f t="shared" si="36"/>
        <v>23.759086188992729</v>
      </c>
      <c r="E104" s="317">
        <f t="shared" si="37"/>
        <v>0.84546543091719284</v>
      </c>
      <c r="F104" s="255"/>
      <c r="G104" s="318">
        <v>143</v>
      </c>
      <c r="H104" s="318">
        <v>1272</v>
      </c>
      <c r="I104" s="319">
        <f t="shared" si="38"/>
        <v>0.11242138364779874</v>
      </c>
      <c r="J104" s="320">
        <f t="shared" si="39"/>
        <v>-0.15988552219846938</v>
      </c>
      <c r="K104" s="255"/>
      <c r="L104" s="321">
        <f t="shared" si="41"/>
        <v>0.34278995435936171</v>
      </c>
      <c r="M104" s="322">
        <f t="shared" si="40"/>
        <v>0.20217507195310389</v>
      </c>
    </row>
    <row r="105" spans="1:13" s="257" customFormat="1" ht="13.5" customHeight="1" x14ac:dyDescent="0.2">
      <c r="A105" s="256" t="s">
        <v>82</v>
      </c>
      <c r="B105" s="347" t="s">
        <v>183</v>
      </c>
      <c r="C105" s="347" t="s">
        <v>183</v>
      </c>
      <c r="D105" s="347" t="s">
        <v>183</v>
      </c>
      <c r="E105" s="348" t="s">
        <v>183</v>
      </c>
      <c r="F105" s="263"/>
      <c r="G105" s="318">
        <v>0</v>
      </c>
      <c r="H105" s="318">
        <v>98</v>
      </c>
      <c r="I105" s="319">
        <f t="shared" si="38"/>
        <v>0</v>
      </c>
      <c r="J105" s="320">
        <f t="shared" si="39"/>
        <v>-1</v>
      </c>
      <c r="K105" s="263"/>
      <c r="L105" s="349" t="s">
        <v>183</v>
      </c>
      <c r="M105" s="350" t="s">
        <v>183</v>
      </c>
    </row>
    <row r="106" spans="1:13" s="257" customFormat="1" ht="13.5" customHeight="1" x14ac:dyDescent="0.2">
      <c r="A106" s="256" t="s">
        <v>83</v>
      </c>
      <c r="B106" s="316">
        <v>54.183673469387756</v>
      </c>
      <c r="C106" s="316">
        <f t="shared" ref="C106:C113" si="42">B106/24</f>
        <v>2.2576530612244898</v>
      </c>
      <c r="D106" s="316">
        <f t="shared" ref="D106:D113" si="43">60/C106</f>
        <v>26.576271186440678</v>
      </c>
      <c r="E106" s="317">
        <f t="shared" si="37"/>
        <v>0.8196306370533003</v>
      </c>
      <c r="F106" s="255"/>
      <c r="G106" s="318">
        <v>49</v>
      </c>
      <c r="H106" s="318">
        <v>962</v>
      </c>
      <c r="I106" s="319">
        <f t="shared" si="38"/>
        <v>5.0935550935550938E-2</v>
      </c>
      <c r="J106" s="320">
        <f t="shared" si="39"/>
        <v>-0.61936339522546413</v>
      </c>
      <c r="K106" s="255"/>
      <c r="L106" s="321">
        <f>(E106*E$5+J106*J$5)/($E$5+$J$5)</f>
        <v>0.10013362091391809</v>
      </c>
      <c r="M106" s="322">
        <f t="shared" si="40"/>
        <v>-9.2399353765722336E-2</v>
      </c>
    </row>
    <row r="107" spans="1:13" s="257" customFormat="1" ht="13.5" customHeight="1" x14ac:dyDescent="0.2">
      <c r="A107" s="256" t="s">
        <v>84</v>
      </c>
      <c r="B107" s="316">
        <v>49.4</v>
      </c>
      <c r="C107" s="316">
        <f t="shared" si="42"/>
        <v>2.0583333333333331</v>
      </c>
      <c r="D107" s="316">
        <f t="shared" si="43"/>
        <v>29.149797570850204</v>
      </c>
      <c r="E107" s="317">
        <f t="shared" si="37"/>
        <v>0.79603029710234297</v>
      </c>
      <c r="F107" s="255"/>
      <c r="G107" s="318">
        <v>155</v>
      </c>
      <c r="H107" s="318">
        <v>1494</v>
      </c>
      <c r="I107" s="319">
        <f t="shared" si="38"/>
        <v>0.1037483266398929</v>
      </c>
      <c r="J107" s="320">
        <f t="shared" si="39"/>
        <v>-0.22469846545459332</v>
      </c>
      <c r="K107" s="255"/>
      <c r="L107" s="321">
        <f t="shared" ref="L107:L113" si="44">(E107*E$5+J107*J$5)/($E$5+$J$5)</f>
        <v>0.28566591582387479</v>
      </c>
      <c r="M107" s="322">
        <f t="shared" si="40"/>
        <v>0.13282892875789898</v>
      </c>
    </row>
    <row r="108" spans="1:13" s="257" customFormat="1" ht="13.5" customHeight="1" x14ac:dyDescent="0.2">
      <c r="A108" s="256" t="s">
        <v>85</v>
      </c>
      <c r="B108" s="316">
        <v>71.054945054945051</v>
      </c>
      <c r="C108" s="316">
        <f t="shared" si="42"/>
        <v>2.9606227106227103</v>
      </c>
      <c r="D108" s="316">
        <f t="shared" si="43"/>
        <v>20.266006804825242</v>
      </c>
      <c r="E108" s="317">
        <f t="shared" si="37"/>
        <v>0.87749846599367143</v>
      </c>
      <c r="F108" s="255"/>
      <c r="G108" s="318">
        <v>182</v>
      </c>
      <c r="H108" s="318">
        <v>1525</v>
      </c>
      <c r="I108" s="319">
        <f t="shared" si="38"/>
        <v>0.11934426229508197</v>
      </c>
      <c r="J108" s="320">
        <f t="shared" si="39"/>
        <v>-0.108151498021481</v>
      </c>
      <c r="K108" s="255"/>
      <c r="L108" s="321">
        <f t="shared" si="44"/>
        <v>0.38467348398609524</v>
      </c>
      <c r="M108" s="322">
        <f t="shared" si="40"/>
        <v>0.25301988820697874</v>
      </c>
    </row>
    <row r="109" spans="1:13" s="257" customFormat="1" ht="13.5" customHeight="1" x14ac:dyDescent="0.2">
      <c r="A109" s="256" t="s">
        <v>86</v>
      </c>
      <c r="B109" s="316">
        <v>78.341301460823374</v>
      </c>
      <c r="C109" s="316">
        <f t="shared" si="42"/>
        <v>3.2642208942009741</v>
      </c>
      <c r="D109" s="316">
        <f t="shared" si="43"/>
        <v>18.381108982726179</v>
      </c>
      <c r="E109" s="317">
        <f t="shared" si="37"/>
        <v>0.89478378688404336</v>
      </c>
      <c r="F109" s="255"/>
      <c r="G109" s="318">
        <v>1506</v>
      </c>
      <c r="H109" s="318">
        <v>17615</v>
      </c>
      <c r="I109" s="319">
        <f t="shared" si="38"/>
        <v>8.549531649162645E-2</v>
      </c>
      <c r="J109" s="320">
        <f t="shared" si="39"/>
        <v>-0.36110150188277179</v>
      </c>
      <c r="K109" s="255"/>
      <c r="L109" s="321">
        <f t="shared" si="44"/>
        <v>0.26684114250063579</v>
      </c>
      <c r="M109" s="322">
        <f t="shared" si="40"/>
        <v>0.1099764578899709</v>
      </c>
    </row>
    <row r="110" spans="1:13" s="257" customFormat="1" ht="13.5" customHeight="1" x14ac:dyDescent="0.2">
      <c r="A110" s="256" t="s">
        <v>7</v>
      </c>
      <c r="B110" s="316">
        <v>61.935622317596568</v>
      </c>
      <c r="C110" s="316">
        <f t="shared" si="42"/>
        <v>2.580650929899857</v>
      </c>
      <c r="D110" s="316">
        <f t="shared" si="43"/>
        <v>23.24994802854965</v>
      </c>
      <c r="E110" s="317">
        <f t="shared" si="37"/>
        <v>0.85013444606359034</v>
      </c>
      <c r="F110" s="255"/>
      <c r="G110" s="318">
        <v>233</v>
      </c>
      <c r="H110" s="318">
        <v>2449</v>
      </c>
      <c r="I110" s="319">
        <f t="shared" si="38"/>
        <v>9.514087382605145E-2</v>
      </c>
      <c r="J110" s="320">
        <f t="shared" si="39"/>
        <v>-0.28902115470876821</v>
      </c>
      <c r="K110" s="255"/>
      <c r="L110" s="321">
        <f t="shared" si="44"/>
        <v>0.28055664567741107</v>
      </c>
      <c r="M110" s="322">
        <f t="shared" si="40"/>
        <v>0.12662649300084808</v>
      </c>
    </row>
    <row r="111" spans="1:13" s="257" customFormat="1" ht="13.5" customHeight="1" x14ac:dyDescent="0.2">
      <c r="A111" s="256" t="s">
        <v>87</v>
      </c>
      <c r="B111" s="316">
        <v>27.677966101694917</v>
      </c>
      <c r="C111" s="316">
        <f t="shared" si="42"/>
        <v>1.1532485875706215</v>
      </c>
      <c r="D111" s="316">
        <f t="shared" si="43"/>
        <v>52.026944274341702</v>
      </c>
      <c r="E111" s="317">
        <f t="shared" si="37"/>
        <v>0.58623705675279769</v>
      </c>
      <c r="F111" s="255"/>
      <c r="G111" s="318">
        <v>59</v>
      </c>
      <c r="H111" s="318">
        <v>1012</v>
      </c>
      <c r="I111" s="319">
        <f t="shared" si="38"/>
        <v>5.8300395256916999E-2</v>
      </c>
      <c r="J111" s="320">
        <f t="shared" si="39"/>
        <v>-0.56432660293229997</v>
      </c>
      <c r="K111" s="255"/>
      <c r="L111" s="321">
        <f t="shared" si="44"/>
        <v>1.0955226910248861E-2</v>
      </c>
      <c r="M111" s="322">
        <f t="shared" si="40"/>
        <v>-0.20065811555923743</v>
      </c>
    </row>
    <row r="112" spans="1:13" s="257" customFormat="1" ht="13.5" customHeight="1" x14ac:dyDescent="0.2">
      <c r="A112" s="256" t="s">
        <v>88</v>
      </c>
      <c r="B112" s="316">
        <v>54.25403225806452</v>
      </c>
      <c r="C112" s="316">
        <f t="shared" si="42"/>
        <v>2.260584677419355</v>
      </c>
      <c r="D112" s="316">
        <f t="shared" si="43"/>
        <v>26.54180602006689</v>
      </c>
      <c r="E112" s="317">
        <f t="shared" si="37"/>
        <v>0.81994669740061799</v>
      </c>
      <c r="F112" s="255"/>
      <c r="G112" s="318">
        <v>248</v>
      </c>
      <c r="H112" s="318">
        <v>2637</v>
      </c>
      <c r="I112" s="319">
        <f t="shared" si="38"/>
        <v>9.4046264694728862E-2</v>
      </c>
      <c r="J112" s="320">
        <f t="shared" si="39"/>
        <v>-0.29720106629604087</v>
      </c>
      <c r="K112" s="255"/>
      <c r="L112" s="321">
        <f t="shared" si="44"/>
        <v>0.26137281555228853</v>
      </c>
      <c r="M112" s="322">
        <f t="shared" si="40"/>
        <v>0.10333814250961297</v>
      </c>
    </row>
    <row r="113" spans="1:13" s="257" customFormat="1" ht="13.5" customHeight="1" x14ac:dyDescent="0.2">
      <c r="A113" s="256" t="s">
        <v>110</v>
      </c>
      <c r="B113" s="316">
        <v>72.234449760765557</v>
      </c>
      <c r="C113" s="316">
        <f t="shared" si="42"/>
        <v>3.0097687400318982</v>
      </c>
      <c r="D113" s="316">
        <f t="shared" si="43"/>
        <v>19.935086441014768</v>
      </c>
      <c r="E113" s="317">
        <f t="shared" si="37"/>
        <v>0.88053314756131884</v>
      </c>
      <c r="F113" s="255"/>
      <c r="G113" s="318">
        <v>209</v>
      </c>
      <c r="H113" s="318">
        <v>2895</v>
      </c>
      <c r="I113" s="319">
        <f t="shared" si="38"/>
        <v>7.2193436960276344E-2</v>
      </c>
      <c r="J113" s="320">
        <f t="shared" si="39"/>
        <v>-0.46050520261704819</v>
      </c>
      <c r="K113" s="255"/>
      <c r="L113" s="321">
        <f t="shared" si="44"/>
        <v>0.21001397247213532</v>
      </c>
      <c r="M113" s="322">
        <f t="shared" si="40"/>
        <v>4.0990700383933355E-2</v>
      </c>
    </row>
    <row r="114" spans="1:13" s="289" customFormat="1" ht="13.5" customHeight="1" x14ac:dyDescent="0.2">
      <c r="A114" s="323"/>
      <c r="B114" s="324"/>
      <c r="C114" s="324"/>
      <c r="D114" s="324"/>
      <c r="E114" s="325"/>
      <c r="F114" s="255"/>
      <c r="G114" s="326"/>
      <c r="H114" s="326"/>
      <c r="I114" s="327"/>
      <c r="J114" s="328"/>
      <c r="K114" s="255"/>
      <c r="L114" s="329"/>
      <c r="M114" s="330"/>
    </row>
    <row r="115" spans="1:13" s="289" customFormat="1" ht="13.5" customHeight="1" x14ac:dyDescent="0.2">
      <c r="A115" s="288" t="s">
        <v>121</v>
      </c>
      <c r="B115" s="324"/>
      <c r="C115" s="324"/>
      <c r="D115" s="324"/>
      <c r="E115" s="325"/>
      <c r="F115" s="255"/>
      <c r="G115" s="326"/>
      <c r="H115" s="326"/>
      <c r="I115" s="327"/>
      <c r="J115" s="328"/>
      <c r="K115" s="255"/>
      <c r="L115" s="329"/>
      <c r="M115" s="330"/>
    </row>
    <row r="116" spans="1:13" s="257" customFormat="1" ht="13.5" customHeight="1" x14ac:dyDescent="0.2">
      <c r="A116" s="256" t="s">
        <v>89</v>
      </c>
      <c r="B116" s="316">
        <v>14.423076923076923</v>
      </c>
      <c r="C116" s="316">
        <f t="shared" ref="C116:C123" si="45">B116/24</f>
        <v>0.60096153846153844</v>
      </c>
      <c r="D116" s="316">
        <f t="shared" ref="D116:D123" si="46">60/C116</f>
        <v>99.84</v>
      </c>
      <c r="E116" s="317">
        <f t="shared" ref="E116:E123" si="47">(-((D116-$D$8)/($D$7-$D$8)*200-100))/100</f>
        <v>0.14777084321191353</v>
      </c>
      <c r="F116" s="255"/>
      <c r="G116" s="318">
        <v>26</v>
      </c>
      <c r="H116" s="318">
        <v>635</v>
      </c>
      <c r="I116" s="319">
        <f t="shared" ref="I116:I123" si="48">G116/H116</f>
        <v>4.0944881889763779E-2</v>
      </c>
      <c r="J116" s="320">
        <f t="shared" ref="J116:J123" si="49">((I116-$I$8)/($I$7-$I$8)*200-100)/100</f>
        <v>-0.69402272991738101</v>
      </c>
      <c r="K116" s="255"/>
      <c r="L116" s="321">
        <f>(E116*E$5+J116*J$5)/($E$5+$J$5)</f>
        <v>-0.27312594335273377</v>
      </c>
      <c r="M116" s="322">
        <f t="shared" ref="M116:M123" si="50">((L116-$L$8)/($L$7-$L$8)*200-100)/100</f>
        <v>-0.54552052405089424</v>
      </c>
    </row>
    <row r="117" spans="1:13" s="257" customFormat="1" ht="13.5" customHeight="1" x14ac:dyDescent="0.2">
      <c r="A117" s="256" t="s">
        <v>90</v>
      </c>
      <c r="B117" s="316">
        <v>22</v>
      </c>
      <c r="C117" s="316">
        <f t="shared" si="45"/>
        <v>0.91666666666666663</v>
      </c>
      <c r="D117" s="316">
        <f t="shared" si="46"/>
        <v>65.454545454545453</v>
      </c>
      <c r="E117" s="317">
        <f t="shared" si="47"/>
        <v>0.46310019889952392</v>
      </c>
      <c r="F117" s="255"/>
      <c r="G117" s="318">
        <v>1</v>
      </c>
      <c r="H117" s="318">
        <v>479</v>
      </c>
      <c r="I117" s="319">
        <f t="shared" si="48"/>
        <v>2.0876826722338203E-3</v>
      </c>
      <c r="J117" s="320">
        <f t="shared" si="49"/>
        <v>-0.98439894278926743</v>
      </c>
      <c r="K117" s="255"/>
      <c r="L117" s="321">
        <f t="shared" ref="L117:L123" si="51">(E117*E$5+J117*J$5)/($E$5+$J$5)</f>
        <v>-0.26064937194487175</v>
      </c>
      <c r="M117" s="322">
        <f t="shared" si="50"/>
        <v>-0.53037449919662361</v>
      </c>
    </row>
    <row r="118" spans="1:13" s="257" customFormat="1" ht="13.5" customHeight="1" x14ac:dyDescent="0.2">
      <c r="A118" s="256" t="s">
        <v>91</v>
      </c>
      <c r="B118" s="316">
        <v>33.695</v>
      </c>
      <c r="C118" s="316">
        <f t="shared" si="45"/>
        <v>1.4039583333333334</v>
      </c>
      <c r="D118" s="316">
        <f t="shared" si="46"/>
        <v>42.736311025374683</v>
      </c>
      <c r="E118" s="317">
        <f t="shared" si="47"/>
        <v>0.67143614558420961</v>
      </c>
      <c r="F118" s="255"/>
      <c r="G118" s="318">
        <v>200</v>
      </c>
      <c r="H118" s="318">
        <v>2682</v>
      </c>
      <c r="I118" s="319">
        <f t="shared" si="48"/>
        <v>7.4571215510812833E-2</v>
      </c>
      <c r="J118" s="320">
        <f t="shared" si="49"/>
        <v>-0.44273628605959081</v>
      </c>
      <c r="K118" s="255"/>
      <c r="L118" s="321">
        <f t="shared" si="51"/>
        <v>0.1143499297623094</v>
      </c>
      <c r="M118" s="322">
        <f t="shared" si="50"/>
        <v>-7.5141361957328456E-2</v>
      </c>
    </row>
    <row r="119" spans="1:13" s="257" customFormat="1" ht="13.5" customHeight="1" x14ac:dyDescent="0.2">
      <c r="A119" s="256" t="s">
        <v>92</v>
      </c>
      <c r="B119" s="316">
        <v>16</v>
      </c>
      <c r="C119" s="316">
        <f t="shared" si="45"/>
        <v>0.66666666666666663</v>
      </c>
      <c r="D119" s="316">
        <f t="shared" si="46"/>
        <v>90</v>
      </c>
      <c r="E119" s="317">
        <f t="shared" si="47"/>
        <v>0.2380078606072894</v>
      </c>
      <c r="F119" s="255"/>
      <c r="G119" s="318">
        <v>9</v>
      </c>
      <c r="H119" s="318">
        <v>386</v>
      </c>
      <c r="I119" s="319">
        <f t="shared" si="48"/>
        <v>2.3316062176165803E-2</v>
      </c>
      <c r="J119" s="320">
        <f t="shared" si="49"/>
        <v>-0.82576124964904662</v>
      </c>
      <c r="K119" s="255"/>
      <c r="L119" s="321">
        <f t="shared" si="51"/>
        <v>-0.29387669452087861</v>
      </c>
      <c r="M119" s="322">
        <f t="shared" si="50"/>
        <v>-0.57071104977012022</v>
      </c>
    </row>
    <row r="120" spans="1:13" s="257" customFormat="1" ht="13.5" customHeight="1" x14ac:dyDescent="0.2">
      <c r="A120" s="256" t="s">
        <v>93</v>
      </c>
      <c r="B120" s="316">
        <v>45.523076923076921</v>
      </c>
      <c r="C120" s="316">
        <f t="shared" si="45"/>
        <v>1.8967948717948717</v>
      </c>
      <c r="D120" s="316">
        <f t="shared" si="46"/>
        <v>31.632308212233863</v>
      </c>
      <c r="E120" s="317">
        <f t="shared" si="47"/>
        <v>0.77326461052401541</v>
      </c>
      <c r="F120" s="255"/>
      <c r="G120" s="318">
        <v>65</v>
      </c>
      <c r="H120" s="318">
        <v>631</v>
      </c>
      <c r="I120" s="319">
        <f t="shared" si="48"/>
        <v>0.10301109350237718</v>
      </c>
      <c r="J120" s="320">
        <f t="shared" si="49"/>
        <v>-0.23020773968913205</v>
      </c>
      <c r="K120" s="255"/>
      <c r="L120" s="321">
        <f t="shared" si="51"/>
        <v>0.27152843541744165</v>
      </c>
      <c r="M120" s="322">
        <f t="shared" si="50"/>
        <v>0.11566663131152907</v>
      </c>
    </row>
    <row r="121" spans="1:13" s="257" customFormat="1" ht="13.5" customHeight="1" x14ac:dyDescent="0.2">
      <c r="A121" s="256" t="s">
        <v>94</v>
      </c>
      <c r="B121" s="316">
        <v>32.910958904109592</v>
      </c>
      <c r="C121" s="316">
        <f t="shared" si="45"/>
        <v>1.3712899543378996</v>
      </c>
      <c r="D121" s="316">
        <f t="shared" si="46"/>
        <v>43.754422476586889</v>
      </c>
      <c r="E121" s="317">
        <f t="shared" si="47"/>
        <v>0.66209962721698734</v>
      </c>
      <c r="F121" s="255"/>
      <c r="G121" s="318">
        <v>146</v>
      </c>
      <c r="H121" s="318">
        <v>1932</v>
      </c>
      <c r="I121" s="319">
        <f t="shared" si="48"/>
        <v>7.5569358178053825E-2</v>
      </c>
      <c r="J121" s="320">
        <f t="shared" si="49"/>
        <v>-0.43527725932951888</v>
      </c>
      <c r="K121" s="255"/>
      <c r="L121" s="321">
        <f t="shared" si="51"/>
        <v>0.11341118394373423</v>
      </c>
      <c r="M121" s="322">
        <f t="shared" si="50"/>
        <v>-7.628095929021611E-2</v>
      </c>
    </row>
    <row r="122" spans="1:13" s="257" customFormat="1" ht="13.5" customHeight="1" x14ac:dyDescent="0.2">
      <c r="A122" s="256" t="s">
        <v>95</v>
      </c>
      <c r="B122" s="316">
        <v>40.645833333333336</v>
      </c>
      <c r="C122" s="316">
        <f t="shared" si="45"/>
        <v>1.6935763888888891</v>
      </c>
      <c r="D122" s="316">
        <f t="shared" si="46"/>
        <v>35.427985648385437</v>
      </c>
      <c r="E122" s="317">
        <f t="shared" si="47"/>
        <v>0.73845662161819792</v>
      </c>
      <c r="F122" s="255"/>
      <c r="G122" s="318">
        <v>240</v>
      </c>
      <c r="H122" s="318">
        <v>2894</v>
      </c>
      <c r="I122" s="319">
        <f t="shared" si="48"/>
        <v>8.2930200414651004E-2</v>
      </c>
      <c r="J122" s="320">
        <f t="shared" si="49"/>
        <v>-0.38027037424125332</v>
      </c>
      <c r="K122" s="255"/>
      <c r="L122" s="321">
        <f t="shared" si="51"/>
        <v>0.1790931236884723</v>
      </c>
      <c r="M122" s="322">
        <f t="shared" si="50"/>
        <v>3.4541104921468955E-3</v>
      </c>
    </row>
    <row r="123" spans="1:13" s="257" customFormat="1" ht="13.5" customHeight="1" x14ac:dyDescent="0.2">
      <c r="A123" s="256" t="s">
        <v>111</v>
      </c>
      <c r="B123" s="316">
        <v>27.153846153846153</v>
      </c>
      <c r="C123" s="316">
        <f t="shared" si="45"/>
        <v>1.1314102564102564</v>
      </c>
      <c r="D123" s="316">
        <f t="shared" si="46"/>
        <v>53.03116147308782</v>
      </c>
      <c r="E123" s="317">
        <f t="shared" si="47"/>
        <v>0.57702795463572554</v>
      </c>
      <c r="F123" s="255"/>
      <c r="G123" s="318">
        <v>13</v>
      </c>
      <c r="H123" s="318">
        <v>939</v>
      </c>
      <c r="I123" s="319">
        <f t="shared" si="48"/>
        <v>1.3844515441959531E-2</v>
      </c>
      <c r="J123" s="320">
        <f t="shared" si="49"/>
        <v>-0.89654123189432211</v>
      </c>
      <c r="K123" s="255"/>
      <c r="L123" s="321">
        <f t="shared" si="51"/>
        <v>-0.15975663862929829</v>
      </c>
      <c r="M123" s="322">
        <f t="shared" si="50"/>
        <v>-0.40789502976081016</v>
      </c>
    </row>
    <row r="124" spans="1:13" s="289" customFormat="1" ht="13.5" customHeight="1" x14ac:dyDescent="0.2">
      <c r="A124" s="323"/>
      <c r="B124" s="324"/>
      <c r="C124" s="324"/>
      <c r="D124" s="324"/>
      <c r="E124" s="325"/>
      <c r="F124" s="255"/>
      <c r="G124" s="326"/>
      <c r="H124" s="326"/>
      <c r="I124" s="327"/>
      <c r="J124" s="328"/>
      <c r="K124" s="255"/>
      <c r="L124" s="329"/>
      <c r="M124" s="330"/>
    </row>
    <row r="125" spans="1:13" s="289" customFormat="1" ht="13.5" customHeight="1" x14ac:dyDescent="0.2">
      <c r="A125" s="288" t="s">
        <v>117</v>
      </c>
      <c r="B125" s="324"/>
      <c r="C125" s="324"/>
      <c r="D125" s="324"/>
      <c r="E125" s="325"/>
      <c r="F125" s="255"/>
      <c r="G125" s="326"/>
      <c r="H125" s="326"/>
      <c r="I125" s="327"/>
      <c r="J125" s="328"/>
      <c r="K125" s="255"/>
      <c r="L125" s="329"/>
      <c r="M125" s="330"/>
    </row>
    <row r="126" spans="1:13" s="257" customFormat="1" ht="13.5" customHeight="1" x14ac:dyDescent="0.2">
      <c r="A126" s="256" t="s">
        <v>96</v>
      </c>
      <c r="B126" s="316">
        <v>15.571428571428571</v>
      </c>
      <c r="C126" s="316">
        <f t="shared" ref="C126:C135" si="52">B126/24</f>
        <v>0.64880952380952384</v>
      </c>
      <c r="D126" s="316">
        <f t="shared" ref="D126:D135" si="53">60/C126</f>
        <v>92.477064220183479</v>
      </c>
      <c r="E126" s="317">
        <f t="shared" ref="E126:E135" si="54">(-((D126-$D$8)/($D$7-$D$8)*200-100))/100</f>
        <v>0.21529212004568776</v>
      </c>
      <c r="F126" s="255"/>
      <c r="G126" s="318">
        <v>28</v>
      </c>
      <c r="H126" s="318">
        <v>250</v>
      </c>
      <c r="I126" s="319">
        <f t="shared" ref="I126:I135" si="55">G126/H126</f>
        <v>0.112</v>
      </c>
      <c r="J126" s="320">
        <f t="shared" ref="J126:J135" si="56">((I126-$I$8)/($I$7-$I$8)*200-100)/100</f>
        <v>-0.16303448275862067</v>
      </c>
      <c r="K126" s="255"/>
      <c r="L126" s="321">
        <f>(E126*E$5+J126*J$5)/($E$5+$J$5)</f>
        <v>2.6128818643533544E-2</v>
      </c>
      <c r="M126" s="322">
        <f t="shared" ref="M126:M135" si="57">((L126-$L$8)/($L$7-$L$8)*200-100)/100</f>
        <v>-0.1822380232111051</v>
      </c>
    </row>
    <row r="127" spans="1:13" s="257" customFormat="1" ht="13.5" customHeight="1" x14ac:dyDescent="0.2">
      <c r="A127" s="256" t="s">
        <v>97</v>
      </c>
      <c r="B127" s="316">
        <v>35.478260869565219</v>
      </c>
      <c r="C127" s="316">
        <f t="shared" si="52"/>
        <v>1.4782608695652175</v>
      </c>
      <c r="D127" s="316">
        <f t="shared" si="53"/>
        <v>40.588235294117645</v>
      </c>
      <c r="E127" s="317">
        <f t="shared" si="54"/>
        <v>0.69113492069884641</v>
      </c>
      <c r="F127" s="255"/>
      <c r="G127" s="318">
        <v>23</v>
      </c>
      <c r="H127" s="318">
        <v>196</v>
      </c>
      <c r="I127" s="319">
        <f t="shared" si="55"/>
        <v>0.11734693877551021</v>
      </c>
      <c r="J127" s="320">
        <f t="shared" si="56"/>
        <v>-0.1230773097416305</v>
      </c>
      <c r="K127" s="255"/>
      <c r="L127" s="321">
        <f t="shared" ref="L127:L135" si="58">(E127*E$5+J127*J$5)/($E$5+$J$5)</f>
        <v>0.28402880547860798</v>
      </c>
      <c r="M127" s="322">
        <f t="shared" si="57"/>
        <v>0.13084154671454612</v>
      </c>
    </row>
    <row r="128" spans="1:13" s="257" customFormat="1" ht="13.5" customHeight="1" x14ac:dyDescent="0.2">
      <c r="A128" s="256" t="s">
        <v>98</v>
      </c>
      <c r="B128" s="316">
        <v>44.916666666666664</v>
      </c>
      <c r="C128" s="316">
        <f t="shared" si="52"/>
        <v>1.8715277777777777</v>
      </c>
      <c r="D128" s="316">
        <f t="shared" si="53"/>
        <v>32.05936920222635</v>
      </c>
      <c r="E128" s="317">
        <f t="shared" si="54"/>
        <v>0.76934827820868634</v>
      </c>
      <c r="F128" s="255"/>
      <c r="G128" s="318">
        <v>12</v>
      </c>
      <c r="H128" s="318">
        <v>326</v>
      </c>
      <c r="I128" s="319">
        <f t="shared" si="55"/>
        <v>3.6809815950920248E-2</v>
      </c>
      <c r="J128" s="320">
        <f t="shared" si="56"/>
        <v>-0.72492369065248252</v>
      </c>
      <c r="K128" s="255"/>
      <c r="L128" s="321">
        <f t="shared" si="58"/>
        <v>2.221229377810191E-2</v>
      </c>
      <c r="M128" s="322">
        <f t="shared" si="57"/>
        <v>-0.18699251713535886</v>
      </c>
    </row>
    <row r="129" spans="1:13" s="257" customFormat="1" ht="13.5" customHeight="1" x14ac:dyDescent="0.2">
      <c r="A129" s="256" t="s">
        <v>99</v>
      </c>
      <c r="B129" s="316">
        <v>40.148936170212764</v>
      </c>
      <c r="C129" s="316">
        <f t="shared" si="52"/>
        <v>1.6728723404255319</v>
      </c>
      <c r="D129" s="316">
        <f t="shared" si="53"/>
        <v>35.866454689984103</v>
      </c>
      <c r="E129" s="317">
        <f t="shared" si="54"/>
        <v>0.73443567258018239</v>
      </c>
      <c r="F129" s="255"/>
      <c r="G129" s="318">
        <v>94</v>
      </c>
      <c r="H129" s="318">
        <v>1430</v>
      </c>
      <c r="I129" s="319">
        <f t="shared" si="55"/>
        <v>6.5734265734265732E-2</v>
      </c>
      <c r="J129" s="320">
        <f t="shared" si="56"/>
        <v>-0.50877398463605361</v>
      </c>
      <c r="K129" s="255"/>
      <c r="L129" s="321">
        <f t="shared" si="58"/>
        <v>0.11283084397206439</v>
      </c>
      <c r="M129" s="322">
        <f t="shared" si="57"/>
        <v>-7.6985467231340157E-2</v>
      </c>
    </row>
    <row r="130" spans="1:13" s="257" customFormat="1" ht="13.5" customHeight="1" x14ac:dyDescent="0.2">
      <c r="A130" s="256" t="s">
        <v>100</v>
      </c>
      <c r="B130" s="316">
        <v>41.093023255813954</v>
      </c>
      <c r="C130" s="316">
        <f t="shared" si="52"/>
        <v>1.7122093023255813</v>
      </c>
      <c r="D130" s="316">
        <f t="shared" si="53"/>
        <v>35.042444821731749</v>
      </c>
      <c r="E130" s="317">
        <f t="shared" si="54"/>
        <v>0.741992196240289</v>
      </c>
      <c r="F130" s="255"/>
      <c r="G130" s="318">
        <v>86</v>
      </c>
      <c r="H130" s="318">
        <v>729</v>
      </c>
      <c r="I130" s="319">
        <f t="shared" si="55"/>
        <v>0.11796982167352538</v>
      </c>
      <c r="J130" s="320">
        <f t="shared" si="56"/>
        <v>-0.11842256414414777</v>
      </c>
      <c r="K130" s="255"/>
      <c r="L130" s="321">
        <f t="shared" si="58"/>
        <v>0.31178481604807062</v>
      </c>
      <c r="M130" s="322">
        <f t="shared" si="57"/>
        <v>0.16453615817451619</v>
      </c>
    </row>
    <row r="131" spans="1:13" s="257" customFormat="1" ht="13.5" customHeight="1" x14ac:dyDescent="0.2">
      <c r="A131" s="256" t="s">
        <v>101</v>
      </c>
      <c r="B131" s="316">
        <v>55.738154613466335</v>
      </c>
      <c r="C131" s="316">
        <f t="shared" si="52"/>
        <v>2.3224231088944305</v>
      </c>
      <c r="D131" s="316">
        <f t="shared" si="53"/>
        <v>25.835085678493133</v>
      </c>
      <c r="E131" s="317">
        <f t="shared" si="54"/>
        <v>0.82642762583113194</v>
      </c>
      <c r="F131" s="255"/>
      <c r="G131" s="318">
        <v>401</v>
      </c>
      <c r="H131" s="318">
        <v>3674</v>
      </c>
      <c r="I131" s="319">
        <f t="shared" si="55"/>
        <v>0.10914534567229178</v>
      </c>
      <c r="J131" s="320">
        <f t="shared" si="56"/>
        <v>-0.18436704736518891</v>
      </c>
      <c r="K131" s="255"/>
      <c r="L131" s="321">
        <f t="shared" si="58"/>
        <v>0.3210302892329715</v>
      </c>
      <c r="M131" s="322">
        <f t="shared" si="57"/>
        <v>0.17575976777608987</v>
      </c>
    </row>
    <row r="132" spans="1:13" s="257" customFormat="1" ht="13.5" customHeight="1" x14ac:dyDescent="0.2">
      <c r="A132" s="256" t="s">
        <v>102</v>
      </c>
      <c r="B132" s="316">
        <v>25.96153846153846</v>
      </c>
      <c r="C132" s="316">
        <f t="shared" si="52"/>
        <v>1.0817307692307692</v>
      </c>
      <c r="D132" s="316">
        <f t="shared" si="53"/>
        <v>55.466666666666669</v>
      </c>
      <c r="E132" s="317">
        <f t="shared" si="54"/>
        <v>0.55469332816016637</v>
      </c>
      <c r="F132" s="255"/>
      <c r="G132" s="318">
        <v>26</v>
      </c>
      <c r="H132" s="318">
        <v>233</v>
      </c>
      <c r="I132" s="319">
        <f t="shared" si="55"/>
        <v>0.11158798283261803</v>
      </c>
      <c r="J132" s="320">
        <f t="shared" si="56"/>
        <v>-0.16611344848728293</v>
      </c>
      <c r="K132" s="255"/>
      <c r="L132" s="321">
        <f t="shared" si="58"/>
        <v>0.19428993983644172</v>
      </c>
      <c r="M132" s="322">
        <f t="shared" si="57"/>
        <v>2.1902396287865004E-2</v>
      </c>
    </row>
    <row r="133" spans="1:13" s="257" customFormat="1" ht="13.5" customHeight="1" x14ac:dyDescent="0.2">
      <c r="A133" s="256" t="s">
        <v>9</v>
      </c>
      <c r="B133" s="316">
        <v>44.838709677419352</v>
      </c>
      <c r="C133" s="316">
        <f t="shared" si="52"/>
        <v>1.868279569892473</v>
      </c>
      <c r="D133" s="316">
        <f t="shared" si="53"/>
        <v>32.115107913669064</v>
      </c>
      <c r="E133" s="317">
        <f t="shared" si="54"/>
        <v>0.7688371303353071</v>
      </c>
      <c r="F133" s="255"/>
      <c r="G133" s="318">
        <v>31</v>
      </c>
      <c r="H133" s="318">
        <v>288</v>
      </c>
      <c r="I133" s="319">
        <f t="shared" si="55"/>
        <v>0.1076388888888889</v>
      </c>
      <c r="J133" s="320">
        <f t="shared" si="56"/>
        <v>-0.19562465790914046</v>
      </c>
      <c r="K133" s="255"/>
      <c r="L133" s="321">
        <f t="shared" si="58"/>
        <v>0.28660623621308334</v>
      </c>
      <c r="M133" s="322">
        <f t="shared" si="57"/>
        <v>0.13397043755229077</v>
      </c>
    </row>
    <row r="134" spans="1:13" s="257" customFormat="1" ht="13.5" customHeight="1" x14ac:dyDescent="0.2">
      <c r="A134" s="256" t="s">
        <v>103</v>
      </c>
      <c r="B134" s="316">
        <v>28.892307692307693</v>
      </c>
      <c r="C134" s="316">
        <f t="shared" si="52"/>
        <v>1.2038461538461538</v>
      </c>
      <c r="D134" s="316">
        <f t="shared" si="53"/>
        <v>49.840255591054316</v>
      </c>
      <c r="E134" s="317">
        <f t="shared" si="54"/>
        <v>0.60628992918695168</v>
      </c>
      <c r="F134" s="255"/>
      <c r="G134" s="318">
        <v>65</v>
      </c>
      <c r="H134" s="318">
        <v>685</v>
      </c>
      <c r="I134" s="319">
        <f t="shared" si="55"/>
        <v>9.4890510948905105E-2</v>
      </c>
      <c r="J134" s="320">
        <f t="shared" si="56"/>
        <v>-0.29089209305670422</v>
      </c>
      <c r="K134" s="255"/>
      <c r="L134" s="321">
        <f t="shared" si="58"/>
        <v>0.15769891806512373</v>
      </c>
      <c r="M134" s="322">
        <f t="shared" si="57"/>
        <v>-2.2517541455793547E-2</v>
      </c>
    </row>
    <row r="135" spans="1:13" s="257" customFormat="1" ht="13.5" customHeight="1" x14ac:dyDescent="0.2">
      <c r="A135" s="256" t="s">
        <v>112</v>
      </c>
      <c r="B135" s="316">
        <v>36.642857142857146</v>
      </c>
      <c r="C135" s="316">
        <f t="shared" si="52"/>
        <v>1.5267857142857144</v>
      </c>
      <c r="D135" s="316">
        <f t="shared" si="53"/>
        <v>39.298245614035082</v>
      </c>
      <c r="E135" s="317">
        <f t="shared" si="54"/>
        <v>0.70296467895102777</v>
      </c>
      <c r="F135" s="255"/>
      <c r="G135" s="318">
        <v>252</v>
      </c>
      <c r="H135" s="318">
        <v>4949</v>
      </c>
      <c r="I135" s="319">
        <f t="shared" si="55"/>
        <v>5.0919377652050922E-2</v>
      </c>
      <c r="J135" s="320">
        <f t="shared" si="56"/>
        <v>-0.61948425665930418</v>
      </c>
      <c r="K135" s="255"/>
      <c r="L135" s="321">
        <f t="shared" si="58"/>
        <v>4.1740211145861794E-2</v>
      </c>
      <c r="M135" s="322">
        <f t="shared" si="57"/>
        <v>-0.16328645942643902</v>
      </c>
    </row>
    <row r="136" spans="1:13" s="257" customFormat="1" ht="13.5" customHeight="1" x14ac:dyDescent="0.2">
      <c r="A136" s="351"/>
      <c r="B136" s="351"/>
      <c r="C136" s="351"/>
      <c r="D136" s="351"/>
      <c r="E136" s="352"/>
      <c r="F136" s="353"/>
      <c r="G136" s="351"/>
      <c r="H136" s="351"/>
      <c r="I136" s="351"/>
      <c r="J136" s="354"/>
      <c r="K136" s="353"/>
      <c r="L136" s="354"/>
      <c r="M136" s="354"/>
    </row>
    <row r="137" spans="1:13" s="257" customFormat="1" ht="13.5" customHeight="1" x14ac:dyDescent="0.2">
      <c r="A137" s="267" t="s">
        <v>214</v>
      </c>
      <c r="B137" s="242"/>
      <c r="C137" s="242"/>
      <c r="D137" s="242"/>
      <c r="E137" s="353"/>
      <c r="F137" s="353"/>
      <c r="G137" s="242"/>
      <c r="H137" s="242"/>
      <c r="I137" s="242"/>
      <c r="J137" s="355"/>
      <c r="K137" s="353"/>
      <c r="L137" s="355"/>
      <c r="M137" s="355"/>
    </row>
    <row r="138" spans="1:13" s="257" customFormat="1" ht="13.5" customHeight="1" x14ac:dyDescent="0.2">
      <c r="A138" s="267" t="s">
        <v>217</v>
      </c>
      <c r="B138" s="242"/>
      <c r="C138" s="242"/>
      <c r="D138" s="242"/>
      <c r="E138" s="353"/>
      <c r="F138" s="353"/>
      <c r="G138" s="242"/>
      <c r="H138" s="242"/>
      <c r="I138" s="242"/>
      <c r="J138" s="355"/>
      <c r="K138" s="353"/>
      <c r="L138" s="355"/>
      <c r="M138" s="355"/>
    </row>
    <row r="139" spans="1:13" s="267" customFormat="1" ht="12" x14ac:dyDescent="0.2">
      <c r="B139" s="268"/>
      <c r="C139" s="269"/>
      <c r="D139" s="269"/>
      <c r="E139" s="270"/>
      <c r="F139" s="270"/>
      <c r="G139" s="270"/>
      <c r="H139" s="270"/>
      <c r="I139" s="269"/>
      <c r="J139" s="270"/>
    </row>
    <row r="140" spans="1:13" x14ac:dyDescent="0.2">
      <c r="A140" s="267"/>
      <c r="B140" s="257"/>
      <c r="C140" s="257"/>
      <c r="D140" s="257"/>
      <c r="E140" s="356"/>
      <c r="F140" s="290"/>
      <c r="G140" s="257"/>
      <c r="H140" s="257"/>
      <c r="I140" s="257"/>
      <c r="J140" s="357"/>
      <c r="K140" s="290"/>
      <c r="L140" s="357"/>
      <c r="M140" s="357"/>
    </row>
  </sheetData>
  <sheetProtection password="E4E1" sheet="1" objects="1" scenarios="1"/>
  <mergeCells count="3">
    <mergeCell ref="B3:E3"/>
    <mergeCell ref="G3:J3"/>
    <mergeCell ref="L3:M3"/>
  </mergeCells>
  <phoneticPr fontId="6" type="noConversion"/>
  <pageMargins left="0.5" right="0.25" top="0.5" bottom="0.5" header="0.5" footer="0.5"/>
  <pageSetup paperSize="17" orientation="portrait" r:id="rId1"/>
  <headerFooter alignWithMargins="0"/>
  <rowBreaks count="1" manualBreakCount="1">
    <brk id="73" max="16383" man="1"/>
  </rowBreaks>
  <ignoredErrors>
    <ignoredError sqref="L7:M8 I7:J8 D7:E8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1"/>
  </sheetPr>
  <dimension ref="A1:O137"/>
  <sheetViews>
    <sheetView zoomScaleNormal="100" zoomScaleSheetLayoutView="2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2" x14ac:dyDescent="0.2"/>
  <cols>
    <col min="1" max="1" width="15.7109375" style="358" customWidth="1"/>
    <col min="2" max="2" width="30.7109375" style="358" customWidth="1"/>
    <col min="3" max="4" width="10.7109375" style="359" customWidth="1"/>
    <col min="5" max="5" width="2.28515625" style="360" customWidth="1"/>
    <col min="6" max="7" width="10.7109375" style="359" customWidth="1"/>
    <col min="8" max="8" width="2.28515625" style="360" customWidth="1"/>
    <col min="9" max="10" width="10.7109375" style="360" customWidth="1"/>
    <col min="11" max="11" width="10.7109375" style="359" customWidth="1"/>
    <col min="12" max="12" width="2.28515625" style="360" customWidth="1"/>
    <col min="13" max="15" width="10.7109375" style="361" customWidth="1"/>
    <col min="16" max="16384" width="9.140625" style="361"/>
  </cols>
  <sheetData>
    <row r="1" spans="1:15" ht="18.75" x14ac:dyDescent="0.3">
      <c r="A1" s="476" t="s">
        <v>123</v>
      </c>
    </row>
    <row r="2" spans="1:15" s="367" customFormat="1" ht="12" customHeight="1" x14ac:dyDescent="0.2">
      <c r="A2" s="362"/>
      <c r="B2" s="363"/>
      <c r="C2" s="364"/>
      <c r="D2" s="363"/>
      <c r="E2" s="365"/>
      <c r="F2" s="363"/>
      <c r="G2" s="363"/>
      <c r="H2" s="365"/>
      <c r="I2" s="363"/>
      <c r="J2" s="363"/>
      <c r="K2" s="363"/>
      <c r="L2" s="365"/>
      <c r="M2" s="366" t="s">
        <v>150</v>
      </c>
      <c r="N2" s="366"/>
      <c r="O2" s="366"/>
    </row>
    <row r="3" spans="1:15" ht="22.5" customHeight="1" x14ac:dyDescent="0.2">
      <c r="A3" s="368"/>
      <c r="C3" s="428" t="s">
        <v>185</v>
      </c>
      <c r="D3" s="429"/>
      <c r="E3" s="369"/>
      <c r="F3" s="430" t="s">
        <v>153</v>
      </c>
      <c r="G3" s="430"/>
      <c r="H3" s="369"/>
      <c r="I3" s="431" t="s">
        <v>128</v>
      </c>
      <c r="J3" s="432"/>
      <c r="K3" s="432"/>
      <c r="L3" s="369"/>
      <c r="M3" s="370" t="s">
        <v>152</v>
      </c>
      <c r="N3" s="370" t="s">
        <v>153</v>
      </c>
      <c r="O3" s="370" t="s">
        <v>154</v>
      </c>
    </row>
    <row r="4" spans="1:15" ht="48.75" customHeight="1" x14ac:dyDescent="0.2">
      <c r="A4" s="371" t="s">
        <v>0</v>
      </c>
      <c r="B4" s="371" t="s">
        <v>104</v>
      </c>
      <c r="C4" s="372" t="s">
        <v>187</v>
      </c>
      <c r="D4" s="373" t="s">
        <v>196</v>
      </c>
      <c r="E4" s="374"/>
      <c r="F4" s="372" t="s">
        <v>188</v>
      </c>
      <c r="G4" s="372" t="s">
        <v>168</v>
      </c>
      <c r="H4" s="374"/>
      <c r="I4" s="372" t="s">
        <v>175</v>
      </c>
      <c r="J4" s="372" t="s">
        <v>179</v>
      </c>
      <c r="K4" s="372" t="s">
        <v>190</v>
      </c>
      <c r="L4" s="374"/>
      <c r="M4" s="375">
        <f>1/3</f>
        <v>0.33333333333333331</v>
      </c>
      <c r="N4" s="375">
        <f>1/3</f>
        <v>0.33333333333333331</v>
      </c>
      <c r="O4" s="375">
        <f>1/3</f>
        <v>0.33333333333333331</v>
      </c>
    </row>
    <row r="5" spans="1:15" x14ac:dyDescent="0.2">
      <c r="A5" s="376" t="s">
        <v>1</v>
      </c>
      <c r="B5" s="376" t="s">
        <v>1</v>
      </c>
      <c r="C5" s="377">
        <f>'Past RHNA Performance'!K10</f>
        <v>336</v>
      </c>
      <c r="D5" s="378">
        <f>'Past RHNA Performance'!M10</f>
        <v>-0.37634408602150538</v>
      </c>
      <c r="E5" s="379"/>
      <c r="F5" s="377">
        <f>Jobs!C9</f>
        <v>23888</v>
      </c>
      <c r="G5" s="380">
        <f>Jobs!G9</f>
        <v>0.48148148148148151</v>
      </c>
      <c r="H5" s="379"/>
      <c r="I5" s="316">
        <f>Transit!D11</f>
        <v>15.526478351210198</v>
      </c>
      <c r="J5" s="319">
        <f>Transit!I11</f>
        <v>0.1273209549071618</v>
      </c>
      <c r="K5" s="380">
        <f>Transit!M11</f>
        <v>0.31558274608955655</v>
      </c>
      <c r="L5" s="379"/>
      <c r="M5" s="380">
        <f>D5*$M$4</f>
        <v>-0.12544802867383512</v>
      </c>
      <c r="N5" s="380">
        <f t="shared" ref="N5:N19" si="0">G5*$N$4</f>
        <v>0.16049382716049382</v>
      </c>
      <c r="O5" s="380">
        <f t="shared" ref="O5:O19" si="1">K5*$O$4</f>
        <v>0.10519424869651885</v>
      </c>
    </row>
    <row r="6" spans="1:15" x14ac:dyDescent="0.2">
      <c r="A6" s="376" t="s">
        <v>1</v>
      </c>
      <c r="B6" s="376" t="s">
        <v>10</v>
      </c>
      <c r="C6" s="377">
        <f>'Past RHNA Performance'!K11</f>
        <v>15</v>
      </c>
      <c r="D6" s="378">
        <f>'Past RHNA Performance'!M11</f>
        <v>0.78494623655913986</v>
      </c>
      <c r="E6" s="379"/>
      <c r="F6" s="377">
        <f>Jobs!C10</f>
        <v>2184</v>
      </c>
      <c r="G6" s="380">
        <f>Jobs!G10</f>
        <v>-0.64814814814814814</v>
      </c>
      <c r="H6" s="379"/>
      <c r="I6" s="316">
        <f>Transit!D12</f>
        <v>13.785252263906857</v>
      </c>
      <c r="J6" s="319">
        <f>Transit!I12</f>
        <v>0.14122137404580154</v>
      </c>
      <c r="K6" s="380">
        <f>Transit!M12</f>
        <v>0.38832568967084624</v>
      </c>
      <c r="L6" s="379"/>
      <c r="M6" s="380">
        <f t="shared" ref="M6:M19" si="2">D6*$M$4</f>
        <v>0.26164874551971329</v>
      </c>
      <c r="N6" s="380">
        <f t="shared" si="0"/>
        <v>-0.21604938271604937</v>
      </c>
      <c r="O6" s="380">
        <f t="shared" si="1"/>
        <v>0.12944189655694874</v>
      </c>
    </row>
    <row r="7" spans="1:15" x14ac:dyDescent="0.2">
      <c r="A7" s="376" t="s">
        <v>1</v>
      </c>
      <c r="B7" s="376" t="s">
        <v>11</v>
      </c>
      <c r="C7" s="377">
        <f>'Past RHNA Performance'!K12</f>
        <v>496</v>
      </c>
      <c r="D7" s="378">
        <f>'Past RHNA Performance'!M12</f>
        <v>-0.5053763440860215</v>
      </c>
      <c r="E7" s="379"/>
      <c r="F7" s="377">
        <f>Jobs!C11</f>
        <v>52082</v>
      </c>
      <c r="G7" s="380">
        <f>Jobs!G11</f>
        <v>0.90740740740740733</v>
      </c>
      <c r="H7" s="379"/>
      <c r="I7" s="316">
        <f>Transit!D13</f>
        <v>15.337664299743164</v>
      </c>
      <c r="J7" s="319">
        <f>Transit!I13</f>
        <v>0.23165388828039429</v>
      </c>
      <c r="K7" s="380">
        <f>Transit!M13</f>
        <v>0.78987692378819163</v>
      </c>
      <c r="L7" s="379"/>
      <c r="M7" s="380">
        <f t="shared" si="2"/>
        <v>-0.16845878136200715</v>
      </c>
      <c r="N7" s="380">
        <f t="shared" si="0"/>
        <v>0.30246913580246909</v>
      </c>
      <c r="O7" s="380">
        <f t="shared" si="1"/>
        <v>0.26329230792939717</v>
      </c>
    </row>
    <row r="8" spans="1:15" x14ac:dyDescent="0.2">
      <c r="A8" s="376" t="s">
        <v>1</v>
      </c>
      <c r="B8" s="376" t="s">
        <v>12</v>
      </c>
      <c r="C8" s="377">
        <f>'Past RHNA Performance'!K13</f>
        <v>506</v>
      </c>
      <c r="D8" s="378">
        <f>'Past RHNA Performance'!M13</f>
        <v>-0.54838709677419362</v>
      </c>
      <c r="E8" s="379"/>
      <c r="F8" s="377">
        <f>Jobs!C12</f>
        <v>12538</v>
      </c>
      <c r="G8" s="380">
        <f>Jobs!G12</f>
        <v>0.14814814814814808</v>
      </c>
      <c r="H8" s="379"/>
      <c r="I8" s="316">
        <f>Transit!D14</f>
        <v>63.166904422253921</v>
      </c>
      <c r="J8" s="319">
        <f>Transit!I14</f>
        <v>0.10049019607843138</v>
      </c>
      <c r="K8" s="380">
        <f>Transit!M14</f>
        <v>-7.1297476704099971E-2</v>
      </c>
      <c r="L8" s="379"/>
      <c r="M8" s="380">
        <f t="shared" si="2"/>
        <v>-0.18279569892473119</v>
      </c>
      <c r="N8" s="380">
        <f t="shared" si="0"/>
        <v>4.9382716049382692E-2</v>
      </c>
      <c r="O8" s="380">
        <f t="shared" si="1"/>
        <v>-2.3765825568033323E-2</v>
      </c>
    </row>
    <row r="9" spans="1:15" x14ac:dyDescent="0.2">
      <c r="A9" s="376" t="s">
        <v>1</v>
      </c>
      <c r="B9" s="376" t="s">
        <v>13</v>
      </c>
      <c r="C9" s="377">
        <f>'Past RHNA Performance'!K14</f>
        <v>187</v>
      </c>
      <c r="D9" s="378">
        <f>'Past RHNA Performance'!M14</f>
        <v>-9.6774193548387191E-2</v>
      </c>
      <c r="E9" s="379"/>
      <c r="F9" s="377">
        <f>Jobs!C13</f>
        <v>4865</v>
      </c>
      <c r="G9" s="380">
        <f>Jobs!G13</f>
        <v>-0.27777777777777773</v>
      </c>
      <c r="H9" s="379"/>
      <c r="I9" s="316">
        <f>Transit!D15</f>
        <v>12.743362831858407</v>
      </c>
      <c r="J9" s="319">
        <f>Transit!I15</f>
        <v>0.22790697674418606</v>
      </c>
      <c r="K9" s="380">
        <f>Transit!M15</f>
        <v>0.78732186972868623</v>
      </c>
      <c r="L9" s="379"/>
      <c r="M9" s="380">
        <f t="shared" si="2"/>
        <v>-3.2258064516129059E-2</v>
      </c>
      <c r="N9" s="380">
        <f t="shared" si="0"/>
        <v>-9.2592592592592574E-2</v>
      </c>
      <c r="O9" s="380">
        <f t="shared" si="1"/>
        <v>0.26244062324289541</v>
      </c>
    </row>
    <row r="10" spans="1:15" x14ac:dyDescent="0.2">
      <c r="A10" s="376" t="s">
        <v>1</v>
      </c>
      <c r="B10" s="376" t="s">
        <v>14</v>
      </c>
      <c r="C10" s="377">
        <f>'Past RHNA Performance'!K15</f>
        <v>503</v>
      </c>
      <c r="D10" s="378">
        <f>'Past RHNA Performance'!M15</f>
        <v>-0.5268817204301075</v>
      </c>
      <c r="E10" s="379"/>
      <c r="F10" s="377">
        <f>Jobs!C14</f>
        <v>47438</v>
      </c>
      <c r="G10" s="380">
        <f>Jobs!G14</f>
        <v>0.87037037037037035</v>
      </c>
      <c r="H10" s="379"/>
      <c r="I10" s="316">
        <f>Transit!D16</f>
        <v>34.272337104955135</v>
      </c>
      <c r="J10" s="319">
        <f>Transit!I16</f>
        <v>9.5219512195121953E-2</v>
      </c>
      <c r="K10" s="380">
        <f>Transit!M16</f>
        <v>6.5629767339087264E-2</v>
      </c>
      <c r="L10" s="379"/>
      <c r="M10" s="380">
        <f t="shared" si="2"/>
        <v>-0.17562724014336917</v>
      </c>
      <c r="N10" s="380">
        <f t="shared" si="0"/>
        <v>0.29012345679012341</v>
      </c>
      <c r="O10" s="380">
        <f t="shared" si="1"/>
        <v>2.1876589113029088E-2</v>
      </c>
    </row>
    <row r="11" spans="1:15" x14ac:dyDescent="0.2">
      <c r="A11" s="376" t="s">
        <v>1</v>
      </c>
      <c r="B11" s="376" t="s">
        <v>15</v>
      </c>
      <c r="C11" s="377">
        <f>'Past RHNA Performance'!K16</f>
        <v>57</v>
      </c>
      <c r="D11" s="378">
        <f>'Past RHNA Performance'!M16</f>
        <v>0.44086021505376349</v>
      </c>
      <c r="E11" s="379"/>
      <c r="F11" s="377">
        <f>Jobs!C15</f>
        <v>54252</v>
      </c>
      <c r="G11" s="380">
        <f>Jobs!G15</f>
        <v>0.92592592592592593</v>
      </c>
      <c r="H11" s="379"/>
      <c r="I11" s="316">
        <f>Transit!D17</f>
        <v>22.282995413433923</v>
      </c>
      <c r="J11" s="319">
        <f>Transit!I17</f>
        <v>0.14046692607003891</v>
      </c>
      <c r="K11" s="380">
        <f>Transit!M17</f>
        <v>0.33760299348716527</v>
      </c>
      <c r="L11" s="379"/>
      <c r="M11" s="380">
        <f t="shared" si="2"/>
        <v>0.14695340501792115</v>
      </c>
      <c r="N11" s="380">
        <f t="shared" si="0"/>
        <v>0.30864197530864196</v>
      </c>
      <c r="O11" s="380">
        <f t="shared" si="1"/>
        <v>0.11253433116238842</v>
      </c>
    </row>
    <row r="12" spans="1:15" x14ac:dyDescent="0.2">
      <c r="A12" s="376" t="s">
        <v>1</v>
      </c>
      <c r="B12" s="376" t="s">
        <v>16</v>
      </c>
      <c r="C12" s="377">
        <f>'Past RHNA Performance'!K17</f>
        <v>461</v>
      </c>
      <c r="D12" s="378">
        <f>'Past RHNA Performance'!M17</f>
        <v>-0.4623655913978495</v>
      </c>
      <c r="E12" s="379"/>
      <c r="F12" s="377">
        <f>Jobs!C16</f>
        <v>27536</v>
      </c>
      <c r="G12" s="380">
        <f>Jobs!G16</f>
        <v>0.57407407407407407</v>
      </c>
      <c r="H12" s="379"/>
      <c r="I12" s="316">
        <f>Transit!D18</f>
        <v>49.787745294353222</v>
      </c>
      <c r="J12" s="319">
        <f>Transit!I18</f>
        <v>9.7883597883597878E-2</v>
      </c>
      <c r="K12" s="380">
        <f>Transit!M18</f>
        <v>-8.6489288793613634E-3</v>
      </c>
      <c r="L12" s="379"/>
      <c r="M12" s="380">
        <f t="shared" si="2"/>
        <v>-0.15412186379928317</v>
      </c>
      <c r="N12" s="380">
        <f t="shared" si="0"/>
        <v>0.19135802469135801</v>
      </c>
      <c r="O12" s="380">
        <f t="shared" si="1"/>
        <v>-2.8829762931204543E-3</v>
      </c>
    </row>
    <row r="13" spans="1:15" x14ac:dyDescent="0.2">
      <c r="A13" s="376" t="s">
        <v>1</v>
      </c>
      <c r="B13" s="376" t="s">
        <v>17</v>
      </c>
      <c r="C13" s="377">
        <f>'Past RHNA Performance'!K18</f>
        <v>0</v>
      </c>
      <c r="D13" s="378">
        <f>'Past RHNA Performance'!M18</f>
        <v>1</v>
      </c>
      <c r="E13" s="379"/>
      <c r="F13" s="377">
        <f>Jobs!C17</f>
        <v>14757</v>
      </c>
      <c r="G13" s="380">
        <f>Jobs!G17</f>
        <v>0.24074074074074076</v>
      </c>
      <c r="H13" s="379"/>
      <c r="I13" s="316">
        <f>Transit!D19</f>
        <v>30.570844472401323</v>
      </c>
      <c r="J13" s="319">
        <f>Transit!I19</f>
        <v>0.14754098360655737</v>
      </c>
      <c r="K13" s="380">
        <f>Transit!M19</f>
        <v>0.32355789719313266</v>
      </c>
      <c r="L13" s="379"/>
      <c r="M13" s="380">
        <f t="shared" si="2"/>
        <v>0.33333333333333331</v>
      </c>
      <c r="N13" s="380">
        <f t="shared" si="0"/>
        <v>8.0246913580246909E-2</v>
      </c>
      <c r="O13" s="380">
        <f t="shared" si="1"/>
        <v>0.10785263239771088</v>
      </c>
    </row>
    <row r="14" spans="1:15" x14ac:dyDescent="0.2">
      <c r="A14" s="376" t="s">
        <v>1</v>
      </c>
      <c r="B14" s="376" t="s">
        <v>18</v>
      </c>
      <c r="C14" s="377">
        <f>'Past RHNA Performance'!K19</f>
        <v>1300</v>
      </c>
      <c r="D14" s="378">
        <f>'Past RHNA Performance'!M19</f>
        <v>-0.93548387096774188</v>
      </c>
      <c r="E14" s="379"/>
      <c r="F14" s="377">
        <f>Jobs!C18</f>
        <v>36399</v>
      </c>
      <c r="G14" s="380">
        <f>Jobs!G18</f>
        <v>0.83333333333333348</v>
      </c>
      <c r="H14" s="379"/>
      <c r="I14" s="316">
        <f>Transit!D20</f>
        <v>15.277724581172487</v>
      </c>
      <c r="J14" s="319">
        <f>Transit!I20</f>
        <v>0.19180168951668744</v>
      </c>
      <c r="K14" s="380">
        <f>Transit!M20</f>
        <v>0.60944518973443673</v>
      </c>
      <c r="L14" s="379"/>
      <c r="M14" s="380">
        <f t="shared" si="2"/>
        <v>-0.31182795698924726</v>
      </c>
      <c r="N14" s="380">
        <f t="shared" si="0"/>
        <v>0.27777777777777779</v>
      </c>
      <c r="O14" s="380">
        <f t="shared" si="1"/>
        <v>0.20314839657814557</v>
      </c>
    </row>
    <row r="15" spans="1:15" x14ac:dyDescent="0.2">
      <c r="A15" s="376" t="s">
        <v>1</v>
      </c>
      <c r="B15" s="376" t="s">
        <v>19</v>
      </c>
      <c r="C15" s="377">
        <f>'Past RHNA Performance'!K20</f>
        <v>0</v>
      </c>
      <c r="D15" s="378">
        <f>'Past RHNA Performance'!M20</f>
        <v>1</v>
      </c>
      <c r="E15" s="379"/>
      <c r="F15" s="377">
        <f>Jobs!C19</f>
        <v>2101</v>
      </c>
      <c r="G15" s="380">
        <f>Jobs!G19</f>
        <v>-0.70370370370370383</v>
      </c>
      <c r="H15" s="379"/>
      <c r="I15" s="316">
        <f>Transit!D21</f>
        <v>33.557742102537546</v>
      </c>
      <c r="J15" s="319">
        <f>Transit!I21</f>
        <v>0.16245487364620939</v>
      </c>
      <c r="K15" s="380">
        <f>Transit!M21</f>
        <v>0.37457989882198517</v>
      </c>
      <c r="L15" s="379"/>
      <c r="M15" s="380">
        <f t="shared" si="2"/>
        <v>0.33333333333333331</v>
      </c>
      <c r="N15" s="380">
        <f t="shared" si="0"/>
        <v>-0.23456790123456794</v>
      </c>
      <c r="O15" s="380">
        <f t="shared" si="1"/>
        <v>0.12485996627399505</v>
      </c>
    </row>
    <row r="16" spans="1:15" x14ac:dyDescent="0.2">
      <c r="A16" s="376" t="s">
        <v>1</v>
      </c>
      <c r="B16" s="376" t="s">
        <v>20</v>
      </c>
      <c r="C16" s="377">
        <f>'Past RHNA Performance'!K21</f>
        <v>530</v>
      </c>
      <c r="D16" s="378">
        <f>'Past RHNA Performance'!M21</f>
        <v>-0.61290322580645162</v>
      </c>
      <c r="E16" s="379"/>
      <c r="F16" s="377">
        <f>Jobs!C20</f>
        <v>42054</v>
      </c>
      <c r="G16" s="380">
        <f>Jobs!G20</f>
        <v>0.85185185185185186</v>
      </c>
      <c r="H16" s="379"/>
      <c r="I16" s="316">
        <f>Transit!D22</f>
        <v>55.989085948158255</v>
      </c>
      <c r="J16" s="319">
        <f>Transit!I22</f>
        <v>0.10883054892601432</v>
      </c>
      <c r="K16" s="380">
        <f>Transit!M22</f>
        <v>6.4870480873105403E-3</v>
      </c>
      <c r="L16" s="379"/>
      <c r="M16" s="380">
        <f t="shared" si="2"/>
        <v>-0.20430107526881719</v>
      </c>
      <c r="N16" s="380">
        <f t="shared" si="0"/>
        <v>0.2839506172839506</v>
      </c>
      <c r="O16" s="380">
        <f t="shared" si="1"/>
        <v>2.1623493624368466E-3</v>
      </c>
    </row>
    <row r="17" spans="1:15" x14ac:dyDescent="0.2">
      <c r="A17" s="376" t="s">
        <v>1</v>
      </c>
      <c r="B17" s="376" t="s">
        <v>21</v>
      </c>
      <c r="C17" s="377">
        <f>'Past RHNA Performance'!K22</f>
        <v>108</v>
      </c>
      <c r="D17" s="378">
        <f>'Past RHNA Performance'!M22</f>
        <v>0.18279569892473119</v>
      </c>
      <c r="E17" s="379"/>
      <c r="F17" s="377">
        <f>Jobs!C21</f>
        <v>27667</v>
      </c>
      <c r="G17" s="380">
        <f>Jobs!G21</f>
        <v>0.59259259259259256</v>
      </c>
      <c r="H17" s="379"/>
      <c r="I17" s="316">
        <f>Transit!D23</f>
        <v>21.88628036368571</v>
      </c>
      <c r="J17" s="319">
        <f>Transit!I23</f>
        <v>0.13184226015303119</v>
      </c>
      <c r="K17" s="380">
        <f>Transit!M23</f>
        <v>0.30069063466393914</v>
      </c>
      <c r="L17" s="379"/>
      <c r="M17" s="380">
        <f t="shared" si="2"/>
        <v>6.093189964157706E-2</v>
      </c>
      <c r="N17" s="380">
        <f t="shared" si="0"/>
        <v>0.19753086419753085</v>
      </c>
      <c r="O17" s="380">
        <f t="shared" si="1"/>
        <v>0.10023021155464637</v>
      </c>
    </row>
    <row r="18" spans="1:15" x14ac:dyDescent="0.2">
      <c r="A18" s="376" t="s">
        <v>1</v>
      </c>
      <c r="B18" s="376" t="s">
        <v>22</v>
      </c>
      <c r="C18" s="377">
        <f>'Past RHNA Performance'!K23</f>
        <v>232</v>
      </c>
      <c r="D18" s="378">
        <f>'Past RHNA Performance'!M23</f>
        <v>-0.22580645161290319</v>
      </c>
      <c r="E18" s="379"/>
      <c r="F18" s="377">
        <f>Jobs!C22</f>
        <v>18417</v>
      </c>
      <c r="G18" s="380">
        <f>Jobs!G22</f>
        <v>0.38888888888888884</v>
      </c>
      <c r="H18" s="379"/>
      <c r="I18" s="316">
        <f>Transit!D24</f>
        <v>17.838577291381668</v>
      </c>
      <c r="J18" s="319">
        <f>Transit!I24</f>
        <v>0.12146050670640834</v>
      </c>
      <c r="K18" s="380">
        <f>Transit!M24</f>
        <v>0.27613063989702868</v>
      </c>
      <c r="L18" s="379"/>
      <c r="M18" s="380">
        <f t="shared" si="2"/>
        <v>-7.5268817204301064E-2</v>
      </c>
      <c r="N18" s="380">
        <f t="shared" si="0"/>
        <v>0.12962962962962959</v>
      </c>
      <c r="O18" s="380">
        <f t="shared" si="1"/>
        <v>9.204354663234289E-2</v>
      </c>
    </row>
    <row r="19" spans="1:15" x14ac:dyDescent="0.2">
      <c r="A19" s="376" t="s">
        <v>1</v>
      </c>
      <c r="B19" s="376" t="s">
        <v>105</v>
      </c>
      <c r="C19" s="377">
        <f>'Past RHNA Performance'!K24</f>
        <v>303</v>
      </c>
      <c r="D19" s="378">
        <f>'Past RHNA Performance'!M24</f>
        <v>-0.3118279569892472</v>
      </c>
      <c r="E19" s="379"/>
      <c r="F19" s="377">
        <f>Jobs!C23</f>
        <v>30605</v>
      </c>
      <c r="G19" s="380">
        <f>Jobs!G23</f>
        <v>0.70370370370370383</v>
      </c>
      <c r="H19" s="379"/>
      <c r="I19" s="316">
        <f>Transit!D25</f>
        <v>27.245512862048859</v>
      </c>
      <c r="J19" s="319">
        <f>Transit!I25</f>
        <v>9.9692727893479008E-2</v>
      </c>
      <c r="K19" s="380">
        <f>Transit!M25</f>
        <v>0.12503289326502312</v>
      </c>
      <c r="L19" s="379"/>
      <c r="M19" s="380">
        <f t="shared" si="2"/>
        <v>-0.10394265232974906</v>
      </c>
      <c r="N19" s="380">
        <f t="shared" si="0"/>
        <v>0.23456790123456794</v>
      </c>
      <c r="O19" s="380">
        <f t="shared" si="1"/>
        <v>4.1677631088341036E-2</v>
      </c>
    </row>
    <row r="20" spans="1:15" s="358" customFormat="1" x14ac:dyDescent="0.2">
      <c r="A20" s="381"/>
      <c r="B20" s="381"/>
      <c r="C20" s="382"/>
      <c r="D20" s="383"/>
      <c r="E20" s="374"/>
      <c r="F20" s="383"/>
      <c r="G20" s="383"/>
      <c r="H20" s="374"/>
      <c r="I20" s="332"/>
      <c r="J20" s="335"/>
      <c r="K20" s="384"/>
      <c r="L20" s="374"/>
      <c r="M20" s="383"/>
      <c r="N20" s="383"/>
      <c r="O20" s="383"/>
    </row>
    <row r="21" spans="1:15" s="358" customFormat="1" x14ac:dyDescent="0.2">
      <c r="A21" s="381"/>
      <c r="B21" s="381"/>
      <c r="C21" s="382"/>
      <c r="D21" s="383"/>
      <c r="E21" s="374"/>
      <c r="F21" s="383"/>
      <c r="G21" s="383"/>
      <c r="H21" s="374"/>
      <c r="I21" s="340"/>
      <c r="J21" s="343"/>
      <c r="K21" s="384"/>
      <c r="L21" s="374"/>
      <c r="M21" s="383"/>
      <c r="N21" s="383"/>
      <c r="O21" s="383"/>
    </row>
    <row r="22" spans="1:15" x14ac:dyDescent="0.2">
      <c r="A22" s="376" t="s">
        <v>2</v>
      </c>
      <c r="B22" s="376" t="s">
        <v>23</v>
      </c>
      <c r="C22" s="377">
        <f>'Past RHNA Performance'!K27</f>
        <v>838</v>
      </c>
      <c r="D22" s="378">
        <f>'Past RHNA Performance'!M27</f>
        <v>-0.87096774193548387</v>
      </c>
      <c r="E22" s="379"/>
      <c r="F22" s="377">
        <f>Jobs!C26</f>
        <v>15490</v>
      </c>
      <c r="G22" s="380">
        <f>Jobs!G26</f>
        <v>0.31481481481481483</v>
      </c>
      <c r="H22" s="379"/>
      <c r="I22" s="316">
        <f>Transit!D28</f>
        <v>28.189774297558728</v>
      </c>
      <c r="J22" s="319">
        <f>Transit!I28</f>
        <v>6.8245684464070658E-2</v>
      </c>
      <c r="K22" s="380">
        <f>Transit!M28</f>
        <v>-2.2863580999358531E-2</v>
      </c>
      <c r="L22" s="379"/>
      <c r="M22" s="380">
        <f t="shared" ref="M22:M41" si="3">D22*$M$4</f>
        <v>-0.29032258064516125</v>
      </c>
      <c r="N22" s="380">
        <f t="shared" ref="N22:N41" si="4">G22*$N$4</f>
        <v>0.10493827160493827</v>
      </c>
      <c r="O22" s="380">
        <f t="shared" ref="O22:O41" si="5">K22*$O$4</f>
        <v>-7.6211936664528435E-3</v>
      </c>
    </row>
    <row r="23" spans="1:15" x14ac:dyDescent="0.2">
      <c r="A23" s="376" t="s">
        <v>2</v>
      </c>
      <c r="B23" s="376" t="s">
        <v>24</v>
      </c>
      <c r="C23" s="377">
        <f>'Past RHNA Performance'!K28</f>
        <v>614</v>
      </c>
      <c r="D23" s="378">
        <f>'Past RHNA Performance'!M28</f>
        <v>-0.72043010752688175</v>
      </c>
      <c r="E23" s="379"/>
      <c r="F23" s="377">
        <f>Jobs!C27</f>
        <v>8286</v>
      </c>
      <c r="G23" s="380">
        <f>Jobs!G27</f>
        <v>-1.8518518518518618E-2</v>
      </c>
      <c r="H23" s="379"/>
      <c r="I23" s="316">
        <f>Transit!D29</f>
        <v>54.077253218884117</v>
      </c>
      <c r="J23" s="319">
        <f>Transit!I29</f>
        <v>4.7425474254742549E-2</v>
      </c>
      <c r="K23" s="380">
        <f>Transit!M29</f>
        <v>-0.26139815223037743</v>
      </c>
      <c r="L23" s="379"/>
      <c r="M23" s="380">
        <f t="shared" si="3"/>
        <v>-0.24014336917562723</v>
      </c>
      <c r="N23" s="380">
        <f t="shared" si="4"/>
        <v>-6.1728395061728721E-3</v>
      </c>
      <c r="O23" s="380">
        <f t="shared" si="5"/>
        <v>-8.7132717410125807E-2</v>
      </c>
    </row>
    <row r="24" spans="1:15" x14ac:dyDescent="0.2">
      <c r="A24" s="376" t="s">
        <v>2</v>
      </c>
      <c r="B24" s="376" t="s">
        <v>25</v>
      </c>
      <c r="C24" s="377">
        <f>'Past RHNA Performance'!K29</f>
        <v>84</v>
      </c>
      <c r="D24" s="378">
        <f>'Past RHNA Performance'!M29</f>
        <v>0.31182795698924737</v>
      </c>
      <c r="E24" s="379"/>
      <c r="F24" s="377">
        <f>Jobs!C28</f>
        <v>2242</v>
      </c>
      <c r="G24" s="380">
        <f>Jobs!G28</f>
        <v>-0.61111111111111116</v>
      </c>
      <c r="H24" s="379"/>
      <c r="I24" s="316">
        <f>Transit!D30</f>
        <v>109.09090909090911</v>
      </c>
      <c r="J24" s="319">
        <f>Transit!I30</f>
        <v>8.5714285714285715E-2</v>
      </c>
      <c r="K24" s="380">
        <f>Transit!M30</f>
        <v>-0.39394413918372495</v>
      </c>
      <c r="L24" s="379"/>
      <c r="M24" s="380">
        <f t="shared" si="3"/>
        <v>0.10394265232974911</v>
      </c>
      <c r="N24" s="380">
        <f t="shared" si="4"/>
        <v>-0.20370370370370372</v>
      </c>
      <c r="O24" s="380">
        <f t="shared" si="5"/>
        <v>-0.13131471306124165</v>
      </c>
    </row>
    <row r="25" spans="1:15" x14ac:dyDescent="0.2">
      <c r="A25" s="376" t="s">
        <v>2</v>
      </c>
      <c r="B25" s="376" t="s">
        <v>26</v>
      </c>
      <c r="C25" s="377">
        <f>'Past RHNA Performance'!K30</f>
        <v>286</v>
      </c>
      <c r="D25" s="378">
        <f>'Past RHNA Performance'!M30</f>
        <v>-0.29032258064516125</v>
      </c>
      <c r="E25" s="379"/>
      <c r="F25" s="377">
        <f>Jobs!C29</f>
        <v>31305</v>
      </c>
      <c r="G25" s="380">
        <f>Jobs!G29</f>
        <v>0.72222222222222232</v>
      </c>
      <c r="H25" s="379"/>
      <c r="I25" s="316">
        <f>Transit!D31</f>
        <v>47.253886010362699</v>
      </c>
      <c r="J25" s="319">
        <f>Transit!I31</f>
        <v>9.2812281926029305E-2</v>
      </c>
      <c r="K25" s="380">
        <f>Transit!M31</f>
        <v>-1.7547778390259481E-2</v>
      </c>
      <c r="L25" s="379"/>
      <c r="M25" s="380">
        <f t="shared" si="3"/>
        <v>-9.677419354838708E-2</v>
      </c>
      <c r="N25" s="380">
        <f t="shared" si="4"/>
        <v>0.24074074074074076</v>
      </c>
      <c r="O25" s="380">
        <f t="shared" si="5"/>
        <v>-5.8492594634198267E-3</v>
      </c>
    </row>
    <row r="26" spans="1:15" x14ac:dyDescent="0.2">
      <c r="A26" s="376" t="s">
        <v>2</v>
      </c>
      <c r="B26" s="376" t="s">
        <v>27</v>
      </c>
      <c r="C26" s="377">
        <f>'Past RHNA Performance'!K31</f>
        <v>141</v>
      </c>
      <c r="D26" s="378">
        <f>'Past RHNA Performance'!M31</f>
        <v>7.5268817204300967E-2</v>
      </c>
      <c r="E26" s="379"/>
      <c r="F26" s="377">
        <f>Jobs!C30</f>
        <v>12535</v>
      </c>
      <c r="G26" s="380">
        <f>Jobs!G30</f>
        <v>0.12962962962962962</v>
      </c>
      <c r="H26" s="379"/>
      <c r="I26" s="316">
        <f>Transit!D32</f>
        <v>54.370709382151027</v>
      </c>
      <c r="J26" s="319">
        <f>Transit!I32</f>
        <v>2.7138157894736843E-2</v>
      </c>
      <c r="K26" s="380">
        <f>Transit!M32</f>
        <v>-0.35505273290453659</v>
      </c>
      <c r="L26" s="379"/>
      <c r="M26" s="380">
        <f t="shared" si="3"/>
        <v>2.5089605734766988E-2</v>
      </c>
      <c r="N26" s="380">
        <f t="shared" si="4"/>
        <v>4.3209876543209874E-2</v>
      </c>
      <c r="O26" s="380">
        <f t="shared" si="5"/>
        <v>-0.11835091096817886</v>
      </c>
    </row>
    <row r="27" spans="1:15" x14ac:dyDescent="0.2">
      <c r="A27" s="376" t="s">
        <v>2</v>
      </c>
      <c r="B27" s="376" t="s">
        <v>28</v>
      </c>
      <c r="C27" s="377">
        <f>'Past RHNA Performance'!K32</f>
        <v>5</v>
      </c>
      <c r="D27" s="378">
        <f>'Past RHNA Performance'!M32</f>
        <v>0.9354838709677421</v>
      </c>
      <c r="E27" s="379"/>
      <c r="F27" s="377">
        <f>Jobs!C31</f>
        <v>2222</v>
      </c>
      <c r="G27" s="380">
        <f>Jobs!G31</f>
        <v>-0.62962962962962965</v>
      </c>
      <c r="H27" s="379"/>
      <c r="I27" s="316">
        <f>Transit!D33</f>
        <v>19.345383488031263</v>
      </c>
      <c r="J27" s="319">
        <f>Transit!I33</f>
        <v>0.17295597484276728</v>
      </c>
      <c r="K27" s="380">
        <f>Transit!M33</f>
        <v>0.5013213899896275</v>
      </c>
      <c r="L27" s="379"/>
      <c r="M27" s="380">
        <f t="shared" si="3"/>
        <v>0.31182795698924737</v>
      </c>
      <c r="N27" s="380">
        <f t="shared" si="4"/>
        <v>-0.20987654320987653</v>
      </c>
      <c r="O27" s="380">
        <f t="shared" si="5"/>
        <v>0.16710712999654248</v>
      </c>
    </row>
    <row r="28" spans="1:15" x14ac:dyDescent="0.2">
      <c r="A28" s="376" t="s">
        <v>2</v>
      </c>
      <c r="B28" s="376" t="s">
        <v>29</v>
      </c>
      <c r="C28" s="377">
        <f>'Past RHNA Performance'!K33</f>
        <v>164</v>
      </c>
      <c r="D28" s="378">
        <f>'Past RHNA Performance'!M33</f>
        <v>1.0752688172043036E-2</v>
      </c>
      <c r="E28" s="379"/>
      <c r="F28" s="377">
        <f>Jobs!C32</f>
        <v>1173</v>
      </c>
      <c r="G28" s="380">
        <f>Jobs!G32</f>
        <v>-0.88888888888888884</v>
      </c>
      <c r="H28" s="379"/>
      <c r="I28" s="316">
        <f>Transit!D34</f>
        <v>32.154115586690018</v>
      </c>
      <c r="J28" s="319">
        <f>Transit!I34</f>
        <v>8.4858569051580693E-2</v>
      </c>
      <c r="K28" s="380">
        <f>Transit!M34</f>
        <v>3.042418084274516E-2</v>
      </c>
      <c r="L28" s="379"/>
      <c r="M28" s="380">
        <f t="shared" si="3"/>
        <v>3.5842293906810118E-3</v>
      </c>
      <c r="N28" s="380">
        <f t="shared" si="4"/>
        <v>-0.29629629629629628</v>
      </c>
      <c r="O28" s="380">
        <f t="shared" si="5"/>
        <v>1.0141393614248387E-2</v>
      </c>
    </row>
    <row r="29" spans="1:15" x14ac:dyDescent="0.2">
      <c r="A29" s="376" t="s">
        <v>2</v>
      </c>
      <c r="B29" s="376" t="s">
        <v>30</v>
      </c>
      <c r="C29" s="377">
        <f>'Past RHNA Performance'!K34</f>
        <v>17</v>
      </c>
      <c r="D29" s="378">
        <f>'Past RHNA Performance'!M34</f>
        <v>0.76344086021505375</v>
      </c>
      <c r="E29" s="379"/>
      <c r="F29" s="377">
        <f>Jobs!C33</f>
        <v>4052</v>
      </c>
      <c r="G29" s="380">
        <f>Jobs!G33</f>
        <v>-0.37037037037037041</v>
      </c>
      <c r="H29" s="379"/>
      <c r="I29" s="316">
        <f>Transit!D35</f>
        <v>70.243902439024396</v>
      </c>
      <c r="J29" s="319">
        <f>Transit!I35</f>
        <v>4.9180327868852458E-2</v>
      </c>
      <c r="K29" s="380">
        <f>Transit!M35</f>
        <v>-0.34342600253156336</v>
      </c>
      <c r="L29" s="379"/>
      <c r="M29" s="380">
        <f t="shared" si="3"/>
        <v>0.25448028673835121</v>
      </c>
      <c r="N29" s="380">
        <f t="shared" si="4"/>
        <v>-0.1234567901234568</v>
      </c>
      <c r="O29" s="380">
        <f t="shared" si="5"/>
        <v>-0.11447533417718778</v>
      </c>
    </row>
    <row r="30" spans="1:15" x14ac:dyDescent="0.2">
      <c r="A30" s="376" t="s">
        <v>2</v>
      </c>
      <c r="B30" s="376" t="s">
        <v>31</v>
      </c>
      <c r="C30" s="377">
        <f>'Past RHNA Performance'!K35</f>
        <v>0</v>
      </c>
      <c r="D30" s="378">
        <f>'Past RHNA Performance'!M35</f>
        <v>1</v>
      </c>
      <c r="E30" s="379"/>
      <c r="F30" s="377">
        <f>Jobs!C34</f>
        <v>18099</v>
      </c>
      <c r="G30" s="380">
        <f>Jobs!G34</f>
        <v>0.37037037037037041</v>
      </c>
      <c r="H30" s="379"/>
      <c r="I30" s="316">
        <f>Transit!D36</f>
        <v>41.053610164239224</v>
      </c>
      <c r="J30" s="319">
        <f>Transit!I36</f>
        <v>9.0373280943025547E-2</v>
      </c>
      <c r="K30" s="380">
        <f>Transit!M36</f>
        <v>5.9014825127430013E-3</v>
      </c>
      <c r="L30" s="379"/>
      <c r="M30" s="380">
        <f t="shared" si="3"/>
        <v>0.33333333333333331</v>
      </c>
      <c r="N30" s="380">
        <f t="shared" si="4"/>
        <v>0.1234567901234568</v>
      </c>
      <c r="O30" s="380">
        <f t="shared" si="5"/>
        <v>1.9671608375810001E-3</v>
      </c>
    </row>
    <row r="31" spans="1:15" x14ac:dyDescent="0.2">
      <c r="A31" s="376" t="s">
        <v>2</v>
      </c>
      <c r="B31" s="376" t="s">
        <v>32</v>
      </c>
      <c r="C31" s="377">
        <f>'Past RHNA Performance'!K36</f>
        <v>21</v>
      </c>
      <c r="D31" s="378">
        <f>'Past RHNA Performance'!M36</f>
        <v>0.67741935483870974</v>
      </c>
      <c r="E31" s="379"/>
      <c r="F31" s="377">
        <f>Jobs!C35</f>
        <v>2978</v>
      </c>
      <c r="G31" s="380">
        <f>Jobs!G35</f>
        <v>-0.44444444444444431</v>
      </c>
      <c r="H31" s="379"/>
      <c r="I31" s="316">
        <f>Transit!D37</f>
        <v>53.712255772646536</v>
      </c>
      <c r="J31" s="319">
        <f>Transit!I37</f>
        <v>5.9490084985835696E-2</v>
      </c>
      <c r="K31" s="380">
        <f>Transit!M37</f>
        <v>-0.2046426807632625</v>
      </c>
      <c r="L31" s="379"/>
      <c r="M31" s="380">
        <f t="shared" si="3"/>
        <v>0.22580645161290325</v>
      </c>
      <c r="N31" s="380">
        <f t="shared" si="4"/>
        <v>-0.14814814814814808</v>
      </c>
      <c r="O31" s="380">
        <f t="shared" si="5"/>
        <v>-6.8214226921087501E-2</v>
      </c>
    </row>
    <row r="32" spans="1:15" x14ac:dyDescent="0.2">
      <c r="A32" s="376" t="s">
        <v>2</v>
      </c>
      <c r="B32" s="376" t="s">
        <v>33</v>
      </c>
      <c r="C32" s="377">
        <f>'Past RHNA Performance'!K37</f>
        <v>461</v>
      </c>
      <c r="D32" s="378">
        <f>'Past RHNA Performance'!M37</f>
        <v>-0.4623655913978495</v>
      </c>
      <c r="E32" s="379"/>
      <c r="F32" s="377">
        <f>Jobs!C36</f>
        <v>2107</v>
      </c>
      <c r="G32" s="380">
        <f>Jobs!G36</f>
        <v>-0.68518518518518501</v>
      </c>
      <c r="H32" s="379"/>
      <c r="I32" s="316">
        <f>Transit!D38</f>
        <v>45.347043701799485</v>
      </c>
      <c r="J32" s="319">
        <f>Transit!I38</f>
        <v>5.2801724137931036E-2</v>
      </c>
      <c r="K32" s="380">
        <f>Transit!M38</f>
        <v>-0.18841748273577308</v>
      </c>
      <c r="L32" s="379"/>
      <c r="M32" s="380">
        <f t="shared" si="3"/>
        <v>-0.15412186379928317</v>
      </c>
      <c r="N32" s="380">
        <f t="shared" si="4"/>
        <v>-0.22839506172839499</v>
      </c>
      <c r="O32" s="380">
        <f t="shared" si="5"/>
        <v>-6.2805827578591017E-2</v>
      </c>
    </row>
    <row r="33" spans="1:15" x14ac:dyDescent="0.2">
      <c r="A33" s="376" t="s">
        <v>2</v>
      </c>
      <c r="B33" s="376" t="s">
        <v>34</v>
      </c>
      <c r="C33" s="377">
        <f>'Past RHNA Performance'!K38</f>
        <v>0</v>
      </c>
      <c r="D33" s="378">
        <f>'Past RHNA Performance'!M38</f>
        <v>1</v>
      </c>
      <c r="E33" s="379"/>
      <c r="F33" s="377">
        <f>Jobs!C37</f>
        <v>2447</v>
      </c>
      <c r="G33" s="380">
        <f>Jobs!G37</f>
        <v>-0.53703703703703698</v>
      </c>
      <c r="H33" s="379"/>
      <c r="I33" s="316">
        <f>Transit!D39</f>
        <v>69.397590361445779</v>
      </c>
      <c r="J33" s="319">
        <f>Transit!I39</f>
        <v>7.899461400359066E-2</v>
      </c>
      <c r="K33" s="380">
        <f>Transit!M39</f>
        <v>-0.20348075432637786</v>
      </c>
      <c r="L33" s="379"/>
      <c r="M33" s="380">
        <f t="shared" si="3"/>
        <v>0.33333333333333331</v>
      </c>
      <c r="N33" s="380">
        <f t="shared" si="4"/>
        <v>-0.17901234567901231</v>
      </c>
      <c r="O33" s="380">
        <f t="shared" si="5"/>
        <v>-6.7826918108792614E-2</v>
      </c>
    </row>
    <row r="34" spans="1:15" x14ac:dyDescent="0.2">
      <c r="A34" s="376" t="s">
        <v>2</v>
      </c>
      <c r="B34" s="376" t="s">
        <v>35</v>
      </c>
      <c r="C34" s="377">
        <f>'Past RHNA Performance'!K39</f>
        <v>40</v>
      </c>
      <c r="D34" s="378">
        <f>'Past RHNA Performance'!M39</f>
        <v>0.5053763440860215</v>
      </c>
      <c r="E34" s="379"/>
      <c r="F34" s="377">
        <f>Jobs!C38</f>
        <v>1487</v>
      </c>
      <c r="G34" s="380">
        <f>Jobs!G38</f>
        <v>-0.83333333333333315</v>
      </c>
      <c r="H34" s="379"/>
      <c r="I34" s="316">
        <f>Transit!D40</f>
        <v>21.654135338345863</v>
      </c>
      <c r="J34" s="319">
        <f>Transit!I40</f>
        <v>0.12558139534883722</v>
      </c>
      <c r="K34" s="380">
        <f>Transit!M40</f>
        <v>0.273584189967157</v>
      </c>
      <c r="L34" s="379"/>
      <c r="M34" s="380">
        <f t="shared" si="3"/>
        <v>0.16845878136200715</v>
      </c>
      <c r="N34" s="380">
        <f t="shared" si="4"/>
        <v>-0.27777777777777768</v>
      </c>
      <c r="O34" s="380">
        <f t="shared" si="5"/>
        <v>9.1194729989052328E-2</v>
      </c>
    </row>
    <row r="35" spans="1:15" x14ac:dyDescent="0.2">
      <c r="A35" s="376" t="s">
        <v>2</v>
      </c>
      <c r="B35" s="376" t="s">
        <v>36</v>
      </c>
      <c r="C35" s="377">
        <f>'Past RHNA Performance'!K40</f>
        <v>628</v>
      </c>
      <c r="D35" s="378">
        <f>'Past RHNA Performance'!M40</f>
        <v>-0.74193548387096764</v>
      </c>
      <c r="E35" s="379"/>
      <c r="F35" s="377">
        <f>Jobs!C39</f>
        <v>7184</v>
      </c>
      <c r="G35" s="380">
        <f>Jobs!G39</f>
        <v>-7.4074074074074195E-2</v>
      </c>
      <c r="H35" s="379"/>
      <c r="I35" s="316">
        <f>Transit!D41</f>
        <v>23.400615805679099</v>
      </c>
      <c r="J35" s="319">
        <f>Transit!I41</f>
        <v>6.2997347480106103E-2</v>
      </c>
      <c r="K35" s="380">
        <f>Transit!M41</f>
        <v>-2.0011810230242729E-2</v>
      </c>
      <c r="L35" s="379"/>
      <c r="M35" s="380">
        <f t="shared" si="3"/>
        <v>-0.24731182795698919</v>
      </c>
      <c r="N35" s="380">
        <f t="shared" si="4"/>
        <v>-2.4691358024691398E-2</v>
      </c>
      <c r="O35" s="380">
        <f t="shared" si="5"/>
        <v>-6.6706034100809091E-3</v>
      </c>
    </row>
    <row r="36" spans="1:15" x14ac:dyDescent="0.2">
      <c r="A36" s="376" t="s">
        <v>2</v>
      </c>
      <c r="B36" s="376" t="s">
        <v>37</v>
      </c>
      <c r="C36" s="377">
        <f>'Past RHNA Performance'!K41</f>
        <v>164</v>
      </c>
      <c r="D36" s="378">
        <f>'Past RHNA Performance'!M41</f>
        <v>1.0752688172043036E-2</v>
      </c>
      <c r="E36" s="379"/>
      <c r="F36" s="377">
        <f>Jobs!C40</f>
        <v>11635</v>
      </c>
      <c r="G36" s="380">
        <f>Jobs!G40</f>
        <v>9.2592592592592518E-2</v>
      </c>
      <c r="H36" s="379"/>
      <c r="I36" s="316">
        <f>Transit!D42</f>
        <v>33.333333333333336</v>
      </c>
      <c r="J36" s="319">
        <f>Transit!I42</f>
        <v>9.3167701863354033E-2</v>
      </c>
      <c r="K36" s="380">
        <f>Transit!M42</f>
        <v>6.1549705721615451E-2</v>
      </c>
      <c r="L36" s="379"/>
      <c r="M36" s="380">
        <f t="shared" si="3"/>
        <v>3.5842293906810118E-3</v>
      </c>
      <c r="N36" s="380">
        <f t="shared" si="4"/>
        <v>3.0864197530864172E-2</v>
      </c>
      <c r="O36" s="380">
        <f t="shared" si="5"/>
        <v>2.0516568573871817E-2</v>
      </c>
    </row>
    <row r="37" spans="1:15" x14ac:dyDescent="0.2">
      <c r="A37" s="376" t="s">
        <v>2</v>
      </c>
      <c r="B37" s="376" t="s">
        <v>38</v>
      </c>
      <c r="C37" s="377">
        <f>'Past RHNA Performance'!K42</f>
        <v>1293</v>
      </c>
      <c r="D37" s="378">
        <f>'Past RHNA Performance'!M42</f>
        <v>-0.91397849462365588</v>
      </c>
      <c r="E37" s="379"/>
      <c r="F37" s="377">
        <f>Jobs!C41</f>
        <v>15868</v>
      </c>
      <c r="G37" s="380">
        <f>Jobs!G41</f>
        <v>0.33333333333333343</v>
      </c>
      <c r="H37" s="379"/>
      <c r="I37" s="316">
        <f>Transit!D43</f>
        <v>23.036697247706421</v>
      </c>
      <c r="J37" s="319">
        <f>Transit!I43</f>
        <v>0.11872340425531915</v>
      </c>
      <c r="K37" s="380">
        <f>Transit!M43</f>
        <v>0.23478137386950038</v>
      </c>
      <c r="L37" s="379"/>
      <c r="M37" s="380">
        <f t="shared" si="3"/>
        <v>-0.30465949820788529</v>
      </c>
      <c r="N37" s="380">
        <f t="shared" si="4"/>
        <v>0.11111111111111113</v>
      </c>
      <c r="O37" s="380">
        <f t="shared" si="5"/>
        <v>7.8260457956500121E-2</v>
      </c>
    </row>
    <row r="38" spans="1:15" x14ac:dyDescent="0.2">
      <c r="A38" s="376" t="s">
        <v>2</v>
      </c>
      <c r="B38" s="376" t="s">
        <v>39</v>
      </c>
      <c r="C38" s="377">
        <f>'Past RHNA Performance'!K43</f>
        <v>284</v>
      </c>
      <c r="D38" s="378">
        <f>'Past RHNA Performance'!M43</f>
        <v>-0.2688172043010752</v>
      </c>
      <c r="E38" s="379"/>
      <c r="F38" s="377">
        <f>Jobs!C42</f>
        <v>2025</v>
      </c>
      <c r="G38" s="380">
        <f>Jobs!G42</f>
        <v>-0.72222222222222232</v>
      </c>
      <c r="H38" s="379"/>
      <c r="I38" s="316">
        <f>Transit!D44</f>
        <v>21.253731343283583</v>
      </c>
      <c r="J38" s="319">
        <f>Transit!I44</f>
        <v>0.16152450090744103</v>
      </c>
      <c r="K38" s="380">
        <f>Transit!M44</f>
        <v>0.43884707939513617</v>
      </c>
      <c r="L38" s="379"/>
      <c r="M38" s="380">
        <f t="shared" si="3"/>
        <v>-8.9605734767025061E-2</v>
      </c>
      <c r="N38" s="380">
        <f t="shared" si="4"/>
        <v>-0.24074074074074076</v>
      </c>
      <c r="O38" s="380">
        <f t="shared" si="5"/>
        <v>0.14628235979837872</v>
      </c>
    </row>
    <row r="39" spans="1:15" x14ac:dyDescent="0.2">
      <c r="A39" s="376" t="s">
        <v>2</v>
      </c>
      <c r="B39" s="376" t="s">
        <v>40</v>
      </c>
      <c r="C39" s="377">
        <f>'Past RHNA Performance'!K44</f>
        <v>564</v>
      </c>
      <c r="D39" s="378">
        <f>'Past RHNA Performance'!M44</f>
        <v>-0.69892473118279563</v>
      </c>
      <c r="E39" s="379"/>
      <c r="F39" s="377">
        <f>Jobs!C43</f>
        <v>19635</v>
      </c>
      <c r="G39" s="380">
        <f>Jobs!G43</f>
        <v>0.4074074074074075</v>
      </c>
      <c r="H39" s="379"/>
      <c r="I39" s="316">
        <f>Transit!D45</f>
        <v>46.900501073729416</v>
      </c>
      <c r="J39" s="319">
        <f>Transit!I45</f>
        <v>7.5581395348837205E-2</v>
      </c>
      <c r="K39" s="380">
        <f>Transit!M45</f>
        <v>-9.3738233592511475E-2</v>
      </c>
      <c r="L39" s="379"/>
      <c r="M39" s="380">
        <f t="shared" si="3"/>
        <v>-0.23297491039426521</v>
      </c>
      <c r="N39" s="380">
        <f t="shared" si="4"/>
        <v>0.13580246913580249</v>
      </c>
      <c r="O39" s="380">
        <f t="shared" si="5"/>
        <v>-3.1246077864170489E-2</v>
      </c>
    </row>
    <row r="40" spans="1:15" x14ac:dyDescent="0.2">
      <c r="A40" s="376" t="s">
        <v>2</v>
      </c>
      <c r="B40" s="376" t="s">
        <v>41</v>
      </c>
      <c r="C40" s="377">
        <f>'Past RHNA Performance'!K45</f>
        <v>179</v>
      </c>
      <c r="D40" s="378">
        <f>'Past RHNA Performance'!M45</f>
        <v>-5.3763440860215041E-2</v>
      </c>
      <c r="E40" s="379"/>
      <c r="F40" s="377">
        <f>Jobs!C44</f>
        <v>36294</v>
      </c>
      <c r="G40" s="380">
        <f>Jobs!G44</f>
        <v>0.81481481481481477</v>
      </c>
      <c r="H40" s="379"/>
      <c r="I40" s="316">
        <f>Transit!D46</f>
        <v>42.006403415154743</v>
      </c>
      <c r="J40" s="319">
        <f>Transit!I46</f>
        <v>0.10006101281269067</v>
      </c>
      <c r="K40" s="380">
        <f>Transit!M46</f>
        <v>4.454052376636497E-2</v>
      </c>
      <c r="L40" s="379"/>
      <c r="M40" s="380">
        <f t="shared" si="3"/>
        <v>-1.7921146953405014E-2</v>
      </c>
      <c r="N40" s="380">
        <f t="shared" si="4"/>
        <v>0.27160493827160492</v>
      </c>
      <c r="O40" s="380">
        <f t="shared" si="5"/>
        <v>1.484684125545499E-2</v>
      </c>
    </row>
    <row r="41" spans="1:15" x14ac:dyDescent="0.2">
      <c r="A41" s="376" t="s">
        <v>2</v>
      </c>
      <c r="B41" s="376" t="s">
        <v>106</v>
      </c>
      <c r="C41" s="377">
        <f>'Past RHNA Performance'!K46</f>
        <v>549</v>
      </c>
      <c r="D41" s="378">
        <f>'Past RHNA Performance'!M46</f>
        <v>-0.63440860215053763</v>
      </c>
      <c r="E41" s="379"/>
      <c r="F41" s="377">
        <f>Jobs!C45</f>
        <v>33584</v>
      </c>
      <c r="G41" s="380">
        <f>Jobs!G45</f>
        <v>0.79629629629629628</v>
      </c>
      <c r="H41" s="379"/>
      <c r="I41" s="316">
        <f>Transit!D47</f>
        <v>35.985942991019137</v>
      </c>
      <c r="J41" s="319">
        <f>Transit!I47</f>
        <v>6.2232594321275765E-2</v>
      </c>
      <c r="K41" s="380">
        <f>Transit!M47</f>
        <v>-9.353378201140955E-2</v>
      </c>
      <c r="L41" s="379"/>
      <c r="M41" s="380">
        <f t="shared" si="3"/>
        <v>-0.21146953405017921</v>
      </c>
      <c r="N41" s="380">
        <f t="shared" si="4"/>
        <v>0.26543209876543206</v>
      </c>
      <c r="O41" s="380">
        <f t="shared" si="5"/>
        <v>-3.1177927337136514E-2</v>
      </c>
    </row>
    <row r="42" spans="1:15" s="358" customFormat="1" x14ac:dyDescent="0.2">
      <c r="A42" s="381"/>
      <c r="B42" s="381"/>
      <c r="C42" s="383"/>
      <c r="D42" s="383"/>
      <c r="E42" s="374"/>
      <c r="F42" s="383"/>
      <c r="G42" s="383"/>
      <c r="H42" s="374"/>
      <c r="I42" s="332"/>
      <c r="J42" s="335"/>
      <c r="K42" s="384"/>
      <c r="L42" s="374"/>
      <c r="M42" s="383"/>
      <c r="N42" s="383"/>
      <c r="O42" s="383"/>
    </row>
    <row r="43" spans="1:15" s="358" customFormat="1" x14ac:dyDescent="0.2">
      <c r="A43" s="381"/>
      <c r="B43" s="381"/>
      <c r="C43" s="383"/>
      <c r="D43" s="383"/>
      <c r="E43" s="374"/>
      <c r="F43" s="383"/>
      <c r="G43" s="383"/>
      <c r="H43" s="374"/>
      <c r="I43" s="340"/>
      <c r="J43" s="343"/>
      <c r="K43" s="384"/>
      <c r="L43" s="374"/>
      <c r="M43" s="383"/>
      <c r="N43" s="383"/>
      <c r="O43" s="383"/>
    </row>
    <row r="44" spans="1:15" x14ac:dyDescent="0.2">
      <c r="A44" s="376" t="s">
        <v>3</v>
      </c>
      <c r="B44" s="376" t="s">
        <v>42</v>
      </c>
      <c r="C44" s="377">
        <f>'Past RHNA Performance'!K49</f>
        <v>0</v>
      </c>
      <c r="D44" s="378">
        <f>'Past RHNA Performance'!M49</f>
        <v>1</v>
      </c>
      <c r="E44" s="379"/>
      <c r="F44" s="377">
        <f>Jobs!C48</f>
        <v>464</v>
      </c>
      <c r="G44" s="380">
        <f>Jobs!G48</f>
        <v>-1</v>
      </c>
      <c r="H44" s="379"/>
      <c r="I44" s="316">
        <f>Transit!D50</f>
        <v>66.976744186046503</v>
      </c>
      <c r="J44" s="319">
        <f>Transit!I50</f>
        <v>3.2258064516129031E-2</v>
      </c>
      <c r="K44" s="380">
        <f>Transit!M50</f>
        <v>-0.40199777194850467</v>
      </c>
      <c r="L44" s="379"/>
      <c r="M44" s="380">
        <f t="shared" ref="M44:M55" si="6">D44*$M$4</f>
        <v>0.33333333333333331</v>
      </c>
      <c r="N44" s="380">
        <f t="shared" ref="N44:N55" si="7">G44*$N$4</f>
        <v>-0.33333333333333331</v>
      </c>
      <c r="O44" s="380">
        <f t="shared" ref="O44:O55" si="8">K44*$O$4</f>
        <v>-0.13399925731616821</v>
      </c>
    </row>
    <row r="45" spans="1:15" x14ac:dyDescent="0.2">
      <c r="A45" s="376" t="s">
        <v>3</v>
      </c>
      <c r="B45" s="376" t="s">
        <v>43</v>
      </c>
      <c r="C45" s="377">
        <f>'Past RHNA Performance'!K50</f>
        <v>0</v>
      </c>
      <c r="D45" s="378">
        <f>'Past RHNA Performance'!M50</f>
        <v>1</v>
      </c>
      <c r="E45" s="379"/>
      <c r="F45" s="377">
        <f>Jobs!C49</f>
        <v>6812</v>
      </c>
      <c r="G45" s="380">
        <f>Jobs!G49</f>
        <v>-9.2592592592592518E-2</v>
      </c>
      <c r="H45" s="379"/>
      <c r="I45" s="316">
        <f>Transit!D51</f>
        <v>50.769230769230766</v>
      </c>
      <c r="J45" s="319">
        <f>Transit!I51</f>
        <v>7.8291814946619215E-2</v>
      </c>
      <c r="K45" s="380">
        <f>Transit!M51</f>
        <v>-0.10297838938611818</v>
      </c>
      <c r="L45" s="379"/>
      <c r="M45" s="380">
        <f t="shared" si="6"/>
        <v>0.33333333333333331</v>
      </c>
      <c r="N45" s="380">
        <f t="shared" si="7"/>
        <v>-3.0864197530864172E-2</v>
      </c>
      <c r="O45" s="380">
        <f t="shared" si="8"/>
        <v>-3.4326129795372723E-2</v>
      </c>
    </row>
    <row r="46" spans="1:15" x14ac:dyDescent="0.2">
      <c r="A46" s="376" t="s">
        <v>3</v>
      </c>
      <c r="B46" s="376" t="s">
        <v>44</v>
      </c>
      <c r="C46" s="377">
        <f>'Past RHNA Performance'!K51</f>
        <v>0</v>
      </c>
      <c r="D46" s="378">
        <f>'Past RHNA Performance'!M51</f>
        <v>1</v>
      </c>
      <c r="E46" s="379"/>
      <c r="F46" s="377">
        <f>Jobs!C50</f>
        <v>2376</v>
      </c>
      <c r="G46" s="380">
        <f>Jobs!G50</f>
        <v>-0.55555555555555569</v>
      </c>
      <c r="H46" s="379"/>
      <c r="I46" s="316">
        <f>Transit!D52</f>
        <v>19.54070981210856</v>
      </c>
      <c r="J46" s="319">
        <f>Transit!I52</f>
        <v>6.7708333333333329E-2</v>
      </c>
      <c r="K46" s="380">
        <f>Transit!M52</f>
        <v>2.2841943615936201E-2</v>
      </c>
      <c r="L46" s="379"/>
      <c r="M46" s="380">
        <f t="shared" si="6"/>
        <v>0.33333333333333331</v>
      </c>
      <c r="N46" s="380">
        <f t="shared" si="7"/>
        <v>-0.18518518518518523</v>
      </c>
      <c r="O46" s="380">
        <f t="shared" si="8"/>
        <v>7.6139812053120665E-3</v>
      </c>
    </row>
    <row r="47" spans="1:15" x14ac:dyDescent="0.2">
      <c r="A47" s="376" t="s">
        <v>3</v>
      </c>
      <c r="B47" s="376" t="s">
        <v>45</v>
      </c>
      <c r="C47" s="377">
        <f>'Past RHNA Performance'!K52</f>
        <v>13</v>
      </c>
      <c r="D47" s="378">
        <f>'Past RHNA Performance'!M52</f>
        <v>0.84946236559139776</v>
      </c>
      <c r="E47" s="379"/>
      <c r="F47" s="377">
        <f>Jobs!C51</f>
        <v>5002</v>
      </c>
      <c r="G47" s="380">
        <f>Jobs!G51</f>
        <v>-0.24074074074074076</v>
      </c>
      <c r="H47" s="379"/>
      <c r="I47" s="316">
        <f>Transit!D53</f>
        <v>32.941176470588239</v>
      </c>
      <c r="J47" s="319">
        <f>Transit!I53</f>
        <v>6.6878980891719744E-2</v>
      </c>
      <c r="K47" s="380">
        <f>Transit!M53</f>
        <v>-5.5510317332947923E-2</v>
      </c>
      <c r="L47" s="379"/>
      <c r="M47" s="380">
        <f t="shared" si="6"/>
        <v>0.28315412186379924</v>
      </c>
      <c r="N47" s="380">
        <f t="shared" si="7"/>
        <v>-8.0246913580246909E-2</v>
      </c>
      <c r="O47" s="380">
        <f t="shared" si="8"/>
        <v>-1.850343911098264E-2</v>
      </c>
    </row>
    <row r="48" spans="1:15" x14ac:dyDescent="0.2">
      <c r="A48" s="376" t="s">
        <v>3</v>
      </c>
      <c r="B48" s="376" t="s">
        <v>46</v>
      </c>
      <c r="C48" s="377">
        <f>'Past RHNA Performance'!K53</f>
        <v>97</v>
      </c>
      <c r="D48" s="378">
        <f>'Past RHNA Performance'!M53</f>
        <v>0.24731182795698928</v>
      </c>
      <c r="E48" s="379"/>
      <c r="F48" s="377">
        <f>Jobs!C52</f>
        <v>5912</v>
      </c>
      <c r="G48" s="380">
        <f>Jobs!G52</f>
        <v>-0.16666666666666671</v>
      </c>
      <c r="H48" s="379"/>
      <c r="I48" s="316">
        <f>Transit!D54</f>
        <v>22.929936305732483</v>
      </c>
      <c r="J48" s="319">
        <f>Transit!I54</f>
        <v>4.5454545454545456E-2</v>
      </c>
      <c r="K48" s="380">
        <f>Transit!M54</f>
        <v>-9.6964189663198114E-2</v>
      </c>
      <c r="L48" s="379"/>
      <c r="M48" s="380">
        <f t="shared" si="6"/>
        <v>8.2437275985663083E-2</v>
      </c>
      <c r="N48" s="380">
        <f t="shared" si="7"/>
        <v>-5.5555555555555566E-2</v>
      </c>
      <c r="O48" s="380">
        <f t="shared" si="8"/>
        <v>-3.2321396554399369E-2</v>
      </c>
    </row>
    <row r="49" spans="1:15" x14ac:dyDescent="0.2">
      <c r="A49" s="376" t="s">
        <v>3</v>
      </c>
      <c r="B49" s="376" t="s">
        <v>47</v>
      </c>
      <c r="C49" s="377">
        <f>'Past RHNA Performance'!K54</f>
        <v>824</v>
      </c>
      <c r="D49" s="378">
        <f>'Past RHNA Performance'!M54</f>
        <v>-0.84946236559139776</v>
      </c>
      <c r="E49" s="379"/>
      <c r="F49" s="377">
        <f>Jobs!C53</f>
        <v>22450</v>
      </c>
      <c r="G49" s="380">
        <f>Jobs!G53</f>
        <v>0.46296296296296291</v>
      </c>
      <c r="H49" s="379"/>
      <c r="I49" s="316">
        <f>Transit!D55</f>
        <v>30.896754080322758</v>
      </c>
      <c r="J49" s="319">
        <f>Transit!I55</f>
        <v>8.5651537335285508E-2</v>
      </c>
      <c r="K49" s="380">
        <f>Transit!M55</f>
        <v>4.1019795350559038E-2</v>
      </c>
      <c r="L49" s="379"/>
      <c r="M49" s="380">
        <f t="shared" si="6"/>
        <v>-0.28315412186379924</v>
      </c>
      <c r="N49" s="380">
        <f t="shared" si="7"/>
        <v>0.15432098765432095</v>
      </c>
      <c r="O49" s="380">
        <f t="shared" si="8"/>
        <v>1.3673265116853012E-2</v>
      </c>
    </row>
    <row r="50" spans="1:15" x14ac:dyDescent="0.2">
      <c r="A50" s="376" t="s">
        <v>3</v>
      </c>
      <c r="B50" s="376" t="s">
        <v>48</v>
      </c>
      <c r="C50" s="377">
        <f>'Past RHNA Performance'!K55</f>
        <v>0</v>
      </c>
      <c r="D50" s="378">
        <f>'Past RHNA Performance'!M55</f>
        <v>1</v>
      </c>
      <c r="E50" s="379"/>
      <c r="F50" s="377">
        <f>Jobs!C54</f>
        <v>507</v>
      </c>
      <c r="G50" s="380">
        <f>Jobs!G54</f>
        <v>-0.98148148148148151</v>
      </c>
      <c r="H50" s="379"/>
      <c r="I50" s="316">
        <f>Transit!D56</f>
        <v>21.176470588235293</v>
      </c>
      <c r="J50" s="319">
        <f>Transit!I56</f>
        <v>5.0632911392405063E-2</v>
      </c>
      <c r="K50" s="380">
        <f>Transit!M56</f>
        <v>-6.3715431333297656E-2</v>
      </c>
      <c r="L50" s="379"/>
      <c r="M50" s="380">
        <f t="shared" si="6"/>
        <v>0.33333333333333331</v>
      </c>
      <c r="N50" s="380">
        <f t="shared" si="7"/>
        <v>-0.3271604938271605</v>
      </c>
      <c r="O50" s="380">
        <f t="shared" si="8"/>
        <v>-2.1238477111099219E-2</v>
      </c>
    </row>
    <row r="51" spans="1:15" x14ac:dyDescent="0.2">
      <c r="A51" s="376" t="s">
        <v>3</v>
      </c>
      <c r="B51" s="376" t="s">
        <v>49</v>
      </c>
      <c r="C51" s="377">
        <f>'Past RHNA Performance'!K56</f>
        <v>0</v>
      </c>
      <c r="D51" s="378">
        <f>'Past RHNA Performance'!M56</f>
        <v>1</v>
      </c>
      <c r="E51" s="379"/>
      <c r="F51" s="377">
        <f>Jobs!C55</f>
        <v>3901</v>
      </c>
      <c r="G51" s="380">
        <f>Jobs!G55</f>
        <v>-0.38888888888888884</v>
      </c>
      <c r="H51" s="379"/>
      <c r="I51" s="316">
        <f>Transit!D57</f>
        <v>18.21631878557875</v>
      </c>
      <c r="J51" s="319">
        <f>Transit!I57</f>
        <v>5.1413881748071981E-2</v>
      </c>
      <c r="K51" s="380">
        <f>Transit!M57</f>
        <v>-4.3696074288481268E-2</v>
      </c>
      <c r="L51" s="379"/>
      <c r="M51" s="380">
        <f t="shared" si="6"/>
        <v>0.33333333333333331</v>
      </c>
      <c r="N51" s="380">
        <f t="shared" si="7"/>
        <v>-0.12962962962962959</v>
      </c>
      <c r="O51" s="380">
        <f t="shared" si="8"/>
        <v>-1.4565358096160422E-2</v>
      </c>
    </row>
    <row r="52" spans="1:15" x14ac:dyDescent="0.2">
      <c r="A52" s="376" t="s">
        <v>3</v>
      </c>
      <c r="B52" s="376" t="s">
        <v>50</v>
      </c>
      <c r="C52" s="377">
        <f>'Past RHNA Performance'!K57</f>
        <v>112</v>
      </c>
      <c r="D52" s="378">
        <f>'Past RHNA Performance'!M57</f>
        <v>0.13978494623655918</v>
      </c>
      <c r="E52" s="379"/>
      <c r="F52" s="377">
        <f>Jobs!C56</f>
        <v>26291</v>
      </c>
      <c r="G52" s="380">
        <f>Jobs!G56</f>
        <v>0.53703703703703698</v>
      </c>
      <c r="H52" s="379"/>
      <c r="I52" s="316">
        <f>Transit!D58</f>
        <v>23.606557377049182</v>
      </c>
      <c r="J52" s="319">
        <f>Transit!I58</f>
        <v>8.5648148148148154E-2</v>
      </c>
      <c r="K52" s="380">
        <f>Transit!M58</f>
        <v>8.1583511382585391E-2</v>
      </c>
      <c r="L52" s="379"/>
      <c r="M52" s="380">
        <f t="shared" si="6"/>
        <v>4.6594982078853056E-2</v>
      </c>
      <c r="N52" s="380">
        <f t="shared" si="7"/>
        <v>0.17901234567901231</v>
      </c>
      <c r="O52" s="380">
        <f t="shared" si="8"/>
        <v>2.7194503794195128E-2</v>
      </c>
    </row>
    <row r="53" spans="1:15" x14ac:dyDescent="0.2">
      <c r="A53" s="376" t="s">
        <v>3</v>
      </c>
      <c r="B53" s="376" t="s">
        <v>118</v>
      </c>
      <c r="C53" s="377">
        <f>'Past RHNA Performance'!K58</f>
        <v>22</v>
      </c>
      <c r="D53" s="378">
        <f>'Past RHNA Performance'!M58</f>
        <v>0.65591397849462363</v>
      </c>
      <c r="E53" s="379"/>
      <c r="F53" s="377">
        <f>Jobs!C57</f>
        <v>7392</v>
      </c>
      <c r="G53" s="380">
        <f>Jobs!G57</f>
        <v>-5.5555555555555573E-2</v>
      </c>
      <c r="H53" s="379"/>
      <c r="I53" s="316">
        <f>Transit!D59</f>
        <v>20.598179453836153</v>
      </c>
      <c r="J53" s="319">
        <f>Transit!I59</f>
        <v>9.8654708520179366E-2</v>
      </c>
      <c r="K53" s="380">
        <f>Transit!M59</f>
        <v>0.15732529520185382</v>
      </c>
      <c r="L53" s="379"/>
      <c r="M53" s="380">
        <f t="shared" si="6"/>
        <v>0.2186379928315412</v>
      </c>
      <c r="N53" s="380">
        <f t="shared" si="7"/>
        <v>-1.8518518518518524E-2</v>
      </c>
      <c r="O53" s="380">
        <f t="shared" si="8"/>
        <v>5.2441765067284603E-2</v>
      </c>
    </row>
    <row r="54" spans="1:15" x14ac:dyDescent="0.2">
      <c r="A54" s="376" t="s">
        <v>3</v>
      </c>
      <c r="B54" s="376" t="s">
        <v>51</v>
      </c>
      <c r="C54" s="377">
        <f>'Past RHNA Performance'!K59</f>
        <v>7</v>
      </c>
      <c r="D54" s="378">
        <f>'Past RHNA Performance'!M59</f>
        <v>0.91397849462365599</v>
      </c>
      <c r="E54" s="379"/>
      <c r="F54" s="377">
        <f>Jobs!C58</f>
        <v>2702</v>
      </c>
      <c r="G54" s="380">
        <f>Jobs!G58</f>
        <v>-0.48148148148148151</v>
      </c>
      <c r="H54" s="379"/>
      <c r="I54" s="316">
        <f>Transit!D60</f>
        <v>56.84210526315789</v>
      </c>
      <c r="J54" s="319">
        <f>Transit!I60</f>
        <v>0.08</v>
      </c>
      <c r="K54" s="380">
        <f>Transit!M60</f>
        <v>-0.12903340599954191</v>
      </c>
      <c r="L54" s="379"/>
      <c r="M54" s="380">
        <f t="shared" si="6"/>
        <v>0.30465949820788529</v>
      </c>
      <c r="N54" s="380">
        <f t="shared" si="7"/>
        <v>-0.16049382716049382</v>
      </c>
      <c r="O54" s="380">
        <f t="shared" si="8"/>
        <v>-4.3011135333180635E-2</v>
      </c>
    </row>
    <row r="55" spans="1:15" x14ac:dyDescent="0.2">
      <c r="A55" s="376" t="s">
        <v>3</v>
      </c>
      <c r="B55" s="376" t="s">
        <v>107</v>
      </c>
      <c r="C55" s="377">
        <f>'Past RHNA Performance'!K60</f>
        <v>204</v>
      </c>
      <c r="D55" s="378">
        <f>'Past RHNA Performance'!M60</f>
        <v>-0.16129032258064513</v>
      </c>
      <c r="E55" s="379"/>
      <c r="F55" s="377">
        <f>Jobs!C59</f>
        <v>10691</v>
      </c>
      <c r="G55" s="380">
        <f>Jobs!G59</f>
        <v>3.7037037037037097E-2</v>
      </c>
      <c r="H55" s="379"/>
      <c r="I55" s="316">
        <f>Transit!D61</f>
        <v>35.62414888788016</v>
      </c>
      <c r="J55" s="319">
        <f>Transit!I61</f>
        <v>5.0674105067410505E-2</v>
      </c>
      <c r="K55" s="380">
        <f>Transit!M61</f>
        <v>-0.1439480331805163</v>
      </c>
      <c r="L55" s="379"/>
      <c r="M55" s="380">
        <f t="shared" si="6"/>
        <v>-5.3763440860215041E-2</v>
      </c>
      <c r="N55" s="380">
        <f t="shared" si="7"/>
        <v>1.2345679012345699E-2</v>
      </c>
      <c r="O55" s="380">
        <f t="shared" si="8"/>
        <v>-4.7982677726838764E-2</v>
      </c>
    </row>
    <row r="56" spans="1:15" s="358" customFormat="1" x14ac:dyDescent="0.2">
      <c r="A56" s="381"/>
      <c r="B56" s="381"/>
      <c r="C56" s="383"/>
      <c r="D56" s="383"/>
      <c r="E56" s="374"/>
      <c r="F56" s="384"/>
      <c r="G56" s="384"/>
      <c r="H56" s="374"/>
      <c r="I56" s="332"/>
      <c r="J56" s="335"/>
      <c r="K56" s="384"/>
      <c r="L56" s="374"/>
      <c r="M56" s="383"/>
      <c r="N56" s="383"/>
      <c r="O56" s="383"/>
    </row>
    <row r="57" spans="1:15" s="358" customFormat="1" x14ac:dyDescent="0.2">
      <c r="A57" s="381"/>
      <c r="B57" s="381"/>
      <c r="C57" s="383"/>
      <c r="D57" s="383"/>
      <c r="E57" s="374"/>
      <c r="F57" s="384"/>
      <c r="G57" s="384"/>
      <c r="H57" s="374"/>
      <c r="I57" s="340"/>
      <c r="J57" s="343"/>
      <c r="K57" s="384"/>
      <c r="L57" s="374"/>
      <c r="M57" s="383"/>
      <c r="N57" s="383"/>
      <c r="O57" s="383"/>
    </row>
    <row r="58" spans="1:15" x14ac:dyDescent="0.2">
      <c r="A58" s="376" t="s">
        <v>4</v>
      </c>
      <c r="B58" s="376" t="s">
        <v>52</v>
      </c>
      <c r="C58" s="377">
        <f>'Past RHNA Performance'!K63</f>
        <v>174</v>
      </c>
      <c r="D58" s="378">
        <f>'Past RHNA Performance'!M63</f>
        <v>-1.0752688172043036E-2</v>
      </c>
      <c r="E58" s="379"/>
      <c r="F58" s="377">
        <f>Jobs!C62</f>
        <v>1443</v>
      </c>
      <c r="G58" s="380">
        <f>Jobs!G62</f>
        <v>-0.87037037037037035</v>
      </c>
      <c r="H58" s="379"/>
      <c r="I58" s="316">
        <f>Transit!D64</f>
        <v>50.973451327433629</v>
      </c>
      <c r="J58" s="319">
        <f>Transit!I64</f>
        <v>3.8929440389294405E-2</v>
      </c>
      <c r="K58" s="380">
        <f>Transit!M64</f>
        <v>-0.28265871574643314</v>
      </c>
      <c r="L58" s="379"/>
      <c r="M58" s="380">
        <f t="shared" ref="M58:M63" si="9">D58*$M$4</f>
        <v>-3.5842293906810118E-3</v>
      </c>
      <c r="N58" s="380">
        <f t="shared" ref="N58:N63" si="10">G58*$N$4</f>
        <v>-0.29012345679012341</v>
      </c>
      <c r="O58" s="380">
        <f t="shared" ref="O58:O63" si="11">K58*$O$4</f>
        <v>-9.4219571915477709E-2</v>
      </c>
    </row>
    <row r="59" spans="1:15" x14ac:dyDescent="0.2">
      <c r="A59" s="376" t="s">
        <v>4</v>
      </c>
      <c r="B59" s="376" t="s">
        <v>53</v>
      </c>
      <c r="C59" s="377">
        <f>'Past RHNA Performance'!K64</f>
        <v>18</v>
      </c>
      <c r="D59" s="378">
        <f>'Past RHNA Performance'!M64</f>
        <v>0.74193548387096764</v>
      </c>
      <c r="E59" s="379"/>
      <c r="F59" s="377">
        <f>Jobs!C63</f>
        <v>2299</v>
      </c>
      <c r="G59" s="380">
        <f>Jobs!G63</f>
        <v>-0.57407407407407418</v>
      </c>
      <c r="H59" s="379"/>
      <c r="I59" s="316">
        <f>Transit!D65</f>
        <v>39.452054794520549</v>
      </c>
      <c r="J59" s="319">
        <f>Transit!I65</f>
        <v>1.2987012987012988E-2</v>
      </c>
      <c r="K59" s="380">
        <f>Transit!M65</f>
        <v>-0.33619980906686026</v>
      </c>
      <c r="L59" s="379"/>
      <c r="M59" s="380">
        <f t="shared" si="9"/>
        <v>0.24731182795698919</v>
      </c>
      <c r="N59" s="380">
        <f t="shared" si="10"/>
        <v>-0.19135802469135804</v>
      </c>
      <c r="O59" s="380">
        <f t="shared" si="11"/>
        <v>-0.11206660302228674</v>
      </c>
    </row>
    <row r="60" spans="1:15" x14ac:dyDescent="0.2">
      <c r="A60" s="376" t="s">
        <v>4</v>
      </c>
      <c r="B60" s="376" t="s">
        <v>4</v>
      </c>
      <c r="C60" s="377">
        <f>'Past RHNA Performance'!K65</f>
        <v>528</v>
      </c>
      <c r="D60" s="378">
        <f>'Past RHNA Performance'!M65</f>
        <v>-0.59139784946236562</v>
      </c>
      <c r="E60" s="379"/>
      <c r="F60" s="377">
        <f>Jobs!C64</f>
        <v>28741</v>
      </c>
      <c r="G60" s="380">
        <f>Jobs!G64</f>
        <v>0.62962962962962965</v>
      </c>
      <c r="H60" s="379"/>
      <c r="I60" s="316">
        <f>Transit!D66</f>
        <v>51.768158473954507</v>
      </c>
      <c r="J60" s="319">
        <f>Transit!I66</f>
        <v>0.10669569951007077</v>
      </c>
      <c r="K60" s="380">
        <f>Transit!M66</f>
        <v>2.0298351983024644E-2</v>
      </c>
      <c r="L60" s="379"/>
      <c r="M60" s="380">
        <f t="shared" si="9"/>
        <v>-0.1971326164874552</v>
      </c>
      <c r="N60" s="380">
        <f t="shared" si="10"/>
        <v>0.20987654320987653</v>
      </c>
      <c r="O60" s="380">
        <f t="shared" si="11"/>
        <v>6.7661173276748806E-3</v>
      </c>
    </row>
    <row r="61" spans="1:15" x14ac:dyDescent="0.2">
      <c r="A61" s="376" t="s">
        <v>4</v>
      </c>
      <c r="B61" s="376" t="s">
        <v>54</v>
      </c>
      <c r="C61" s="377">
        <f>'Past RHNA Performance'!K66</f>
        <v>20</v>
      </c>
      <c r="D61" s="378">
        <f>'Past RHNA Performance'!M66</f>
        <v>0.69892473118279586</v>
      </c>
      <c r="E61" s="379"/>
      <c r="F61" s="377">
        <f>Jobs!C65</f>
        <v>4393</v>
      </c>
      <c r="G61" s="380">
        <f>Jobs!G65</f>
        <v>-0.33333333333333315</v>
      </c>
      <c r="H61" s="379"/>
      <c r="I61" s="316">
        <f>Transit!D67</f>
        <v>49.569707401032701</v>
      </c>
      <c r="J61" s="319">
        <f>Transit!I67</f>
        <v>9.950248756218906E-2</v>
      </c>
      <c r="K61" s="380">
        <f>Transit!M67</f>
        <v>-9.2161534153802909E-5</v>
      </c>
      <c r="L61" s="379"/>
      <c r="M61" s="380">
        <f t="shared" si="9"/>
        <v>0.23297491039426527</v>
      </c>
      <c r="N61" s="380">
        <f t="shared" si="10"/>
        <v>-0.11111111111111105</v>
      </c>
      <c r="O61" s="380">
        <f t="shared" si="11"/>
        <v>-3.072051138460097E-5</v>
      </c>
    </row>
    <row r="62" spans="1:15" x14ac:dyDescent="0.2">
      <c r="A62" s="376" t="s">
        <v>4</v>
      </c>
      <c r="B62" s="376" t="s">
        <v>55</v>
      </c>
      <c r="C62" s="377">
        <f>'Past RHNA Performance'!K67</f>
        <v>2</v>
      </c>
      <c r="D62" s="378">
        <f>'Past RHNA Performance'!M67</f>
        <v>0.97849462365591389</v>
      </c>
      <c r="E62" s="379"/>
      <c r="F62" s="377">
        <f>Jobs!C66</f>
        <v>1445</v>
      </c>
      <c r="G62" s="380">
        <f>Jobs!G66</f>
        <v>-0.85185185185185186</v>
      </c>
      <c r="H62" s="379"/>
      <c r="I62" s="316">
        <f>Transit!D68</f>
        <v>25.945945945945947</v>
      </c>
      <c r="J62" s="319">
        <f>Transit!I68</f>
        <v>5.4054054054054057E-2</v>
      </c>
      <c r="K62" s="380">
        <f>Transit!M68</f>
        <v>-7.474560165878856E-2</v>
      </c>
      <c r="L62" s="379"/>
      <c r="M62" s="380">
        <f t="shared" si="9"/>
        <v>0.3261648745519713</v>
      </c>
      <c r="N62" s="380">
        <f t="shared" si="10"/>
        <v>-0.2839506172839506</v>
      </c>
      <c r="O62" s="380">
        <f t="shared" si="11"/>
        <v>-2.491520055292952E-2</v>
      </c>
    </row>
    <row r="63" spans="1:15" x14ac:dyDescent="0.2">
      <c r="A63" s="376" t="s">
        <v>4</v>
      </c>
      <c r="B63" s="376" t="s">
        <v>108</v>
      </c>
      <c r="C63" s="377">
        <f>'Past RHNA Performance'!K68</f>
        <v>75</v>
      </c>
      <c r="D63" s="378">
        <f>'Past RHNA Performance'!M68</f>
        <v>0.35483870967741921</v>
      </c>
      <c r="E63" s="379"/>
      <c r="F63" s="377">
        <f>Jobs!C67</f>
        <v>22391</v>
      </c>
      <c r="G63" s="380">
        <f>Jobs!G67</f>
        <v>0.44444444444444442</v>
      </c>
      <c r="H63" s="379"/>
      <c r="I63" s="316">
        <f>Transit!D69</f>
        <v>41.198910081743868</v>
      </c>
      <c r="J63" s="319">
        <f>Transit!I69</f>
        <v>2.3755656108597284E-2</v>
      </c>
      <c r="K63" s="380">
        <f>Transit!M69</f>
        <v>-0.29707781954084694</v>
      </c>
      <c r="L63" s="379"/>
      <c r="M63" s="380">
        <f t="shared" si="9"/>
        <v>0.11827956989247307</v>
      </c>
      <c r="N63" s="380">
        <f t="shared" si="10"/>
        <v>0.14814814814814814</v>
      </c>
      <c r="O63" s="380">
        <f t="shared" si="11"/>
        <v>-9.9025939846948977E-2</v>
      </c>
    </row>
    <row r="64" spans="1:15" s="358" customFormat="1" x14ac:dyDescent="0.2">
      <c r="A64" s="381"/>
      <c r="B64" s="381"/>
      <c r="C64" s="383"/>
      <c r="D64" s="383"/>
      <c r="E64" s="374"/>
      <c r="F64" s="384"/>
      <c r="G64" s="380"/>
      <c r="H64" s="374"/>
      <c r="I64" s="332"/>
      <c r="J64" s="335"/>
      <c r="K64" s="380"/>
      <c r="L64" s="374"/>
      <c r="M64" s="383"/>
      <c r="N64" s="383"/>
      <c r="O64" s="383"/>
    </row>
    <row r="65" spans="1:15" s="358" customFormat="1" x14ac:dyDescent="0.2">
      <c r="A65" s="381"/>
      <c r="B65" s="381"/>
      <c r="C65" s="383"/>
      <c r="D65" s="383"/>
      <c r="E65" s="374"/>
      <c r="F65" s="384"/>
      <c r="G65" s="384"/>
      <c r="H65" s="374"/>
      <c r="I65" s="340"/>
      <c r="J65" s="343"/>
      <c r="K65" s="384"/>
      <c r="L65" s="374"/>
      <c r="M65" s="383"/>
      <c r="N65" s="383"/>
      <c r="O65" s="383"/>
    </row>
    <row r="66" spans="1:15" x14ac:dyDescent="0.2">
      <c r="A66" s="376" t="s">
        <v>5</v>
      </c>
      <c r="B66" s="376" t="s">
        <v>5</v>
      </c>
      <c r="C66" s="377">
        <f>'Past RHNA Performance'!K71</f>
        <v>5304</v>
      </c>
      <c r="D66" s="378">
        <f>'Past RHNA Performance'!M71</f>
        <v>-0.97849462365591389</v>
      </c>
      <c r="E66" s="379"/>
      <c r="F66" s="377">
        <f>Jobs!C70</f>
        <v>87942</v>
      </c>
      <c r="G66" s="380">
        <f>Jobs!G70</f>
        <v>0.98148148148148151</v>
      </c>
      <c r="H66" s="379"/>
      <c r="I66" s="316">
        <f>Transit!D72</f>
        <v>6.9076852488199494</v>
      </c>
      <c r="J66" s="319">
        <f>Transit!I72</f>
        <v>0.26763348714568225</v>
      </c>
      <c r="K66" s="380">
        <f>Transit!M72</f>
        <v>1</v>
      </c>
      <c r="L66" s="379"/>
      <c r="M66" s="380">
        <f>D66*$M$4</f>
        <v>-0.3261648745519713</v>
      </c>
      <c r="N66" s="380">
        <f>G66*$N$4</f>
        <v>0.3271604938271605</v>
      </c>
      <c r="O66" s="380">
        <f>K66*$O$4</f>
        <v>0.33333333333333331</v>
      </c>
    </row>
    <row r="67" spans="1:15" s="358" customFormat="1" x14ac:dyDescent="0.2">
      <c r="A67" s="381"/>
      <c r="B67" s="381"/>
      <c r="C67" s="383"/>
      <c r="D67" s="383"/>
      <c r="E67" s="374"/>
      <c r="F67" s="384"/>
      <c r="G67" s="384"/>
      <c r="H67" s="374"/>
      <c r="I67" s="332"/>
      <c r="J67" s="335"/>
      <c r="K67" s="384"/>
      <c r="L67" s="374"/>
      <c r="M67" s="383"/>
      <c r="N67" s="383"/>
      <c r="O67" s="383"/>
    </row>
    <row r="68" spans="1:15" s="358" customFormat="1" x14ac:dyDescent="0.2">
      <c r="A68" s="381"/>
      <c r="B68" s="381"/>
      <c r="C68" s="383"/>
      <c r="D68" s="383"/>
      <c r="E68" s="374"/>
      <c r="F68" s="384"/>
      <c r="G68" s="384"/>
      <c r="H68" s="374"/>
      <c r="I68" s="340"/>
      <c r="J68" s="343"/>
      <c r="K68" s="384"/>
      <c r="L68" s="374"/>
      <c r="M68" s="383"/>
      <c r="N68" s="383"/>
      <c r="O68" s="383"/>
    </row>
    <row r="69" spans="1:15" x14ac:dyDescent="0.2">
      <c r="A69" s="376" t="s">
        <v>6</v>
      </c>
      <c r="B69" s="376" t="s">
        <v>56</v>
      </c>
      <c r="C69" s="377">
        <f>'Past RHNA Performance'!K74</f>
        <v>0</v>
      </c>
      <c r="D69" s="378">
        <f>'Past RHNA Performance'!M74</f>
        <v>1</v>
      </c>
      <c r="E69" s="379"/>
      <c r="F69" s="377">
        <f>Jobs!C73</f>
        <v>2282</v>
      </c>
      <c r="G69" s="380">
        <f>Jobs!G73</f>
        <v>-0.59259259259259267</v>
      </c>
      <c r="H69" s="379"/>
      <c r="I69" s="316">
        <f>Transit!D75</f>
        <v>32.60377358490566</v>
      </c>
      <c r="J69" s="319">
        <f>Transit!I75</f>
        <v>0.10273972602739725</v>
      </c>
      <c r="K69" s="380">
        <f>Transit!M75</f>
        <v>0.10902831369777061</v>
      </c>
      <c r="L69" s="379"/>
      <c r="M69" s="380">
        <f t="shared" ref="M69:M89" si="12">D69*$M$4</f>
        <v>0.33333333333333331</v>
      </c>
      <c r="N69" s="380">
        <f t="shared" ref="N69:N89" si="13">G69*$N$4</f>
        <v>-0.19753086419753088</v>
      </c>
      <c r="O69" s="380">
        <f t="shared" ref="O69:O89" si="14">K69*$O$4</f>
        <v>3.63427712325902E-2</v>
      </c>
    </row>
    <row r="70" spans="1:15" x14ac:dyDescent="0.2">
      <c r="A70" s="376" t="s">
        <v>6</v>
      </c>
      <c r="B70" s="376" t="s">
        <v>57</v>
      </c>
      <c r="C70" s="377">
        <f>'Past RHNA Performance'!K75</f>
        <v>44</v>
      </c>
      <c r="D70" s="378">
        <f>'Past RHNA Performance'!M75</f>
        <v>0.48387096774193539</v>
      </c>
      <c r="E70" s="379"/>
      <c r="F70" s="377">
        <f>Jobs!C74</f>
        <v>3345</v>
      </c>
      <c r="G70" s="380">
        <f>Jobs!G74</f>
        <v>-0.42592592592592582</v>
      </c>
      <c r="H70" s="379"/>
      <c r="I70" s="316">
        <f>Transit!D76</f>
        <v>25.791044776119403</v>
      </c>
      <c r="J70" s="319">
        <f>Transit!I76</f>
        <v>0.12048192771084337</v>
      </c>
      <c r="K70" s="380">
        <f>Transit!M76</f>
        <v>0.22742645206233106</v>
      </c>
      <c r="L70" s="379"/>
      <c r="M70" s="380">
        <f t="shared" si="12"/>
        <v>0.16129032258064513</v>
      </c>
      <c r="N70" s="380">
        <f t="shared" si="13"/>
        <v>-0.14197530864197527</v>
      </c>
      <c r="O70" s="380">
        <f t="shared" si="14"/>
        <v>7.5808817354110353E-2</v>
      </c>
    </row>
    <row r="71" spans="1:15" x14ac:dyDescent="0.2">
      <c r="A71" s="376" t="s">
        <v>6</v>
      </c>
      <c r="B71" s="376" t="s">
        <v>58</v>
      </c>
      <c r="C71" s="377">
        <f>'Past RHNA Performance'!K76</f>
        <v>8</v>
      </c>
      <c r="D71" s="378">
        <f>'Past RHNA Performance'!M76</f>
        <v>0.89247311827956988</v>
      </c>
      <c r="E71" s="379"/>
      <c r="F71" s="377">
        <f>Jobs!C75</f>
        <v>5827</v>
      </c>
      <c r="G71" s="380">
        <f>Jobs!G75</f>
        <v>-0.20370370370370366</v>
      </c>
      <c r="H71" s="379"/>
      <c r="I71" s="316">
        <f>Transit!D77</f>
        <v>45.752508361204015</v>
      </c>
      <c r="J71" s="319">
        <f>Transit!I77</f>
        <v>9.2233009708737865E-2</v>
      </c>
      <c r="K71" s="380">
        <f>Transit!M77</f>
        <v>-1.1818246268076536E-2</v>
      </c>
      <c r="L71" s="379"/>
      <c r="M71" s="380">
        <f t="shared" si="12"/>
        <v>0.29749103942652327</v>
      </c>
      <c r="N71" s="380">
        <f t="shared" si="13"/>
        <v>-6.7901234567901217E-2</v>
      </c>
      <c r="O71" s="380">
        <f t="shared" si="14"/>
        <v>-3.9394154226921781E-3</v>
      </c>
    </row>
    <row r="72" spans="1:15" x14ac:dyDescent="0.2">
      <c r="A72" s="376" t="s">
        <v>6</v>
      </c>
      <c r="B72" s="376" t="s">
        <v>59</v>
      </c>
      <c r="C72" s="377">
        <f>'Past RHNA Performance'!K77</f>
        <v>0</v>
      </c>
      <c r="D72" s="378">
        <f>'Past RHNA Performance'!M77</f>
        <v>1</v>
      </c>
      <c r="E72" s="379"/>
      <c r="F72" s="377">
        <f>Jobs!C76</f>
        <v>15354</v>
      </c>
      <c r="G72" s="380">
        <f>Jobs!G76</f>
        <v>0.27777777777777785</v>
      </c>
      <c r="H72" s="379"/>
      <c r="I72" s="316">
        <f>Transit!D78</f>
        <v>19.915325994919559</v>
      </c>
      <c r="J72" s="319">
        <f>Transit!I78</f>
        <v>8.5814360770577927E-2</v>
      </c>
      <c r="K72" s="380">
        <f>Transit!M78</f>
        <v>0.10288376701660923</v>
      </c>
      <c r="L72" s="379"/>
      <c r="M72" s="380">
        <f t="shared" si="12"/>
        <v>0.33333333333333331</v>
      </c>
      <c r="N72" s="380">
        <f t="shared" si="13"/>
        <v>9.2592592592592615E-2</v>
      </c>
      <c r="O72" s="380">
        <f t="shared" si="14"/>
        <v>3.4294589005536405E-2</v>
      </c>
    </row>
    <row r="73" spans="1:15" x14ac:dyDescent="0.2">
      <c r="A73" s="376" t="s">
        <v>6</v>
      </c>
      <c r="B73" s="376" t="s">
        <v>60</v>
      </c>
      <c r="C73" s="377">
        <f>'Past RHNA Performance'!K78</f>
        <v>73</v>
      </c>
      <c r="D73" s="378">
        <f>'Past RHNA Performance'!M78</f>
        <v>0.3763440860215056</v>
      </c>
      <c r="E73" s="379"/>
      <c r="F73" s="377">
        <f>Jobs!C77</f>
        <v>574</v>
      </c>
      <c r="G73" s="380">
        <f>Jobs!G77</f>
        <v>-0.94444444444444431</v>
      </c>
      <c r="H73" s="379"/>
      <c r="I73" s="316">
        <f>Transit!D79</f>
        <v>12.98076923076923</v>
      </c>
      <c r="J73" s="319">
        <f>Transit!I79</f>
        <v>0.24193548387096775</v>
      </c>
      <c r="K73" s="380">
        <f>Transit!M79</f>
        <v>0.84963223526507081</v>
      </c>
      <c r="L73" s="379"/>
      <c r="M73" s="380">
        <f t="shared" si="12"/>
        <v>0.1254480286738352</v>
      </c>
      <c r="N73" s="380">
        <f t="shared" si="13"/>
        <v>-0.31481481481481477</v>
      </c>
      <c r="O73" s="380">
        <f t="shared" si="14"/>
        <v>0.28321074508835692</v>
      </c>
    </row>
    <row r="74" spans="1:15" x14ac:dyDescent="0.2">
      <c r="A74" s="376" t="s">
        <v>6</v>
      </c>
      <c r="B74" s="376" t="s">
        <v>61</v>
      </c>
      <c r="C74" s="377">
        <f>'Past RHNA Performance'!K79</f>
        <v>33</v>
      </c>
      <c r="D74" s="378">
        <f>'Past RHNA Performance'!M79</f>
        <v>0.59139784946236551</v>
      </c>
      <c r="E74" s="379"/>
      <c r="F74" s="377">
        <f>Jobs!C78</f>
        <v>13166</v>
      </c>
      <c r="G74" s="380">
        <f>Jobs!G78</f>
        <v>0.16666666666666657</v>
      </c>
      <c r="H74" s="379"/>
      <c r="I74" s="316">
        <f>Transit!D80</f>
        <v>19.102969046114971</v>
      </c>
      <c r="J74" s="319">
        <f>Transit!I80</f>
        <v>0.17371323529411764</v>
      </c>
      <c r="K74" s="380">
        <f>Transit!M80</f>
        <v>0.50610558403215578</v>
      </c>
      <c r="L74" s="379"/>
      <c r="M74" s="380">
        <f t="shared" si="12"/>
        <v>0.19713261648745517</v>
      </c>
      <c r="N74" s="380">
        <f t="shared" si="13"/>
        <v>5.5555555555555525E-2</v>
      </c>
      <c r="O74" s="380">
        <f t="shared" si="14"/>
        <v>0.16870186134405191</v>
      </c>
    </row>
    <row r="75" spans="1:15" x14ac:dyDescent="0.2">
      <c r="A75" s="376" t="s">
        <v>6</v>
      </c>
      <c r="B75" s="376" t="s">
        <v>62</v>
      </c>
      <c r="C75" s="377">
        <f>'Past RHNA Performance'!K80</f>
        <v>212</v>
      </c>
      <c r="D75" s="378">
        <f>'Past RHNA Performance'!M80</f>
        <v>-0.20430107526881727</v>
      </c>
      <c r="E75" s="379"/>
      <c r="F75" s="377">
        <f>Jobs!C79</f>
        <v>1590</v>
      </c>
      <c r="G75" s="380">
        <f>Jobs!G79</f>
        <v>-0.81481481481481499</v>
      </c>
      <c r="H75" s="379"/>
      <c r="I75" s="316">
        <f>Transit!D81</f>
        <v>24.110308601444515</v>
      </c>
      <c r="J75" s="319">
        <f>Transit!I81</f>
        <v>0.15644171779141106</v>
      </c>
      <c r="K75" s="380">
        <f>Transit!M81</f>
        <v>0.3998916752730608</v>
      </c>
      <c r="L75" s="379"/>
      <c r="M75" s="380">
        <f t="shared" si="12"/>
        <v>-6.8100358422939086E-2</v>
      </c>
      <c r="N75" s="380">
        <f t="shared" si="13"/>
        <v>-0.27160493827160498</v>
      </c>
      <c r="O75" s="380">
        <f t="shared" si="14"/>
        <v>0.13329722509102027</v>
      </c>
    </row>
    <row r="76" spans="1:15" x14ac:dyDescent="0.2">
      <c r="A76" s="376" t="s">
        <v>6</v>
      </c>
      <c r="B76" s="376" t="s">
        <v>63</v>
      </c>
      <c r="C76" s="377">
        <f>'Past RHNA Performance'!K81</f>
        <v>88</v>
      </c>
      <c r="D76" s="378">
        <f>'Past RHNA Performance'!M81</f>
        <v>0.2688172043010752</v>
      </c>
      <c r="E76" s="379"/>
      <c r="F76" s="377">
        <f>Jobs!C80</f>
        <v>13385</v>
      </c>
      <c r="G76" s="380">
        <f>Jobs!G80</f>
        <v>0.1851851851851852</v>
      </c>
      <c r="H76" s="379"/>
      <c r="I76" s="316">
        <f>Transit!D82</f>
        <v>51.218315617334426</v>
      </c>
      <c r="J76" s="319">
        <f>Transit!I82</f>
        <v>0.15025906735751296</v>
      </c>
      <c r="K76" s="380">
        <f>Transit!M82</f>
        <v>0.22095776280409282</v>
      </c>
      <c r="L76" s="379"/>
      <c r="M76" s="380">
        <f t="shared" si="12"/>
        <v>8.9605734767025061E-2</v>
      </c>
      <c r="N76" s="380">
        <f t="shared" si="13"/>
        <v>6.1728395061728399E-2</v>
      </c>
      <c r="O76" s="380">
        <f t="shared" si="14"/>
        <v>7.3652587601364269E-2</v>
      </c>
    </row>
    <row r="77" spans="1:15" x14ac:dyDescent="0.2">
      <c r="A77" s="376" t="s">
        <v>6</v>
      </c>
      <c r="B77" s="376" t="s">
        <v>64</v>
      </c>
      <c r="C77" s="377">
        <f>'Past RHNA Performance'!K82</f>
        <v>106</v>
      </c>
      <c r="D77" s="378">
        <f>'Past RHNA Performance'!M82</f>
        <v>0.20430107526881727</v>
      </c>
      <c r="E77" s="379"/>
      <c r="F77" s="377">
        <f>Jobs!C81</f>
        <v>4944</v>
      </c>
      <c r="G77" s="380">
        <f>Jobs!G81</f>
        <v>-0.25925925925925924</v>
      </c>
      <c r="H77" s="379"/>
      <c r="I77" s="316">
        <f>Transit!D83</f>
        <v>40.722702278083261</v>
      </c>
      <c r="J77" s="319">
        <f>Transit!I83</f>
        <v>0.10434782608695652</v>
      </c>
      <c r="K77" s="380">
        <f>Transit!M83</f>
        <v>7.1130464036548199E-2</v>
      </c>
      <c r="L77" s="379"/>
      <c r="M77" s="380">
        <f t="shared" si="12"/>
        <v>6.8100358422939086E-2</v>
      </c>
      <c r="N77" s="380">
        <f t="shared" si="13"/>
        <v>-8.6419753086419748E-2</v>
      </c>
      <c r="O77" s="380">
        <f t="shared" si="14"/>
        <v>2.3710154678849397E-2</v>
      </c>
    </row>
    <row r="78" spans="1:15" x14ac:dyDescent="0.2">
      <c r="A78" s="376" t="s">
        <v>6</v>
      </c>
      <c r="B78" s="376" t="s">
        <v>65</v>
      </c>
      <c r="C78" s="377">
        <f>'Past RHNA Performance'!K83</f>
        <v>15</v>
      </c>
      <c r="D78" s="378">
        <f>'Past RHNA Performance'!M83</f>
        <v>0.78494623655913986</v>
      </c>
      <c r="E78" s="379"/>
      <c r="F78" s="377">
        <f>Jobs!C82</f>
        <v>2109</v>
      </c>
      <c r="G78" s="380">
        <f>Jobs!G82</f>
        <v>-0.66666666666666685</v>
      </c>
      <c r="H78" s="379"/>
      <c r="I78" s="316">
        <f>Transit!D84</f>
        <v>14.257425742574258</v>
      </c>
      <c r="J78" s="319">
        <f>Transit!I84</f>
        <v>4.7393364928909956E-3</v>
      </c>
      <c r="K78" s="380">
        <f>Transit!M84</f>
        <v>-0.23337068719775375</v>
      </c>
      <c r="L78" s="379"/>
      <c r="M78" s="380">
        <f t="shared" si="12"/>
        <v>0.26164874551971329</v>
      </c>
      <c r="N78" s="380">
        <f t="shared" si="13"/>
        <v>-0.22222222222222227</v>
      </c>
      <c r="O78" s="380">
        <f t="shared" si="14"/>
        <v>-7.7790229065917912E-2</v>
      </c>
    </row>
    <row r="79" spans="1:15" x14ac:dyDescent="0.2">
      <c r="A79" s="376" t="s">
        <v>6</v>
      </c>
      <c r="B79" s="376" t="s">
        <v>66</v>
      </c>
      <c r="C79" s="377">
        <f>'Past RHNA Performance'!K84</f>
        <v>0</v>
      </c>
      <c r="D79" s="378">
        <f>'Past RHNA Performance'!M84</f>
        <v>1</v>
      </c>
      <c r="E79" s="379"/>
      <c r="F79" s="377">
        <f>Jobs!C83</f>
        <v>31703</v>
      </c>
      <c r="G79" s="380">
        <f>Jobs!G83</f>
        <v>0.74074074074074081</v>
      </c>
      <c r="H79" s="379"/>
      <c r="I79" s="316">
        <f>Transit!D85</f>
        <v>33.418426549083307</v>
      </c>
      <c r="J79" s="319">
        <f>Transit!I85</f>
        <v>0.1218026796589525</v>
      </c>
      <c r="K79" s="380">
        <f>Transit!M85</f>
        <v>0.19096129682691057</v>
      </c>
      <c r="L79" s="379"/>
      <c r="M79" s="380">
        <f t="shared" si="12"/>
        <v>0.33333333333333331</v>
      </c>
      <c r="N79" s="380">
        <f t="shared" si="13"/>
        <v>0.24691358024691359</v>
      </c>
      <c r="O79" s="380">
        <f t="shared" si="14"/>
        <v>6.3653765608970181E-2</v>
      </c>
    </row>
    <row r="80" spans="1:15" x14ac:dyDescent="0.2">
      <c r="A80" s="376" t="s">
        <v>6</v>
      </c>
      <c r="B80" s="376" t="s">
        <v>67</v>
      </c>
      <c r="C80" s="377">
        <f>'Past RHNA Performance'!K85</f>
        <v>0</v>
      </c>
      <c r="D80" s="378">
        <f>'Past RHNA Performance'!M85</f>
        <v>1</v>
      </c>
      <c r="E80" s="379"/>
      <c r="F80" s="377">
        <f>Jobs!C84</f>
        <v>1702</v>
      </c>
      <c r="G80" s="380">
        <f>Jobs!G84</f>
        <v>-0.79629629629629617</v>
      </c>
      <c r="H80" s="379"/>
      <c r="I80" s="316">
        <f>Transit!D86</f>
        <v>32.995090016366611</v>
      </c>
      <c r="J80" s="319">
        <f>Transit!I86</f>
        <v>0.12933025404157045</v>
      </c>
      <c r="K80" s="380">
        <f>Transit!M86</f>
        <v>0.2274619797456677</v>
      </c>
      <c r="L80" s="379"/>
      <c r="M80" s="380">
        <f t="shared" si="12"/>
        <v>0.33333333333333331</v>
      </c>
      <c r="N80" s="380">
        <f t="shared" si="13"/>
        <v>-0.26543209876543206</v>
      </c>
      <c r="O80" s="380">
        <f t="shared" si="14"/>
        <v>7.5820659915222563E-2</v>
      </c>
    </row>
    <row r="81" spans="1:15" x14ac:dyDescent="0.2">
      <c r="A81" s="376" t="s">
        <v>6</v>
      </c>
      <c r="B81" s="376" t="s">
        <v>68</v>
      </c>
      <c r="C81" s="377">
        <f>'Past RHNA Performance'!K86</f>
        <v>10</v>
      </c>
      <c r="D81" s="378">
        <f>'Past RHNA Performance'!M86</f>
        <v>0.87096774193548387</v>
      </c>
      <c r="E81" s="379"/>
      <c r="F81" s="377">
        <f>Jobs!C85</f>
        <v>5691</v>
      </c>
      <c r="G81" s="380">
        <f>Jobs!G85</f>
        <v>-0.22222222222222229</v>
      </c>
      <c r="H81" s="379"/>
      <c r="I81" s="316">
        <f>Transit!D87</f>
        <v>31.311365164761266</v>
      </c>
      <c r="J81" s="319">
        <f>Transit!I87</f>
        <v>0.15132605304212168</v>
      </c>
      <c r="K81" s="380">
        <f>Transit!M87</f>
        <v>0.33660464674714119</v>
      </c>
      <c r="L81" s="379"/>
      <c r="M81" s="380">
        <f t="shared" si="12"/>
        <v>0.29032258064516125</v>
      </c>
      <c r="N81" s="380">
        <f t="shared" si="13"/>
        <v>-7.4074074074074098E-2</v>
      </c>
      <c r="O81" s="380">
        <f t="shared" si="14"/>
        <v>0.11220154891571373</v>
      </c>
    </row>
    <row r="82" spans="1:15" x14ac:dyDescent="0.2">
      <c r="A82" s="376" t="s">
        <v>6</v>
      </c>
      <c r="B82" s="376" t="s">
        <v>69</v>
      </c>
      <c r="C82" s="377">
        <f>'Past RHNA Performance'!K87</f>
        <v>15</v>
      </c>
      <c r="D82" s="378">
        <f>'Past RHNA Performance'!M87</f>
        <v>0.78494623655913986</v>
      </c>
      <c r="E82" s="379"/>
      <c r="F82" s="377">
        <f>Jobs!C86</f>
        <v>1783</v>
      </c>
      <c r="G82" s="380">
        <f>Jobs!G86</f>
        <v>-0.77777777777777768</v>
      </c>
      <c r="H82" s="379"/>
      <c r="I82" s="316">
        <f>Transit!D88</f>
        <v>225</v>
      </c>
      <c r="J82" s="319">
        <f>Transit!I88</f>
        <v>9.4339622641509441E-2</v>
      </c>
      <c r="K82" s="380">
        <f>Transit!M88</f>
        <v>-1</v>
      </c>
      <c r="L82" s="379"/>
      <c r="M82" s="380">
        <f t="shared" si="12"/>
        <v>0.26164874551971329</v>
      </c>
      <c r="N82" s="380">
        <f t="shared" si="13"/>
        <v>-0.25925925925925919</v>
      </c>
      <c r="O82" s="380">
        <f t="shared" si="14"/>
        <v>-0.33333333333333331</v>
      </c>
    </row>
    <row r="83" spans="1:15" x14ac:dyDescent="0.2">
      <c r="A83" s="376" t="s">
        <v>6</v>
      </c>
      <c r="B83" s="376" t="s">
        <v>70</v>
      </c>
      <c r="C83" s="377">
        <f>'Past RHNA Performance'!K88</f>
        <v>106</v>
      </c>
      <c r="D83" s="378">
        <f>'Past RHNA Performance'!M88</f>
        <v>0.20430107526881727</v>
      </c>
      <c r="E83" s="379"/>
      <c r="F83" s="377">
        <f>Jobs!C87</f>
        <v>32965</v>
      </c>
      <c r="G83" s="380">
        <f>Jobs!G87</f>
        <v>0.75925925925925919</v>
      </c>
      <c r="H83" s="379"/>
      <c r="I83" s="316">
        <f>Transit!D89</f>
        <v>30.228286538966149</v>
      </c>
      <c r="J83" s="319">
        <f>Transit!I89</f>
        <v>9.7739767868051317E-2</v>
      </c>
      <c r="K83" s="380">
        <f>Transit!M89</f>
        <v>9.9571595482435382E-2</v>
      </c>
      <c r="L83" s="379"/>
      <c r="M83" s="380">
        <f t="shared" si="12"/>
        <v>6.8100358422939086E-2</v>
      </c>
      <c r="N83" s="380">
        <f t="shared" si="13"/>
        <v>0.25308641975308638</v>
      </c>
      <c r="O83" s="380">
        <f t="shared" si="14"/>
        <v>3.3190531827478456E-2</v>
      </c>
    </row>
    <row r="84" spans="1:15" x14ac:dyDescent="0.2">
      <c r="A84" s="376" t="s">
        <v>6</v>
      </c>
      <c r="B84" s="376" t="s">
        <v>71</v>
      </c>
      <c r="C84" s="377">
        <f>'Past RHNA Performance'!K89</f>
        <v>325</v>
      </c>
      <c r="D84" s="378">
        <f>'Past RHNA Performance'!M89</f>
        <v>-0.33333333333333343</v>
      </c>
      <c r="E84" s="379"/>
      <c r="F84" s="377">
        <f>Jobs!C88</f>
        <v>4154</v>
      </c>
      <c r="G84" s="380">
        <f>Jobs!G88</f>
        <v>-0.35185185185185192</v>
      </c>
      <c r="H84" s="379"/>
      <c r="I84" s="316">
        <f>Transit!D90</f>
        <v>29.006391632771646</v>
      </c>
      <c r="J84" s="319">
        <f>Transit!I90</f>
        <v>0.14424410540915394</v>
      </c>
      <c r="K84" s="380">
        <f>Transit!M90</f>
        <v>0.31731174753676217</v>
      </c>
      <c r="L84" s="379"/>
      <c r="M84" s="380">
        <f t="shared" si="12"/>
        <v>-0.11111111111111113</v>
      </c>
      <c r="N84" s="380">
        <f t="shared" si="13"/>
        <v>-0.11728395061728397</v>
      </c>
      <c r="O84" s="380">
        <f t="shared" si="14"/>
        <v>0.10577058251225405</v>
      </c>
    </row>
    <row r="85" spans="1:15" x14ac:dyDescent="0.2">
      <c r="A85" s="376" t="s">
        <v>6</v>
      </c>
      <c r="B85" s="376" t="s">
        <v>72</v>
      </c>
      <c r="C85" s="377">
        <f>'Past RHNA Performance'!K90</f>
        <v>0</v>
      </c>
      <c r="D85" s="378">
        <f>'Past RHNA Performance'!M90</f>
        <v>1</v>
      </c>
      <c r="E85" s="379"/>
      <c r="F85" s="377">
        <f>Jobs!C89</f>
        <v>6364</v>
      </c>
      <c r="G85" s="380">
        <f>Jobs!G89</f>
        <v>-0.11111111111111115</v>
      </c>
      <c r="H85" s="379"/>
      <c r="I85" s="316">
        <f>Transit!D91</f>
        <v>23.11926605504587</v>
      </c>
      <c r="J85" s="319">
        <f>Transit!I91</f>
        <v>6.7632850241545889E-2</v>
      </c>
      <c r="K85" s="380">
        <f>Transit!M91</f>
        <v>2.5804060537477371E-3</v>
      </c>
      <c r="L85" s="379"/>
      <c r="M85" s="380">
        <f t="shared" si="12"/>
        <v>0.33333333333333331</v>
      </c>
      <c r="N85" s="380">
        <f t="shared" si="13"/>
        <v>-3.7037037037037049E-2</v>
      </c>
      <c r="O85" s="380">
        <f t="shared" si="14"/>
        <v>8.6013535124924566E-4</v>
      </c>
    </row>
    <row r="86" spans="1:15" x14ac:dyDescent="0.2">
      <c r="A86" s="376" t="s">
        <v>6</v>
      </c>
      <c r="B86" s="376" t="s">
        <v>6</v>
      </c>
      <c r="C86" s="377">
        <f>'Past RHNA Performance'!K91</f>
        <v>210</v>
      </c>
      <c r="D86" s="378">
        <f>'Past RHNA Performance'!M91</f>
        <v>-0.18279569892473119</v>
      </c>
      <c r="E86" s="379"/>
      <c r="F86" s="377">
        <f>Jobs!C90</f>
        <v>26597</v>
      </c>
      <c r="G86" s="380">
        <f>Jobs!G90</f>
        <v>0.55555555555555558</v>
      </c>
      <c r="H86" s="379"/>
      <c r="I86" s="316">
        <f>Transit!D92</f>
        <v>25.861777150916783</v>
      </c>
      <c r="J86" s="319">
        <f>Transit!I92</f>
        <v>0.11182669789227166</v>
      </c>
      <c r="K86" s="380">
        <f>Transit!M92</f>
        <v>0.18777352734771213</v>
      </c>
      <c r="L86" s="379"/>
      <c r="M86" s="380">
        <f t="shared" si="12"/>
        <v>-6.093189964157706E-2</v>
      </c>
      <c r="N86" s="380">
        <f t="shared" si="13"/>
        <v>0.18518518518518517</v>
      </c>
      <c r="O86" s="380">
        <f t="shared" si="14"/>
        <v>6.2591175782570702E-2</v>
      </c>
    </row>
    <row r="87" spans="1:15" x14ac:dyDescent="0.2">
      <c r="A87" s="376" t="s">
        <v>6</v>
      </c>
      <c r="B87" s="376" t="s">
        <v>73</v>
      </c>
      <c r="C87" s="377">
        <f>'Past RHNA Performance'!K92</f>
        <v>192</v>
      </c>
      <c r="D87" s="378">
        <f>'Past RHNA Performance'!M92</f>
        <v>-0.13978494623655918</v>
      </c>
      <c r="E87" s="379"/>
      <c r="F87" s="377">
        <f>Jobs!C91</f>
        <v>29682</v>
      </c>
      <c r="G87" s="380">
        <f>Jobs!G91</f>
        <v>0.66666666666666674</v>
      </c>
      <c r="H87" s="379"/>
      <c r="I87" s="316">
        <f>Transit!D93</f>
        <v>22.569048662867164</v>
      </c>
      <c r="J87" s="319">
        <f>Transit!I93</f>
        <v>0.1231696813092162</v>
      </c>
      <c r="K87" s="380">
        <f>Transit!M93</f>
        <v>0.25755226897975519</v>
      </c>
      <c r="L87" s="379"/>
      <c r="M87" s="380">
        <f t="shared" si="12"/>
        <v>-4.6594982078853056E-2</v>
      </c>
      <c r="N87" s="380">
        <f t="shared" si="13"/>
        <v>0.22222222222222224</v>
      </c>
      <c r="O87" s="380">
        <f t="shared" si="14"/>
        <v>8.5850756326585065E-2</v>
      </c>
    </row>
    <row r="88" spans="1:15" x14ac:dyDescent="0.2">
      <c r="A88" s="376" t="s">
        <v>6</v>
      </c>
      <c r="B88" s="376" t="s">
        <v>74</v>
      </c>
      <c r="C88" s="377">
        <f>'Past RHNA Performance'!K93</f>
        <v>0</v>
      </c>
      <c r="D88" s="378">
        <f>'Past RHNA Performance'!M93</f>
        <v>1</v>
      </c>
      <c r="E88" s="379"/>
      <c r="F88" s="377">
        <f>Jobs!C92</f>
        <v>2626</v>
      </c>
      <c r="G88" s="380">
        <f>Jobs!G92</f>
        <v>-0.5</v>
      </c>
      <c r="H88" s="379"/>
      <c r="I88" s="316">
        <f>Transit!D94</f>
        <v>120</v>
      </c>
      <c r="J88" s="319">
        <f>Transit!I94</f>
        <v>5.3639846743295021E-2</v>
      </c>
      <c r="K88" s="380">
        <f>Transit!M94</f>
        <v>-0.60015318879589197</v>
      </c>
      <c r="L88" s="379"/>
      <c r="M88" s="380">
        <f t="shared" si="12"/>
        <v>0.33333333333333331</v>
      </c>
      <c r="N88" s="380">
        <f t="shared" si="13"/>
        <v>-0.16666666666666666</v>
      </c>
      <c r="O88" s="380">
        <f t="shared" si="14"/>
        <v>-0.20005106293196398</v>
      </c>
    </row>
    <row r="89" spans="1:15" x14ac:dyDescent="0.2">
      <c r="A89" s="376" t="s">
        <v>6</v>
      </c>
      <c r="B89" s="376" t="s">
        <v>109</v>
      </c>
      <c r="C89" s="377">
        <f>'Past RHNA Performance'!K94</f>
        <v>31</v>
      </c>
      <c r="D89" s="378">
        <f>'Past RHNA Performance'!M94</f>
        <v>0.63440860215053763</v>
      </c>
      <c r="E89" s="379"/>
      <c r="F89" s="377">
        <f>Jobs!C93</f>
        <v>11113</v>
      </c>
      <c r="G89" s="380">
        <f>Jobs!G93</f>
        <v>7.4074074074074042E-2</v>
      </c>
      <c r="H89" s="379"/>
      <c r="I89" s="316">
        <f>Transit!D95</f>
        <v>34.526460010275734</v>
      </c>
      <c r="J89" s="319">
        <f>Transit!I95</f>
        <v>7.4388947927736454E-2</v>
      </c>
      <c r="K89" s="380">
        <f>Transit!M95</f>
        <v>-3.0269989675132791E-2</v>
      </c>
      <c r="L89" s="379"/>
      <c r="M89" s="380">
        <f t="shared" si="12"/>
        <v>0.21146953405017921</v>
      </c>
      <c r="N89" s="380">
        <f t="shared" si="13"/>
        <v>2.4691358024691346E-2</v>
      </c>
      <c r="O89" s="380">
        <f t="shared" si="14"/>
        <v>-1.0089996558377596E-2</v>
      </c>
    </row>
    <row r="90" spans="1:15" s="358" customFormat="1" x14ac:dyDescent="0.2">
      <c r="A90" s="381"/>
      <c r="B90" s="381"/>
      <c r="C90" s="383"/>
      <c r="D90" s="383"/>
      <c r="E90" s="374"/>
      <c r="F90" s="384"/>
      <c r="G90" s="384"/>
      <c r="H90" s="374"/>
      <c r="I90" s="332"/>
      <c r="J90" s="335"/>
      <c r="K90" s="384"/>
      <c r="L90" s="374"/>
      <c r="M90" s="383"/>
      <c r="N90" s="383"/>
      <c r="O90" s="383"/>
    </row>
    <row r="91" spans="1:15" s="358" customFormat="1" x14ac:dyDescent="0.2">
      <c r="A91" s="381"/>
      <c r="B91" s="381"/>
      <c r="C91" s="383"/>
      <c r="D91" s="383"/>
      <c r="E91" s="374"/>
      <c r="F91" s="384"/>
      <c r="G91" s="384"/>
      <c r="H91" s="374"/>
      <c r="I91" s="340"/>
      <c r="J91" s="343"/>
      <c r="K91" s="384"/>
      <c r="L91" s="374"/>
      <c r="M91" s="383"/>
      <c r="N91" s="383"/>
      <c r="O91" s="383"/>
    </row>
    <row r="92" spans="1:15" x14ac:dyDescent="0.2">
      <c r="A92" s="376" t="s">
        <v>7</v>
      </c>
      <c r="B92" s="376" t="s">
        <v>75</v>
      </c>
      <c r="C92" s="377">
        <f>'Past RHNA Performance'!K97</f>
        <v>37</v>
      </c>
      <c r="D92" s="378">
        <f>'Past RHNA Performance'!M97</f>
        <v>0.5698924731182794</v>
      </c>
      <c r="E92" s="379"/>
      <c r="F92" s="377">
        <f>Jobs!C96</f>
        <v>14014</v>
      </c>
      <c r="G92" s="380">
        <f>Jobs!G96</f>
        <v>0.22222222222222215</v>
      </c>
      <c r="H92" s="379"/>
      <c r="I92" s="316">
        <f>Transit!D98</f>
        <v>24.535840188014102</v>
      </c>
      <c r="J92" s="319">
        <f>Transit!I98</f>
        <v>0.10163551401869159</v>
      </c>
      <c r="K92" s="380">
        <f>Transit!M98</f>
        <v>0.14892789366628192</v>
      </c>
      <c r="L92" s="379"/>
      <c r="M92" s="380">
        <f t="shared" ref="M92:M107" si="15">D92*$M$4</f>
        <v>0.18996415770609312</v>
      </c>
      <c r="N92" s="380">
        <f t="shared" ref="N92:N107" si="16">G92*$N$4</f>
        <v>7.4074074074074042E-2</v>
      </c>
      <c r="O92" s="380">
        <f t="shared" ref="O92:O98" si="17">K92*$O$4</f>
        <v>4.9642631222093975E-2</v>
      </c>
    </row>
    <row r="93" spans="1:15" x14ac:dyDescent="0.2">
      <c r="A93" s="376" t="s">
        <v>7</v>
      </c>
      <c r="B93" s="376" t="s">
        <v>76</v>
      </c>
      <c r="C93" s="377">
        <f>'Past RHNA Performance'!K98</f>
        <v>48</v>
      </c>
      <c r="D93" s="378">
        <f>'Past RHNA Performance'!M98</f>
        <v>0.46236559139784961</v>
      </c>
      <c r="E93" s="379"/>
      <c r="F93" s="377">
        <f>Jobs!C97</f>
        <v>11014</v>
      </c>
      <c r="G93" s="380">
        <f>Jobs!G97</f>
        <v>5.5555555555555573E-2</v>
      </c>
      <c r="H93" s="379"/>
      <c r="I93" s="316">
        <f>Transit!D99</f>
        <v>24.935064935064936</v>
      </c>
      <c r="J93" s="319">
        <f>Transit!I99</f>
        <v>6.1680801850424058E-2</v>
      </c>
      <c r="K93" s="380">
        <f>Transit!M99</f>
        <v>-3.4524656586020656E-2</v>
      </c>
      <c r="L93" s="379"/>
      <c r="M93" s="380">
        <f t="shared" si="15"/>
        <v>0.15412186379928319</v>
      </c>
      <c r="N93" s="380">
        <f t="shared" si="16"/>
        <v>1.8518518518518524E-2</v>
      </c>
      <c r="O93" s="380">
        <f t="shared" si="17"/>
        <v>-1.1508218862006885E-2</v>
      </c>
    </row>
    <row r="94" spans="1:15" x14ac:dyDescent="0.2">
      <c r="A94" s="376" t="s">
        <v>7</v>
      </c>
      <c r="B94" s="376" t="s">
        <v>77</v>
      </c>
      <c r="C94" s="377">
        <f>'Past RHNA Performance'!K99</f>
        <v>516</v>
      </c>
      <c r="D94" s="378">
        <f>'Past RHNA Performance'!M99</f>
        <v>-0.56989247311827962</v>
      </c>
      <c r="E94" s="379"/>
      <c r="F94" s="377">
        <f>Jobs!C98</f>
        <v>13642</v>
      </c>
      <c r="G94" s="380">
        <f>Jobs!G98</f>
        <v>0.20370370370370366</v>
      </c>
      <c r="H94" s="379"/>
      <c r="I94" s="316">
        <f>Transit!D100</f>
        <v>29.122807017543863</v>
      </c>
      <c r="J94" s="319">
        <f>Transit!I100</f>
        <v>8.6368366285119666E-2</v>
      </c>
      <c r="K94" s="380">
        <f>Transit!M100</f>
        <v>5.4145496458425979E-2</v>
      </c>
      <c r="L94" s="379"/>
      <c r="M94" s="380">
        <f t="shared" si="15"/>
        <v>-0.18996415770609321</v>
      </c>
      <c r="N94" s="380">
        <f t="shared" si="16"/>
        <v>6.7901234567901217E-2</v>
      </c>
      <c r="O94" s="380">
        <f t="shared" si="17"/>
        <v>1.8048498819475324E-2</v>
      </c>
    </row>
    <row r="95" spans="1:15" x14ac:dyDescent="0.2">
      <c r="A95" s="376" t="s">
        <v>7</v>
      </c>
      <c r="B95" s="376" t="s">
        <v>78</v>
      </c>
      <c r="C95" s="377">
        <f>'Past RHNA Performance'!K100</f>
        <v>40</v>
      </c>
      <c r="D95" s="378">
        <f>'Past RHNA Performance'!M100</f>
        <v>0.5053763440860215</v>
      </c>
      <c r="E95" s="379"/>
      <c r="F95" s="377">
        <f>Jobs!C99</f>
        <v>8141</v>
      </c>
      <c r="G95" s="380">
        <f>Jobs!G99</f>
        <v>-3.7037037037036952E-2</v>
      </c>
      <c r="H95" s="379"/>
      <c r="I95" s="316">
        <f>Transit!D101</f>
        <v>36.093344857389802</v>
      </c>
      <c r="J95" s="319">
        <f>Transit!I101</f>
        <v>5.7942057942057944E-2</v>
      </c>
      <c r="K95" s="380">
        <f>Transit!M101</f>
        <v>-0.11359302897444777</v>
      </c>
      <c r="L95" s="379"/>
      <c r="M95" s="380">
        <f t="shared" si="15"/>
        <v>0.16845878136200715</v>
      </c>
      <c r="N95" s="380">
        <f t="shared" si="16"/>
        <v>-1.2345679012345651E-2</v>
      </c>
      <c r="O95" s="380">
        <f t="shared" si="17"/>
        <v>-3.7864342991482586E-2</v>
      </c>
    </row>
    <row r="96" spans="1:15" x14ac:dyDescent="0.2">
      <c r="A96" s="376" t="s">
        <v>7</v>
      </c>
      <c r="B96" s="376" t="s">
        <v>79</v>
      </c>
      <c r="C96" s="377">
        <f>'Past RHNA Performance'!K101</f>
        <v>32</v>
      </c>
      <c r="D96" s="378">
        <f>'Past RHNA Performance'!M101</f>
        <v>0.61290322580645151</v>
      </c>
      <c r="E96" s="379"/>
      <c r="F96" s="377">
        <f>Jobs!C100</f>
        <v>2957</v>
      </c>
      <c r="G96" s="380">
        <f>Jobs!G100</f>
        <v>-0.46296296296296302</v>
      </c>
      <c r="H96" s="379"/>
      <c r="I96" s="316">
        <f>Transit!D102</f>
        <v>23.671232876712327</v>
      </c>
      <c r="J96" s="319">
        <f>Transit!I102</f>
        <v>1.8461538461538463E-2</v>
      </c>
      <c r="K96" s="380">
        <f>Transit!M102</f>
        <v>-0.22352786998249441</v>
      </c>
      <c r="L96" s="379"/>
      <c r="M96" s="380">
        <f t="shared" si="15"/>
        <v>0.20430107526881716</v>
      </c>
      <c r="N96" s="380">
        <f t="shared" si="16"/>
        <v>-0.15432098765432101</v>
      </c>
      <c r="O96" s="380">
        <f t="shared" si="17"/>
        <v>-7.4509289994164798E-2</v>
      </c>
    </row>
    <row r="97" spans="1:15" x14ac:dyDescent="0.2">
      <c r="A97" s="376" t="s">
        <v>7</v>
      </c>
      <c r="B97" s="376" t="s">
        <v>80</v>
      </c>
      <c r="C97" s="377">
        <f>'Past RHNA Performance'!K102</f>
        <v>86</v>
      </c>
      <c r="D97" s="378">
        <f>'Past RHNA Performance'!M102</f>
        <v>0.29032258064516125</v>
      </c>
      <c r="E97" s="379"/>
      <c r="F97" s="377">
        <f>Jobs!C101</f>
        <v>17218</v>
      </c>
      <c r="G97" s="380">
        <f>Jobs!G101</f>
        <v>0.35185185185185192</v>
      </c>
      <c r="H97" s="379"/>
      <c r="I97" s="316">
        <f>Transit!D103</f>
        <v>36.621253405994551</v>
      </c>
      <c r="J97" s="319">
        <f>Transit!I103</f>
        <v>6.3063063063063057E-2</v>
      </c>
      <c r="K97" s="380">
        <f>Transit!M103</f>
        <v>-9.3303162671141415E-2</v>
      </c>
      <c r="L97" s="379"/>
      <c r="M97" s="380">
        <f t="shared" si="15"/>
        <v>9.677419354838708E-2</v>
      </c>
      <c r="N97" s="380">
        <f t="shared" si="16"/>
        <v>0.11728395061728397</v>
      </c>
      <c r="O97" s="380">
        <f t="shared" si="17"/>
        <v>-3.1101054223713804E-2</v>
      </c>
    </row>
    <row r="98" spans="1:15" x14ac:dyDescent="0.2">
      <c r="A98" s="376" t="s">
        <v>7</v>
      </c>
      <c r="B98" s="376" t="s">
        <v>81</v>
      </c>
      <c r="C98" s="377">
        <f>'Past RHNA Performance'!K103</f>
        <v>701</v>
      </c>
      <c r="D98" s="378">
        <f>'Past RHNA Performance'!M103</f>
        <v>-0.76344086021505375</v>
      </c>
      <c r="E98" s="379"/>
      <c r="F98" s="377">
        <f>Jobs!C102</f>
        <v>15391</v>
      </c>
      <c r="G98" s="380">
        <f>Jobs!G102</f>
        <v>0.29629629629629634</v>
      </c>
      <c r="H98" s="379"/>
      <c r="I98" s="316">
        <f>Transit!D104</f>
        <v>23.759086188992729</v>
      </c>
      <c r="J98" s="319">
        <f>Transit!I104</f>
        <v>0.11242138364779874</v>
      </c>
      <c r="K98" s="380">
        <f>Transit!M104</f>
        <v>0.20217507195310389</v>
      </c>
      <c r="L98" s="379"/>
      <c r="M98" s="380">
        <f t="shared" si="15"/>
        <v>-0.25448028673835121</v>
      </c>
      <c r="N98" s="380">
        <f t="shared" si="16"/>
        <v>9.876543209876544E-2</v>
      </c>
      <c r="O98" s="380">
        <f t="shared" si="17"/>
        <v>6.7391690651034619E-2</v>
      </c>
    </row>
    <row r="99" spans="1:15" x14ac:dyDescent="0.2">
      <c r="A99" s="376" t="s">
        <v>7</v>
      </c>
      <c r="B99" s="376" t="s">
        <v>82</v>
      </c>
      <c r="C99" s="377">
        <f>'Past RHNA Performance'!K104</f>
        <v>19</v>
      </c>
      <c r="D99" s="378">
        <f>'Past RHNA Performance'!M104</f>
        <v>0.72043010752688164</v>
      </c>
      <c r="E99" s="379"/>
      <c r="F99" s="377">
        <f>Jobs!C103</f>
        <v>525</v>
      </c>
      <c r="G99" s="380">
        <f>Jobs!G103</f>
        <v>-0.96296296296296302</v>
      </c>
      <c r="H99" s="379"/>
      <c r="I99" s="316" t="str">
        <f>Transit!D105</f>
        <v>—</v>
      </c>
      <c r="J99" s="319">
        <f>Transit!I105</f>
        <v>0</v>
      </c>
      <c r="K99" s="380" t="str">
        <f>Transit!M105</f>
        <v>—</v>
      </c>
      <c r="L99" s="379"/>
      <c r="M99" s="380">
        <f t="shared" si="15"/>
        <v>0.2401433691756272</v>
      </c>
      <c r="N99" s="380">
        <f t="shared" si="16"/>
        <v>-0.32098765432098764</v>
      </c>
      <c r="O99" s="380" t="s">
        <v>183</v>
      </c>
    </row>
    <row r="100" spans="1:15" x14ac:dyDescent="0.2">
      <c r="A100" s="376" t="s">
        <v>7</v>
      </c>
      <c r="B100" s="376" t="s">
        <v>83</v>
      </c>
      <c r="C100" s="377">
        <f>'Past RHNA Performance'!K105</f>
        <v>556</v>
      </c>
      <c r="D100" s="378">
        <f>'Past RHNA Performance'!M105</f>
        <v>-0.67741935483870974</v>
      </c>
      <c r="E100" s="379"/>
      <c r="F100" s="377">
        <f>Jobs!C104</f>
        <v>14983</v>
      </c>
      <c r="G100" s="380">
        <f>Jobs!G104</f>
        <v>0.25925925925925924</v>
      </c>
      <c r="H100" s="379"/>
      <c r="I100" s="316">
        <f>Transit!D106</f>
        <v>26.576271186440678</v>
      </c>
      <c r="J100" s="319">
        <f>Transit!I106</f>
        <v>5.0935550935550938E-2</v>
      </c>
      <c r="K100" s="380">
        <f>Transit!M106</f>
        <v>-9.2399353765722336E-2</v>
      </c>
      <c r="L100" s="379"/>
      <c r="M100" s="380">
        <f t="shared" si="15"/>
        <v>-0.22580645161290325</v>
      </c>
      <c r="N100" s="380">
        <f t="shared" si="16"/>
        <v>8.6419753086419748E-2</v>
      </c>
      <c r="O100" s="380">
        <f t="shared" ref="O100:O107" si="18">K100*$O$4</f>
        <v>-3.079978458857411E-2</v>
      </c>
    </row>
    <row r="101" spans="1:15" x14ac:dyDescent="0.2">
      <c r="A101" s="376" t="s">
        <v>7</v>
      </c>
      <c r="B101" s="376" t="s">
        <v>84</v>
      </c>
      <c r="C101" s="377">
        <f>'Past RHNA Performance'!K106</f>
        <v>123</v>
      </c>
      <c r="D101" s="378">
        <f>'Past RHNA Performance'!M106</f>
        <v>9.6774193548387052E-2</v>
      </c>
      <c r="E101" s="379"/>
      <c r="F101" s="377">
        <f>Jobs!C105</f>
        <v>21642</v>
      </c>
      <c r="G101" s="380">
        <f>Jobs!G105</f>
        <v>0.42592592592592593</v>
      </c>
      <c r="H101" s="379"/>
      <c r="I101" s="316">
        <f>Transit!D107</f>
        <v>29.149797570850204</v>
      </c>
      <c r="J101" s="319">
        <f>Transit!I107</f>
        <v>0.1037483266398929</v>
      </c>
      <c r="K101" s="380">
        <f>Transit!M107</f>
        <v>0.13282892875789898</v>
      </c>
      <c r="L101" s="379"/>
      <c r="M101" s="380">
        <f t="shared" si="15"/>
        <v>3.2258064516129017E-2</v>
      </c>
      <c r="N101" s="380">
        <f t="shared" si="16"/>
        <v>0.1419753086419753</v>
      </c>
      <c r="O101" s="380">
        <f t="shared" si="18"/>
        <v>4.4276309585966324E-2</v>
      </c>
    </row>
    <row r="102" spans="1:15" x14ac:dyDescent="0.2">
      <c r="A102" s="376" t="s">
        <v>7</v>
      </c>
      <c r="B102" s="376" t="s">
        <v>85</v>
      </c>
      <c r="C102" s="377">
        <f>'Past RHNA Performance'!K107</f>
        <v>344</v>
      </c>
      <c r="D102" s="378">
        <f>'Past RHNA Performance'!M107</f>
        <v>-0.39784946236559138</v>
      </c>
      <c r="E102" s="379"/>
      <c r="F102" s="377">
        <f>Jobs!C106</f>
        <v>49478</v>
      </c>
      <c r="G102" s="380">
        <f>Jobs!G106</f>
        <v>0.88888888888888884</v>
      </c>
      <c r="H102" s="379"/>
      <c r="I102" s="316">
        <f>Transit!D108</f>
        <v>20.266006804825242</v>
      </c>
      <c r="J102" s="319">
        <f>Transit!I108</f>
        <v>0.11934426229508197</v>
      </c>
      <c r="K102" s="380">
        <f>Transit!M108</f>
        <v>0.25301988820697874</v>
      </c>
      <c r="L102" s="379"/>
      <c r="M102" s="380">
        <f t="shared" si="15"/>
        <v>-0.13261648745519711</v>
      </c>
      <c r="N102" s="380">
        <f t="shared" si="16"/>
        <v>0.29629629629629628</v>
      </c>
      <c r="O102" s="380">
        <f t="shared" si="18"/>
        <v>8.4339962735659579E-2</v>
      </c>
    </row>
    <row r="103" spans="1:15" x14ac:dyDescent="0.2">
      <c r="A103" s="376" t="s">
        <v>7</v>
      </c>
      <c r="B103" s="376" t="s">
        <v>86</v>
      </c>
      <c r="C103" s="377">
        <f>'Past RHNA Performance'!K108</f>
        <v>8301</v>
      </c>
      <c r="D103" s="378">
        <f>'Past RHNA Performance'!M108</f>
        <v>-1</v>
      </c>
      <c r="E103" s="379"/>
      <c r="F103" s="377">
        <f>Jobs!C107</f>
        <v>145721</v>
      </c>
      <c r="G103" s="380">
        <f>Jobs!G107</f>
        <v>1</v>
      </c>
      <c r="H103" s="379"/>
      <c r="I103" s="316">
        <f>Transit!D109</f>
        <v>18.381108982726179</v>
      </c>
      <c r="J103" s="319">
        <f>Transit!I109</f>
        <v>8.549531649162645E-2</v>
      </c>
      <c r="K103" s="380">
        <f>Transit!M109</f>
        <v>0.1099764578899709</v>
      </c>
      <c r="L103" s="379"/>
      <c r="M103" s="380">
        <f t="shared" si="15"/>
        <v>-0.33333333333333331</v>
      </c>
      <c r="N103" s="380">
        <f t="shared" si="16"/>
        <v>0.33333333333333331</v>
      </c>
      <c r="O103" s="380">
        <f t="shared" si="18"/>
        <v>3.6658819296656965E-2</v>
      </c>
    </row>
    <row r="104" spans="1:15" x14ac:dyDescent="0.2">
      <c r="A104" s="376" t="s">
        <v>7</v>
      </c>
      <c r="B104" s="376" t="s">
        <v>7</v>
      </c>
      <c r="C104" s="377">
        <f>'Past RHNA Performance'!K109</f>
        <v>758</v>
      </c>
      <c r="D104" s="378">
        <f>'Past RHNA Performance'!M109</f>
        <v>-0.78494623655913986</v>
      </c>
      <c r="E104" s="379"/>
      <c r="F104" s="377">
        <f>Jobs!C108</f>
        <v>72350</v>
      </c>
      <c r="G104" s="380">
        <f>Jobs!G108</f>
        <v>0.94444444444444442</v>
      </c>
      <c r="H104" s="379"/>
      <c r="I104" s="316">
        <f>Transit!D110</f>
        <v>23.24994802854965</v>
      </c>
      <c r="J104" s="319">
        <f>Transit!I110</f>
        <v>9.514087382605145E-2</v>
      </c>
      <c r="K104" s="380">
        <f>Transit!M110</f>
        <v>0.12662649300084808</v>
      </c>
      <c r="L104" s="379"/>
      <c r="M104" s="380">
        <f t="shared" si="15"/>
        <v>-0.26164874551971329</v>
      </c>
      <c r="N104" s="380">
        <f t="shared" si="16"/>
        <v>0.31481481481481477</v>
      </c>
      <c r="O104" s="380">
        <f t="shared" si="18"/>
        <v>4.2208831000282693E-2</v>
      </c>
    </row>
    <row r="105" spans="1:15" x14ac:dyDescent="0.2">
      <c r="A105" s="376" t="s">
        <v>7</v>
      </c>
      <c r="B105" s="376" t="s">
        <v>87</v>
      </c>
      <c r="C105" s="377">
        <f>'Past RHNA Performance'!K110</f>
        <v>61</v>
      </c>
      <c r="D105" s="378">
        <f>'Past RHNA Performance'!M110</f>
        <v>0.41935483870967744</v>
      </c>
      <c r="E105" s="379"/>
      <c r="F105" s="377">
        <f>Jobs!C109</f>
        <v>8933</v>
      </c>
      <c r="G105" s="380">
        <f>Jobs!G109</f>
        <v>0</v>
      </c>
      <c r="H105" s="379"/>
      <c r="I105" s="316">
        <f>Transit!D111</f>
        <v>52.026944274341702</v>
      </c>
      <c r="J105" s="319">
        <f>Transit!I111</f>
        <v>5.8300395256916999E-2</v>
      </c>
      <c r="K105" s="380">
        <f>Transit!M111</f>
        <v>-0.20065811555923743</v>
      </c>
      <c r="L105" s="379"/>
      <c r="M105" s="380">
        <f t="shared" si="15"/>
        <v>0.13978494623655913</v>
      </c>
      <c r="N105" s="380">
        <f t="shared" si="16"/>
        <v>0</v>
      </c>
      <c r="O105" s="380">
        <f t="shared" si="18"/>
        <v>-6.6886038519745811E-2</v>
      </c>
    </row>
    <row r="106" spans="1:15" x14ac:dyDescent="0.2">
      <c r="A106" s="376" t="s">
        <v>7</v>
      </c>
      <c r="B106" s="376" t="s">
        <v>88</v>
      </c>
      <c r="C106" s="377">
        <f>'Past RHNA Performance'!K111</f>
        <v>112</v>
      </c>
      <c r="D106" s="378">
        <f>'Past RHNA Performance'!M111</f>
        <v>0.13978494623655918</v>
      </c>
      <c r="E106" s="379"/>
      <c r="F106" s="377">
        <f>Jobs!C110</f>
        <v>25214</v>
      </c>
      <c r="G106" s="380">
        <f>Jobs!G110</f>
        <v>0.5185185185185186</v>
      </c>
      <c r="H106" s="379"/>
      <c r="I106" s="316">
        <f>Transit!D112</f>
        <v>26.54180602006689</v>
      </c>
      <c r="J106" s="319">
        <f>Transit!I112</f>
        <v>9.4046264694728862E-2</v>
      </c>
      <c r="K106" s="380">
        <f>Transit!M112</f>
        <v>0.10333814250961297</v>
      </c>
      <c r="L106" s="379"/>
      <c r="M106" s="380">
        <f t="shared" si="15"/>
        <v>4.6594982078853056E-2</v>
      </c>
      <c r="N106" s="380">
        <f t="shared" si="16"/>
        <v>0.17283950617283952</v>
      </c>
      <c r="O106" s="380">
        <f t="shared" si="18"/>
        <v>3.4446047503204319E-2</v>
      </c>
    </row>
    <row r="107" spans="1:15" x14ac:dyDescent="0.2">
      <c r="A107" s="376" t="s">
        <v>7</v>
      </c>
      <c r="B107" s="376" t="s">
        <v>110</v>
      </c>
      <c r="C107" s="377">
        <f>'Past RHNA Performance'!K112</f>
        <v>483</v>
      </c>
      <c r="D107" s="378">
        <f>'Past RHNA Performance'!M112</f>
        <v>-0.4838709677419355</v>
      </c>
      <c r="E107" s="379"/>
      <c r="F107" s="377">
        <f>Jobs!C111</f>
        <v>3359</v>
      </c>
      <c r="G107" s="380">
        <f>Jobs!G111</f>
        <v>-0.40740740740740733</v>
      </c>
      <c r="H107" s="379"/>
      <c r="I107" s="316">
        <f>Transit!D113</f>
        <v>19.935086441014768</v>
      </c>
      <c r="J107" s="319">
        <f>Transit!I113</f>
        <v>7.2193436960276344E-2</v>
      </c>
      <c r="K107" s="380">
        <f>Transit!M113</f>
        <v>4.0990700383933355E-2</v>
      </c>
      <c r="L107" s="379"/>
      <c r="M107" s="380">
        <f t="shared" si="15"/>
        <v>-0.16129032258064516</v>
      </c>
      <c r="N107" s="380">
        <f t="shared" si="16"/>
        <v>-0.13580246913580243</v>
      </c>
      <c r="O107" s="380">
        <f t="shared" si="18"/>
        <v>1.3663566794644451E-2</v>
      </c>
    </row>
    <row r="108" spans="1:15" s="358" customFormat="1" x14ac:dyDescent="0.2">
      <c r="A108" s="381"/>
      <c r="B108" s="381"/>
      <c r="C108" s="383"/>
      <c r="D108" s="383"/>
      <c r="E108" s="374"/>
      <c r="F108" s="384"/>
      <c r="G108" s="384"/>
      <c r="H108" s="374"/>
      <c r="I108" s="332"/>
      <c r="J108" s="335"/>
      <c r="K108" s="384"/>
      <c r="L108" s="374"/>
      <c r="M108" s="383"/>
      <c r="N108" s="383"/>
      <c r="O108" s="383"/>
    </row>
    <row r="109" spans="1:15" s="358" customFormat="1" x14ac:dyDescent="0.2">
      <c r="A109" s="381"/>
      <c r="B109" s="381"/>
      <c r="C109" s="383"/>
      <c r="D109" s="383"/>
      <c r="E109" s="374"/>
      <c r="F109" s="384"/>
      <c r="G109" s="384"/>
      <c r="H109" s="374"/>
      <c r="I109" s="340"/>
      <c r="J109" s="343"/>
      <c r="K109" s="384"/>
      <c r="L109" s="374"/>
      <c r="M109" s="383"/>
      <c r="N109" s="383"/>
      <c r="O109" s="383"/>
    </row>
    <row r="110" spans="1:15" x14ac:dyDescent="0.2">
      <c r="A110" s="376" t="s">
        <v>8</v>
      </c>
      <c r="B110" s="376" t="s">
        <v>89</v>
      </c>
      <c r="C110" s="377">
        <f>'Past RHNA Performance'!K115</f>
        <v>182</v>
      </c>
      <c r="D110" s="378">
        <f>'Past RHNA Performance'!M115</f>
        <v>-7.5268817204301119E-2</v>
      </c>
      <c r="E110" s="379"/>
      <c r="F110" s="377">
        <f>Jobs!C114</f>
        <v>9756</v>
      </c>
      <c r="G110" s="380">
        <f>Jobs!G114</f>
        <v>1.8518518518518476E-2</v>
      </c>
      <c r="H110" s="379"/>
      <c r="I110" s="316">
        <f>Transit!D116</f>
        <v>99.84</v>
      </c>
      <c r="J110" s="319">
        <f>Transit!I116</f>
        <v>4.0944881889763779E-2</v>
      </c>
      <c r="K110" s="380">
        <f>Transit!M116</f>
        <v>-0.54552052405089424</v>
      </c>
      <c r="L110" s="379"/>
      <c r="M110" s="380">
        <f t="shared" ref="M110:M117" si="19">D110*$M$4</f>
        <v>-2.508960573476704E-2</v>
      </c>
      <c r="N110" s="380">
        <f t="shared" ref="N110:N117" si="20">G110*$N$4</f>
        <v>6.1728395061728253E-3</v>
      </c>
      <c r="O110" s="380">
        <f t="shared" ref="O110:O117" si="21">K110*$O$4</f>
        <v>-0.18184017468363139</v>
      </c>
    </row>
    <row r="111" spans="1:15" x14ac:dyDescent="0.2">
      <c r="A111" s="376" t="s">
        <v>8</v>
      </c>
      <c r="B111" s="376" t="s">
        <v>90</v>
      </c>
      <c r="C111" s="377">
        <f>'Past RHNA Performance'!K116</f>
        <v>0</v>
      </c>
      <c r="D111" s="378">
        <f>'Past RHNA Performance'!M116</f>
        <v>1</v>
      </c>
      <c r="E111" s="379"/>
      <c r="F111" s="377">
        <f>Jobs!C115</f>
        <v>4491</v>
      </c>
      <c r="G111" s="380">
        <f>Jobs!G115</f>
        <v>-0.29629629629629617</v>
      </c>
      <c r="H111" s="379"/>
      <c r="I111" s="316">
        <f>Transit!D117</f>
        <v>65.454545454545453</v>
      </c>
      <c r="J111" s="319">
        <f>Transit!I117</f>
        <v>2.0876826722338203E-3</v>
      </c>
      <c r="K111" s="380">
        <f>Transit!M117</f>
        <v>-0.53037449919662361</v>
      </c>
      <c r="L111" s="379"/>
      <c r="M111" s="380">
        <f t="shared" si="19"/>
        <v>0.33333333333333331</v>
      </c>
      <c r="N111" s="380">
        <f t="shared" si="20"/>
        <v>-9.8765432098765385E-2</v>
      </c>
      <c r="O111" s="380">
        <f t="shared" si="21"/>
        <v>-0.17679149973220787</v>
      </c>
    </row>
    <row r="112" spans="1:15" x14ac:dyDescent="0.2">
      <c r="A112" s="376" t="s">
        <v>8</v>
      </c>
      <c r="B112" s="376" t="s">
        <v>91</v>
      </c>
      <c r="C112" s="377">
        <f>'Past RHNA Performance'!K117</f>
        <v>249</v>
      </c>
      <c r="D112" s="378">
        <f>'Past RHNA Performance'!M117</f>
        <v>-0.24731182795698928</v>
      </c>
      <c r="E112" s="379"/>
      <c r="F112" s="377">
        <f>Jobs!C116</f>
        <v>75366</v>
      </c>
      <c r="G112" s="380">
        <f>Jobs!G116</f>
        <v>0.96296296296296291</v>
      </c>
      <c r="H112" s="379"/>
      <c r="I112" s="316">
        <f>Transit!D118</f>
        <v>42.736311025374683</v>
      </c>
      <c r="J112" s="319">
        <f>Transit!I118</f>
        <v>7.4571215510812833E-2</v>
      </c>
      <c r="K112" s="380">
        <f>Transit!M118</f>
        <v>-7.5141361957328456E-2</v>
      </c>
      <c r="L112" s="379"/>
      <c r="M112" s="380">
        <f t="shared" si="19"/>
        <v>-8.2437275985663083E-2</v>
      </c>
      <c r="N112" s="380">
        <f t="shared" si="20"/>
        <v>0.32098765432098764</v>
      </c>
      <c r="O112" s="380">
        <f t="shared" si="21"/>
        <v>-2.5047120652442818E-2</v>
      </c>
    </row>
    <row r="113" spans="1:15" x14ac:dyDescent="0.2">
      <c r="A113" s="376" t="s">
        <v>8</v>
      </c>
      <c r="B113" s="376" t="s">
        <v>92</v>
      </c>
      <c r="C113" s="377">
        <f>'Past RHNA Performance'!K118</f>
        <v>39</v>
      </c>
      <c r="D113" s="378">
        <f>'Past RHNA Performance'!M118</f>
        <v>0.54838709677419362</v>
      </c>
      <c r="E113" s="379"/>
      <c r="F113" s="377">
        <f>Jobs!C117</f>
        <v>2009</v>
      </c>
      <c r="G113" s="380">
        <f>Jobs!G117</f>
        <v>-0.74074074074074081</v>
      </c>
      <c r="H113" s="379"/>
      <c r="I113" s="316">
        <f>Transit!D119</f>
        <v>90</v>
      </c>
      <c r="J113" s="319">
        <f>Transit!I119</f>
        <v>2.3316062176165803E-2</v>
      </c>
      <c r="K113" s="380">
        <f>Transit!M119</f>
        <v>-0.57071104977012022</v>
      </c>
      <c r="L113" s="379"/>
      <c r="M113" s="380">
        <f t="shared" si="19"/>
        <v>0.18279569892473119</v>
      </c>
      <c r="N113" s="380">
        <f t="shared" si="20"/>
        <v>-0.24691358024691359</v>
      </c>
      <c r="O113" s="380">
        <f t="shared" si="21"/>
        <v>-0.19023701659004005</v>
      </c>
    </row>
    <row r="114" spans="1:15" x14ac:dyDescent="0.2">
      <c r="A114" s="376" t="s">
        <v>8</v>
      </c>
      <c r="B114" s="376" t="s">
        <v>93</v>
      </c>
      <c r="C114" s="377">
        <f>'Past RHNA Performance'!K119</f>
        <v>80</v>
      </c>
      <c r="D114" s="378">
        <f>'Past RHNA Performance'!M119</f>
        <v>0.33333333333333315</v>
      </c>
      <c r="E114" s="379"/>
      <c r="F114" s="377">
        <f>Jobs!C118</f>
        <v>1837</v>
      </c>
      <c r="G114" s="380">
        <f>Jobs!G118</f>
        <v>-0.75925925925925919</v>
      </c>
      <c r="H114" s="379"/>
      <c r="I114" s="316">
        <f>Transit!D120</f>
        <v>31.632308212233863</v>
      </c>
      <c r="J114" s="319">
        <f>Transit!I120</f>
        <v>0.10301109350237718</v>
      </c>
      <c r="K114" s="380">
        <f>Transit!M120</f>
        <v>0.11566663131152907</v>
      </c>
      <c r="L114" s="379"/>
      <c r="M114" s="380">
        <f t="shared" si="19"/>
        <v>0.11111111111111105</v>
      </c>
      <c r="N114" s="380">
        <f t="shared" si="20"/>
        <v>-0.25308641975308638</v>
      </c>
      <c r="O114" s="380">
        <f t="shared" si="21"/>
        <v>3.8555543770509688E-2</v>
      </c>
    </row>
    <row r="115" spans="1:15" x14ac:dyDescent="0.2">
      <c r="A115" s="376" t="s">
        <v>8</v>
      </c>
      <c r="B115" s="376" t="s">
        <v>94</v>
      </c>
      <c r="C115" s="377">
        <f>'Past RHNA Performance'!K120</f>
        <v>778</v>
      </c>
      <c r="D115" s="378">
        <f>'Past RHNA Performance'!M120</f>
        <v>-0.82795698924731187</v>
      </c>
      <c r="E115" s="379"/>
      <c r="F115" s="377">
        <f>Jobs!C119</f>
        <v>28388</v>
      </c>
      <c r="G115" s="380">
        <f>Jobs!G119</f>
        <v>0.61111111111111105</v>
      </c>
      <c r="H115" s="379"/>
      <c r="I115" s="316">
        <f>Transit!D121</f>
        <v>43.754422476586889</v>
      </c>
      <c r="J115" s="319">
        <f>Transit!I121</f>
        <v>7.5569358178053825E-2</v>
      </c>
      <c r="K115" s="380">
        <f>Transit!M121</f>
        <v>-7.628095929021611E-2</v>
      </c>
      <c r="L115" s="379"/>
      <c r="M115" s="380">
        <f t="shared" si="19"/>
        <v>-0.27598566308243727</v>
      </c>
      <c r="N115" s="380">
        <f t="shared" si="20"/>
        <v>0.20370370370370366</v>
      </c>
      <c r="O115" s="380">
        <f t="shared" si="21"/>
        <v>-2.5426986430072036E-2</v>
      </c>
    </row>
    <row r="116" spans="1:15" x14ac:dyDescent="0.2">
      <c r="A116" s="376" t="s">
        <v>8</v>
      </c>
      <c r="B116" s="376" t="s">
        <v>95</v>
      </c>
      <c r="C116" s="377">
        <f>'Past RHNA Performance'!K121</f>
        <v>553</v>
      </c>
      <c r="D116" s="378">
        <f>'Past RHNA Performance'!M121</f>
        <v>-0.65591397849462363</v>
      </c>
      <c r="E116" s="379"/>
      <c r="F116" s="377">
        <f>Jobs!C120</f>
        <v>30129</v>
      </c>
      <c r="G116" s="380">
        <f>Jobs!G120</f>
        <v>0.68518518518518523</v>
      </c>
      <c r="H116" s="379"/>
      <c r="I116" s="316">
        <f>Transit!D122</f>
        <v>35.427985648385437</v>
      </c>
      <c r="J116" s="319">
        <f>Transit!I122</f>
        <v>8.2930200414651004E-2</v>
      </c>
      <c r="K116" s="380">
        <f>Transit!M122</f>
        <v>3.4541104921468955E-3</v>
      </c>
      <c r="L116" s="379"/>
      <c r="M116" s="380">
        <f t="shared" si="19"/>
        <v>-0.2186379928315412</v>
      </c>
      <c r="N116" s="380">
        <f t="shared" si="20"/>
        <v>0.22839506172839508</v>
      </c>
      <c r="O116" s="380">
        <f t="shared" si="21"/>
        <v>1.151370164048965E-3</v>
      </c>
    </row>
    <row r="117" spans="1:15" x14ac:dyDescent="0.2">
      <c r="A117" s="376" t="s">
        <v>8</v>
      </c>
      <c r="B117" s="376" t="s">
        <v>111</v>
      </c>
      <c r="C117" s="377">
        <f>'Past RHNA Performance'!K122</f>
        <v>71</v>
      </c>
      <c r="D117" s="378">
        <f>'Past RHNA Performance'!M122</f>
        <v>0.39784946236559138</v>
      </c>
      <c r="E117" s="379"/>
      <c r="F117" s="377">
        <f>Jobs!C121</f>
        <v>5838</v>
      </c>
      <c r="G117" s="380">
        <f>Jobs!G121</f>
        <v>-0.18518518518518504</v>
      </c>
      <c r="H117" s="379"/>
      <c r="I117" s="316">
        <f>Transit!D123</f>
        <v>53.03116147308782</v>
      </c>
      <c r="J117" s="319">
        <f>Transit!I123</f>
        <v>1.3844515441959531E-2</v>
      </c>
      <c r="K117" s="380">
        <f>Transit!M123</f>
        <v>-0.40789502976081016</v>
      </c>
      <c r="L117" s="379"/>
      <c r="M117" s="380">
        <f t="shared" si="19"/>
        <v>0.13261648745519711</v>
      </c>
      <c r="N117" s="380">
        <f t="shared" si="20"/>
        <v>-6.1728395061728343E-2</v>
      </c>
      <c r="O117" s="380">
        <f t="shared" si="21"/>
        <v>-0.13596500992027005</v>
      </c>
    </row>
    <row r="118" spans="1:15" s="358" customFormat="1" x14ac:dyDescent="0.2">
      <c r="A118" s="381"/>
      <c r="B118" s="381"/>
      <c r="C118" s="383"/>
      <c r="D118" s="383"/>
      <c r="E118" s="374"/>
      <c r="F118" s="384"/>
      <c r="G118" s="384"/>
      <c r="H118" s="374"/>
      <c r="I118" s="332"/>
      <c r="J118" s="335"/>
      <c r="K118" s="384"/>
      <c r="L118" s="374"/>
      <c r="M118" s="383"/>
      <c r="N118" s="383"/>
      <c r="O118" s="383"/>
    </row>
    <row r="119" spans="1:15" s="358" customFormat="1" x14ac:dyDescent="0.2">
      <c r="A119" s="381"/>
      <c r="B119" s="381"/>
      <c r="C119" s="383"/>
      <c r="D119" s="383"/>
      <c r="E119" s="374"/>
      <c r="F119" s="384"/>
      <c r="G119" s="384"/>
      <c r="H119" s="374"/>
      <c r="I119" s="340"/>
      <c r="J119" s="343"/>
      <c r="K119" s="384"/>
      <c r="L119" s="374"/>
      <c r="M119" s="383"/>
      <c r="N119" s="383"/>
      <c r="O119" s="383"/>
    </row>
    <row r="120" spans="1:15" x14ac:dyDescent="0.2">
      <c r="A120" s="376" t="s">
        <v>9</v>
      </c>
      <c r="B120" s="376" t="s">
        <v>96</v>
      </c>
      <c r="C120" s="377">
        <f>'Past RHNA Performance'!K125</f>
        <v>163</v>
      </c>
      <c r="D120" s="378">
        <f>'Past RHNA Performance'!M125</f>
        <v>5.3763440860215041E-2</v>
      </c>
      <c r="E120" s="379"/>
      <c r="F120" s="377">
        <f>Jobs!C124</f>
        <v>862</v>
      </c>
      <c r="G120" s="380">
        <f>Jobs!G124</f>
        <v>-0.92592592592592582</v>
      </c>
      <c r="H120" s="379"/>
      <c r="I120" s="316">
        <f>Transit!D126</f>
        <v>92.477064220183479</v>
      </c>
      <c r="J120" s="319">
        <f>Transit!I126</f>
        <v>0.112</v>
      </c>
      <c r="K120" s="380">
        <f>Transit!M126</f>
        <v>-0.1822380232111051</v>
      </c>
      <c r="L120" s="379"/>
      <c r="M120" s="380">
        <f t="shared" ref="M120:M129" si="22">D120*$M$4</f>
        <v>1.7921146953405014E-2</v>
      </c>
      <c r="N120" s="380">
        <f t="shared" ref="N120:N129" si="23">G120*$N$4</f>
        <v>-0.3086419753086419</v>
      </c>
      <c r="O120" s="380">
        <f t="shared" ref="O120:O129" si="24">K120*$O$4</f>
        <v>-6.0746007737035035E-2</v>
      </c>
    </row>
    <row r="121" spans="1:15" x14ac:dyDescent="0.2">
      <c r="A121" s="376" t="s">
        <v>9</v>
      </c>
      <c r="B121" s="376" t="s">
        <v>97</v>
      </c>
      <c r="C121" s="377">
        <f>'Past RHNA Performance'!K126</f>
        <v>114</v>
      </c>
      <c r="D121" s="378">
        <f>'Past RHNA Performance'!M126</f>
        <v>0.11827956989247297</v>
      </c>
      <c r="E121" s="379"/>
      <c r="F121" s="377">
        <f>Jobs!C125</f>
        <v>2607</v>
      </c>
      <c r="G121" s="380">
        <f>Jobs!G125</f>
        <v>-0.51851851851851849</v>
      </c>
      <c r="H121" s="379"/>
      <c r="I121" s="316">
        <f>Transit!D127</f>
        <v>40.588235294117645</v>
      </c>
      <c r="J121" s="319">
        <f>Transit!I127</f>
        <v>0.11734693877551021</v>
      </c>
      <c r="K121" s="380">
        <f>Transit!M127</f>
        <v>0.13084154671454612</v>
      </c>
      <c r="L121" s="379"/>
      <c r="M121" s="380">
        <f t="shared" si="22"/>
        <v>3.9426523297490988E-2</v>
      </c>
      <c r="N121" s="380">
        <f t="shared" si="23"/>
        <v>-0.1728395061728395</v>
      </c>
      <c r="O121" s="380">
        <f t="shared" si="24"/>
        <v>4.3613848904848707E-2</v>
      </c>
    </row>
    <row r="122" spans="1:15" x14ac:dyDescent="0.2">
      <c r="A122" s="376" t="s">
        <v>9</v>
      </c>
      <c r="B122" s="376" t="s">
        <v>98</v>
      </c>
      <c r="C122" s="377">
        <f>'Past RHNA Performance'!K127</f>
        <v>188</v>
      </c>
      <c r="D122" s="378">
        <f>'Past RHNA Performance'!M127</f>
        <v>-0.11827956989247312</v>
      </c>
      <c r="E122" s="379"/>
      <c r="F122" s="377">
        <f>Jobs!C126</f>
        <v>6326</v>
      </c>
      <c r="G122" s="380">
        <f>Jobs!G126</f>
        <v>-0.12962962962962948</v>
      </c>
      <c r="H122" s="379"/>
      <c r="I122" s="316">
        <f>Transit!D128</f>
        <v>32.05936920222635</v>
      </c>
      <c r="J122" s="319">
        <f>Transit!I128</f>
        <v>3.6809815950920248E-2</v>
      </c>
      <c r="K122" s="380">
        <f>Transit!M128</f>
        <v>-0.18699251713535886</v>
      </c>
      <c r="L122" s="379"/>
      <c r="M122" s="380">
        <f t="shared" si="22"/>
        <v>-3.9426523297491037E-2</v>
      </c>
      <c r="N122" s="380">
        <f t="shared" si="23"/>
        <v>-4.3209876543209826E-2</v>
      </c>
      <c r="O122" s="380">
        <f t="shared" si="24"/>
        <v>-6.2330839045119615E-2</v>
      </c>
    </row>
    <row r="123" spans="1:15" x14ac:dyDescent="0.2">
      <c r="A123" s="376" t="s">
        <v>9</v>
      </c>
      <c r="B123" s="376" t="s">
        <v>99</v>
      </c>
      <c r="C123" s="377">
        <f>'Past RHNA Performance'!K128</f>
        <v>451</v>
      </c>
      <c r="D123" s="378">
        <f>'Past RHNA Performance'!M128</f>
        <v>-0.41935483870967738</v>
      </c>
      <c r="E123" s="379"/>
      <c r="F123" s="377">
        <f>Jobs!C127</f>
        <v>25170</v>
      </c>
      <c r="G123" s="380">
        <f>Jobs!G127</f>
        <v>0.5</v>
      </c>
      <c r="H123" s="379"/>
      <c r="I123" s="316">
        <f>Transit!D129</f>
        <v>35.866454689984103</v>
      </c>
      <c r="J123" s="319">
        <f>Transit!I129</f>
        <v>6.5734265734265732E-2</v>
      </c>
      <c r="K123" s="380">
        <f>Transit!M129</f>
        <v>-7.6985467231340157E-2</v>
      </c>
      <c r="L123" s="379"/>
      <c r="M123" s="380">
        <f t="shared" si="22"/>
        <v>-0.13978494623655913</v>
      </c>
      <c r="N123" s="380">
        <f t="shared" si="23"/>
        <v>0.16666666666666666</v>
      </c>
      <c r="O123" s="380">
        <f t="shared" si="24"/>
        <v>-2.5661822410446719E-2</v>
      </c>
    </row>
    <row r="124" spans="1:15" x14ac:dyDescent="0.2">
      <c r="A124" s="376" t="s">
        <v>9</v>
      </c>
      <c r="B124" s="376" t="s">
        <v>100</v>
      </c>
      <c r="C124" s="377">
        <f>'Past RHNA Performance'!K129</f>
        <v>760</v>
      </c>
      <c r="D124" s="378">
        <f>'Past RHNA Performance'!M129</f>
        <v>-0.80645161290322576</v>
      </c>
      <c r="E124" s="379"/>
      <c r="F124" s="377">
        <f>Jobs!C128</f>
        <v>12463</v>
      </c>
      <c r="G124" s="380">
        <f>Jobs!G128</f>
        <v>0.11111111111111115</v>
      </c>
      <c r="H124" s="379"/>
      <c r="I124" s="316">
        <f>Transit!D130</f>
        <v>35.042444821731749</v>
      </c>
      <c r="J124" s="319">
        <f>Transit!I130</f>
        <v>0.11796982167352538</v>
      </c>
      <c r="K124" s="380">
        <f>Transit!M130</f>
        <v>0.16453615817451619</v>
      </c>
      <c r="L124" s="379"/>
      <c r="M124" s="380">
        <f t="shared" si="22"/>
        <v>-0.26881720430107525</v>
      </c>
      <c r="N124" s="380">
        <f t="shared" si="23"/>
        <v>3.7037037037037049E-2</v>
      </c>
      <c r="O124" s="380">
        <f t="shared" si="24"/>
        <v>5.484538605817206E-2</v>
      </c>
    </row>
    <row r="125" spans="1:15" x14ac:dyDescent="0.2">
      <c r="A125" s="376" t="s">
        <v>9</v>
      </c>
      <c r="B125" s="376" t="s">
        <v>101</v>
      </c>
      <c r="C125" s="377">
        <f>'Past RHNA Performance'!K130</f>
        <v>1929</v>
      </c>
      <c r="D125" s="378">
        <f>'Past RHNA Performance'!M130</f>
        <v>-0.956989247311828</v>
      </c>
      <c r="E125" s="379"/>
      <c r="F125" s="377">
        <f>Jobs!C129</f>
        <v>33229</v>
      </c>
      <c r="G125" s="380">
        <f>Jobs!G129</f>
        <v>0.77777777777777768</v>
      </c>
      <c r="H125" s="379"/>
      <c r="I125" s="316">
        <f>Transit!D131</f>
        <v>25.835085678493133</v>
      </c>
      <c r="J125" s="319">
        <f>Transit!I131</f>
        <v>0.10914534567229178</v>
      </c>
      <c r="K125" s="380">
        <f>Transit!M131</f>
        <v>0.17575976777608987</v>
      </c>
      <c r="L125" s="379"/>
      <c r="M125" s="380">
        <f t="shared" si="22"/>
        <v>-0.31899641577060933</v>
      </c>
      <c r="N125" s="380">
        <f t="shared" si="23"/>
        <v>0.25925925925925919</v>
      </c>
      <c r="O125" s="380">
        <f t="shared" si="24"/>
        <v>5.8586589258696621E-2</v>
      </c>
    </row>
    <row r="126" spans="1:15" x14ac:dyDescent="0.2">
      <c r="A126" s="376" t="s">
        <v>9</v>
      </c>
      <c r="B126" s="376" t="s">
        <v>102</v>
      </c>
      <c r="C126" s="377">
        <f>'Past RHNA Performance'!K131</f>
        <v>5</v>
      </c>
      <c r="D126" s="378">
        <f>'Past RHNA Performance'!M131</f>
        <v>0.9354838709677421</v>
      </c>
      <c r="E126" s="379"/>
      <c r="F126" s="377">
        <f>Jobs!C130</f>
        <v>1150</v>
      </c>
      <c r="G126" s="380">
        <f>Jobs!G130</f>
        <v>-0.90740740740740733</v>
      </c>
      <c r="H126" s="379"/>
      <c r="I126" s="316">
        <f>Transit!D132</f>
        <v>55.466666666666669</v>
      </c>
      <c r="J126" s="319">
        <f>Transit!I132</f>
        <v>0.11158798283261803</v>
      </c>
      <c r="K126" s="380">
        <f>Transit!M132</f>
        <v>2.1902396287865004E-2</v>
      </c>
      <c r="L126" s="379"/>
      <c r="M126" s="380">
        <f t="shared" si="22"/>
        <v>0.31182795698924737</v>
      </c>
      <c r="N126" s="380">
        <f t="shared" si="23"/>
        <v>-0.30246913580246909</v>
      </c>
      <c r="O126" s="380">
        <f t="shared" si="24"/>
        <v>7.3007987626216679E-3</v>
      </c>
    </row>
    <row r="127" spans="1:15" x14ac:dyDescent="0.2">
      <c r="A127" s="376" t="s">
        <v>9</v>
      </c>
      <c r="B127" s="376" t="s">
        <v>9</v>
      </c>
      <c r="C127" s="377">
        <f>'Past RHNA Performance'!K132</f>
        <v>179</v>
      </c>
      <c r="D127" s="378">
        <f>'Past RHNA Performance'!M132</f>
        <v>-5.3763440860215041E-2</v>
      </c>
      <c r="E127" s="379"/>
      <c r="F127" s="377">
        <f>Jobs!C131</f>
        <v>6086</v>
      </c>
      <c r="G127" s="380">
        <f>Jobs!G131</f>
        <v>-0.14814814814814808</v>
      </c>
      <c r="H127" s="379"/>
      <c r="I127" s="316">
        <f>Transit!D133</f>
        <v>32.115107913669064</v>
      </c>
      <c r="J127" s="319">
        <f>Transit!I133</f>
        <v>0.1076388888888889</v>
      </c>
      <c r="K127" s="380">
        <f>Transit!M133</f>
        <v>0.13397043755229077</v>
      </c>
      <c r="L127" s="379"/>
      <c r="M127" s="380">
        <f t="shared" si="22"/>
        <v>-1.7921146953405014E-2</v>
      </c>
      <c r="N127" s="380">
        <f t="shared" si="23"/>
        <v>-4.9382716049382692E-2</v>
      </c>
      <c r="O127" s="380">
        <f t="shared" si="24"/>
        <v>4.4656812517430255E-2</v>
      </c>
    </row>
    <row r="128" spans="1:15" x14ac:dyDescent="0.2">
      <c r="A128" s="376" t="s">
        <v>9</v>
      </c>
      <c r="B128" s="376" t="s">
        <v>103</v>
      </c>
      <c r="C128" s="377">
        <f>'Past RHNA Performance'!K133</f>
        <v>332</v>
      </c>
      <c r="D128" s="378">
        <f>'Past RHNA Performance'!M133</f>
        <v>-0.35483870967741937</v>
      </c>
      <c r="E128" s="379"/>
      <c r="F128" s="377">
        <f>Jobs!C132</f>
        <v>4451</v>
      </c>
      <c r="G128" s="380">
        <f>Jobs!G132</f>
        <v>-0.31481481481481494</v>
      </c>
      <c r="H128" s="379"/>
      <c r="I128" s="316">
        <f>Transit!D134</f>
        <v>49.840255591054316</v>
      </c>
      <c r="J128" s="319">
        <f>Transit!I134</f>
        <v>9.4890510948905105E-2</v>
      </c>
      <c r="K128" s="380">
        <f>Transit!M134</f>
        <v>-2.2517541455793547E-2</v>
      </c>
      <c r="L128" s="379"/>
      <c r="M128" s="380">
        <f t="shared" si="22"/>
        <v>-0.11827956989247312</v>
      </c>
      <c r="N128" s="380">
        <f t="shared" si="23"/>
        <v>-0.10493827160493831</v>
      </c>
      <c r="O128" s="380">
        <f t="shared" si="24"/>
        <v>-7.5058471519311824E-3</v>
      </c>
    </row>
    <row r="129" spans="1:15" x14ac:dyDescent="0.2">
      <c r="A129" s="376" t="s">
        <v>9</v>
      </c>
      <c r="B129" s="376" t="s">
        <v>112</v>
      </c>
      <c r="C129" s="377">
        <f>'Past RHNA Performance'!K134</f>
        <v>989</v>
      </c>
      <c r="D129" s="378">
        <f>'Past RHNA Performance'!M134</f>
        <v>-0.89247311827956988</v>
      </c>
      <c r="E129" s="379"/>
      <c r="F129" s="377">
        <f>Jobs!C133</f>
        <v>28745</v>
      </c>
      <c r="G129" s="380">
        <f>Jobs!G133</f>
        <v>0.64814814814814814</v>
      </c>
      <c r="H129" s="379"/>
      <c r="I129" s="316">
        <f>Transit!D135</f>
        <v>39.298245614035082</v>
      </c>
      <c r="J129" s="319">
        <f>Transit!I135</f>
        <v>5.0919377652050922E-2</v>
      </c>
      <c r="K129" s="380">
        <f>Transit!M135</f>
        <v>-0.16328645942643902</v>
      </c>
      <c r="L129" s="379"/>
      <c r="M129" s="380">
        <f t="shared" si="22"/>
        <v>-0.29749103942652327</v>
      </c>
      <c r="N129" s="380">
        <f t="shared" si="23"/>
        <v>0.21604938271604937</v>
      </c>
      <c r="O129" s="380">
        <f t="shared" si="24"/>
        <v>-5.4428819808813006E-2</v>
      </c>
    </row>
    <row r="131" spans="1:15" s="267" customFormat="1" x14ac:dyDescent="0.2">
      <c r="B131" s="268"/>
      <c r="C131" s="269"/>
      <c r="D131" s="269"/>
      <c r="E131" s="270"/>
      <c r="F131" s="269"/>
      <c r="G131" s="269"/>
      <c r="H131" s="270"/>
      <c r="I131" s="270"/>
      <c r="J131" s="270"/>
      <c r="K131" s="269"/>
      <c r="L131" s="270"/>
    </row>
    <row r="132" spans="1:15" s="267" customFormat="1" x14ac:dyDescent="0.2">
      <c r="B132" s="268"/>
      <c r="C132" s="269"/>
      <c r="D132" s="269"/>
      <c r="E132" s="270"/>
      <c r="F132" s="269"/>
      <c r="G132" s="269"/>
      <c r="H132" s="270"/>
      <c r="I132" s="270"/>
      <c r="J132" s="270"/>
      <c r="K132" s="269"/>
      <c r="L132" s="270"/>
    </row>
    <row r="133" spans="1:15" s="267" customFormat="1" x14ac:dyDescent="0.2">
      <c r="B133" s="268"/>
      <c r="C133" s="269"/>
      <c r="D133" s="269"/>
      <c r="E133" s="270"/>
      <c r="F133" s="269"/>
      <c r="G133" s="269"/>
      <c r="H133" s="270"/>
      <c r="I133" s="270"/>
      <c r="J133" s="270"/>
      <c r="K133" s="269"/>
      <c r="L133" s="270"/>
    </row>
    <row r="134" spans="1:15" s="267" customFormat="1" x14ac:dyDescent="0.2">
      <c r="B134" s="268"/>
      <c r="C134" s="269"/>
      <c r="D134" s="269"/>
      <c r="E134" s="270"/>
      <c r="F134" s="269"/>
      <c r="G134" s="269"/>
      <c r="H134" s="270"/>
      <c r="I134" s="270"/>
      <c r="J134" s="270"/>
      <c r="K134" s="269"/>
      <c r="L134" s="270"/>
    </row>
    <row r="135" spans="1:15" s="267" customFormat="1" x14ac:dyDescent="0.2">
      <c r="A135" s="361"/>
      <c r="B135" s="268"/>
      <c r="C135" s="269"/>
      <c r="D135" s="269"/>
      <c r="E135" s="270"/>
      <c r="F135" s="269"/>
      <c r="G135" s="269"/>
      <c r="H135" s="270"/>
      <c r="I135" s="270"/>
      <c r="J135" s="270"/>
      <c r="K135" s="269"/>
      <c r="L135" s="270"/>
    </row>
    <row r="136" spans="1:15" x14ac:dyDescent="0.2">
      <c r="A136" s="361"/>
    </row>
    <row r="137" spans="1:15" x14ac:dyDescent="0.2">
      <c r="A137" s="361"/>
    </row>
  </sheetData>
  <sheetProtection password="CB40" sheet="1" objects="1" scenarios="1"/>
  <mergeCells count="3">
    <mergeCell ref="C3:D3"/>
    <mergeCell ref="F3:G3"/>
    <mergeCell ref="I3:K3"/>
  </mergeCells>
  <phoneticPr fontId="5" type="noConversion"/>
  <pageMargins left="0.5" right="0.25" top="0.5" bottom="0.5" header="0.5" footer="0.5"/>
  <pageSetup paperSize="17" orientation="portrait" r:id="rId1"/>
  <headerFooter alignWithMargins="0"/>
  <rowBreaks count="1" manualBreakCount="1">
    <brk id="68" max="16383" man="1"/>
  </rowBreaks>
  <ignoredErrors>
    <ignoredError sqref="M4:O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A1:AY141"/>
  <sheetViews>
    <sheetView zoomScaleNormal="100" zoomScaleSheetLayoutView="25" workbookViewId="0">
      <pane xSplit="2" ySplit="11" topLeftCell="C12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" x14ac:dyDescent="0.2"/>
  <cols>
    <col min="1" max="3" width="15.7109375" style="50" customWidth="1"/>
    <col min="4" max="4" width="10.7109375" style="50" customWidth="1"/>
    <col min="5" max="7" width="10.7109375" style="47" customWidth="1"/>
    <col min="8" max="8" width="1.7109375" style="48" customWidth="1"/>
    <col min="9" max="10" width="10.7109375" style="47" customWidth="1"/>
    <col min="11" max="11" width="1.7109375" style="48" customWidth="1"/>
    <col min="12" max="14" width="10.7109375" style="47" customWidth="1"/>
    <col min="15" max="15" width="1.7109375" style="48" customWidth="1"/>
    <col min="16" max="18" width="10.7109375" style="47" customWidth="1"/>
    <col min="19" max="19" width="1.7109375" style="48" customWidth="1"/>
    <col min="20" max="26" width="10.7109375" style="47" customWidth="1"/>
    <col min="27" max="28" width="10.7109375" style="49" customWidth="1"/>
    <col min="29" max="29" width="1.7109375" style="49" customWidth="1"/>
    <col min="30" max="31" width="10.7109375" style="47" customWidth="1"/>
    <col min="32" max="34" width="10.7109375" style="50" customWidth="1"/>
    <col min="35" max="35" width="1.7109375" style="49" customWidth="1"/>
    <col min="36" max="38" width="10.7109375" style="49" customWidth="1"/>
    <col min="39" max="39" width="1.7109375" style="49" customWidth="1"/>
    <col min="40" max="40" width="10.7109375" style="2" customWidth="1"/>
    <col min="41" max="41" width="10.7109375" style="50" customWidth="1"/>
    <col min="42" max="42" width="1.7109375" style="49" customWidth="1"/>
    <col min="43" max="43" width="12.7109375" style="50" hidden="1" customWidth="1"/>
    <col min="44" max="44" width="1.7109375" style="49" hidden="1" customWidth="1"/>
    <col min="45" max="51" width="10.7109375" style="50" customWidth="1"/>
    <col min="52" max="16384" width="9.140625" style="50"/>
  </cols>
  <sheetData>
    <row r="1" spans="1:51" ht="21" x14ac:dyDescent="0.35">
      <c r="A1" s="148" t="s">
        <v>253</v>
      </c>
      <c r="B1" s="148"/>
      <c r="C1" s="143"/>
      <c r="D1" s="47"/>
      <c r="H1" s="47"/>
      <c r="AC1" s="48"/>
      <c r="AI1" s="48"/>
      <c r="AM1" s="48"/>
      <c r="AP1" s="48"/>
      <c r="AR1" s="48"/>
    </row>
    <row r="2" spans="1:51" ht="12" customHeight="1" x14ac:dyDescent="0.2">
      <c r="A2" s="51"/>
      <c r="B2" s="145" t="s">
        <v>124</v>
      </c>
      <c r="C2" s="146">
        <v>1.1000000000000001</v>
      </c>
      <c r="D2" s="53"/>
      <c r="E2" s="54"/>
      <c r="F2" s="54"/>
      <c r="G2" s="55"/>
      <c r="H2" s="56"/>
      <c r="I2" s="433" t="s">
        <v>254</v>
      </c>
      <c r="J2" s="433"/>
      <c r="K2" s="433"/>
      <c r="L2" s="433"/>
      <c r="M2" s="433"/>
      <c r="N2" s="433"/>
      <c r="O2" s="433"/>
      <c r="P2" s="433"/>
      <c r="Q2" s="433"/>
      <c r="R2" s="433"/>
      <c r="S2" s="56"/>
      <c r="AC2" s="56"/>
      <c r="AI2" s="56"/>
      <c r="AJ2" s="433" t="s">
        <v>254</v>
      </c>
      <c r="AK2" s="433"/>
      <c r="AL2" s="433"/>
      <c r="AM2" s="433"/>
      <c r="AN2" s="433"/>
      <c r="AO2" s="433"/>
      <c r="AP2" s="433"/>
      <c r="AQ2" s="433"/>
      <c r="AR2" s="433"/>
      <c r="AS2" s="433"/>
    </row>
    <row r="3" spans="1:51" ht="12" customHeight="1" x14ac:dyDescent="0.2">
      <c r="A3" s="51"/>
      <c r="B3" s="145" t="s">
        <v>125</v>
      </c>
      <c r="C3" s="146">
        <v>0.4</v>
      </c>
      <c r="D3" s="53"/>
      <c r="E3" s="54"/>
      <c r="F3" s="54"/>
      <c r="G3" s="55"/>
      <c r="H3" s="56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56"/>
      <c r="AC3" s="56"/>
      <c r="AI3" s="56"/>
      <c r="AJ3" s="433"/>
      <c r="AK3" s="433"/>
      <c r="AL3" s="433"/>
      <c r="AM3" s="433"/>
      <c r="AN3" s="433"/>
      <c r="AO3" s="433"/>
      <c r="AP3" s="433"/>
      <c r="AQ3" s="433"/>
      <c r="AR3" s="433"/>
      <c r="AS3" s="433"/>
    </row>
    <row r="4" spans="1:51" ht="12" customHeight="1" x14ac:dyDescent="0.2">
      <c r="A4" s="51"/>
      <c r="B4" s="145" t="s">
        <v>256</v>
      </c>
      <c r="C4" s="146">
        <v>0.7</v>
      </c>
      <c r="D4" s="53"/>
      <c r="E4" s="54"/>
      <c r="F4" s="54"/>
      <c r="G4" s="55"/>
      <c r="H4" s="56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56"/>
      <c r="AC4" s="56"/>
      <c r="AI4" s="56"/>
      <c r="AJ4" s="433"/>
      <c r="AK4" s="433"/>
      <c r="AL4" s="433"/>
      <c r="AM4" s="433"/>
      <c r="AN4" s="433"/>
      <c r="AO4" s="433"/>
      <c r="AP4" s="433"/>
      <c r="AQ4" s="433"/>
      <c r="AR4" s="433"/>
      <c r="AS4" s="433"/>
    </row>
    <row r="5" spans="1:51" ht="12" customHeight="1" x14ac:dyDescent="0.2">
      <c r="A5" s="51"/>
      <c r="B5" s="145" t="s">
        <v>257</v>
      </c>
      <c r="C5" s="146">
        <f>1-C4</f>
        <v>0.30000000000000004</v>
      </c>
      <c r="D5" s="53"/>
      <c r="E5" s="54"/>
      <c r="F5" s="54"/>
      <c r="G5" s="55"/>
      <c r="H5" s="56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56"/>
      <c r="AC5" s="56"/>
      <c r="AI5" s="56"/>
      <c r="AJ5" s="201"/>
      <c r="AK5" s="201"/>
      <c r="AL5" s="201"/>
      <c r="AM5" s="201"/>
      <c r="AN5" s="201"/>
      <c r="AO5" s="201"/>
      <c r="AP5" s="201"/>
      <c r="AQ5" s="201"/>
      <c r="AR5" s="201"/>
      <c r="AS5" s="201"/>
    </row>
    <row r="6" spans="1:51" ht="12" customHeight="1" x14ac:dyDescent="0.2">
      <c r="A6" s="51"/>
      <c r="B6" s="145" t="s">
        <v>258</v>
      </c>
      <c r="C6" s="147">
        <v>3</v>
      </c>
      <c r="D6" s="441" t="s">
        <v>259</v>
      </c>
      <c r="E6" s="441"/>
      <c r="F6" s="441"/>
      <c r="G6" s="441"/>
      <c r="H6" s="56"/>
      <c r="I6" s="441" t="s">
        <v>260</v>
      </c>
      <c r="J6" s="441"/>
      <c r="K6" s="201"/>
      <c r="L6" s="441" t="s">
        <v>261</v>
      </c>
      <c r="M6" s="441"/>
      <c r="N6" s="441"/>
      <c r="O6" s="441"/>
      <c r="P6" s="441"/>
      <c r="Q6" s="441"/>
      <c r="R6" s="441"/>
      <c r="S6" s="56"/>
      <c r="T6" s="441" t="s">
        <v>262</v>
      </c>
      <c r="U6" s="441"/>
      <c r="V6" s="441"/>
      <c r="W6" s="441"/>
      <c r="X6" s="441"/>
      <c r="Y6" s="441"/>
      <c r="Z6" s="441"/>
      <c r="AA6" s="441"/>
      <c r="AB6" s="441"/>
      <c r="AC6" s="56"/>
      <c r="AD6" s="441" t="s">
        <v>263</v>
      </c>
      <c r="AE6" s="441"/>
      <c r="AF6" s="441"/>
      <c r="AG6" s="441"/>
      <c r="AH6" s="441"/>
      <c r="AI6" s="441"/>
      <c r="AJ6" s="441"/>
      <c r="AK6" s="441"/>
      <c r="AL6" s="441"/>
      <c r="AM6" s="201"/>
      <c r="AN6" s="201"/>
      <c r="AO6" s="201"/>
      <c r="AP6" s="201"/>
      <c r="AQ6" s="201"/>
      <c r="AR6" s="201"/>
      <c r="AS6" s="441" t="s">
        <v>264</v>
      </c>
      <c r="AT6" s="441"/>
      <c r="AU6" s="441"/>
      <c r="AV6" s="441"/>
      <c r="AW6" s="441"/>
      <c r="AX6" s="441"/>
      <c r="AY6" s="441"/>
    </row>
    <row r="7" spans="1:51" ht="12" customHeight="1" x14ac:dyDescent="0.2">
      <c r="A7" s="51"/>
      <c r="B7" s="51"/>
      <c r="C7" s="51"/>
      <c r="D7" s="216" t="s">
        <v>259</v>
      </c>
      <c r="E7" s="216"/>
      <c r="F7" s="216"/>
      <c r="G7" s="216"/>
      <c r="H7" s="152"/>
      <c r="I7" s="153"/>
      <c r="J7" s="153"/>
      <c r="K7" s="152"/>
      <c r="L7" s="153"/>
      <c r="M7" s="153"/>
      <c r="N7" s="153"/>
      <c r="O7" s="154"/>
      <c r="P7" s="153"/>
      <c r="Q7" s="153"/>
      <c r="R7" s="153"/>
      <c r="S7" s="152"/>
      <c r="T7" s="153"/>
      <c r="U7" s="153"/>
      <c r="V7" s="153"/>
      <c r="W7" s="153"/>
      <c r="X7" s="153"/>
      <c r="Y7" s="153"/>
      <c r="Z7" s="153"/>
      <c r="AA7" s="155" t="s">
        <v>235</v>
      </c>
      <c r="AB7" s="154"/>
      <c r="AC7" s="152"/>
      <c r="AD7" s="156" t="s">
        <v>237</v>
      </c>
      <c r="AE7" s="153"/>
      <c r="AF7" s="156" t="s">
        <v>239</v>
      </c>
      <c r="AG7" s="156"/>
      <c r="AH7" s="153"/>
      <c r="AI7" s="152"/>
      <c r="AJ7" s="154"/>
      <c r="AK7" s="154"/>
      <c r="AL7" s="154"/>
      <c r="AM7" s="152"/>
      <c r="AN7" s="157"/>
      <c r="AO7" s="158"/>
      <c r="AP7" s="152"/>
      <c r="AQ7" s="158"/>
      <c r="AR7" s="152"/>
      <c r="AS7" s="158"/>
      <c r="AT7" s="158"/>
      <c r="AU7" s="158"/>
      <c r="AV7" s="158"/>
      <c r="AW7" s="158"/>
      <c r="AX7" s="158"/>
      <c r="AY7" s="158"/>
    </row>
    <row r="8" spans="1:51" ht="12" customHeight="1" x14ac:dyDescent="0.2">
      <c r="A8" s="51"/>
      <c r="B8" s="51"/>
      <c r="C8" s="51"/>
      <c r="D8" s="159"/>
      <c r="E8" s="160" t="s">
        <v>231</v>
      </c>
      <c r="F8" s="151"/>
      <c r="G8" s="161" t="s">
        <v>230</v>
      </c>
      <c r="H8" s="152"/>
      <c r="I8" s="153"/>
      <c r="J8" s="156" t="s">
        <v>229</v>
      </c>
      <c r="K8" s="152"/>
      <c r="L8" s="156" t="s">
        <v>232</v>
      </c>
      <c r="M8" s="153"/>
      <c r="N8" s="153"/>
      <c r="O8" s="154"/>
      <c r="P8" s="153"/>
      <c r="Q8" s="153"/>
      <c r="R8" s="156" t="s">
        <v>233</v>
      </c>
      <c r="S8" s="152"/>
      <c r="T8" s="162"/>
      <c r="U8" s="162"/>
      <c r="V8" s="162"/>
      <c r="W8" s="162"/>
      <c r="X8" s="162"/>
      <c r="Y8" s="162"/>
      <c r="Z8" s="163" t="s">
        <v>234</v>
      </c>
      <c r="AA8" s="155"/>
      <c r="AB8" s="155" t="s">
        <v>236</v>
      </c>
      <c r="AC8" s="152"/>
      <c r="AD8" s="153"/>
      <c r="AE8" s="156" t="s">
        <v>238</v>
      </c>
      <c r="AF8" s="158"/>
      <c r="AG8" s="158"/>
      <c r="AH8" s="164" t="s">
        <v>240</v>
      </c>
      <c r="AI8" s="152"/>
      <c r="AJ8" s="165"/>
      <c r="AK8" s="165"/>
      <c r="AL8" s="165"/>
      <c r="AM8" s="152"/>
      <c r="AN8" s="157"/>
      <c r="AO8" s="158"/>
      <c r="AP8" s="152"/>
      <c r="AQ8" s="158"/>
      <c r="AR8" s="152"/>
      <c r="AS8" s="158"/>
      <c r="AT8" s="158"/>
      <c r="AU8" s="158"/>
      <c r="AV8" s="158"/>
      <c r="AW8" s="158"/>
      <c r="AX8" s="158"/>
      <c r="AY8" s="158"/>
    </row>
    <row r="9" spans="1:51" ht="28.5" customHeight="1" x14ac:dyDescent="0.25">
      <c r="A9" s="51"/>
      <c r="B9" s="52"/>
      <c r="C9" s="57"/>
      <c r="D9" s="457" t="s">
        <v>129</v>
      </c>
      <c r="E9" s="436"/>
      <c r="F9" s="436"/>
      <c r="G9" s="436"/>
      <c r="H9" s="58"/>
      <c r="I9" s="445" t="s">
        <v>148</v>
      </c>
      <c r="J9" s="445"/>
      <c r="K9" s="58"/>
      <c r="L9" s="446" t="s">
        <v>149</v>
      </c>
      <c r="M9" s="446"/>
      <c r="N9" s="446"/>
      <c r="O9" s="446"/>
      <c r="P9" s="447"/>
      <c r="Q9" s="447"/>
      <c r="R9" s="447"/>
      <c r="S9" s="58"/>
      <c r="T9" s="451" t="s">
        <v>270</v>
      </c>
      <c r="U9" s="451"/>
      <c r="V9" s="452"/>
      <c r="W9" s="452"/>
      <c r="X9" s="453"/>
      <c r="Y9" s="453"/>
      <c r="Z9" s="453"/>
      <c r="AA9" s="453"/>
      <c r="AB9" s="453"/>
      <c r="AC9" s="58"/>
      <c r="AD9" s="456" t="s">
        <v>139</v>
      </c>
      <c r="AE9" s="456"/>
      <c r="AF9" s="456"/>
      <c r="AG9" s="456"/>
      <c r="AH9" s="456"/>
      <c r="AI9" s="58"/>
      <c r="AJ9" s="438" t="s">
        <v>210</v>
      </c>
      <c r="AK9" s="438"/>
      <c r="AL9" s="438"/>
      <c r="AM9" s="58"/>
      <c r="AN9" s="439" t="s">
        <v>127</v>
      </c>
      <c r="AO9" s="440"/>
      <c r="AP9" s="58"/>
      <c r="AQ9" s="59" t="s">
        <v>211</v>
      </c>
      <c r="AR9" s="58"/>
      <c r="AS9" s="435" t="s">
        <v>212</v>
      </c>
      <c r="AT9" s="435"/>
      <c r="AU9" s="435"/>
      <c r="AV9" s="435"/>
      <c r="AW9" s="435"/>
      <c r="AX9" s="435"/>
      <c r="AY9" s="436"/>
    </row>
    <row r="10" spans="1:51" ht="12" customHeight="1" x14ac:dyDescent="0.25">
      <c r="A10" s="51"/>
      <c r="D10" s="208" t="s">
        <v>227</v>
      </c>
      <c r="E10" s="209">
        <f>187990*C4</f>
        <v>131593</v>
      </c>
      <c r="F10" s="208" t="s">
        <v>228</v>
      </c>
      <c r="G10" s="209">
        <f>187990*$C$5</f>
        <v>56397.000000000007</v>
      </c>
      <c r="H10" s="58"/>
      <c r="I10" s="450" t="s">
        <v>130</v>
      </c>
      <c r="J10" s="450" t="s">
        <v>140</v>
      </c>
      <c r="K10" s="58"/>
      <c r="L10" s="450" t="s">
        <v>141</v>
      </c>
      <c r="M10" s="434" t="s">
        <v>131</v>
      </c>
      <c r="N10" s="434" t="s">
        <v>135</v>
      </c>
      <c r="O10" s="58"/>
      <c r="P10" s="434" t="s">
        <v>132</v>
      </c>
      <c r="Q10" s="434" t="s">
        <v>142</v>
      </c>
      <c r="R10" s="434" t="s">
        <v>133</v>
      </c>
      <c r="S10" s="58"/>
      <c r="T10" s="448" t="s">
        <v>192</v>
      </c>
      <c r="U10" s="449"/>
      <c r="V10" s="443" t="s">
        <v>153</v>
      </c>
      <c r="W10" s="444"/>
      <c r="X10" s="443" t="s">
        <v>154</v>
      </c>
      <c r="Y10" s="444"/>
      <c r="Z10" s="434" t="s">
        <v>191</v>
      </c>
      <c r="AA10" s="434" t="s">
        <v>136</v>
      </c>
      <c r="AB10" s="434" t="s">
        <v>137</v>
      </c>
      <c r="AC10" s="58"/>
      <c r="AD10" s="434" t="s">
        <v>138</v>
      </c>
      <c r="AE10" s="434" t="s">
        <v>143</v>
      </c>
      <c r="AF10" s="434" t="s">
        <v>134</v>
      </c>
      <c r="AG10" s="434" t="s">
        <v>271</v>
      </c>
      <c r="AH10" s="434" t="s">
        <v>272</v>
      </c>
      <c r="AI10" s="58"/>
      <c r="AJ10" s="434" t="s">
        <v>210</v>
      </c>
      <c r="AK10" s="434" t="s">
        <v>143</v>
      </c>
      <c r="AL10" s="61"/>
      <c r="AM10" s="58"/>
      <c r="AN10" s="149" t="s">
        <v>155</v>
      </c>
      <c r="AO10" s="150">
        <v>214500</v>
      </c>
      <c r="AP10" s="58"/>
      <c r="AQ10" s="61"/>
      <c r="AR10" s="58"/>
      <c r="AS10" s="434" t="s">
        <v>273</v>
      </c>
      <c r="AT10" s="434" t="s">
        <v>255</v>
      </c>
      <c r="AU10" s="434" t="s">
        <v>226</v>
      </c>
      <c r="AV10" s="434" t="s">
        <v>223</v>
      </c>
      <c r="AW10" s="434" t="s">
        <v>224</v>
      </c>
      <c r="AX10" s="434" t="s">
        <v>225</v>
      </c>
      <c r="AY10" s="434" t="s">
        <v>274</v>
      </c>
    </row>
    <row r="11" spans="1:51" ht="48" customHeight="1" x14ac:dyDescent="0.25">
      <c r="A11" s="144" t="s">
        <v>0</v>
      </c>
      <c r="B11" s="144" t="s">
        <v>104</v>
      </c>
      <c r="C11" s="60"/>
      <c r="D11" s="60" t="s">
        <v>144</v>
      </c>
      <c r="E11" s="60" t="s">
        <v>146</v>
      </c>
      <c r="F11" s="60" t="s">
        <v>145</v>
      </c>
      <c r="G11" s="60" t="s">
        <v>147</v>
      </c>
      <c r="H11" s="58"/>
      <c r="I11" s="442"/>
      <c r="J11" s="442"/>
      <c r="K11" s="58"/>
      <c r="L11" s="442"/>
      <c r="M11" s="442"/>
      <c r="N11" s="442"/>
      <c r="O11" s="58"/>
      <c r="P11" s="442"/>
      <c r="Q11" s="434"/>
      <c r="R11" s="434"/>
      <c r="S11" s="58"/>
      <c r="T11" s="61" t="s">
        <v>197</v>
      </c>
      <c r="U11" s="62" t="s">
        <v>198</v>
      </c>
      <c r="V11" s="61" t="s">
        <v>197</v>
      </c>
      <c r="W11" s="62" t="s">
        <v>198</v>
      </c>
      <c r="X11" s="61" t="s">
        <v>197</v>
      </c>
      <c r="Y11" s="62" t="s">
        <v>198</v>
      </c>
      <c r="Z11" s="454"/>
      <c r="AA11" s="437"/>
      <c r="AB11" s="437"/>
      <c r="AC11" s="58"/>
      <c r="AD11" s="434"/>
      <c r="AE11" s="434"/>
      <c r="AF11" s="434"/>
      <c r="AG11" s="455"/>
      <c r="AH11" s="455"/>
      <c r="AI11" s="58"/>
      <c r="AJ11" s="434"/>
      <c r="AK11" s="434"/>
      <c r="AL11" s="61" t="s">
        <v>158</v>
      </c>
      <c r="AM11" s="58"/>
      <c r="AN11" s="61" t="s">
        <v>156</v>
      </c>
      <c r="AO11" s="61" t="s">
        <v>157</v>
      </c>
      <c r="AP11" s="58"/>
      <c r="AQ11" s="61" t="s">
        <v>213</v>
      </c>
      <c r="AR11" s="58"/>
      <c r="AS11" s="434"/>
      <c r="AT11" s="437"/>
      <c r="AU11" s="437"/>
      <c r="AV11" s="437"/>
      <c r="AW11" s="437"/>
      <c r="AX11" s="434"/>
      <c r="AY11" s="434"/>
    </row>
    <row r="12" spans="1:51" x14ac:dyDescent="0.2">
      <c r="A12" s="63" t="s">
        <v>1</v>
      </c>
      <c r="B12" s="63" t="s">
        <v>1</v>
      </c>
      <c r="C12" s="63"/>
      <c r="D12" s="64">
        <f>('SCS Input'!C7/'SCS Input'!C$134)</f>
        <v>9.4992747441909556E-3</v>
      </c>
      <c r="E12" s="65">
        <f>D12*$E$10</f>
        <v>1250.0380614123205</v>
      </c>
      <c r="F12" s="66">
        <f>('SCS Input'!D7/'SCS Input'!D$134)</f>
        <v>8.3925494027521398E-3</v>
      </c>
      <c r="G12" s="65">
        <f>F12*$G$10</f>
        <v>473.31460866701246</v>
      </c>
      <c r="H12" s="58"/>
      <c r="I12" s="67">
        <v>2825</v>
      </c>
      <c r="J12" s="68">
        <f>E12/I12</f>
        <v>0.44249134917250282</v>
      </c>
      <c r="K12" s="58"/>
      <c r="L12" s="69">
        <f>I12/I$139</f>
        <v>1.0948933399479102E-2</v>
      </c>
      <c r="M12" s="69" t="str">
        <f>IF(J12&gt;$C$2,L12,"")</f>
        <v/>
      </c>
      <c r="N12" s="69">
        <f>IF(M12="",L12/($L$139-$M$139),0)</f>
        <v>1.1010211240159011E-2</v>
      </c>
      <c r="O12" s="58"/>
      <c r="P12" s="67">
        <f t="shared" ref="P12:P26" si="0">IF(J12&gt;$C$2,G12,0)</f>
        <v>0</v>
      </c>
      <c r="Q12" s="67">
        <f>N12*$P$139</f>
        <v>6.5668642765413985</v>
      </c>
      <c r="R12" s="202">
        <f>(G12-P12)+Q12</f>
        <v>479.88147294355389</v>
      </c>
      <c r="S12" s="58"/>
      <c r="T12" s="71">
        <f>VLOOKUP($B12,'Scoring Summary'!$B$5:$O$129,12,FALSE)</f>
        <v>-0.12544802867383512</v>
      </c>
      <c r="U12" s="72">
        <f>$R12*T12</f>
        <v>-60.200184777865175</v>
      </c>
      <c r="V12" s="73">
        <f>VLOOKUP($B12,'Scoring Summary'!$B$5:$O$129,13,FALSE)</f>
        <v>0.16049382716049382</v>
      </c>
      <c r="W12" s="72">
        <f>$R12*V12</f>
        <v>77.018014176125931</v>
      </c>
      <c r="X12" s="73">
        <f>VLOOKUP($B12,'Scoring Summary'!$B$5:$O$129,14,FALSE)</f>
        <v>0.10519424869651885</v>
      </c>
      <c r="Y12" s="72">
        <f>$R12*X12</f>
        <v>50.480771009675991</v>
      </c>
      <c r="Z12" s="74">
        <f>U12+W12+Y12</f>
        <v>67.298600407936746</v>
      </c>
      <c r="AA12" s="67">
        <f>R12+Z12</f>
        <v>547.18007335149059</v>
      </c>
      <c r="AB12" s="70">
        <f>AA12/AA$139*R$139</f>
        <v>491.62382302879718</v>
      </c>
      <c r="AC12" s="58"/>
      <c r="AD12" s="75">
        <f>$E12+AB12</f>
        <v>1741.6618844411178</v>
      </c>
      <c r="AE12" s="68">
        <f>AD12/$I12</f>
        <v>0.6165174812180948</v>
      </c>
      <c r="AF12" s="67">
        <f>IF(OR(AE12&lt;$C$3,$J12&gt;=$C$2),0,AD12)</f>
        <v>1741.6618844411178</v>
      </c>
      <c r="AG12" s="67">
        <f>AF12/AF$139*(AD$139-AH$139)</f>
        <v>1688.8917879540277</v>
      </c>
      <c r="AH12" s="67">
        <f t="shared" ref="AH12:AH25" si="1">IF(AE12&lt;$C$3,$I12*$C$3,IF($J12&gt;=$C$2,$E12,0))</f>
        <v>0</v>
      </c>
      <c r="AI12" s="58"/>
      <c r="AJ12" s="76">
        <f>SUM(AG12:AH12)</f>
        <v>1688.8917879540277</v>
      </c>
      <c r="AK12" s="68">
        <f t="shared" ref="AK12:AK73" si="2">AJ12/$I12</f>
        <v>0.59783780104567352</v>
      </c>
      <c r="AL12" s="77">
        <f>AJ12/$AJ$139</f>
        <v>8.9839448266079477E-3</v>
      </c>
      <c r="AM12" s="58"/>
      <c r="AN12" s="67">
        <v>2046</v>
      </c>
      <c r="AO12" s="78">
        <f>AN12/$AN$139</f>
        <v>9.5384615384615391E-3</v>
      </c>
      <c r="AP12" s="58"/>
      <c r="AQ12" s="79">
        <v>3.080253440555036E-2</v>
      </c>
      <c r="AR12" s="58"/>
      <c r="AS12" s="80">
        <f>AJ12</f>
        <v>1688.8917879540277</v>
      </c>
      <c r="AT12" s="81">
        <f>IF(AS12&gt;AN12*1.5,AN12*1.5,0)</f>
        <v>0</v>
      </c>
      <c r="AU12" s="81">
        <f>IF(AT12=0,0,AS12-AT12)</f>
        <v>0</v>
      </c>
      <c r="AV12" s="82">
        <f t="shared" ref="AV12:AV26" si="3">IF(AT12&gt;0,0,AL12)</f>
        <v>8.9839448266079477E-3</v>
      </c>
      <c r="AW12" s="82">
        <f>IF(AV12="",0,AV12/$AV$139)</f>
        <v>9.5569895515566234E-3</v>
      </c>
      <c r="AX12" s="67">
        <f>AW12*$AU$139</f>
        <v>26.630843003368113</v>
      </c>
      <c r="AY12" s="210">
        <f>IF(AT12=0,AS12+AX12,AT12)</f>
        <v>1715.5226309573959</v>
      </c>
    </row>
    <row r="13" spans="1:51" x14ac:dyDescent="0.2">
      <c r="A13" s="63" t="s">
        <v>1</v>
      </c>
      <c r="B13" s="63" t="s">
        <v>10</v>
      </c>
      <c r="C13" s="63"/>
      <c r="D13" s="64">
        <f>('SCS Input'!C8/'SCS Input'!C$134)</f>
        <v>5.0712936048395989E-4</v>
      </c>
      <c r="E13" s="65">
        <f t="shared" ref="E13:E26" si="4">D13*$E$10</f>
        <v>66.734673934165741</v>
      </c>
      <c r="F13" s="66">
        <f>('SCS Input'!D8/'SCS Input'!D$134)</f>
        <v>4.5552094687094759E-3</v>
      </c>
      <c r="G13" s="65">
        <f t="shared" ref="G13:G26" si="5">F13*$G$10</f>
        <v>256.90014840680834</v>
      </c>
      <c r="H13" s="58"/>
      <c r="I13" s="83">
        <v>622</v>
      </c>
      <c r="J13" s="68">
        <f t="shared" ref="J13:J26" si="6">E13/I13</f>
        <v>0.10729047256296743</v>
      </c>
      <c r="K13" s="58"/>
      <c r="L13" s="69">
        <f t="shared" ref="L13:L26" si="7">I13/I$139</f>
        <v>2.4107032122038944E-3</v>
      </c>
      <c r="M13" s="69" t="str">
        <f t="shared" ref="M13:M26" si="8">IF(J13&gt;$C$2,L13,"")</f>
        <v/>
      </c>
      <c r="N13" s="69">
        <f t="shared" ref="N13:N26" si="9">IF(M13="",L13/($L$139-$M$139),0)</f>
        <v>2.4241951827889932E-3</v>
      </c>
      <c r="O13" s="58"/>
      <c r="P13" s="67">
        <f t="shared" si="0"/>
        <v>0</v>
      </c>
      <c r="Q13" s="67">
        <f t="shared" ref="Q13:Q26" si="10">N13*$P$139</f>
        <v>1.4458724177022124</v>
      </c>
      <c r="R13" s="202">
        <f>(G13-P13)+Q13</f>
        <v>258.34602082451056</v>
      </c>
      <c r="S13" s="58"/>
      <c r="T13" s="71">
        <f>VLOOKUP($B13,'Scoring Summary'!$B$5:$O$129,12,FALSE)</f>
        <v>0.26164874551971329</v>
      </c>
      <c r="U13" s="72">
        <f t="shared" ref="U13:U26" si="11">$R13*T13</f>
        <v>67.595912258742914</v>
      </c>
      <c r="V13" s="73">
        <f>VLOOKUP($B13,'Scoring Summary'!$B$5:$O$129,13,FALSE)</f>
        <v>-0.21604938271604937</v>
      </c>
      <c r="W13" s="72">
        <f t="shared" ref="W13:W26" si="12">$R13*V13</f>
        <v>-55.815498326283141</v>
      </c>
      <c r="X13" s="73">
        <f>VLOOKUP($B13,'Scoring Summary'!$B$5:$O$129,14,FALSE)</f>
        <v>0.12944189655694874</v>
      </c>
      <c r="Y13" s="72">
        <f t="shared" ref="Y13:Y26" si="13">$R13*X13</f>
        <v>33.44079890346562</v>
      </c>
      <c r="Z13" s="74">
        <f t="shared" ref="Z13:Z26" si="14">U13+W13+Y13</f>
        <v>45.221212835925392</v>
      </c>
      <c r="AA13" s="67">
        <f t="shared" ref="AA13:AA26" si="15">R13+Z13</f>
        <v>303.56723366043593</v>
      </c>
      <c r="AB13" s="70">
        <f t="shared" ref="AB13:AB26" si="16">AA13/AA$139*R$139</f>
        <v>272.74546575557076</v>
      </c>
      <c r="AC13" s="58"/>
      <c r="AD13" s="75">
        <f t="shared" ref="AD13:AD26" si="17">$E13+AB13</f>
        <v>339.48013968973652</v>
      </c>
      <c r="AE13" s="68">
        <f t="shared" ref="AE13:AE26" si="18">AD13/$I13</f>
        <v>0.54578800593205223</v>
      </c>
      <c r="AF13" s="67">
        <f t="shared" ref="AF13:AF26" si="19">IF(OR(AE13&lt;$C$3,$J13&gt;=$C$2),0,AD13)</f>
        <v>339.48013968973652</v>
      </c>
      <c r="AG13" s="67">
        <f t="shared" ref="AG13:AG26" si="20">AF13/AF$139*(AD$139-AH$139)</f>
        <v>329.19433169972774</v>
      </c>
      <c r="AH13" s="67">
        <f t="shared" si="1"/>
        <v>0</v>
      </c>
      <c r="AI13" s="58"/>
      <c r="AJ13" s="76">
        <f t="shared" ref="AJ13:AJ26" si="21">SUM(AG13:AH13)</f>
        <v>329.19433169972774</v>
      </c>
      <c r="AK13" s="68">
        <f>AJ13/$I13</f>
        <v>0.52925133713782591</v>
      </c>
      <c r="AL13" s="77">
        <f t="shared" ref="AL13:AL76" si="22">AJ13/$AJ$139</f>
        <v>1.7511268242977169E-3</v>
      </c>
      <c r="AM13" s="58"/>
      <c r="AN13" s="83">
        <v>276</v>
      </c>
      <c r="AO13" s="78">
        <f t="shared" ref="AO13:AO27" si="23">AN13/$AN$139</f>
        <v>1.2867132867132867E-3</v>
      </c>
      <c r="AP13" s="58"/>
      <c r="AQ13" s="79">
        <v>0.14961292387636871</v>
      </c>
      <c r="AR13" s="58"/>
      <c r="AS13" s="80">
        <f t="shared" ref="AS13:AS26" si="24">AJ13</f>
        <v>329.19433169972774</v>
      </c>
      <c r="AT13" s="81">
        <f t="shared" ref="AT13:AT26" si="25">IF(AS13&gt;AN13*1.5,AN13*1.5,0)</f>
        <v>0</v>
      </c>
      <c r="AU13" s="81">
        <f t="shared" ref="AU13:AU26" si="26">IF(AT13=0,0,AS13-AT13)</f>
        <v>0</v>
      </c>
      <c r="AV13" s="82">
        <f t="shared" si="3"/>
        <v>1.7511268242977169E-3</v>
      </c>
      <c r="AW13" s="82">
        <f t="shared" ref="AW13:AW26" si="27">IF(AV13="",0,AV13/$AV$139)</f>
        <v>1.8628231902869561E-3</v>
      </c>
      <c r="AX13" s="67">
        <f t="shared" ref="AX13:AX26" si="28">AW13*$AU$139</f>
        <v>5.1908136611371631</v>
      </c>
      <c r="AY13" s="210">
        <f t="shared" ref="AY13:AY26" si="29">IF(AT13=0,AS13+AX13,AT13)</f>
        <v>334.3851453608649</v>
      </c>
    </row>
    <row r="14" spans="1:51" x14ac:dyDescent="0.2">
      <c r="A14" s="63" t="s">
        <v>1</v>
      </c>
      <c r="B14" s="63" t="s">
        <v>11</v>
      </c>
      <c r="C14" s="63"/>
      <c r="D14" s="64">
        <f>('SCS Input'!C9/'SCS Input'!C$134)</f>
        <v>1.2809918377527166E-2</v>
      </c>
      <c r="E14" s="65">
        <f t="shared" si="4"/>
        <v>1685.6955890539323</v>
      </c>
      <c r="F14" s="66">
        <f>('SCS Input'!D9/'SCS Input'!D$134)</f>
        <v>1.8271419877826649E-2</v>
      </c>
      <c r="G14" s="65">
        <f t="shared" si="5"/>
        <v>1030.4532668497895</v>
      </c>
      <c r="H14" s="58"/>
      <c r="I14" s="67">
        <v>3918</v>
      </c>
      <c r="J14" s="68">
        <f t="shared" si="6"/>
        <v>0.43024389715516392</v>
      </c>
      <c r="K14" s="58"/>
      <c r="L14" s="69">
        <f t="shared" si="7"/>
        <v>1.5185104799702344E-2</v>
      </c>
      <c r="M14" s="69" t="str">
        <f t="shared" si="8"/>
        <v/>
      </c>
      <c r="N14" s="69">
        <f t="shared" si="9"/>
        <v>1.5270091199625845E-2</v>
      </c>
      <c r="O14" s="58"/>
      <c r="P14" s="67">
        <f t="shared" si="0"/>
        <v>0</v>
      </c>
      <c r="Q14" s="67">
        <f t="shared" si="10"/>
        <v>9.1076014992882133</v>
      </c>
      <c r="R14" s="202">
        <f t="shared" ref="R14:R26" si="30">(G14-P14)+Q14</f>
        <v>1039.5608683490777</v>
      </c>
      <c r="S14" s="58"/>
      <c r="T14" s="71">
        <f>VLOOKUP($B14,'Scoring Summary'!$B$5:$O$129,12,FALSE)</f>
        <v>-0.16845878136200715</v>
      </c>
      <c r="U14" s="72">
        <f t="shared" si="11"/>
        <v>-175.12315703371559</v>
      </c>
      <c r="V14" s="73">
        <f>VLOOKUP($B14,'Scoring Summary'!$B$5:$O$129,13,FALSE)</f>
        <v>0.30246913580246909</v>
      </c>
      <c r="W14" s="72">
        <f t="shared" si="12"/>
        <v>314.4350774636099</v>
      </c>
      <c r="X14" s="73">
        <f>VLOOKUP($B14,'Scoring Summary'!$B$5:$O$129,14,FALSE)</f>
        <v>0.26329230792939717</v>
      </c>
      <c r="Y14" s="72">
        <f t="shared" si="13"/>
        <v>273.70838026071686</v>
      </c>
      <c r="Z14" s="74">
        <f t="shared" si="14"/>
        <v>413.02030069061118</v>
      </c>
      <c r="AA14" s="67">
        <f t="shared" si="15"/>
        <v>1452.581169039689</v>
      </c>
      <c r="AB14" s="70">
        <f t="shared" si="16"/>
        <v>1305.0977957017119</v>
      </c>
      <c r="AC14" s="58"/>
      <c r="AD14" s="75">
        <f t="shared" si="17"/>
        <v>2990.7933847556442</v>
      </c>
      <c r="AE14" s="68">
        <f t="shared" si="18"/>
        <v>0.7633469588452384</v>
      </c>
      <c r="AF14" s="67">
        <f>IF(OR(AE14&lt;$C$3,$J14&gt;=$C$2),0,AD14)</f>
        <v>2990.7933847556442</v>
      </c>
      <c r="AG14" s="67">
        <f t="shared" si="20"/>
        <v>2900.1762237002135</v>
      </c>
      <c r="AH14" s="67">
        <f t="shared" si="1"/>
        <v>0</v>
      </c>
      <c r="AI14" s="58"/>
      <c r="AJ14" s="76">
        <f t="shared" si="21"/>
        <v>2900.1762237002135</v>
      </c>
      <c r="AK14" s="68">
        <f t="shared" si="2"/>
        <v>0.74021853591123365</v>
      </c>
      <c r="AL14" s="77">
        <f t="shared" si="22"/>
        <v>1.5427289875526433E-2</v>
      </c>
      <c r="AM14" s="58"/>
      <c r="AN14" s="67">
        <v>2431</v>
      </c>
      <c r="AO14" s="78">
        <f t="shared" si="23"/>
        <v>1.1333333333333334E-2</v>
      </c>
      <c r="AP14" s="58"/>
      <c r="AQ14" s="79">
        <v>0.10876724529105948</v>
      </c>
      <c r="AR14" s="58"/>
      <c r="AS14" s="80">
        <f t="shared" si="24"/>
        <v>2900.1762237002135</v>
      </c>
      <c r="AT14" s="81">
        <f t="shared" si="25"/>
        <v>0</v>
      </c>
      <c r="AU14" s="81">
        <f t="shared" si="26"/>
        <v>0</v>
      </c>
      <c r="AV14" s="82">
        <f t="shared" si="3"/>
        <v>1.5427289875526433E-2</v>
      </c>
      <c r="AW14" s="82">
        <f t="shared" si="27"/>
        <v>1.6411326092806103E-2</v>
      </c>
      <c r="AX14" s="67">
        <f t="shared" si="28"/>
        <v>45.730660925899265</v>
      </c>
      <c r="AY14" s="210">
        <f t="shared" si="29"/>
        <v>2945.906884626113</v>
      </c>
    </row>
    <row r="15" spans="1:51" x14ac:dyDescent="0.2">
      <c r="A15" s="63" t="s">
        <v>1</v>
      </c>
      <c r="B15" s="63" t="s">
        <v>12</v>
      </c>
      <c r="C15" s="63"/>
      <c r="D15" s="64">
        <f>('SCS Input'!C10/'SCS Input'!C$134)</f>
        <v>1.207376620036992E-2</v>
      </c>
      <c r="E15" s="65">
        <f t="shared" si="4"/>
        <v>1588.8231156052789</v>
      </c>
      <c r="F15" s="66">
        <f>('SCS Input'!D10/'SCS Input'!D$134)</f>
        <v>1.6807588814038887E-2</v>
      </c>
      <c r="G15" s="65">
        <f t="shared" si="5"/>
        <v>947.89758634535121</v>
      </c>
      <c r="H15" s="58"/>
      <c r="I15" s="67">
        <v>1802</v>
      </c>
      <c r="J15" s="68">
        <f t="shared" si="6"/>
        <v>0.88169984217829012</v>
      </c>
      <c r="K15" s="58"/>
      <c r="L15" s="69">
        <f t="shared" si="7"/>
        <v>6.9840630038447227E-3</v>
      </c>
      <c r="M15" s="69" t="str">
        <f t="shared" si="8"/>
        <v/>
      </c>
      <c r="N15" s="69">
        <f t="shared" si="9"/>
        <v>7.0231506742536422E-3</v>
      </c>
      <c r="O15" s="58"/>
      <c r="P15" s="67">
        <f t="shared" si="0"/>
        <v>0</v>
      </c>
      <c r="Q15" s="67">
        <f t="shared" si="10"/>
        <v>4.1888458146292393</v>
      </c>
      <c r="R15" s="202">
        <f t="shared" si="30"/>
        <v>952.0864321599804</v>
      </c>
      <c r="S15" s="58"/>
      <c r="T15" s="71">
        <f>VLOOKUP($B15,'Scoring Summary'!$B$5:$O$129,12,FALSE)</f>
        <v>-0.18279569892473119</v>
      </c>
      <c r="U15" s="72">
        <f t="shared" si="11"/>
        <v>-174.03730480343728</v>
      </c>
      <c r="V15" s="73">
        <f>VLOOKUP($B15,'Scoring Summary'!$B$5:$O$129,13,FALSE)</f>
        <v>4.9382716049382692E-2</v>
      </c>
      <c r="W15" s="72">
        <f t="shared" si="12"/>
        <v>47.016613933826171</v>
      </c>
      <c r="X15" s="73">
        <f>VLOOKUP($B15,'Scoring Summary'!$B$5:$O$129,14,FALSE)</f>
        <v>-2.3765825568033323E-2</v>
      </c>
      <c r="Y15" s="72">
        <f t="shared" si="13"/>
        <v>-22.627120072405287</v>
      </c>
      <c r="Z15" s="74">
        <f t="shared" si="14"/>
        <v>-149.64781094201641</v>
      </c>
      <c r="AA15" s="67">
        <f t="shared" si="15"/>
        <v>802.43862121796406</v>
      </c>
      <c r="AB15" s="70">
        <f t="shared" si="16"/>
        <v>720.96547722000059</v>
      </c>
      <c r="AC15" s="58"/>
      <c r="AD15" s="75">
        <f t="shared" si="17"/>
        <v>2309.7885928252795</v>
      </c>
      <c r="AE15" s="68">
        <f t="shared" si="18"/>
        <v>1.2817916719341174</v>
      </c>
      <c r="AF15" s="67">
        <f t="shared" si="19"/>
        <v>2309.7885928252795</v>
      </c>
      <c r="AG15" s="67">
        <f t="shared" si="20"/>
        <v>2239.8049938288059</v>
      </c>
      <c r="AH15" s="67">
        <f t="shared" si="1"/>
        <v>0</v>
      </c>
      <c r="AI15" s="58"/>
      <c r="AJ15" s="76">
        <f t="shared" si="21"/>
        <v>2239.8049938288059</v>
      </c>
      <c r="AK15" s="68">
        <f t="shared" si="2"/>
        <v>1.24295504651987</v>
      </c>
      <c r="AL15" s="77">
        <f t="shared" si="22"/>
        <v>1.1914490099626609E-2</v>
      </c>
      <c r="AM15" s="58"/>
      <c r="AN15" s="67">
        <v>3330</v>
      </c>
      <c r="AO15" s="78">
        <f t="shared" si="23"/>
        <v>1.5524475524475525E-2</v>
      </c>
      <c r="AP15" s="58"/>
      <c r="AQ15" s="79">
        <v>0.28907569629093244</v>
      </c>
      <c r="AR15" s="58"/>
      <c r="AS15" s="80">
        <f t="shared" si="24"/>
        <v>2239.8049938288059</v>
      </c>
      <c r="AT15" s="81">
        <f t="shared" si="25"/>
        <v>0</v>
      </c>
      <c r="AU15" s="81">
        <f t="shared" si="26"/>
        <v>0</v>
      </c>
      <c r="AV15" s="82">
        <f t="shared" si="3"/>
        <v>1.1914490099626609E-2</v>
      </c>
      <c r="AW15" s="82">
        <f t="shared" si="27"/>
        <v>1.2674460895732011E-2</v>
      </c>
      <c r="AX15" s="67">
        <f t="shared" si="28"/>
        <v>35.317772029120938</v>
      </c>
      <c r="AY15" s="210">
        <f t="shared" si="29"/>
        <v>2275.1227658579269</v>
      </c>
    </row>
    <row r="16" spans="1:51" x14ac:dyDescent="0.2">
      <c r="A16" s="63" t="s">
        <v>1</v>
      </c>
      <c r="B16" s="63" t="s">
        <v>13</v>
      </c>
      <c r="C16" s="63"/>
      <c r="D16" s="64">
        <f>('SCS Input'!C11/'SCS Input'!C$134)</f>
        <v>1.1164139243950141E-2</v>
      </c>
      <c r="E16" s="65">
        <f t="shared" si="4"/>
        <v>1469.1225755291309</v>
      </c>
      <c r="F16" s="66">
        <f>('SCS Input'!D11/'SCS Input'!D$134)</f>
        <v>3.5446160516336379E-3</v>
      </c>
      <c r="G16" s="65">
        <f t="shared" si="5"/>
        <v>199.9057114639823</v>
      </c>
      <c r="H16" s="58"/>
      <c r="I16" s="83">
        <v>372</v>
      </c>
      <c r="J16" s="68">
        <f t="shared" si="6"/>
        <v>3.9492542352933628</v>
      </c>
      <c r="K16" s="58"/>
      <c r="L16" s="69">
        <f t="shared" si="7"/>
        <v>1.4417710529579561E-3</v>
      </c>
      <c r="M16" s="69">
        <f t="shared" si="8"/>
        <v>1.4417710529579561E-3</v>
      </c>
      <c r="N16" s="69">
        <f t="shared" si="9"/>
        <v>0</v>
      </c>
      <c r="O16" s="58"/>
      <c r="P16" s="67">
        <f t="shared" si="0"/>
        <v>199.9057114639823</v>
      </c>
      <c r="Q16" s="67">
        <f t="shared" si="10"/>
        <v>0</v>
      </c>
      <c r="R16" s="202">
        <f t="shared" si="30"/>
        <v>0</v>
      </c>
      <c r="S16" s="58"/>
      <c r="T16" s="71">
        <f>VLOOKUP($B16,'Scoring Summary'!$B$5:$O$129,12,FALSE)</f>
        <v>-3.2258064516129059E-2</v>
      </c>
      <c r="U16" s="72">
        <f t="shared" si="11"/>
        <v>0</v>
      </c>
      <c r="V16" s="73">
        <f>VLOOKUP($B16,'Scoring Summary'!$B$5:$O$129,13,FALSE)</f>
        <v>-9.2592592592592574E-2</v>
      </c>
      <c r="W16" s="72">
        <f t="shared" si="12"/>
        <v>0</v>
      </c>
      <c r="X16" s="73">
        <f>VLOOKUP($B16,'Scoring Summary'!$B$5:$O$129,14,FALSE)</f>
        <v>0.26244062324289541</v>
      </c>
      <c r="Y16" s="72">
        <f t="shared" si="13"/>
        <v>0</v>
      </c>
      <c r="Z16" s="74">
        <f t="shared" si="14"/>
        <v>0</v>
      </c>
      <c r="AA16" s="67">
        <f t="shared" si="15"/>
        <v>0</v>
      </c>
      <c r="AB16" s="70">
        <f t="shared" si="16"/>
        <v>0</v>
      </c>
      <c r="AC16" s="58"/>
      <c r="AD16" s="75">
        <f t="shared" si="17"/>
        <v>1469.1225755291309</v>
      </c>
      <c r="AE16" s="68">
        <f t="shared" si="18"/>
        <v>3.9492542352933628</v>
      </c>
      <c r="AF16" s="67">
        <f>IF(OR(AE16&lt;$C$3,$J16&gt;=$C$2),0,AD16)</f>
        <v>0</v>
      </c>
      <c r="AG16" s="67">
        <f t="shared" si="20"/>
        <v>0</v>
      </c>
      <c r="AH16" s="67">
        <f t="shared" si="1"/>
        <v>1469.1225755291309</v>
      </c>
      <c r="AI16" s="58"/>
      <c r="AJ16" s="76">
        <f t="shared" si="21"/>
        <v>1469.1225755291309</v>
      </c>
      <c r="AK16" s="68">
        <f t="shared" si="2"/>
        <v>3.9492542352933628</v>
      </c>
      <c r="AL16" s="77">
        <f t="shared" si="22"/>
        <v>7.8148974707651E-3</v>
      </c>
      <c r="AM16" s="58"/>
      <c r="AN16" s="67">
        <v>1137</v>
      </c>
      <c r="AO16" s="78">
        <f t="shared" si="23"/>
        <v>5.3006993006993004E-3</v>
      </c>
      <c r="AP16" s="58"/>
      <c r="AQ16" s="79">
        <v>0.35306073568925017</v>
      </c>
      <c r="AR16" s="58"/>
      <c r="AS16" s="80">
        <f t="shared" si="24"/>
        <v>1469.1225755291309</v>
      </c>
      <c r="AT16" s="81">
        <f t="shared" si="25"/>
        <v>0</v>
      </c>
      <c r="AU16" s="81">
        <f t="shared" si="26"/>
        <v>0</v>
      </c>
      <c r="AV16" s="82">
        <f t="shared" si="3"/>
        <v>7.8148974707651E-3</v>
      </c>
      <c r="AW16" s="82">
        <f t="shared" si="27"/>
        <v>8.3133740150970799E-3</v>
      </c>
      <c r="AX16" s="67">
        <f t="shared" si="28"/>
        <v>23.165470363862692</v>
      </c>
      <c r="AY16" s="210">
        <f t="shared" si="29"/>
        <v>1492.2880458929935</v>
      </c>
    </row>
    <row r="17" spans="1:51" x14ac:dyDescent="0.2">
      <c r="A17" s="63" t="s">
        <v>1</v>
      </c>
      <c r="B17" s="63" t="s">
        <v>14</v>
      </c>
      <c r="C17" s="63"/>
      <c r="D17" s="64">
        <f>('SCS Input'!C12/'SCS Input'!C$134)</f>
        <v>2.3848352857609816E-2</v>
      </c>
      <c r="E17" s="65">
        <f t="shared" si="4"/>
        <v>3138.2762975914484</v>
      </c>
      <c r="F17" s="66">
        <f>('SCS Input'!D12/'SCS Input'!D$134)</f>
        <v>4.0939796995748824E-2</v>
      </c>
      <c r="G17" s="65">
        <f t="shared" si="5"/>
        <v>2308.8817311692469</v>
      </c>
      <c r="H17" s="58"/>
      <c r="I17" s="67">
        <v>7879</v>
      </c>
      <c r="J17" s="68">
        <f t="shared" si="6"/>
        <v>0.39830896022229323</v>
      </c>
      <c r="K17" s="58"/>
      <c r="L17" s="69">
        <f t="shared" si="7"/>
        <v>3.053686593079499E-2</v>
      </c>
      <c r="M17" s="69" t="str">
        <f t="shared" si="8"/>
        <v/>
      </c>
      <c r="N17" s="69">
        <f t="shared" si="9"/>
        <v>3.0707771455296587E-2</v>
      </c>
      <c r="O17" s="58"/>
      <c r="P17" s="67">
        <f t="shared" si="0"/>
        <v>0</v>
      </c>
      <c r="Q17" s="67">
        <f t="shared" si="10"/>
        <v>18.315158808803428</v>
      </c>
      <c r="R17" s="202">
        <f t="shared" si="30"/>
        <v>2327.1968899780504</v>
      </c>
      <c r="S17" s="58"/>
      <c r="T17" s="71">
        <f>VLOOKUP($B17,'Scoring Summary'!$B$5:$O$129,12,FALSE)</f>
        <v>-0.17562724014336917</v>
      </c>
      <c r="U17" s="72">
        <f t="shared" si="11"/>
        <v>-408.71916705707696</v>
      </c>
      <c r="V17" s="73">
        <f>VLOOKUP($B17,'Scoring Summary'!$B$5:$O$129,13,FALSE)</f>
        <v>0.29012345679012341</v>
      </c>
      <c r="W17" s="72">
        <f t="shared" si="12"/>
        <v>675.17440635165656</v>
      </c>
      <c r="X17" s="73">
        <f>VLOOKUP($B17,'Scoring Summary'!$B$5:$O$129,14,FALSE)</f>
        <v>2.1876589113029088E-2</v>
      </c>
      <c r="Y17" s="72">
        <f t="shared" si="13"/>
        <v>50.911130147168969</v>
      </c>
      <c r="Z17" s="74">
        <f t="shared" si="14"/>
        <v>317.36636944174859</v>
      </c>
      <c r="AA17" s="67">
        <f t="shared" si="15"/>
        <v>2644.5632594197991</v>
      </c>
      <c r="AB17" s="70">
        <f t="shared" si="16"/>
        <v>2376.0556408316011</v>
      </c>
      <c r="AC17" s="58"/>
      <c r="AD17" s="75">
        <f t="shared" si="17"/>
        <v>5514.331938423049</v>
      </c>
      <c r="AE17" s="68">
        <f t="shared" si="18"/>
        <v>0.69987713395393436</v>
      </c>
      <c r="AF17" s="67">
        <f t="shared" si="19"/>
        <v>5514.331938423049</v>
      </c>
      <c r="AG17" s="67">
        <f t="shared" si="20"/>
        <v>5347.2548317515648</v>
      </c>
      <c r="AH17" s="67">
        <f t="shared" si="1"/>
        <v>0</v>
      </c>
      <c r="AI17" s="58"/>
      <c r="AJ17" s="76">
        <f t="shared" si="21"/>
        <v>5347.2548317515648</v>
      </c>
      <c r="AK17" s="68">
        <f t="shared" si="2"/>
        <v>0.67867176440557997</v>
      </c>
      <c r="AL17" s="77">
        <f t="shared" si="22"/>
        <v>2.8444357847500216E-2</v>
      </c>
      <c r="AM17" s="58"/>
      <c r="AN17" s="67">
        <v>4380</v>
      </c>
      <c r="AO17" s="78">
        <f t="shared" si="23"/>
        <v>2.0419580419580419E-2</v>
      </c>
      <c r="AP17" s="58"/>
      <c r="AQ17" s="79">
        <v>0.33509319097972229</v>
      </c>
      <c r="AR17" s="58"/>
      <c r="AS17" s="80">
        <f t="shared" si="24"/>
        <v>5347.2548317515648</v>
      </c>
      <c r="AT17" s="81">
        <f t="shared" si="25"/>
        <v>0</v>
      </c>
      <c r="AU17" s="81">
        <f t="shared" si="26"/>
        <v>0</v>
      </c>
      <c r="AV17" s="82">
        <f t="shared" si="3"/>
        <v>2.8444357847500216E-2</v>
      </c>
      <c r="AW17" s="82">
        <f t="shared" si="27"/>
        <v>3.0258693257351213E-2</v>
      </c>
      <c r="AX17" s="67">
        <f t="shared" si="28"/>
        <v>84.316772062635977</v>
      </c>
      <c r="AY17" s="210">
        <f t="shared" si="29"/>
        <v>5431.5716038142009</v>
      </c>
    </row>
    <row r="18" spans="1:51" x14ac:dyDescent="0.2">
      <c r="A18" s="63" t="s">
        <v>1</v>
      </c>
      <c r="B18" s="63" t="s">
        <v>15</v>
      </c>
      <c r="C18" s="63"/>
      <c r="D18" s="64">
        <f>('SCS Input'!C13/'SCS Input'!C$134)</f>
        <v>1.9528746736299837E-2</v>
      </c>
      <c r="E18" s="65">
        <f t="shared" si="4"/>
        <v>2569.8463692699042</v>
      </c>
      <c r="F18" s="66">
        <f>('SCS Input'!D13/'SCS Input'!D$134)</f>
        <v>1.8809517215582862E-2</v>
      </c>
      <c r="G18" s="65">
        <f t="shared" si="5"/>
        <v>1060.8003424072267</v>
      </c>
      <c r="H18" s="58"/>
      <c r="I18" s="67">
        <v>5485</v>
      </c>
      <c r="J18" s="68">
        <f t="shared" si="6"/>
        <v>0.4685225832761904</v>
      </c>
      <c r="K18" s="58"/>
      <c r="L18" s="69">
        <f t="shared" si="7"/>
        <v>2.1258371573855885E-2</v>
      </c>
      <c r="M18" s="69" t="str">
        <f t="shared" si="8"/>
        <v/>
      </c>
      <c r="N18" s="69">
        <f t="shared" si="9"/>
        <v>2.1377348195494576E-2</v>
      </c>
      <c r="O18" s="58"/>
      <c r="P18" s="67">
        <f t="shared" si="0"/>
        <v>0</v>
      </c>
      <c r="Q18" s="67">
        <f t="shared" si="10"/>
        <v>12.750177188258254</v>
      </c>
      <c r="R18" s="202">
        <f t="shared" si="30"/>
        <v>1073.550519595485</v>
      </c>
      <c r="S18" s="58"/>
      <c r="T18" s="71">
        <f>VLOOKUP($B18,'Scoring Summary'!$B$5:$O$129,12,FALSE)</f>
        <v>0.14695340501792115</v>
      </c>
      <c r="U18" s="72">
        <f t="shared" si="11"/>
        <v>157.761904313315</v>
      </c>
      <c r="V18" s="73">
        <f>VLOOKUP($B18,'Scoring Summary'!$B$5:$O$129,13,FALSE)</f>
        <v>0.30864197530864196</v>
      </c>
      <c r="W18" s="72">
        <f t="shared" si="12"/>
        <v>331.34275296156943</v>
      </c>
      <c r="X18" s="73">
        <f>VLOOKUP($B18,'Scoring Summary'!$B$5:$O$129,14,FALSE)</f>
        <v>0.11253433116238842</v>
      </c>
      <c r="Y18" s="72">
        <f t="shared" si="13"/>
        <v>120.81128969171246</v>
      </c>
      <c r="Z18" s="74">
        <f t="shared" si="14"/>
        <v>609.91594696659683</v>
      </c>
      <c r="AA18" s="67">
        <f t="shared" si="15"/>
        <v>1683.4664665620817</v>
      </c>
      <c r="AB18" s="70">
        <f t="shared" si="16"/>
        <v>1512.5408627597947</v>
      </c>
      <c r="AC18" s="58"/>
      <c r="AD18" s="75">
        <f t="shared" si="17"/>
        <v>4082.3872320296987</v>
      </c>
      <c r="AE18" s="68">
        <f t="shared" si="18"/>
        <v>0.74428208423513198</v>
      </c>
      <c r="AF18" s="67">
        <f t="shared" si="19"/>
        <v>4082.3872320296987</v>
      </c>
      <c r="AG18" s="67">
        <f t="shared" si="20"/>
        <v>3958.6961929960225</v>
      </c>
      <c r="AH18" s="67">
        <f t="shared" si="1"/>
        <v>0</v>
      </c>
      <c r="AI18" s="58"/>
      <c r="AJ18" s="76">
        <f t="shared" si="21"/>
        <v>3958.6961929960225</v>
      </c>
      <c r="AK18" s="68">
        <f t="shared" si="2"/>
        <v>0.72173130227821747</v>
      </c>
      <c r="AL18" s="77">
        <f t="shared" si="22"/>
        <v>2.1058014750763462E-2</v>
      </c>
      <c r="AM18" s="58"/>
      <c r="AN18" s="67">
        <v>3393</v>
      </c>
      <c r="AO18" s="78">
        <f t="shared" si="23"/>
        <v>1.5818181818181818E-2</v>
      </c>
      <c r="AP18" s="58"/>
      <c r="AQ18" s="79">
        <v>1.019946062861488</v>
      </c>
      <c r="AR18" s="58"/>
      <c r="AS18" s="80">
        <f t="shared" si="24"/>
        <v>3958.6961929960225</v>
      </c>
      <c r="AT18" s="81">
        <f t="shared" si="25"/>
        <v>0</v>
      </c>
      <c r="AU18" s="81">
        <f t="shared" si="26"/>
        <v>0</v>
      </c>
      <c r="AV18" s="82">
        <f t="shared" si="3"/>
        <v>2.1058014750763462E-2</v>
      </c>
      <c r="AW18" s="82">
        <f t="shared" si="27"/>
        <v>2.2401209138497986E-2</v>
      </c>
      <c r="AX18" s="67">
        <f t="shared" si="28"/>
        <v>62.421652805489146</v>
      </c>
      <c r="AY18" s="210">
        <f t="shared" si="29"/>
        <v>4021.1178458015115</v>
      </c>
    </row>
    <row r="19" spans="1:51" x14ac:dyDescent="0.2">
      <c r="A19" s="63" t="s">
        <v>1</v>
      </c>
      <c r="B19" s="63" t="s">
        <v>16</v>
      </c>
      <c r="C19" s="63"/>
      <c r="D19" s="64">
        <f>('SCS Input'!C14/'SCS Input'!C$134)</f>
        <v>1.5420557468724201E-2</v>
      </c>
      <c r="E19" s="65">
        <f t="shared" si="4"/>
        <v>2029.2374189818238</v>
      </c>
      <c r="F19" s="66">
        <f>('SCS Input'!D14/'SCS Input'!D$134)</f>
        <v>1.3800547936527753E-2</v>
      </c>
      <c r="G19" s="65">
        <f t="shared" si="5"/>
        <v>778.30950197635582</v>
      </c>
      <c r="H19" s="58"/>
      <c r="I19" s="67">
        <v>2943</v>
      </c>
      <c r="J19" s="68">
        <f t="shared" si="6"/>
        <v>0.68951322425478212</v>
      </c>
      <c r="K19" s="58"/>
      <c r="L19" s="69">
        <f t="shared" si="7"/>
        <v>1.1406269378643185E-2</v>
      </c>
      <c r="M19" s="69" t="str">
        <f t="shared" si="8"/>
        <v/>
      </c>
      <c r="N19" s="69">
        <f t="shared" si="9"/>
        <v>1.1470106789305478E-2</v>
      </c>
      <c r="O19" s="58"/>
      <c r="P19" s="67">
        <f t="shared" si="0"/>
        <v>0</v>
      </c>
      <c r="Q19" s="67">
        <f t="shared" si="10"/>
        <v>6.8411616162341016</v>
      </c>
      <c r="R19" s="202">
        <f t="shared" si="30"/>
        <v>785.15066359258992</v>
      </c>
      <c r="S19" s="58"/>
      <c r="T19" s="71">
        <f>VLOOKUP($B19,'Scoring Summary'!$B$5:$O$129,12,FALSE)</f>
        <v>-0.15412186379928317</v>
      </c>
      <c r="U19" s="72">
        <f t="shared" si="11"/>
        <v>-121.00888363613394</v>
      </c>
      <c r="V19" s="73">
        <f>VLOOKUP($B19,'Scoring Summary'!$B$5:$O$129,13,FALSE)</f>
        <v>0.19135802469135801</v>
      </c>
      <c r="W19" s="72">
        <f t="shared" si="12"/>
        <v>150.24488007018695</v>
      </c>
      <c r="X19" s="73">
        <f>VLOOKUP($B19,'Scoring Summary'!$B$5:$O$129,14,FALSE)</f>
        <v>-2.8829762931204543E-3</v>
      </c>
      <c r="Y19" s="72">
        <f t="shared" si="13"/>
        <v>-2.2635707496652295</v>
      </c>
      <c r="Z19" s="74">
        <f t="shared" si="14"/>
        <v>26.972425684387776</v>
      </c>
      <c r="AA19" s="67">
        <f t="shared" si="15"/>
        <v>812.12308927697768</v>
      </c>
      <c r="AB19" s="70">
        <f t="shared" si="16"/>
        <v>729.66666252086623</v>
      </c>
      <c r="AC19" s="58"/>
      <c r="AD19" s="75">
        <f t="shared" si="17"/>
        <v>2758.9040815026901</v>
      </c>
      <c r="AE19" s="68">
        <f t="shared" si="18"/>
        <v>0.93744617108484207</v>
      </c>
      <c r="AF19" s="67">
        <f t="shared" si="19"/>
        <v>2758.9040815026901</v>
      </c>
      <c r="AG19" s="67">
        <f t="shared" si="20"/>
        <v>2675.312865618534</v>
      </c>
      <c r="AH19" s="67">
        <f t="shared" si="1"/>
        <v>0</v>
      </c>
      <c r="AI19" s="58"/>
      <c r="AJ19" s="76">
        <f t="shared" si="21"/>
        <v>2675.312865618534</v>
      </c>
      <c r="AK19" s="68">
        <f t="shared" si="2"/>
        <v>0.90904276779426918</v>
      </c>
      <c r="AL19" s="77">
        <f t="shared" si="22"/>
        <v>1.4231144558851718E-2</v>
      </c>
      <c r="AM19" s="58"/>
      <c r="AN19" s="67">
        <v>3394</v>
      </c>
      <c r="AO19" s="78">
        <f t="shared" si="23"/>
        <v>1.5822843822843824E-2</v>
      </c>
      <c r="AP19" s="58"/>
      <c r="AQ19" s="79">
        <v>0.22697186613656761</v>
      </c>
      <c r="AR19" s="58"/>
      <c r="AS19" s="80">
        <f t="shared" si="24"/>
        <v>2675.312865618534</v>
      </c>
      <c r="AT19" s="81">
        <f t="shared" si="25"/>
        <v>0</v>
      </c>
      <c r="AU19" s="81">
        <f t="shared" si="26"/>
        <v>0</v>
      </c>
      <c r="AV19" s="82">
        <f t="shared" si="3"/>
        <v>1.4231144558851718E-2</v>
      </c>
      <c r="AW19" s="82">
        <f t="shared" si="27"/>
        <v>1.5138884140608603E-2</v>
      </c>
      <c r="AX19" s="67">
        <f t="shared" si="28"/>
        <v>42.18496259934291</v>
      </c>
      <c r="AY19" s="210">
        <f t="shared" si="29"/>
        <v>2717.4978282178768</v>
      </c>
    </row>
    <row r="20" spans="1:51" x14ac:dyDescent="0.2">
      <c r="A20" s="63" t="s">
        <v>1</v>
      </c>
      <c r="B20" s="63" t="s">
        <v>17</v>
      </c>
      <c r="C20" s="63"/>
      <c r="D20" s="64">
        <f>('SCS Input'!C15/'SCS Input'!C$134)</f>
        <v>5.054804483875578E-3</v>
      </c>
      <c r="E20" s="65">
        <f t="shared" si="4"/>
        <v>665.17688644663895</v>
      </c>
      <c r="F20" s="66">
        <f>('SCS Input'!D15/'SCS Input'!D$134)</f>
        <v>5.4387451134479629E-3</v>
      </c>
      <c r="G20" s="65">
        <f t="shared" si="5"/>
        <v>306.7289081631248</v>
      </c>
      <c r="H20" s="58"/>
      <c r="I20" s="67">
        <v>1615</v>
      </c>
      <c r="J20" s="68">
        <f t="shared" si="6"/>
        <v>0.41187423309389409</v>
      </c>
      <c r="K20" s="58"/>
      <c r="L20" s="69">
        <f t="shared" si="7"/>
        <v>6.2593017487287614E-3</v>
      </c>
      <c r="M20" s="69" t="str">
        <f t="shared" si="8"/>
        <v/>
      </c>
      <c r="N20" s="69">
        <f t="shared" si="9"/>
        <v>6.2943331514537368E-3</v>
      </c>
      <c r="O20" s="58"/>
      <c r="P20" s="67">
        <f t="shared" si="0"/>
        <v>0</v>
      </c>
      <c r="Q20" s="67">
        <f t="shared" si="10"/>
        <v>3.7541542678280919</v>
      </c>
      <c r="R20" s="202">
        <f t="shared" si="30"/>
        <v>310.48306243095288</v>
      </c>
      <c r="S20" s="58"/>
      <c r="T20" s="71">
        <f>VLOOKUP($B20,'Scoring Summary'!$B$5:$O$129,12,FALSE)</f>
        <v>0.33333333333333331</v>
      </c>
      <c r="U20" s="72">
        <f t="shared" si="11"/>
        <v>103.49435414365095</v>
      </c>
      <c r="V20" s="73">
        <f>VLOOKUP($B20,'Scoring Summary'!$B$5:$O$129,13,FALSE)</f>
        <v>8.0246913580246909E-2</v>
      </c>
      <c r="W20" s="72">
        <f t="shared" si="12"/>
        <v>24.915307479027081</v>
      </c>
      <c r="X20" s="73">
        <f>VLOOKUP($B20,'Scoring Summary'!$B$5:$O$129,14,FALSE)</f>
        <v>0.10785263239771088</v>
      </c>
      <c r="Y20" s="72">
        <f t="shared" si="13"/>
        <v>33.486415598081081</v>
      </c>
      <c r="Z20" s="74">
        <f t="shared" si="14"/>
        <v>161.89607722075914</v>
      </c>
      <c r="AA20" s="67">
        <f t="shared" si="15"/>
        <v>472.37913965171202</v>
      </c>
      <c r="AB20" s="70">
        <f t="shared" si="16"/>
        <v>424.41757268717271</v>
      </c>
      <c r="AC20" s="58"/>
      <c r="AD20" s="75">
        <f t="shared" si="17"/>
        <v>1089.5944591338116</v>
      </c>
      <c r="AE20" s="68">
        <f t="shared" si="18"/>
        <v>0.67467149172372232</v>
      </c>
      <c r="AF20" s="67">
        <f t="shared" si="19"/>
        <v>1089.5944591338116</v>
      </c>
      <c r="AG20" s="67">
        <f t="shared" si="20"/>
        <v>1056.5811600233815</v>
      </c>
      <c r="AH20" s="67">
        <f t="shared" si="1"/>
        <v>0</v>
      </c>
      <c r="AI20" s="58"/>
      <c r="AJ20" s="76">
        <f t="shared" si="21"/>
        <v>1056.5811600233815</v>
      </c>
      <c r="AK20" s="68">
        <f t="shared" si="2"/>
        <v>0.65422982044791422</v>
      </c>
      <c r="AL20" s="77">
        <f t="shared" si="22"/>
        <v>5.6204115113749759E-3</v>
      </c>
      <c r="AM20" s="58"/>
      <c r="AN20" s="83">
        <v>863</v>
      </c>
      <c r="AO20" s="78">
        <f t="shared" si="23"/>
        <v>4.0233100233100236E-3</v>
      </c>
      <c r="AP20" s="58"/>
      <c r="AQ20" s="79">
        <v>1.6017182701243904</v>
      </c>
      <c r="AR20" s="58"/>
      <c r="AS20" s="80">
        <f t="shared" si="24"/>
        <v>1056.5811600233815</v>
      </c>
      <c r="AT20" s="81">
        <f t="shared" si="25"/>
        <v>0</v>
      </c>
      <c r="AU20" s="81">
        <f t="shared" si="26"/>
        <v>0</v>
      </c>
      <c r="AV20" s="82">
        <f t="shared" si="3"/>
        <v>5.6204115113749759E-3</v>
      </c>
      <c r="AW20" s="82">
        <f t="shared" si="27"/>
        <v>5.9789118395487742E-3</v>
      </c>
      <c r="AX20" s="67">
        <f t="shared" si="28"/>
        <v>16.660420278901345</v>
      </c>
      <c r="AY20" s="210">
        <f t="shared" si="29"/>
        <v>1073.2415803022827</v>
      </c>
    </row>
    <row r="21" spans="1:51" x14ac:dyDescent="0.2">
      <c r="A21" s="63" t="s">
        <v>1</v>
      </c>
      <c r="B21" s="63" t="s">
        <v>18</v>
      </c>
      <c r="C21" s="63"/>
      <c r="D21" s="64">
        <f>('SCS Input'!C16/'SCS Input'!C$134)</f>
        <v>9.2743426774932525E-2</v>
      </c>
      <c r="E21" s="65">
        <f t="shared" si="4"/>
        <v>12204.385759593695</v>
      </c>
      <c r="F21" s="66">
        <f>('SCS Input'!D16/'SCS Input'!D$134)</f>
        <v>4.5287092953807902E-2</v>
      </c>
      <c r="G21" s="65">
        <f t="shared" si="5"/>
        <v>2554.0561813159047</v>
      </c>
      <c r="H21" s="58"/>
      <c r="I21" s="67">
        <v>15483</v>
      </c>
      <c r="J21" s="68">
        <f t="shared" si="6"/>
        <v>0.78824425237962248</v>
      </c>
      <c r="K21" s="58"/>
      <c r="L21" s="69">
        <f t="shared" si="7"/>
        <v>6.0007906486419446E-2</v>
      </c>
      <c r="M21" s="69" t="str">
        <f t="shared" si="8"/>
        <v/>
      </c>
      <c r="N21" s="69">
        <f t="shared" si="9"/>
        <v>6.0343752435887431E-2</v>
      </c>
      <c r="O21" s="58"/>
      <c r="P21" s="67">
        <f t="shared" si="0"/>
        <v>0</v>
      </c>
      <c r="Q21" s="67">
        <f t="shared" si="10"/>
        <v>35.991065342899283</v>
      </c>
      <c r="R21" s="202">
        <f t="shared" si="30"/>
        <v>2590.0472466588039</v>
      </c>
      <c r="S21" s="58"/>
      <c r="T21" s="71">
        <f>VLOOKUP($B21,'Scoring Summary'!$B$5:$O$129,12,FALSE)</f>
        <v>-0.31182795698924726</v>
      </c>
      <c r="U21" s="72">
        <f t="shared" si="11"/>
        <v>-807.64914143123974</v>
      </c>
      <c r="V21" s="73">
        <f>VLOOKUP($B21,'Scoring Summary'!$B$5:$O$129,13,FALSE)</f>
        <v>0.27777777777777779</v>
      </c>
      <c r="W21" s="72">
        <f t="shared" si="12"/>
        <v>719.4575685163345</v>
      </c>
      <c r="X21" s="73">
        <f>VLOOKUP($B21,'Scoring Summary'!$B$5:$O$129,14,FALSE)</f>
        <v>0.20314839657814557</v>
      </c>
      <c r="Y21" s="72">
        <f t="shared" si="13"/>
        <v>526.16394522037672</v>
      </c>
      <c r="Z21" s="74">
        <f t="shared" si="14"/>
        <v>437.97237230547148</v>
      </c>
      <c r="AA21" s="67">
        <f t="shared" si="15"/>
        <v>3028.0196189642757</v>
      </c>
      <c r="AB21" s="70">
        <f t="shared" si="16"/>
        <v>2720.5789351271951</v>
      </c>
      <c r="AC21" s="58"/>
      <c r="AD21" s="75">
        <f t="shared" si="17"/>
        <v>14924.964694720889</v>
      </c>
      <c r="AE21" s="68">
        <f t="shared" si="18"/>
        <v>0.96395819251571979</v>
      </c>
      <c r="AF21" s="67">
        <f t="shared" si="19"/>
        <v>14924.964694720889</v>
      </c>
      <c r="AG21" s="67">
        <f t="shared" si="20"/>
        <v>14472.757619373675</v>
      </c>
      <c r="AH21" s="67">
        <f t="shared" si="1"/>
        <v>0</v>
      </c>
      <c r="AI21" s="58"/>
      <c r="AJ21" s="76">
        <f t="shared" si="21"/>
        <v>14472.757619373675</v>
      </c>
      <c r="AK21" s="68">
        <f t="shared" si="2"/>
        <v>0.93475150935695117</v>
      </c>
      <c r="AL21" s="77">
        <f t="shared" si="22"/>
        <v>7.6986848339665293E-2</v>
      </c>
      <c r="AM21" s="58"/>
      <c r="AN21" s="67">
        <v>14629</v>
      </c>
      <c r="AO21" s="78">
        <f t="shared" si="23"/>
        <v>6.82004662004662E-2</v>
      </c>
      <c r="AP21" s="58"/>
      <c r="AQ21" s="79">
        <v>0.23919088146801484</v>
      </c>
      <c r="AR21" s="58"/>
      <c r="AS21" s="80">
        <f t="shared" si="24"/>
        <v>14472.757619373675</v>
      </c>
      <c r="AT21" s="81">
        <f t="shared" si="25"/>
        <v>0</v>
      </c>
      <c r="AU21" s="81">
        <f t="shared" si="26"/>
        <v>0</v>
      </c>
      <c r="AV21" s="82">
        <f t="shared" si="3"/>
        <v>7.6986848339665293E-2</v>
      </c>
      <c r="AW21" s="82">
        <f t="shared" si="27"/>
        <v>8.1897487060509491E-2</v>
      </c>
      <c r="AX21" s="67">
        <f t="shared" si="28"/>
        <v>228.20984667955017</v>
      </c>
      <c r="AY21" s="210">
        <f t="shared" si="29"/>
        <v>14700.967466053226</v>
      </c>
    </row>
    <row r="22" spans="1:51" x14ac:dyDescent="0.2">
      <c r="A22" s="63" t="s">
        <v>1</v>
      </c>
      <c r="B22" s="63" t="s">
        <v>19</v>
      </c>
      <c r="C22" s="63"/>
      <c r="D22" s="64">
        <f>('SCS Input'!C17/'SCS Input'!C$134)</f>
        <v>0</v>
      </c>
      <c r="E22" s="65">
        <f t="shared" si="4"/>
        <v>0</v>
      </c>
      <c r="F22" s="66">
        <f>('SCS Input'!D17/'SCS Input'!D$134)</f>
        <v>3.8967080447760655E-4</v>
      </c>
      <c r="G22" s="65">
        <f t="shared" si="5"/>
        <v>21.976264360123579</v>
      </c>
      <c r="H22" s="58"/>
      <c r="I22" s="83">
        <v>408</v>
      </c>
      <c r="J22" s="68">
        <f t="shared" si="6"/>
        <v>0</v>
      </c>
      <c r="K22" s="58"/>
      <c r="L22" s="69">
        <f t="shared" si="7"/>
        <v>1.5812972838893712E-3</v>
      </c>
      <c r="M22" s="69" t="str">
        <f t="shared" si="8"/>
        <v/>
      </c>
      <c r="N22" s="69">
        <f t="shared" si="9"/>
        <v>1.5901473224725227E-3</v>
      </c>
      <c r="O22" s="58"/>
      <c r="P22" s="67">
        <f t="shared" si="0"/>
        <v>0</v>
      </c>
      <c r="Q22" s="67">
        <f t="shared" si="10"/>
        <v>0.94841792029341254</v>
      </c>
      <c r="R22" s="202">
        <f t="shared" si="30"/>
        <v>22.924682280416992</v>
      </c>
      <c r="S22" s="58"/>
      <c r="T22" s="71">
        <f>VLOOKUP($B22,'Scoring Summary'!$B$5:$O$129,12,FALSE)</f>
        <v>0.33333333333333331</v>
      </c>
      <c r="U22" s="72">
        <f t="shared" si="11"/>
        <v>7.6415607601389972</v>
      </c>
      <c r="V22" s="73">
        <f>VLOOKUP($B22,'Scoring Summary'!$B$5:$O$129,13,FALSE)</f>
        <v>-0.23456790123456794</v>
      </c>
      <c r="W22" s="72">
        <f t="shared" si="12"/>
        <v>-5.3773946089867026</v>
      </c>
      <c r="X22" s="73">
        <f>VLOOKUP($B22,'Scoring Summary'!$B$5:$O$129,14,FALSE)</f>
        <v>0.12485996627399505</v>
      </c>
      <c r="Y22" s="72">
        <f t="shared" si="13"/>
        <v>2.8623750563749177</v>
      </c>
      <c r="Z22" s="74">
        <f t="shared" si="14"/>
        <v>5.1265412075272128</v>
      </c>
      <c r="AA22" s="67">
        <f t="shared" si="15"/>
        <v>28.051223487944206</v>
      </c>
      <c r="AB22" s="70">
        <f t="shared" si="16"/>
        <v>25.203128555669565</v>
      </c>
      <c r="AC22" s="58"/>
      <c r="AD22" s="75">
        <f t="shared" si="17"/>
        <v>25.203128555669565</v>
      </c>
      <c r="AE22" s="68">
        <f t="shared" si="18"/>
        <v>6.1772373910954817E-2</v>
      </c>
      <c r="AF22" s="67">
        <f t="shared" si="19"/>
        <v>0</v>
      </c>
      <c r="AG22" s="67">
        <f t="shared" si="20"/>
        <v>0</v>
      </c>
      <c r="AH22" s="67">
        <f t="shared" si="1"/>
        <v>163.20000000000002</v>
      </c>
      <c r="AI22" s="58"/>
      <c r="AJ22" s="76">
        <f t="shared" si="21"/>
        <v>163.20000000000002</v>
      </c>
      <c r="AK22" s="68">
        <f t="shared" si="2"/>
        <v>0.4</v>
      </c>
      <c r="AL22" s="77">
        <f t="shared" si="22"/>
        <v>8.68131283578914E-4</v>
      </c>
      <c r="AM22" s="58"/>
      <c r="AN22" s="83">
        <v>40</v>
      </c>
      <c r="AO22" s="78">
        <f t="shared" si="23"/>
        <v>1.8648018648018648E-4</v>
      </c>
      <c r="AP22" s="58"/>
      <c r="AQ22" s="79">
        <v>6.7957197356729981</v>
      </c>
      <c r="AR22" s="58"/>
      <c r="AS22" s="80">
        <f t="shared" si="24"/>
        <v>163.20000000000002</v>
      </c>
      <c r="AT22" s="81">
        <f t="shared" si="25"/>
        <v>60</v>
      </c>
      <c r="AU22" s="81">
        <f t="shared" si="26"/>
        <v>103.20000000000002</v>
      </c>
      <c r="AV22" s="82">
        <f t="shared" si="3"/>
        <v>0</v>
      </c>
      <c r="AW22" s="82">
        <f t="shared" si="27"/>
        <v>0</v>
      </c>
      <c r="AX22" s="67">
        <f t="shared" si="28"/>
        <v>0</v>
      </c>
      <c r="AY22" s="210">
        <f t="shared" si="29"/>
        <v>60</v>
      </c>
    </row>
    <row r="23" spans="1:51" x14ac:dyDescent="0.2">
      <c r="A23" s="63" t="s">
        <v>1</v>
      </c>
      <c r="B23" s="63" t="s">
        <v>20</v>
      </c>
      <c r="C23" s="63"/>
      <c r="D23" s="64">
        <f>('SCS Input'!C18/'SCS Input'!C$134)</f>
        <v>7.1200934244028758E-3</v>
      </c>
      <c r="E23" s="65">
        <f t="shared" si="4"/>
        <v>936.95445399744767</v>
      </c>
      <c r="F23" s="66">
        <f>('SCS Input'!D18/'SCS Input'!D$134)</f>
        <v>2.091486514140212E-2</v>
      </c>
      <c r="G23" s="65">
        <f t="shared" si="5"/>
        <v>1179.5356493796555</v>
      </c>
      <c r="H23" s="58"/>
      <c r="I23" s="67">
        <v>2549</v>
      </c>
      <c r="J23" s="68">
        <f t="shared" si="6"/>
        <v>0.36757726716259226</v>
      </c>
      <c r="K23" s="58"/>
      <c r="L23" s="69">
        <f t="shared" si="7"/>
        <v>9.8792322956715861E-3</v>
      </c>
      <c r="M23" s="69" t="str">
        <f t="shared" si="8"/>
        <v/>
      </c>
      <c r="N23" s="69">
        <f t="shared" si="9"/>
        <v>9.9345233455452459E-3</v>
      </c>
      <c r="O23" s="58"/>
      <c r="P23" s="67">
        <f t="shared" si="0"/>
        <v>0</v>
      </c>
      <c r="Q23" s="67">
        <f t="shared" si="10"/>
        <v>5.9252874481076194</v>
      </c>
      <c r="R23" s="202">
        <f t="shared" si="30"/>
        <v>1185.4609368277631</v>
      </c>
      <c r="S23" s="58"/>
      <c r="T23" s="71">
        <f>VLOOKUP($B23,'Scoring Summary'!$B$5:$O$129,12,FALSE)</f>
        <v>-0.20430107526881719</v>
      </c>
      <c r="U23" s="72">
        <f t="shared" si="11"/>
        <v>-242.19094408309138</v>
      </c>
      <c r="V23" s="73">
        <f>VLOOKUP($B23,'Scoring Summary'!$B$5:$O$129,13,FALSE)</f>
        <v>0.2839506172839506</v>
      </c>
      <c r="W23" s="72">
        <f t="shared" si="12"/>
        <v>336.61236477825372</v>
      </c>
      <c r="X23" s="73">
        <f>VLOOKUP($B23,'Scoring Summary'!$B$5:$O$129,14,FALSE)</f>
        <v>2.1623493624368466E-3</v>
      </c>
      <c r="Y23" s="72">
        <f t="shared" si="13"/>
        <v>2.5633807009433007</v>
      </c>
      <c r="Z23" s="74">
        <f t="shared" si="14"/>
        <v>96.984801396105638</v>
      </c>
      <c r="AA23" s="67">
        <f t="shared" si="15"/>
        <v>1282.4457382238688</v>
      </c>
      <c r="AB23" s="70">
        <f t="shared" si="16"/>
        <v>1152.2365439788341</v>
      </c>
      <c r="AC23" s="58"/>
      <c r="AD23" s="75">
        <f t="shared" si="17"/>
        <v>2089.1909979762818</v>
      </c>
      <c r="AE23" s="68">
        <f>AD23/$I23</f>
        <v>0.81961200391380218</v>
      </c>
      <c r="AF23" s="67">
        <f t="shared" si="19"/>
        <v>2089.1909979762818</v>
      </c>
      <c r="AG23" s="67">
        <f t="shared" si="20"/>
        <v>2025.8912200296884</v>
      </c>
      <c r="AH23" s="67">
        <f t="shared" si="1"/>
        <v>0</v>
      </c>
      <c r="AI23" s="58"/>
      <c r="AJ23" s="76">
        <f t="shared" si="21"/>
        <v>2025.8912200296884</v>
      </c>
      <c r="AK23" s="68">
        <f t="shared" si="2"/>
        <v>0.79477882307951686</v>
      </c>
      <c r="AL23" s="77">
        <f t="shared" si="22"/>
        <v>1.0776590350708487E-2</v>
      </c>
      <c r="AM23" s="58"/>
      <c r="AN23" s="67">
        <v>3277</v>
      </c>
      <c r="AO23" s="78">
        <f t="shared" si="23"/>
        <v>1.5277389277389277E-2</v>
      </c>
      <c r="AP23" s="58"/>
      <c r="AQ23" s="79">
        <v>-7.7826105414212365E-2</v>
      </c>
      <c r="AR23" s="58"/>
      <c r="AS23" s="80">
        <f t="shared" si="24"/>
        <v>2025.8912200296884</v>
      </c>
      <c r="AT23" s="81">
        <f t="shared" si="25"/>
        <v>0</v>
      </c>
      <c r="AU23" s="81">
        <f t="shared" si="26"/>
        <v>0</v>
      </c>
      <c r="AV23" s="82">
        <f t="shared" si="3"/>
        <v>1.0776590350708487E-2</v>
      </c>
      <c r="AW23" s="82">
        <f t="shared" si="27"/>
        <v>1.1463979729494105E-2</v>
      </c>
      <c r="AX23" s="67">
        <f t="shared" si="28"/>
        <v>31.944729323286332</v>
      </c>
      <c r="AY23" s="210">
        <f t="shared" si="29"/>
        <v>2057.8359493529747</v>
      </c>
    </row>
    <row r="24" spans="1:51" x14ac:dyDescent="0.2">
      <c r="A24" s="63" t="s">
        <v>1</v>
      </c>
      <c r="B24" s="63" t="s">
        <v>21</v>
      </c>
      <c r="C24" s="63"/>
      <c r="D24" s="64">
        <f>('SCS Input'!C19/'SCS Input'!C$134)</f>
        <v>1.1503037687756087E-2</v>
      </c>
      <c r="E24" s="65">
        <f t="shared" si="4"/>
        <v>1513.7192384448867</v>
      </c>
      <c r="F24" s="66">
        <f>('SCS Input'!D19/'SCS Input'!D$134)</f>
        <v>1.1464530542347081E-2</v>
      </c>
      <c r="G24" s="65">
        <f t="shared" si="5"/>
        <v>646.5651289967484</v>
      </c>
      <c r="H24" s="58"/>
      <c r="I24" s="67">
        <v>3016</v>
      </c>
      <c r="J24" s="68">
        <f t="shared" si="6"/>
        <v>0.50189629921912693</v>
      </c>
      <c r="K24" s="58"/>
      <c r="L24" s="69">
        <f t="shared" si="7"/>
        <v>1.1689197569142998E-2</v>
      </c>
      <c r="M24" s="69" t="str">
        <f t="shared" si="8"/>
        <v/>
      </c>
      <c r="N24" s="69">
        <f t="shared" si="9"/>
        <v>1.1754618442591002E-2</v>
      </c>
      <c r="O24" s="58"/>
      <c r="P24" s="67">
        <f t="shared" si="0"/>
        <v>0</v>
      </c>
      <c r="Q24" s="67">
        <f t="shared" si="10"/>
        <v>7.0108540382473832</v>
      </c>
      <c r="R24" s="202">
        <f t="shared" si="30"/>
        <v>653.57598303499583</v>
      </c>
      <c r="S24" s="58"/>
      <c r="T24" s="71">
        <f>VLOOKUP($B24,'Scoring Summary'!$B$5:$O$129,12,FALSE)</f>
        <v>6.093189964157706E-2</v>
      </c>
      <c r="U24" s="72">
        <f t="shared" si="11"/>
        <v>39.823626206433438</v>
      </c>
      <c r="V24" s="73">
        <f>VLOOKUP($B24,'Scoring Summary'!$B$5:$O$129,13,FALSE)</f>
        <v>0.19753086419753085</v>
      </c>
      <c r="W24" s="72">
        <f t="shared" si="12"/>
        <v>129.1014287476535</v>
      </c>
      <c r="X24" s="73">
        <f>VLOOKUP($B24,'Scoring Summary'!$B$5:$O$129,14,FALSE)</f>
        <v>0.10023021155464637</v>
      </c>
      <c r="Y24" s="72">
        <f t="shared" si="13"/>
        <v>65.508059046633605</v>
      </c>
      <c r="Z24" s="74">
        <f t="shared" si="14"/>
        <v>234.43311400072054</v>
      </c>
      <c r="AA24" s="67">
        <f t="shared" si="15"/>
        <v>888.00909703571642</v>
      </c>
      <c r="AB24" s="70">
        <f t="shared" si="16"/>
        <v>797.84781725524022</v>
      </c>
      <c r="AC24" s="58"/>
      <c r="AD24" s="75">
        <f t="shared" si="17"/>
        <v>2311.5670557001267</v>
      </c>
      <c r="AE24" s="68">
        <f t="shared" si="18"/>
        <v>0.76643470016582449</v>
      </c>
      <c r="AF24" s="67">
        <f t="shared" si="19"/>
        <v>2311.5670557001267</v>
      </c>
      <c r="AG24" s="67">
        <f t="shared" si="20"/>
        <v>2241.5295715848806</v>
      </c>
      <c r="AH24" s="67">
        <f t="shared" si="1"/>
        <v>0</v>
      </c>
      <c r="AI24" s="58"/>
      <c r="AJ24" s="76">
        <f t="shared" si="21"/>
        <v>2241.5295715848806</v>
      </c>
      <c r="AK24" s="68">
        <f t="shared" si="2"/>
        <v>0.74321272267403204</v>
      </c>
      <c r="AL24" s="77">
        <f t="shared" si="22"/>
        <v>1.1923663873529874E-2</v>
      </c>
      <c r="AM24" s="58"/>
      <c r="AN24" s="67">
        <v>1630</v>
      </c>
      <c r="AO24" s="78">
        <f t="shared" si="23"/>
        <v>7.5990675990675995E-3</v>
      </c>
      <c r="AP24" s="58"/>
      <c r="AQ24" s="79">
        <v>0.58044199977936861</v>
      </c>
      <c r="AR24" s="58"/>
      <c r="AS24" s="80">
        <f t="shared" si="24"/>
        <v>2241.5295715848806</v>
      </c>
      <c r="AT24" s="81">
        <f t="shared" si="25"/>
        <v>0</v>
      </c>
      <c r="AU24" s="81">
        <f t="shared" si="26"/>
        <v>0</v>
      </c>
      <c r="AV24" s="82">
        <f t="shared" si="3"/>
        <v>1.1923663873529874E-2</v>
      </c>
      <c r="AW24" s="82">
        <f t="shared" si="27"/>
        <v>1.2684219822688263E-2</v>
      </c>
      <c r="AX24" s="67">
        <f t="shared" si="28"/>
        <v>35.344965576864325</v>
      </c>
      <c r="AY24" s="210">
        <f t="shared" si="29"/>
        <v>2276.8745371617451</v>
      </c>
    </row>
    <row r="25" spans="1:51" x14ac:dyDescent="0.2">
      <c r="A25" s="63" t="s">
        <v>1</v>
      </c>
      <c r="B25" s="63" t="s">
        <v>22</v>
      </c>
      <c r="C25" s="63"/>
      <c r="D25" s="64">
        <f>('SCS Input'!C20/'SCS Input'!C$134)</f>
        <v>1.6083400675315227E-3</v>
      </c>
      <c r="E25" s="65">
        <f t="shared" si="4"/>
        <v>211.64629450667567</v>
      </c>
      <c r="F25" s="66">
        <f>('SCS Input'!D20/'SCS Input'!D$134)</f>
        <v>1.2802823389157426E-2</v>
      </c>
      <c r="G25" s="65">
        <f t="shared" si="5"/>
        <v>722.04083067831152</v>
      </c>
      <c r="H25" s="58"/>
      <c r="I25" s="67">
        <v>2711</v>
      </c>
      <c r="J25" s="68">
        <f t="shared" si="6"/>
        <v>7.8069455738353249E-2</v>
      </c>
      <c r="K25" s="58"/>
      <c r="L25" s="69">
        <f t="shared" si="7"/>
        <v>1.0507100334862953E-2</v>
      </c>
      <c r="M25" s="69" t="str">
        <f t="shared" si="8"/>
        <v/>
      </c>
      <c r="N25" s="69">
        <f t="shared" si="9"/>
        <v>1.056590537064463E-2</v>
      </c>
      <c r="O25" s="58"/>
      <c r="P25" s="67">
        <f t="shared" si="0"/>
        <v>0</v>
      </c>
      <c r="Q25" s="67">
        <f t="shared" si="10"/>
        <v>6.3018651517535327</v>
      </c>
      <c r="R25" s="202">
        <f t="shared" si="30"/>
        <v>728.34269583006505</v>
      </c>
      <c r="S25" s="58"/>
      <c r="T25" s="71">
        <f>VLOOKUP($B25,'Scoring Summary'!$B$5:$O$129,12,FALSE)</f>
        <v>-7.5268817204301064E-2</v>
      </c>
      <c r="U25" s="72">
        <f t="shared" si="11"/>
        <v>-54.821493234521014</v>
      </c>
      <c r="V25" s="73">
        <f>VLOOKUP($B25,'Scoring Summary'!$B$5:$O$129,13,FALSE)</f>
        <v>0.12962962962962959</v>
      </c>
      <c r="W25" s="72">
        <f t="shared" si="12"/>
        <v>94.414793903897291</v>
      </c>
      <c r="X25" s="73">
        <f>VLOOKUP($B25,'Scoring Summary'!$B$5:$O$129,14,FALSE)</f>
        <v>9.204354663234289E-2</v>
      </c>
      <c r="Y25" s="72">
        <f t="shared" si="13"/>
        <v>67.039244887960933</v>
      </c>
      <c r="Z25" s="74">
        <f t="shared" si="14"/>
        <v>106.63254555733721</v>
      </c>
      <c r="AA25" s="67">
        <f t="shared" si="15"/>
        <v>834.97524138740232</v>
      </c>
      <c r="AB25" s="70">
        <f t="shared" si="16"/>
        <v>750.19859146365468</v>
      </c>
      <c r="AC25" s="58"/>
      <c r="AD25" s="75">
        <f t="shared" si="17"/>
        <v>961.84488597033032</v>
      </c>
      <c r="AE25" s="68">
        <f t="shared" si="18"/>
        <v>0.35479339209528971</v>
      </c>
      <c r="AF25" s="67">
        <f t="shared" si="19"/>
        <v>0</v>
      </c>
      <c r="AG25" s="67">
        <f t="shared" si="20"/>
        <v>0</v>
      </c>
      <c r="AH25" s="67">
        <f t="shared" si="1"/>
        <v>1084.4000000000001</v>
      </c>
      <c r="AI25" s="58"/>
      <c r="AJ25" s="76">
        <f t="shared" si="21"/>
        <v>1084.4000000000001</v>
      </c>
      <c r="AK25" s="68">
        <f t="shared" si="2"/>
        <v>0.4</v>
      </c>
      <c r="AL25" s="77">
        <f t="shared" si="22"/>
        <v>5.7683919357412643E-3</v>
      </c>
      <c r="AM25" s="58"/>
      <c r="AN25" s="67">
        <v>1944</v>
      </c>
      <c r="AO25" s="78">
        <f t="shared" si="23"/>
        <v>9.0629370629370636E-3</v>
      </c>
      <c r="AP25" s="58"/>
      <c r="AQ25" s="79">
        <v>0.38879175239218511</v>
      </c>
      <c r="AR25" s="58"/>
      <c r="AS25" s="80">
        <f t="shared" si="24"/>
        <v>1084.4000000000001</v>
      </c>
      <c r="AT25" s="81">
        <f t="shared" si="25"/>
        <v>0</v>
      </c>
      <c r="AU25" s="81">
        <f t="shared" si="26"/>
        <v>0</v>
      </c>
      <c r="AV25" s="82">
        <f t="shared" si="3"/>
        <v>5.7683919357412643E-3</v>
      </c>
      <c r="AW25" s="82">
        <f t="shared" si="27"/>
        <v>6.1363312579444575E-3</v>
      </c>
      <c r="AX25" s="67">
        <f t="shared" si="28"/>
        <v>17.099074291690776</v>
      </c>
      <c r="AY25" s="210">
        <f t="shared" si="29"/>
        <v>1101.4990742916909</v>
      </c>
    </row>
    <row r="26" spans="1:51" x14ac:dyDescent="0.2">
      <c r="A26" s="63" t="s">
        <v>1</v>
      </c>
      <c r="B26" s="63" t="s">
        <v>105</v>
      </c>
      <c r="C26" s="63"/>
      <c r="D26" s="64">
        <f>('SCS Input'!C21/'SCS Input'!C$134)</f>
        <v>1.1310026680787533E-2</v>
      </c>
      <c r="E26" s="65">
        <f t="shared" si="4"/>
        <v>1488.3203410048739</v>
      </c>
      <c r="F26" s="66">
        <f>('SCS Input'!D21/'SCS Input'!D$134)</f>
        <v>3.9177721756563488E-3</v>
      </c>
      <c r="G26" s="65">
        <f t="shared" si="5"/>
        <v>220.95059739049114</v>
      </c>
      <c r="H26" s="58"/>
      <c r="I26" s="67">
        <v>5382</v>
      </c>
      <c r="J26" s="68">
        <f t="shared" si="6"/>
        <v>0.2765366668533768</v>
      </c>
      <c r="K26" s="58"/>
      <c r="L26" s="69">
        <f t="shared" si="7"/>
        <v>2.0859171524246559E-2</v>
      </c>
      <c r="M26" s="69" t="str">
        <f t="shared" si="8"/>
        <v/>
      </c>
      <c r="N26" s="69">
        <f t="shared" si="9"/>
        <v>2.0975913944968425E-2</v>
      </c>
      <c r="O26" s="58"/>
      <c r="P26" s="67">
        <f t="shared" si="0"/>
        <v>0</v>
      </c>
      <c r="Q26" s="67">
        <f t="shared" si="10"/>
        <v>12.510748154458692</v>
      </c>
      <c r="R26" s="202">
        <f t="shared" si="30"/>
        <v>233.46134554494984</v>
      </c>
      <c r="S26" s="58"/>
      <c r="T26" s="71">
        <f>VLOOKUP($B26,'Scoring Summary'!$B$5:$O$129,12,FALSE)</f>
        <v>-0.10394265232974906</v>
      </c>
      <c r="U26" s="72">
        <f t="shared" si="11"/>
        <v>-24.266591472414131</v>
      </c>
      <c r="V26" s="73">
        <f>VLOOKUP($B26,'Scoring Summary'!$B$5:$O$129,13,FALSE)</f>
        <v>0.23456790123456794</v>
      </c>
      <c r="W26" s="72">
        <f t="shared" si="12"/>
        <v>54.762537843877134</v>
      </c>
      <c r="X26" s="73">
        <f>VLOOKUP($B26,'Scoring Summary'!$B$5:$O$129,14,FALSE)</f>
        <v>4.1677631088341036E-2</v>
      </c>
      <c r="Y26" s="72">
        <f t="shared" si="13"/>
        <v>9.7301158330101298</v>
      </c>
      <c r="Z26" s="74">
        <f t="shared" si="14"/>
        <v>40.226062204473131</v>
      </c>
      <c r="AA26" s="67">
        <f t="shared" si="15"/>
        <v>273.68740774942296</v>
      </c>
      <c r="AB26" s="70">
        <f t="shared" si="16"/>
        <v>245.89939631478728</v>
      </c>
      <c r="AC26" s="58"/>
      <c r="AD26" s="75">
        <f t="shared" si="17"/>
        <v>1734.2197373196611</v>
      </c>
      <c r="AE26" s="68">
        <f t="shared" si="18"/>
        <v>0.32222588950569697</v>
      </c>
      <c r="AF26" s="67">
        <f t="shared" si="19"/>
        <v>0</v>
      </c>
      <c r="AG26" s="67">
        <f t="shared" si="20"/>
        <v>0</v>
      </c>
      <c r="AH26" s="67">
        <f>AD26</f>
        <v>1734.2197373196611</v>
      </c>
      <c r="AI26" s="58"/>
      <c r="AJ26" s="76">
        <f t="shared" si="21"/>
        <v>1734.2197373196611</v>
      </c>
      <c r="AK26" s="68">
        <f t="shared" si="2"/>
        <v>0.32222588950569697</v>
      </c>
      <c r="AL26" s="77">
        <f t="shared" si="22"/>
        <v>9.2250637657304187E-3</v>
      </c>
      <c r="AM26" s="58"/>
      <c r="AN26" s="67">
        <v>2167</v>
      </c>
      <c r="AO26" s="78">
        <f t="shared" si="23"/>
        <v>1.0102564102564103E-2</v>
      </c>
      <c r="AP26" s="58"/>
      <c r="AQ26" s="79">
        <v>1.3791642804410895</v>
      </c>
      <c r="AR26" s="58"/>
      <c r="AS26" s="80">
        <f t="shared" si="24"/>
        <v>1734.2197373196611</v>
      </c>
      <c r="AT26" s="81">
        <f t="shared" si="25"/>
        <v>0</v>
      </c>
      <c r="AU26" s="81">
        <f t="shared" si="26"/>
        <v>0</v>
      </c>
      <c r="AV26" s="82">
        <f t="shared" si="3"/>
        <v>9.2250637657304187E-3</v>
      </c>
      <c r="AW26" s="82">
        <f t="shared" si="27"/>
        <v>9.8134883643110123E-3</v>
      </c>
      <c r="AX26" s="67">
        <f t="shared" si="28"/>
        <v>27.345584771805001</v>
      </c>
      <c r="AY26" s="210">
        <f t="shared" si="29"/>
        <v>1761.5653220914662</v>
      </c>
    </row>
    <row r="27" spans="1:51" s="49" customFormat="1" x14ac:dyDescent="0.2">
      <c r="A27" s="84"/>
      <c r="B27" s="84"/>
      <c r="C27" s="84"/>
      <c r="D27" s="85">
        <f>SUM(D12:D26)</f>
        <v>0.23419161410844211</v>
      </c>
      <c r="E27" s="86">
        <f>SUM(E12:E26)</f>
        <v>30817.977075372222</v>
      </c>
      <c r="F27" s="85">
        <f>SUM(F12:F26)</f>
        <v>0.22533674588311664</v>
      </c>
      <c r="G27" s="86">
        <f>SUM(G12:G26)</f>
        <v>12708.316457570134</v>
      </c>
      <c r="H27" s="58"/>
      <c r="I27" s="87">
        <f>SUM(I12:I26)</f>
        <v>57010</v>
      </c>
      <c r="J27" s="88"/>
      <c r="K27" s="58"/>
      <c r="L27" s="89">
        <f>I27/I$139</f>
        <v>0.22095528959444374</v>
      </c>
      <c r="M27" s="90"/>
      <c r="N27" s="90"/>
      <c r="O27" s="91"/>
      <c r="P27" s="87">
        <f>SUM(P12:P26)</f>
        <v>199.9057114639823</v>
      </c>
      <c r="Q27" s="87">
        <f>SUM(Q12:Q26)</f>
        <v>131.65807394504486</v>
      </c>
      <c r="R27" s="203">
        <f>SUM(R12:R26)</f>
        <v>12640.068820051194</v>
      </c>
      <c r="S27" s="58"/>
      <c r="T27" s="93"/>
      <c r="U27" s="94">
        <f>SUM(U12:U26)</f>
        <v>-1691.6995098472141</v>
      </c>
      <c r="V27" s="95"/>
      <c r="W27" s="94">
        <f>SUM(W12:W26)</f>
        <v>2893.3028532907483</v>
      </c>
      <c r="X27" s="95"/>
      <c r="Y27" s="94">
        <f>SUM(Y12:Y26)</f>
        <v>1211.8152155340501</v>
      </c>
      <c r="Z27" s="96">
        <f>SUM(Z12:Z26)</f>
        <v>2413.4185589775852</v>
      </c>
      <c r="AA27" s="87"/>
      <c r="AB27" s="92">
        <f>SUM(AB12:AB26)</f>
        <v>13525.077713200895</v>
      </c>
      <c r="AC27" s="58"/>
      <c r="AD27" s="97">
        <f>SUM(AD12:AD26)</f>
        <v>44343.054788573114</v>
      </c>
      <c r="AE27" s="88"/>
      <c r="AF27" s="87">
        <f>SUM(AF12:AF26)</f>
        <v>40152.664461198328</v>
      </c>
      <c r="AG27" s="87">
        <f>SUM(AG12:AG26)</f>
        <v>38936.090798560515</v>
      </c>
      <c r="AH27" s="87">
        <f>SUM(AH12:AH26)</f>
        <v>4450.9423128487924</v>
      </c>
      <c r="AI27" s="58"/>
      <c r="AJ27" s="98">
        <f>SUM(AJ12:AJ26)</f>
        <v>43387.033111409313</v>
      </c>
      <c r="AK27" s="88"/>
      <c r="AL27" s="99">
        <f>AJ27/$AJ$139</f>
        <v>0.23079436731426842</v>
      </c>
      <c r="AM27" s="58"/>
      <c r="AN27" s="87">
        <f>SUM(AN12:AN26)</f>
        <v>44937</v>
      </c>
      <c r="AO27" s="100">
        <f t="shared" si="23"/>
        <v>0.20949650349650351</v>
      </c>
      <c r="AP27" s="58"/>
      <c r="AQ27" s="101">
        <v>0.37875887728075985</v>
      </c>
      <c r="AR27" s="58"/>
      <c r="AS27" s="102">
        <f>AJ27</f>
        <v>43387.033111409313</v>
      </c>
      <c r="AT27" s="103">
        <f t="shared" ref="AT27:AY27" si="31">SUM(AT12:AT26)</f>
        <v>60</v>
      </c>
      <c r="AU27" s="103">
        <f t="shared" si="31"/>
        <v>103.20000000000002</v>
      </c>
      <c r="AV27" s="104">
        <f t="shared" si="31"/>
        <v>0.22992623603068957</v>
      </c>
      <c r="AW27" s="104">
        <f t="shared" si="31"/>
        <v>0.24459217835643268</v>
      </c>
      <c r="AX27" s="87">
        <f t="shared" si="31"/>
        <v>681.56356837295402</v>
      </c>
      <c r="AY27" s="211">
        <f t="shared" si="31"/>
        <v>43965.396679782272</v>
      </c>
    </row>
    <row r="28" spans="1:51" s="49" customFormat="1" x14ac:dyDescent="0.2">
      <c r="A28" s="105"/>
      <c r="B28" s="105"/>
      <c r="C28" s="105"/>
      <c r="D28" s="106"/>
      <c r="E28" s="107"/>
      <c r="F28" s="107"/>
      <c r="G28" s="107"/>
      <c r="H28" s="58"/>
      <c r="I28" s="108"/>
      <c r="J28" s="108"/>
      <c r="K28" s="58"/>
      <c r="L28" s="109"/>
      <c r="M28" s="109"/>
      <c r="N28" s="109"/>
      <c r="O28" s="58"/>
      <c r="P28" s="108"/>
      <c r="Q28" s="108"/>
      <c r="R28" s="204"/>
      <c r="S28" s="58"/>
      <c r="T28" s="71"/>
      <c r="U28" s="72"/>
      <c r="V28" s="71"/>
      <c r="W28" s="72"/>
      <c r="X28" s="71"/>
      <c r="Y28" s="72"/>
      <c r="Z28" s="111"/>
      <c r="AA28" s="112"/>
      <c r="AB28" s="110"/>
      <c r="AC28" s="58"/>
      <c r="AD28" s="113"/>
      <c r="AE28" s="108"/>
      <c r="AF28" s="112"/>
      <c r="AG28" s="112"/>
      <c r="AH28" s="112"/>
      <c r="AI28" s="58"/>
      <c r="AJ28" s="114"/>
      <c r="AK28" s="115"/>
      <c r="AL28" s="116"/>
      <c r="AM28" s="58"/>
      <c r="AN28" s="108"/>
      <c r="AO28" s="112"/>
      <c r="AP28" s="58"/>
      <c r="AR28" s="58"/>
      <c r="AS28" s="117"/>
      <c r="AT28" s="118"/>
      <c r="AU28" s="118"/>
      <c r="AV28" s="118"/>
      <c r="AW28" s="118"/>
      <c r="AX28" s="112"/>
      <c r="AY28" s="212"/>
    </row>
    <row r="29" spans="1:51" x14ac:dyDescent="0.2">
      <c r="A29" s="63" t="s">
        <v>2</v>
      </c>
      <c r="B29" s="63" t="s">
        <v>23</v>
      </c>
      <c r="C29" s="63"/>
      <c r="D29" s="64">
        <f>('SCS Input'!C24/'SCS Input'!C$134)</f>
        <v>8.2295489458552498E-3</v>
      </c>
      <c r="E29" s="65">
        <f t="shared" ref="E29:E48" si="32">D29*$E$10</f>
        <v>1082.9510344319299</v>
      </c>
      <c r="F29" s="66">
        <f>('SCS Input'!D24/'SCS Input'!D$134)</f>
        <v>9.1890112183328071E-3</v>
      </c>
      <c r="G29" s="65">
        <f t="shared" ref="G29:G48" si="33">F29*$G$10</f>
        <v>518.23266568031534</v>
      </c>
      <c r="H29" s="58"/>
      <c r="I29" s="67">
        <v>3357</v>
      </c>
      <c r="J29" s="68">
        <f t="shared" ref="J29:J48" si="34">E29/I29</f>
        <v>0.32259488663447422</v>
      </c>
      <c r="K29" s="58"/>
      <c r="L29" s="69">
        <f t="shared" ref="L29:L48" si="35">I29/I$139</f>
        <v>1.3010821034354459E-2</v>
      </c>
      <c r="M29" s="69" t="str">
        <f t="shared" ref="M29:M48" si="36">IF(J29&gt;$C$2,L29,"")</f>
        <v/>
      </c>
      <c r="N29" s="69">
        <f t="shared" ref="N29:N48" si="37">IF(M29="",L29/($L$139-$M$139),0)</f>
        <v>1.3083638631226125E-2</v>
      </c>
      <c r="O29" s="58"/>
      <c r="P29" s="67">
        <f t="shared" ref="P29:P48" si="38">IF(J29&gt;$C$2,G29,0)</f>
        <v>0</v>
      </c>
      <c r="Q29" s="67">
        <f t="shared" ref="Q29:Q48" si="39">N29*$P$139</f>
        <v>7.8035268588847702</v>
      </c>
      <c r="R29" s="202">
        <f t="shared" ref="R29:R48" si="40">(G29-P29)+Q29</f>
        <v>526.0361925392001</v>
      </c>
      <c r="S29" s="58"/>
      <c r="T29" s="71">
        <f>VLOOKUP($B29,'Scoring Summary'!$B$5:$O$129,12,FALSE)</f>
        <v>-0.29032258064516125</v>
      </c>
      <c r="U29" s="72">
        <f t="shared" ref="U29:U48" si="41">$R29*T29</f>
        <v>-152.72018493073548</v>
      </c>
      <c r="V29" s="73">
        <f>VLOOKUP($B29,'Scoring Summary'!$B$5:$O$129,13,FALSE)</f>
        <v>0.10493827160493827</v>
      </c>
      <c r="W29" s="72">
        <f t="shared" ref="W29:W48" si="42">$R29*V29</f>
        <v>55.201328846706183</v>
      </c>
      <c r="X29" s="73">
        <f>VLOOKUP($B29,'Scoring Summary'!$B$5:$O$129,14,FALSE)</f>
        <v>-7.6211936664528435E-3</v>
      </c>
      <c r="Y29" s="72">
        <f t="shared" ref="Y29:Y48" si="43">$R29*X29</f>
        <v>-4.0090236989047208</v>
      </c>
      <c r="Z29" s="74">
        <f t="shared" ref="Z29:Z48" si="44">U29+W29+Y29</f>
        <v>-101.52787978293402</v>
      </c>
      <c r="AA29" s="67">
        <f t="shared" ref="AA29:AA48" si="45">R29+Z29</f>
        <v>424.50831275626609</v>
      </c>
      <c r="AB29" s="70">
        <f t="shared" ref="AB29:AB48" si="46">AA29/AA$139*R$139</f>
        <v>381.40716336115332</v>
      </c>
      <c r="AC29" s="58"/>
      <c r="AD29" s="75">
        <f t="shared" ref="AD29:AD48" si="47">$E29+AB29</f>
        <v>1464.3581977930833</v>
      </c>
      <c r="AE29" s="68">
        <f t="shared" ref="AE29:AE48" si="48">AD29/$I29</f>
        <v>0.43621036574116273</v>
      </c>
      <c r="AF29" s="67">
        <f t="shared" ref="AF29:AF48" si="49">IF(OR(AE29&lt;$C$3,$J29&gt;=$C$2),0,AD29)</f>
        <v>1464.3581977930833</v>
      </c>
      <c r="AG29" s="67">
        <f t="shared" ref="AG29:AG48" si="50">AF29/AF$139*(AD$139-AH$139)</f>
        <v>1419.9900434001318</v>
      </c>
      <c r="AH29" s="67">
        <f t="shared" ref="AH29:AH47" si="51">IF(AE29&lt;$C$3,$I29*$C$3,IF($J29&gt;=$C$2,$E29,0))</f>
        <v>0</v>
      </c>
      <c r="AI29" s="58"/>
      <c r="AJ29" s="76">
        <f t="shared" ref="AJ29:AJ48" si="52">SUM(AG29:AH29)</f>
        <v>1419.9900434001318</v>
      </c>
      <c r="AK29" s="68">
        <f t="shared" si="2"/>
        <v>0.4229937573429049</v>
      </c>
      <c r="AL29" s="77">
        <f t="shared" si="22"/>
        <v>7.5535403127832967E-3</v>
      </c>
      <c r="AM29" s="58"/>
      <c r="AN29" s="67">
        <v>2282</v>
      </c>
      <c r="AO29" s="78">
        <f t="shared" ref="AO29:AO49" si="53">AN29/$AN$139</f>
        <v>1.0638694638694639E-2</v>
      </c>
      <c r="AP29" s="58"/>
      <c r="AQ29" s="79">
        <v>-8.7245750627371152E-2</v>
      </c>
      <c r="AR29" s="58"/>
      <c r="AS29" s="80">
        <f t="shared" ref="AS29:AS48" si="54">AJ29</f>
        <v>1419.9900434001318</v>
      </c>
      <c r="AT29" s="81">
        <f t="shared" ref="AT29:AT48" si="55">IF(AS29&gt;AN29*1.5,AN29*1.5,0)</f>
        <v>0</v>
      </c>
      <c r="AU29" s="81">
        <f t="shared" ref="AU29:AU48" si="56">IF(AT29=0,0,AS29-AT29)</f>
        <v>0</v>
      </c>
      <c r="AV29" s="82">
        <f t="shared" ref="AV29:AV48" si="57">IF(AT29&gt;0,0,AL29)</f>
        <v>7.5535403127832967E-3</v>
      </c>
      <c r="AW29" s="82">
        <f t="shared" ref="AW29:AW48" si="58">IF(AV29="",0,AV29/$AV$139)</f>
        <v>8.0353460801236946E-3</v>
      </c>
      <c r="AX29" s="67">
        <f t="shared" ref="AX29:AX48" si="59">AW29*$AU$139</f>
        <v>22.390737039432</v>
      </c>
      <c r="AY29" s="210">
        <f t="shared" ref="AY29:AY48" si="60">IF(AT29=0,AS29+AX29,AT29)</f>
        <v>1442.3807804395638</v>
      </c>
    </row>
    <row r="30" spans="1:51" x14ac:dyDescent="0.2">
      <c r="A30" s="63" t="s">
        <v>2</v>
      </c>
      <c r="B30" s="63" t="s">
        <v>24</v>
      </c>
      <c r="C30" s="63"/>
      <c r="D30" s="64">
        <f>('SCS Input'!C25/'SCS Input'!C$134)</f>
        <v>0</v>
      </c>
      <c r="E30" s="65">
        <f t="shared" si="32"/>
        <v>0</v>
      </c>
      <c r="F30" s="66">
        <f>('SCS Input'!D25/'SCS Input'!D$134)</f>
        <v>4.1232379416449106E-3</v>
      </c>
      <c r="G30" s="65">
        <f t="shared" si="33"/>
        <v>232.53825019494806</v>
      </c>
      <c r="H30" s="58"/>
      <c r="I30" s="67">
        <v>1861</v>
      </c>
      <c r="J30" s="68">
        <f t="shared" si="34"/>
        <v>0</v>
      </c>
      <c r="K30" s="58"/>
      <c r="L30" s="69">
        <f t="shared" si="35"/>
        <v>7.2127309934267641E-3</v>
      </c>
      <c r="M30" s="69" t="str">
        <f t="shared" si="36"/>
        <v/>
      </c>
      <c r="N30" s="69">
        <f t="shared" si="37"/>
        <v>7.2530984488268745E-3</v>
      </c>
      <c r="O30" s="58"/>
      <c r="P30" s="67">
        <f t="shared" si="38"/>
        <v>0</v>
      </c>
      <c r="Q30" s="67">
        <f t="shared" si="39"/>
        <v>4.32599448447559</v>
      </c>
      <c r="R30" s="202">
        <f t="shared" si="40"/>
        <v>236.86424467942365</v>
      </c>
      <c r="S30" s="58"/>
      <c r="T30" s="71">
        <f>VLOOKUP($B30,'Scoring Summary'!$B$5:$O$129,12,FALSE)</f>
        <v>-0.24014336917562723</v>
      </c>
      <c r="U30" s="72">
        <f t="shared" si="41"/>
        <v>-56.881377754556929</v>
      </c>
      <c r="V30" s="73">
        <f>VLOOKUP($B30,'Scoring Summary'!$B$5:$O$129,13,FALSE)</f>
        <v>-6.1728395061728721E-3</v>
      </c>
      <c r="W30" s="72">
        <f t="shared" si="42"/>
        <v>-1.4621249671569438</v>
      </c>
      <c r="X30" s="73">
        <f>VLOOKUP($B30,'Scoring Summary'!$B$5:$O$129,14,FALSE)</f>
        <v>-8.7132717410125807E-2</v>
      </c>
      <c r="Y30" s="72">
        <f t="shared" si="43"/>
        <v>-20.638625296215118</v>
      </c>
      <c r="Z30" s="74">
        <f t="shared" si="44"/>
        <v>-78.982128017929</v>
      </c>
      <c r="AA30" s="67">
        <f t="shared" si="45"/>
        <v>157.88211666149465</v>
      </c>
      <c r="AB30" s="70">
        <f t="shared" si="46"/>
        <v>141.8520402352863</v>
      </c>
      <c r="AC30" s="58"/>
      <c r="AD30" s="75">
        <f t="shared" si="47"/>
        <v>141.8520402352863</v>
      </c>
      <c r="AE30" s="68">
        <f t="shared" si="48"/>
        <v>7.6223557353727184E-2</v>
      </c>
      <c r="AF30" s="67">
        <f t="shared" si="49"/>
        <v>0</v>
      </c>
      <c r="AG30" s="67">
        <f t="shared" si="50"/>
        <v>0</v>
      </c>
      <c r="AH30" s="67">
        <f t="shared" si="51"/>
        <v>744.40000000000009</v>
      </c>
      <c r="AI30" s="58"/>
      <c r="AJ30" s="76">
        <f t="shared" si="52"/>
        <v>744.40000000000009</v>
      </c>
      <c r="AK30" s="68">
        <f t="shared" si="2"/>
        <v>0.4</v>
      </c>
      <c r="AL30" s="77">
        <f t="shared" si="22"/>
        <v>3.9597850949518601E-3</v>
      </c>
      <c r="AM30" s="58"/>
      <c r="AN30" s="67">
        <v>2705</v>
      </c>
      <c r="AO30" s="78">
        <f t="shared" si="53"/>
        <v>1.2610722610722611E-2</v>
      </c>
      <c r="AP30" s="58"/>
      <c r="AQ30" s="79">
        <v>-0.3236869306253457</v>
      </c>
      <c r="AR30" s="58"/>
      <c r="AS30" s="80">
        <f t="shared" si="54"/>
        <v>744.40000000000009</v>
      </c>
      <c r="AT30" s="81">
        <f t="shared" si="55"/>
        <v>0</v>
      </c>
      <c r="AU30" s="81">
        <f t="shared" si="56"/>
        <v>0</v>
      </c>
      <c r="AV30" s="82">
        <f t="shared" si="57"/>
        <v>3.9597850949518601E-3</v>
      </c>
      <c r="AW30" s="82">
        <f t="shared" si="58"/>
        <v>4.212361663974414E-3</v>
      </c>
      <c r="AX30" s="67">
        <f t="shared" si="59"/>
        <v>11.737874310895071</v>
      </c>
      <c r="AY30" s="210">
        <f t="shared" si="60"/>
        <v>756.1378743108952</v>
      </c>
    </row>
    <row r="31" spans="1:51" x14ac:dyDescent="0.2">
      <c r="A31" s="63" t="s">
        <v>2</v>
      </c>
      <c r="B31" s="63" t="s">
        <v>25</v>
      </c>
      <c r="C31" s="63"/>
      <c r="D31" s="64">
        <f>('SCS Input'!C26/'SCS Input'!C$134)</f>
        <v>0</v>
      </c>
      <c r="E31" s="65">
        <f t="shared" si="32"/>
        <v>0</v>
      </c>
      <c r="F31" s="66">
        <f>('SCS Input'!D26/'SCS Input'!D$134)</f>
        <v>5.0047451027550446E-4</v>
      </c>
      <c r="G31" s="65">
        <f t="shared" si="33"/>
        <v>28.225260956007627</v>
      </c>
      <c r="H31" s="58"/>
      <c r="I31" s="83">
        <v>346</v>
      </c>
      <c r="J31" s="68">
        <f t="shared" si="34"/>
        <v>0</v>
      </c>
      <c r="K31" s="58"/>
      <c r="L31" s="69">
        <f t="shared" si="35"/>
        <v>1.3410021083963785E-3</v>
      </c>
      <c r="M31" s="69" t="str">
        <f t="shared" si="36"/>
        <v/>
      </c>
      <c r="N31" s="69">
        <f t="shared" si="37"/>
        <v>1.3485072881752277E-3</v>
      </c>
      <c r="O31" s="58"/>
      <c r="P31" s="67">
        <f t="shared" si="38"/>
        <v>0</v>
      </c>
      <c r="Q31" s="67">
        <f t="shared" si="39"/>
        <v>0.80429558926843325</v>
      </c>
      <c r="R31" s="202">
        <f t="shared" si="40"/>
        <v>29.029556545276062</v>
      </c>
      <c r="S31" s="58"/>
      <c r="T31" s="71">
        <f>VLOOKUP($B31,'Scoring Summary'!$B$5:$O$129,12,FALSE)</f>
        <v>0.10394265232974911</v>
      </c>
      <c r="U31" s="72">
        <f t="shared" si="41"/>
        <v>3.0174091032724224</v>
      </c>
      <c r="V31" s="73">
        <f>VLOOKUP($B31,'Scoring Summary'!$B$5:$O$129,13,FALSE)</f>
        <v>-0.20370370370370372</v>
      </c>
      <c r="W31" s="72">
        <f t="shared" si="42"/>
        <v>-5.9134281851488275</v>
      </c>
      <c r="X31" s="73">
        <f>VLOOKUP($B31,'Scoring Summary'!$B$5:$O$129,14,FALSE)</f>
        <v>-0.13131471306124165</v>
      </c>
      <c r="Y31" s="72">
        <f t="shared" si="43"/>
        <v>-3.8120078880380155</v>
      </c>
      <c r="Z31" s="74">
        <f t="shared" si="44"/>
        <v>-6.708026969914421</v>
      </c>
      <c r="AA31" s="67">
        <f t="shared" si="45"/>
        <v>22.321529575361641</v>
      </c>
      <c r="AB31" s="70">
        <f t="shared" si="46"/>
        <v>20.055181539186727</v>
      </c>
      <c r="AC31" s="58"/>
      <c r="AD31" s="75">
        <f t="shared" si="47"/>
        <v>20.055181539186727</v>
      </c>
      <c r="AE31" s="68">
        <f t="shared" si="48"/>
        <v>5.7962952425395162E-2</v>
      </c>
      <c r="AF31" s="67">
        <f t="shared" si="49"/>
        <v>0</v>
      </c>
      <c r="AG31" s="67">
        <f t="shared" si="50"/>
        <v>0</v>
      </c>
      <c r="AH31" s="67">
        <f t="shared" si="51"/>
        <v>138.4</v>
      </c>
      <c r="AI31" s="58"/>
      <c r="AJ31" s="76">
        <f t="shared" si="52"/>
        <v>138.4</v>
      </c>
      <c r="AK31" s="68">
        <f t="shared" si="2"/>
        <v>0.4</v>
      </c>
      <c r="AL31" s="77">
        <f t="shared" si="22"/>
        <v>7.3620937283898097E-4</v>
      </c>
      <c r="AM31" s="58"/>
      <c r="AN31" s="83">
        <v>151</v>
      </c>
      <c r="AO31" s="78">
        <f t="shared" si="53"/>
        <v>7.0396270396270392E-4</v>
      </c>
      <c r="AP31" s="58"/>
      <c r="AQ31" s="79">
        <v>-8.3443708609271486E-2</v>
      </c>
      <c r="AR31" s="58"/>
      <c r="AS31" s="80">
        <f t="shared" si="54"/>
        <v>138.4</v>
      </c>
      <c r="AT31" s="81">
        <f t="shared" si="55"/>
        <v>0</v>
      </c>
      <c r="AU31" s="81">
        <f t="shared" si="56"/>
        <v>0</v>
      </c>
      <c r="AV31" s="82">
        <f t="shared" si="57"/>
        <v>7.3620937283898097E-4</v>
      </c>
      <c r="AW31" s="82">
        <f t="shared" si="58"/>
        <v>7.8316879942780617E-4</v>
      </c>
      <c r="AX31" s="67">
        <f t="shared" si="59"/>
        <v>2.1823237568886054</v>
      </c>
      <c r="AY31" s="210">
        <f t="shared" si="60"/>
        <v>140.5823237568886</v>
      </c>
    </row>
    <row r="32" spans="1:51" x14ac:dyDescent="0.2">
      <c r="A32" s="63" t="s">
        <v>2</v>
      </c>
      <c r="B32" s="63" t="s">
        <v>26</v>
      </c>
      <c r="C32" s="63"/>
      <c r="D32" s="64">
        <f>('SCS Input'!C27/'SCS Input'!C$134)</f>
        <v>1.8699963309169038E-2</v>
      </c>
      <c r="E32" s="65">
        <f t="shared" si="32"/>
        <v>2460.784271743481</v>
      </c>
      <c r="F32" s="66">
        <f>('SCS Input'!D27/'SCS Input'!D$134)</f>
        <v>1.8106133626584052E-2</v>
      </c>
      <c r="G32" s="65">
        <f t="shared" si="33"/>
        <v>1021.1316181384609</v>
      </c>
      <c r="H32" s="58"/>
      <c r="I32" s="67">
        <v>4043</v>
      </c>
      <c r="J32" s="68">
        <f t="shared" si="34"/>
        <v>0.60865304767338135</v>
      </c>
      <c r="K32" s="58"/>
      <c r="L32" s="69">
        <f t="shared" si="35"/>
        <v>1.5669570879325315E-2</v>
      </c>
      <c r="M32" s="69" t="str">
        <f t="shared" si="36"/>
        <v/>
      </c>
      <c r="N32" s="69">
        <f t="shared" si="37"/>
        <v>1.5757268688128458E-2</v>
      </c>
      <c r="O32" s="58"/>
      <c r="P32" s="67">
        <f t="shared" si="38"/>
        <v>0</v>
      </c>
      <c r="Q32" s="67">
        <f t="shared" si="39"/>
        <v>9.3981707150643832</v>
      </c>
      <c r="R32" s="202">
        <f t="shared" si="40"/>
        <v>1030.5297888535254</v>
      </c>
      <c r="S32" s="58"/>
      <c r="T32" s="71">
        <f>VLOOKUP($B32,'Scoring Summary'!$B$5:$O$129,12,FALSE)</f>
        <v>-9.677419354838708E-2</v>
      </c>
      <c r="U32" s="72">
        <f t="shared" si="41"/>
        <v>-99.728689243889534</v>
      </c>
      <c r="V32" s="73">
        <f>VLOOKUP($B32,'Scoring Summary'!$B$5:$O$129,13,FALSE)</f>
        <v>0.24074074074074076</v>
      </c>
      <c r="W32" s="72">
        <f t="shared" si="42"/>
        <v>248.09050472399687</v>
      </c>
      <c r="X32" s="73">
        <f>VLOOKUP($B32,'Scoring Summary'!$B$5:$O$129,14,FALSE)</f>
        <v>-5.8492594634198267E-3</v>
      </c>
      <c r="Y32" s="72">
        <f t="shared" si="43"/>
        <v>-6.0278361197875192</v>
      </c>
      <c r="Z32" s="74">
        <f t="shared" si="44"/>
        <v>142.33397936031983</v>
      </c>
      <c r="AA32" s="67">
        <f t="shared" si="45"/>
        <v>1172.8637682138451</v>
      </c>
      <c r="AB32" s="70">
        <f t="shared" si="46"/>
        <v>1053.7806431610634</v>
      </c>
      <c r="AC32" s="58"/>
      <c r="AD32" s="75">
        <f t="shared" si="47"/>
        <v>3514.5649149045444</v>
      </c>
      <c r="AE32" s="68">
        <f t="shared" si="48"/>
        <v>0.86929629357025584</v>
      </c>
      <c r="AF32" s="67">
        <f t="shared" si="49"/>
        <v>3514.5649149045444</v>
      </c>
      <c r="AG32" s="67">
        <f t="shared" si="50"/>
        <v>3408.0781557198429</v>
      </c>
      <c r="AH32" s="67">
        <f t="shared" si="51"/>
        <v>0</v>
      </c>
      <c r="AI32" s="58"/>
      <c r="AJ32" s="76">
        <f t="shared" si="52"/>
        <v>3408.0781557198429</v>
      </c>
      <c r="AK32" s="68">
        <f t="shared" si="2"/>
        <v>0.84295774319066108</v>
      </c>
      <c r="AL32" s="77">
        <f t="shared" si="22"/>
        <v>1.812903960699954E-2</v>
      </c>
      <c r="AM32" s="58"/>
      <c r="AN32" s="67">
        <v>3043</v>
      </c>
      <c r="AO32" s="78">
        <f t="shared" si="53"/>
        <v>1.4186480186480187E-2</v>
      </c>
      <c r="AP32" s="58"/>
      <c r="AQ32" s="79">
        <v>0.54681751676893575</v>
      </c>
      <c r="AR32" s="58"/>
      <c r="AS32" s="80">
        <f t="shared" si="54"/>
        <v>3408.0781557198429</v>
      </c>
      <c r="AT32" s="81">
        <f t="shared" si="55"/>
        <v>0</v>
      </c>
      <c r="AU32" s="81">
        <f t="shared" si="56"/>
        <v>0</v>
      </c>
      <c r="AV32" s="82">
        <f t="shared" si="57"/>
        <v>1.812903960699954E-2</v>
      </c>
      <c r="AW32" s="82">
        <f t="shared" si="58"/>
        <v>1.9285408074936713E-2</v>
      </c>
      <c r="AX32" s="67">
        <f t="shared" si="59"/>
        <v>53.739378067633794</v>
      </c>
      <c r="AY32" s="210">
        <f t="shared" si="60"/>
        <v>3461.8175337874768</v>
      </c>
    </row>
    <row r="33" spans="1:51" x14ac:dyDescent="0.2">
      <c r="A33" s="63" t="s">
        <v>2</v>
      </c>
      <c r="B33" s="63" t="s">
        <v>27</v>
      </c>
      <c r="C33" s="63"/>
      <c r="D33" s="64">
        <f>('SCS Input'!C28/'SCS Input'!C$134)</f>
        <v>1.5542503441440738E-3</v>
      </c>
      <c r="E33" s="65">
        <f t="shared" si="32"/>
        <v>204.5284655369511</v>
      </c>
      <c r="F33" s="66">
        <f>('SCS Input'!D28/'SCS Input'!D$134)</f>
        <v>5.2973736984062835E-3</v>
      </c>
      <c r="G33" s="65">
        <f t="shared" si="33"/>
        <v>298.75598446901921</v>
      </c>
      <c r="H33" s="58"/>
      <c r="I33" s="67">
        <v>1365</v>
      </c>
      <c r="J33" s="68">
        <f t="shared" si="34"/>
        <v>0.14983770369007407</v>
      </c>
      <c r="K33" s="58"/>
      <c r="L33" s="69">
        <f t="shared" si="35"/>
        <v>5.2903695894828224E-3</v>
      </c>
      <c r="M33" s="69" t="str">
        <f t="shared" si="36"/>
        <v/>
      </c>
      <c r="N33" s="69">
        <f t="shared" si="37"/>
        <v>5.3199781744485133E-3</v>
      </c>
      <c r="O33" s="58"/>
      <c r="P33" s="67">
        <f t="shared" si="38"/>
        <v>0</v>
      </c>
      <c r="Q33" s="67">
        <f t="shared" si="39"/>
        <v>3.1730158362757552</v>
      </c>
      <c r="R33" s="202">
        <f t="shared" si="40"/>
        <v>301.92900030529495</v>
      </c>
      <c r="S33" s="58"/>
      <c r="T33" s="71">
        <f>VLOOKUP($B33,'Scoring Summary'!$B$5:$O$129,12,FALSE)</f>
        <v>2.5089605734766988E-2</v>
      </c>
      <c r="U33" s="72">
        <f t="shared" si="41"/>
        <v>7.5752795775521919</v>
      </c>
      <c r="V33" s="73">
        <f>VLOOKUP($B33,'Scoring Summary'!$B$5:$O$129,13,FALSE)</f>
        <v>4.3209876543209874E-2</v>
      </c>
      <c r="W33" s="72">
        <f t="shared" si="42"/>
        <v>13.046314828006571</v>
      </c>
      <c r="X33" s="73">
        <f>VLOOKUP($B33,'Scoring Summary'!$B$5:$O$129,14,FALSE)</f>
        <v>-0.11835091096817886</v>
      </c>
      <c r="Y33" s="72">
        <f t="shared" si="43"/>
        <v>-35.733572233843212</v>
      </c>
      <c r="Z33" s="74">
        <f t="shared" si="44"/>
        <v>-15.111977828284449</v>
      </c>
      <c r="AA33" s="67">
        <f t="shared" si="45"/>
        <v>286.81702247701048</v>
      </c>
      <c r="AB33" s="70">
        <f t="shared" si="46"/>
        <v>257.69593588490682</v>
      </c>
      <c r="AC33" s="58"/>
      <c r="AD33" s="75">
        <f t="shared" si="47"/>
        <v>462.22440142185792</v>
      </c>
      <c r="AE33" s="68">
        <f t="shared" si="48"/>
        <v>0.33862593510758821</v>
      </c>
      <c r="AF33" s="67">
        <f t="shared" si="49"/>
        <v>0</v>
      </c>
      <c r="AG33" s="67">
        <f t="shared" si="50"/>
        <v>0</v>
      </c>
      <c r="AH33" s="67">
        <f t="shared" si="51"/>
        <v>546</v>
      </c>
      <c r="AI33" s="58"/>
      <c r="AJ33" s="76">
        <f t="shared" si="52"/>
        <v>546</v>
      </c>
      <c r="AK33" s="68">
        <f t="shared" si="2"/>
        <v>0.4</v>
      </c>
      <c r="AL33" s="77">
        <f t="shared" si="22"/>
        <v>2.9044098090323959E-3</v>
      </c>
      <c r="AM33" s="58"/>
      <c r="AN33" s="83">
        <v>583</v>
      </c>
      <c r="AO33" s="78">
        <f t="shared" si="53"/>
        <v>2.7179487179487178E-3</v>
      </c>
      <c r="AP33" s="58"/>
      <c r="AQ33" s="79">
        <v>0.27369585245830519</v>
      </c>
      <c r="AR33" s="58"/>
      <c r="AS33" s="80">
        <f t="shared" si="54"/>
        <v>546</v>
      </c>
      <c r="AT33" s="81">
        <f t="shared" si="55"/>
        <v>0</v>
      </c>
      <c r="AU33" s="81">
        <f t="shared" si="56"/>
        <v>0</v>
      </c>
      <c r="AV33" s="82">
        <f t="shared" si="57"/>
        <v>2.9044098090323959E-3</v>
      </c>
      <c r="AW33" s="82">
        <f t="shared" si="58"/>
        <v>3.0896688185518941E-3</v>
      </c>
      <c r="AX33" s="67">
        <f t="shared" si="59"/>
        <v>8.6094564397483992</v>
      </c>
      <c r="AY33" s="210">
        <f t="shared" si="60"/>
        <v>554.60945643974844</v>
      </c>
    </row>
    <row r="34" spans="1:51" x14ac:dyDescent="0.2">
      <c r="A34" s="63" t="s">
        <v>2</v>
      </c>
      <c r="B34" s="63" t="s">
        <v>28</v>
      </c>
      <c r="C34" s="63"/>
      <c r="D34" s="64">
        <f>('SCS Input'!C29/'SCS Input'!C$134)</f>
        <v>2.0899816956494472E-3</v>
      </c>
      <c r="E34" s="65">
        <f t="shared" si="32"/>
        <v>275.02696127559773</v>
      </c>
      <c r="F34" s="66">
        <f>('SCS Input'!D29/'SCS Input'!D$134)</f>
        <v>1.9561625509531022E-3</v>
      </c>
      <c r="G34" s="65">
        <f t="shared" si="33"/>
        <v>110.32169938610211</v>
      </c>
      <c r="H34" s="58"/>
      <c r="I34" s="83">
        <v>736</v>
      </c>
      <c r="J34" s="68">
        <f t="shared" si="34"/>
        <v>0.37367793651575776</v>
      </c>
      <c r="K34" s="58"/>
      <c r="L34" s="69">
        <f t="shared" si="35"/>
        <v>2.8525362768200423E-3</v>
      </c>
      <c r="M34" s="69" t="str">
        <f t="shared" si="36"/>
        <v/>
      </c>
      <c r="N34" s="69">
        <f t="shared" si="37"/>
        <v>2.8685010523033746E-3</v>
      </c>
      <c r="O34" s="58"/>
      <c r="P34" s="67">
        <f t="shared" si="38"/>
        <v>0</v>
      </c>
      <c r="Q34" s="67">
        <f t="shared" si="39"/>
        <v>1.7108715424900778</v>
      </c>
      <c r="R34" s="202">
        <f t="shared" si="40"/>
        <v>112.03257092859219</v>
      </c>
      <c r="S34" s="58"/>
      <c r="T34" s="71">
        <f>VLOOKUP($B34,'Scoring Summary'!$B$5:$O$129,12,FALSE)</f>
        <v>0.31182795698924737</v>
      </c>
      <c r="U34" s="72">
        <f t="shared" si="41"/>
        <v>34.934887708915852</v>
      </c>
      <c r="V34" s="73">
        <f>VLOOKUP($B34,'Scoring Summary'!$B$5:$O$129,13,FALSE)</f>
        <v>-0.20987654320987653</v>
      </c>
      <c r="W34" s="72">
        <f t="shared" si="42"/>
        <v>-23.513008713408237</v>
      </c>
      <c r="X34" s="73">
        <f>VLOOKUP($B34,'Scoring Summary'!$B$5:$O$129,14,FALSE)</f>
        <v>0.16710712999654248</v>
      </c>
      <c r="Y34" s="72">
        <f t="shared" si="43"/>
        <v>18.721441394011123</v>
      </c>
      <c r="Z34" s="74">
        <f t="shared" si="44"/>
        <v>30.143320389518738</v>
      </c>
      <c r="AA34" s="67">
        <f t="shared" si="45"/>
        <v>142.17589131811093</v>
      </c>
      <c r="AB34" s="70">
        <f t="shared" si="46"/>
        <v>127.74049830472698</v>
      </c>
      <c r="AC34" s="58"/>
      <c r="AD34" s="75">
        <f t="shared" si="47"/>
        <v>402.76745958032473</v>
      </c>
      <c r="AE34" s="68">
        <f t="shared" si="48"/>
        <v>0.54723839616891945</v>
      </c>
      <c r="AF34" s="67">
        <f t="shared" si="49"/>
        <v>402.76745958032473</v>
      </c>
      <c r="AG34" s="67">
        <f t="shared" si="50"/>
        <v>390.56412786951216</v>
      </c>
      <c r="AH34" s="67">
        <f t="shared" si="51"/>
        <v>0</v>
      </c>
      <c r="AI34" s="58"/>
      <c r="AJ34" s="76">
        <f t="shared" si="52"/>
        <v>390.56412786951216</v>
      </c>
      <c r="AK34" s="68">
        <f t="shared" si="2"/>
        <v>0.53065778243140238</v>
      </c>
      <c r="AL34" s="77">
        <f t="shared" si="22"/>
        <v>2.0775792747992567E-3</v>
      </c>
      <c r="AM34" s="58"/>
      <c r="AN34" s="83">
        <v>431</v>
      </c>
      <c r="AO34" s="78">
        <f t="shared" si="53"/>
        <v>2.0093240093240093E-3</v>
      </c>
      <c r="AP34" s="58"/>
      <c r="AQ34" s="79">
        <v>0.49376382644152245</v>
      </c>
      <c r="AR34" s="58"/>
      <c r="AS34" s="80">
        <f t="shared" si="54"/>
        <v>390.56412786951216</v>
      </c>
      <c r="AT34" s="81">
        <f t="shared" si="55"/>
        <v>0</v>
      </c>
      <c r="AU34" s="81">
        <f t="shared" si="56"/>
        <v>0</v>
      </c>
      <c r="AV34" s="82">
        <f t="shared" si="57"/>
        <v>2.0775792747992567E-3</v>
      </c>
      <c r="AW34" s="82">
        <f t="shared" si="58"/>
        <v>2.2100985485775577E-3</v>
      </c>
      <c r="AX34" s="67">
        <f t="shared" si="59"/>
        <v>6.1585070436280009</v>
      </c>
      <c r="AY34" s="210">
        <f t="shared" si="60"/>
        <v>396.72263491314015</v>
      </c>
    </row>
    <row r="35" spans="1:51" x14ac:dyDescent="0.2">
      <c r="A35" s="63" t="s">
        <v>2</v>
      </c>
      <c r="B35" s="63" t="s">
        <v>29</v>
      </c>
      <c r="C35" s="63"/>
      <c r="D35" s="64">
        <f>('SCS Input'!C30/'SCS Input'!C$134)</f>
        <v>8.292345204258679E-3</v>
      </c>
      <c r="E35" s="65">
        <f t="shared" si="32"/>
        <v>1091.2145824640124</v>
      </c>
      <c r="F35" s="66">
        <f>('SCS Input'!D30/'SCS Input'!D$134)</f>
        <v>4.2791388534647217E-3</v>
      </c>
      <c r="G35" s="65">
        <f t="shared" si="33"/>
        <v>241.33059391884993</v>
      </c>
      <c r="H35" s="58"/>
      <c r="I35" s="83">
        <v>789</v>
      </c>
      <c r="J35" s="68">
        <f t="shared" si="34"/>
        <v>1.3830349587630069</v>
      </c>
      <c r="K35" s="58"/>
      <c r="L35" s="69">
        <f t="shared" si="35"/>
        <v>3.0579498945801811E-3</v>
      </c>
      <c r="M35" s="69">
        <f t="shared" si="36"/>
        <v>3.0579498945801811E-3</v>
      </c>
      <c r="N35" s="69">
        <f t="shared" si="37"/>
        <v>0</v>
      </c>
      <c r="O35" s="58"/>
      <c r="P35" s="67">
        <f t="shared" si="38"/>
        <v>241.33059391884993</v>
      </c>
      <c r="Q35" s="67">
        <f t="shared" si="39"/>
        <v>0</v>
      </c>
      <c r="R35" s="202">
        <f t="shared" si="40"/>
        <v>0</v>
      </c>
      <c r="S35" s="58"/>
      <c r="T35" s="71">
        <f>VLOOKUP($B35,'Scoring Summary'!$B$5:$O$129,12,FALSE)</f>
        <v>3.5842293906810118E-3</v>
      </c>
      <c r="U35" s="72">
        <f t="shared" si="41"/>
        <v>0</v>
      </c>
      <c r="V35" s="73">
        <f>VLOOKUP($B35,'Scoring Summary'!$B$5:$O$129,13,FALSE)</f>
        <v>-0.29629629629629628</v>
      </c>
      <c r="W35" s="72">
        <f t="shared" si="42"/>
        <v>0</v>
      </c>
      <c r="X35" s="73">
        <f>VLOOKUP($B35,'Scoring Summary'!$B$5:$O$129,14,FALSE)</f>
        <v>1.0141393614248387E-2</v>
      </c>
      <c r="Y35" s="72">
        <f t="shared" si="43"/>
        <v>0</v>
      </c>
      <c r="Z35" s="74">
        <f t="shared" si="44"/>
        <v>0</v>
      </c>
      <c r="AA35" s="67">
        <f t="shared" si="45"/>
        <v>0</v>
      </c>
      <c r="AB35" s="70">
        <f t="shared" si="46"/>
        <v>0</v>
      </c>
      <c r="AC35" s="58"/>
      <c r="AD35" s="75">
        <f t="shared" si="47"/>
        <v>1091.2145824640124</v>
      </c>
      <c r="AE35" s="68">
        <f t="shared" si="48"/>
        <v>1.3830349587630069</v>
      </c>
      <c r="AF35" s="67">
        <f t="shared" si="49"/>
        <v>0</v>
      </c>
      <c r="AG35" s="67">
        <f t="shared" si="50"/>
        <v>0</v>
      </c>
      <c r="AH35" s="67">
        <f t="shared" si="51"/>
        <v>1091.2145824640124</v>
      </c>
      <c r="AI35" s="58"/>
      <c r="AJ35" s="76">
        <f t="shared" si="52"/>
        <v>1091.2145824640124</v>
      </c>
      <c r="AK35" s="68">
        <f t="shared" si="2"/>
        <v>1.3830349587630069</v>
      </c>
      <c r="AL35" s="77">
        <f t="shared" si="22"/>
        <v>5.8046416429810765E-3</v>
      </c>
      <c r="AM35" s="58"/>
      <c r="AN35" s="83">
        <v>453</v>
      </c>
      <c r="AO35" s="78">
        <f t="shared" si="53"/>
        <v>2.1118881118881118E-3</v>
      </c>
      <c r="AP35" s="58"/>
      <c r="AQ35" s="79">
        <v>1.7952942928113234</v>
      </c>
      <c r="AR35" s="58"/>
      <c r="AS35" s="80">
        <f t="shared" si="54"/>
        <v>1091.2145824640124</v>
      </c>
      <c r="AT35" s="81">
        <f t="shared" si="55"/>
        <v>679.5</v>
      </c>
      <c r="AU35" s="81">
        <f t="shared" si="56"/>
        <v>411.71458246401244</v>
      </c>
      <c r="AV35" s="82">
        <f t="shared" si="57"/>
        <v>0</v>
      </c>
      <c r="AW35" s="82">
        <f t="shared" si="58"/>
        <v>0</v>
      </c>
      <c r="AX35" s="67">
        <f t="shared" si="59"/>
        <v>0</v>
      </c>
      <c r="AY35" s="210">
        <f t="shared" si="60"/>
        <v>679.5</v>
      </c>
    </row>
    <row r="36" spans="1:51" x14ac:dyDescent="0.2">
      <c r="A36" s="63" t="s">
        <v>2</v>
      </c>
      <c r="B36" s="63" t="s">
        <v>30</v>
      </c>
      <c r="C36" s="63"/>
      <c r="D36" s="64">
        <f>('SCS Input'!C31/'SCS Input'!C$134)</f>
        <v>1.9696253645876886E-3</v>
      </c>
      <c r="E36" s="65">
        <f t="shared" si="32"/>
        <v>259.18891060218772</v>
      </c>
      <c r="F36" s="66">
        <f>('SCS Input'!D31/'SCS Input'!D$134)</f>
        <v>3.3309218330235904E-3</v>
      </c>
      <c r="G36" s="65">
        <f t="shared" si="33"/>
        <v>187.85399861703144</v>
      </c>
      <c r="H36" s="58"/>
      <c r="I36" s="83">
        <v>761</v>
      </c>
      <c r="J36" s="68">
        <f t="shared" si="34"/>
        <v>0.3405898956664753</v>
      </c>
      <c r="K36" s="58"/>
      <c r="L36" s="69">
        <f t="shared" si="35"/>
        <v>2.9494294927446358E-3</v>
      </c>
      <c r="M36" s="69" t="str">
        <f t="shared" si="36"/>
        <v/>
      </c>
      <c r="N36" s="69">
        <f t="shared" si="37"/>
        <v>2.9659365500038968E-3</v>
      </c>
      <c r="O36" s="58"/>
      <c r="P36" s="67">
        <f t="shared" si="38"/>
        <v>0</v>
      </c>
      <c r="Q36" s="67">
        <f t="shared" si="39"/>
        <v>1.7689853856453113</v>
      </c>
      <c r="R36" s="202">
        <f t="shared" si="40"/>
        <v>189.62298400267676</v>
      </c>
      <c r="S36" s="58"/>
      <c r="T36" s="71">
        <f>VLOOKUP($B36,'Scoring Summary'!$B$5:$O$129,12,FALSE)</f>
        <v>0.25448028673835121</v>
      </c>
      <c r="U36" s="72">
        <f t="shared" si="41"/>
        <v>48.255311341182967</v>
      </c>
      <c r="V36" s="73">
        <f>VLOOKUP($B36,'Scoring Summary'!$B$5:$O$129,13,FALSE)</f>
        <v>-0.1234567901234568</v>
      </c>
      <c r="W36" s="72">
        <f t="shared" si="42"/>
        <v>-23.410244938602069</v>
      </c>
      <c r="X36" s="73">
        <f>VLOOKUP($B36,'Scoring Summary'!$B$5:$O$129,14,FALSE)</f>
        <v>-0.11447533417718778</v>
      </c>
      <c r="Y36" s="72">
        <f t="shared" si="43"/>
        <v>-21.707154461381954</v>
      </c>
      <c r="Z36" s="74">
        <f t="shared" si="44"/>
        <v>3.1379119411989436</v>
      </c>
      <c r="AA36" s="67">
        <f t="shared" si="45"/>
        <v>192.76089594387571</v>
      </c>
      <c r="AB36" s="70">
        <f t="shared" si="46"/>
        <v>173.18950965071028</v>
      </c>
      <c r="AC36" s="58"/>
      <c r="AD36" s="75">
        <f t="shared" si="47"/>
        <v>432.37842025289797</v>
      </c>
      <c r="AE36" s="68">
        <f t="shared" si="48"/>
        <v>0.56817138009579238</v>
      </c>
      <c r="AF36" s="67">
        <f t="shared" si="49"/>
        <v>432.37842025289797</v>
      </c>
      <c r="AG36" s="67">
        <f t="shared" si="50"/>
        <v>419.27791483361409</v>
      </c>
      <c r="AH36" s="67">
        <f t="shared" si="51"/>
        <v>0</v>
      </c>
      <c r="AI36" s="58"/>
      <c r="AJ36" s="76">
        <f t="shared" si="52"/>
        <v>419.27791483361409</v>
      </c>
      <c r="AK36" s="68">
        <f t="shared" si="2"/>
        <v>0.55095652409147711</v>
      </c>
      <c r="AL36" s="77">
        <f t="shared" si="22"/>
        <v>2.2303203087058574E-3</v>
      </c>
      <c r="AM36" s="58"/>
      <c r="AN36" s="83">
        <v>361</v>
      </c>
      <c r="AO36" s="78">
        <f t="shared" si="53"/>
        <v>1.6829836829836829E-3</v>
      </c>
      <c r="AP36" s="58"/>
      <c r="AQ36" s="79">
        <v>4.830185585634228E-2</v>
      </c>
      <c r="AR36" s="58"/>
      <c r="AS36" s="80">
        <f t="shared" si="54"/>
        <v>419.27791483361409</v>
      </c>
      <c r="AT36" s="81">
        <f t="shared" si="55"/>
        <v>0</v>
      </c>
      <c r="AU36" s="81">
        <f t="shared" si="56"/>
        <v>0</v>
      </c>
      <c r="AV36" s="82">
        <f t="shared" si="57"/>
        <v>2.2303203087058574E-3</v>
      </c>
      <c r="AW36" s="82">
        <f t="shared" si="58"/>
        <v>2.3725822340089266E-3</v>
      </c>
      <c r="AX36" s="67">
        <f t="shared" si="59"/>
        <v>6.611272791041281</v>
      </c>
      <c r="AY36" s="210">
        <f t="shared" si="60"/>
        <v>425.88918762465539</v>
      </c>
    </row>
    <row r="37" spans="1:51" x14ac:dyDescent="0.2">
      <c r="A37" s="63" t="s">
        <v>2</v>
      </c>
      <c r="B37" s="63" t="s">
        <v>31</v>
      </c>
      <c r="C37" s="63"/>
      <c r="D37" s="64">
        <f>('SCS Input'!C32/'SCS Input'!C$134)</f>
        <v>1.4149879039407488E-3</v>
      </c>
      <c r="E37" s="65">
        <f t="shared" si="32"/>
        <v>186.20250324327495</v>
      </c>
      <c r="F37" s="66">
        <f>('SCS Input'!D32/'SCS Input'!D$134)</f>
        <v>3.2029800170510049E-3</v>
      </c>
      <c r="G37" s="65">
        <f t="shared" si="33"/>
        <v>180.63846402162554</v>
      </c>
      <c r="H37" s="58"/>
      <c r="I37" s="67">
        <v>1150</v>
      </c>
      <c r="J37" s="68">
        <f t="shared" si="34"/>
        <v>0.16191522021154342</v>
      </c>
      <c r="K37" s="58"/>
      <c r="L37" s="69">
        <f t="shared" si="35"/>
        <v>4.4570879325313163E-3</v>
      </c>
      <c r="M37" s="69" t="str">
        <f t="shared" si="36"/>
        <v/>
      </c>
      <c r="N37" s="69">
        <f t="shared" si="37"/>
        <v>4.4820328942240233E-3</v>
      </c>
      <c r="O37" s="58"/>
      <c r="P37" s="67">
        <f t="shared" si="38"/>
        <v>0</v>
      </c>
      <c r="Q37" s="67">
        <f t="shared" si="39"/>
        <v>2.6732367851407468</v>
      </c>
      <c r="R37" s="202">
        <f t="shared" si="40"/>
        <v>183.31170080676628</v>
      </c>
      <c r="S37" s="58"/>
      <c r="T37" s="71">
        <f>VLOOKUP($B37,'Scoring Summary'!$B$5:$O$129,12,FALSE)</f>
        <v>0.33333333333333331</v>
      </c>
      <c r="U37" s="72">
        <f t="shared" si="41"/>
        <v>61.103900268922089</v>
      </c>
      <c r="V37" s="73">
        <f>VLOOKUP($B37,'Scoring Summary'!$B$5:$O$129,13,FALSE)</f>
        <v>0.1234567901234568</v>
      </c>
      <c r="W37" s="72">
        <f t="shared" si="42"/>
        <v>22.63107417367485</v>
      </c>
      <c r="X37" s="73">
        <f>VLOOKUP($B37,'Scoring Summary'!$B$5:$O$129,14,FALSE)</f>
        <v>1.9671608375810001E-3</v>
      </c>
      <c r="Y37" s="72">
        <f t="shared" si="43"/>
        <v>0.36060359889743604</v>
      </c>
      <c r="Z37" s="74">
        <f t="shared" si="44"/>
        <v>84.095578041494377</v>
      </c>
      <c r="AA37" s="67">
        <f t="shared" si="45"/>
        <v>267.40727884826066</v>
      </c>
      <c r="AB37" s="70">
        <f t="shared" si="46"/>
        <v>240.25690103788094</v>
      </c>
      <c r="AC37" s="58"/>
      <c r="AD37" s="75">
        <f t="shared" si="47"/>
        <v>426.45940428115591</v>
      </c>
      <c r="AE37" s="68">
        <f t="shared" si="48"/>
        <v>0.3708342645923095</v>
      </c>
      <c r="AF37" s="67">
        <f t="shared" si="49"/>
        <v>0</v>
      </c>
      <c r="AG37" s="67">
        <f t="shared" si="50"/>
        <v>0</v>
      </c>
      <c r="AH37" s="67">
        <f t="shared" si="51"/>
        <v>460</v>
      </c>
      <c r="AI37" s="58"/>
      <c r="AJ37" s="76">
        <f t="shared" si="52"/>
        <v>460</v>
      </c>
      <c r="AK37" s="68">
        <f t="shared" si="2"/>
        <v>0.4</v>
      </c>
      <c r="AL37" s="77">
        <f t="shared" si="22"/>
        <v>2.44693866695037E-3</v>
      </c>
      <c r="AM37" s="58"/>
      <c r="AN37" s="67">
        <v>1060</v>
      </c>
      <c r="AO37" s="78">
        <f t="shared" si="53"/>
        <v>4.9417249417249417E-3</v>
      </c>
      <c r="AP37" s="58"/>
      <c r="AQ37" s="79">
        <v>-0.18179842869016388</v>
      </c>
      <c r="AR37" s="58"/>
      <c r="AS37" s="80">
        <f t="shared" si="54"/>
        <v>460</v>
      </c>
      <c r="AT37" s="81">
        <f t="shared" si="55"/>
        <v>0</v>
      </c>
      <c r="AU37" s="81">
        <f t="shared" si="56"/>
        <v>0</v>
      </c>
      <c r="AV37" s="82">
        <f t="shared" si="57"/>
        <v>2.44693866695037E-3</v>
      </c>
      <c r="AW37" s="82">
        <f t="shared" si="58"/>
        <v>2.6030176859594711E-3</v>
      </c>
      <c r="AX37" s="67">
        <f t="shared" si="59"/>
        <v>7.2533882093118374</v>
      </c>
      <c r="AY37" s="210">
        <f t="shared" si="60"/>
        <v>467.25338820931182</v>
      </c>
    </row>
    <row r="38" spans="1:51" x14ac:dyDescent="0.2">
      <c r="A38" s="63" t="s">
        <v>2</v>
      </c>
      <c r="B38" s="63" t="s">
        <v>32</v>
      </c>
      <c r="C38" s="63"/>
      <c r="D38" s="64">
        <f>('SCS Input'!C33/'SCS Input'!C$134)</f>
        <v>6.7917705885524435E-4</v>
      </c>
      <c r="E38" s="65">
        <f t="shared" si="32"/>
        <v>89.374946705938171</v>
      </c>
      <c r="F38" s="66">
        <f>('SCS Input'!D33/'SCS Input'!D$134)</f>
        <v>2.7573671467553966E-3</v>
      </c>
      <c r="G38" s="65">
        <f t="shared" si="33"/>
        <v>155.50723497556413</v>
      </c>
      <c r="H38" s="58"/>
      <c r="I38" s="83">
        <v>517</v>
      </c>
      <c r="J38" s="68">
        <f t="shared" si="34"/>
        <v>0.17287223734224016</v>
      </c>
      <c r="K38" s="58"/>
      <c r="L38" s="69">
        <f t="shared" si="35"/>
        <v>2.0037517053206003E-3</v>
      </c>
      <c r="M38" s="69" t="str">
        <f t="shared" si="36"/>
        <v/>
      </c>
      <c r="N38" s="69">
        <f t="shared" si="37"/>
        <v>2.0149660924467998E-3</v>
      </c>
      <c r="O38" s="58"/>
      <c r="P38" s="67">
        <f t="shared" si="38"/>
        <v>0</v>
      </c>
      <c r="Q38" s="67">
        <f t="shared" si="39"/>
        <v>1.2017942764502312</v>
      </c>
      <c r="R38" s="202">
        <f t="shared" si="40"/>
        <v>156.70902925201437</v>
      </c>
      <c r="S38" s="58"/>
      <c r="T38" s="71">
        <f>VLOOKUP($B38,'Scoring Summary'!$B$5:$O$129,12,FALSE)</f>
        <v>0.22580645161290325</v>
      </c>
      <c r="U38" s="72">
        <f t="shared" si="41"/>
        <v>35.385909831100022</v>
      </c>
      <c r="V38" s="73">
        <f>VLOOKUP($B38,'Scoring Summary'!$B$5:$O$129,13,FALSE)</f>
        <v>-0.14814814814814808</v>
      </c>
      <c r="W38" s="72">
        <f t="shared" si="42"/>
        <v>-23.216152481779897</v>
      </c>
      <c r="X38" s="73">
        <f>VLOOKUP($B38,'Scoring Summary'!$B$5:$O$129,14,FALSE)</f>
        <v>-6.8214226921087501E-2</v>
      </c>
      <c r="Y38" s="72">
        <f t="shared" si="43"/>
        <v>-10.689785281980248</v>
      </c>
      <c r="Z38" s="74">
        <f t="shared" si="44"/>
        <v>1.4799720673398777</v>
      </c>
      <c r="AA38" s="67">
        <f t="shared" si="45"/>
        <v>158.18900131935425</v>
      </c>
      <c r="AB38" s="70">
        <f t="shared" si="46"/>
        <v>142.12776630075086</v>
      </c>
      <c r="AC38" s="58"/>
      <c r="AD38" s="75">
        <f t="shared" si="47"/>
        <v>231.50271300668902</v>
      </c>
      <c r="AE38" s="68">
        <f t="shared" si="48"/>
        <v>0.44778087622183566</v>
      </c>
      <c r="AF38" s="67">
        <f t="shared" si="49"/>
        <v>231.50271300668902</v>
      </c>
      <c r="AG38" s="67">
        <f t="shared" si="50"/>
        <v>224.4884810185404</v>
      </c>
      <c r="AH38" s="67">
        <f t="shared" si="51"/>
        <v>0</v>
      </c>
      <c r="AI38" s="58"/>
      <c r="AJ38" s="76">
        <f t="shared" si="52"/>
        <v>224.4884810185404</v>
      </c>
      <c r="AK38" s="68">
        <f t="shared" si="2"/>
        <v>0.43421369636081314</v>
      </c>
      <c r="AL38" s="77">
        <f t="shared" si="22"/>
        <v>1.194151183672219E-3</v>
      </c>
      <c r="AM38" s="58"/>
      <c r="AN38" s="83">
        <v>234</v>
      </c>
      <c r="AO38" s="78">
        <f t="shared" si="53"/>
        <v>1.090909090909091E-3</v>
      </c>
      <c r="AP38" s="58"/>
      <c r="AQ38" s="79">
        <v>0.11616644282445078</v>
      </c>
      <c r="AR38" s="58"/>
      <c r="AS38" s="80">
        <f t="shared" si="54"/>
        <v>224.4884810185404</v>
      </c>
      <c r="AT38" s="81">
        <f t="shared" si="55"/>
        <v>0</v>
      </c>
      <c r="AU38" s="81">
        <f t="shared" si="56"/>
        <v>0</v>
      </c>
      <c r="AV38" s="82">
        <f t="shared" si="57"/>
        <v>1.194151183672219E-3</v>
      </c>
      <c r="AW38" s="82">
        <f t="shared" si="58"/>
        <v>1.2703206225770384E-3</v>
      </c>
      <c r="AX38" s="67">
        <f t="shared" si="59"/>
        <v>3.5397871768395768</v>
      </c>
      <c r="AY38" s="210">
        <f t="shared" si="60"/>
        <v>228.02826819537998</v>
      </c>
    </row>
    <row r="39" spans="1:51" x14ac:dyDescent="0.2">
      <c r="A39" s="63" t="s">
        <v>2</v>
      </c>
      <c r="B39" s="63" t="s">
        <v>33</v>
      </c>
      <c r="C39" s="63"/>
      <c r="D39" s="64">
        <f>('SCS Input'!C34/'SCS Input'!C$134)</f>
        <v>6.6825436267412457E-3</v>
      </c>
      <c r="E39" s="65">
        <f t="shared" si="32"/>
        <v>879.37596347376075</v>
      </c>
      <c r="F39" s="66">
        <f>('SCS Input'!D34/'SCS Input'!D$134)</f>
        <v>1.3420229538439318E-2</v>
      </c>
      <c r="G39" s="65">
        <f t="shared" si="33"/>
        <v>756.86068527936231</v>
      </c>
      <c r="H39" s="58"/>
      <c r="I39" s="67">
        <v>1099</v>
      </c>
      <c r="J39" s="68">
        <f t="shared" si="34"/>
        <v>0.8001601123510107</v>
      </c>
      <c r="K39" s="58"/>
      <c r="L39" s="69">
        <f t="shared" si="35"/>
        <v>4.2594257720451447E-3</v>
      </c>
      <c r="M39" s="69" t="str">
        <f t="shared" si="36"/>
        <v/>
      </c>
      <c r="N39" s="69">
        <f t="shared" si="37"/>
        <v>4.2832644789149573E-3</v>
      </c>
      <c r="O39" s="58"/>
      <c r="P39" s="67">
        <f t="shared" si="38"/>
        <v>0</v>
      </c>
      <c r="Q39" s="67">
        <f t="shared" si="39"/>
        <v>2.5546845451040698</v>
      </c>
      <c r="R39" s="202">
        <f t="shared" si="40"/>
        <v>759.41536982446644</v>
      </c>
      <c r="S39" s="58"/>
      <c r="T39" s="71">
        <f>VLOOKUP($B39,'Scoring Summary'!$B$5:$O$129,12,FALSE)</f>
        <v>-0.15412186379928317</v>
      </c>
      <c r="U39" s="72">
        <f t="shared" si="41"/>
        <v>-117.04251219516867</v>
      </c>
      <c r="V39" s="73">
        <f>VLOOKUP($B39,'Scoring Summary'!$B$5:$O$129,13,FALSE)</f>
        <v>-0.22839506172839499</v>
      </c>
      <c r="W39" s="72">
        <f t="shared" si="42"/>
        <v>-173.44672026855093</v>
      </c>
      <c r="X39" s="73">
        <f>VLOOKUP($B39,'Scoring Summary'!$B$5:$O$129,14,FALSE)</f>
        <v>-6.2805827578591017E-2</v>
      </c>
      <c r="Y39" s="72">
        <f t="shared" si="43"/>
        <v>-47.695710777727371</v>
      </c>
      <c r="Z39" s="74">
        <f t="shared" si="44"/>
        <v>-338.18494324144694</v>
      </c>
      <c r="AA39" s="67">
        <f t="shared" si="45"/>
        <v>421.23042658301949</v>
      </c>
      <c r="AB39" s="70">
        <f t="shared" si="46"/>
        <v>378.46208730589001</v>
      </c>
      <c r="AC39" s="58"/>
      <c r="AD39" s="75">
        <f t="shared" si="47"/>
        <v>1257.8380507796508</v>
      </c>
      <c r="AE39" s="68">
        <f t="shared" si="48"/>
        <v>1.1445296185438132</v>
      </c>
      <c r="AF39" s="67">
        <f t="shared" si="49"/>
        <v>1257.8380507796508</v>
      </c>
      <c r="AG39" s="67">
        <f t="shared" si="50"/>
        <v>1219.7271890229929</v>
      </c>
      <c r="AH39" s="67">
        <f t="shared" si="51"/>
        <v>0</v>
      </c>
      <c r="AI39" s="58"/>
      <c r="AJ39" s="76">
        <f t="shared" si="52"/>
        <v>1219.7271890229929</v>
      </c>
      <c r="AK39" s="68">
        <f t="shared" si="2"/>
        <v>1.1098518553439425</v>
      </c>
      <c r="AL39" s="77">
        <f t="shared" si="22"/>
        <v>6.4882556998935746E-3</v>
      </c>
      <c r="AM39" s="58"/>
      <c r="AN39" s="83">
        <v>775</v>
      </c>
      <c r="AO39" s="78">
        <f t="shared" si="53"/>
        <v>3.6130536130536133E-3</v>
      </c>
      <c r="AP39" s="58"/>
      <c r="AQ39" s="79">
        <v>0.35144573050427014</v>
      </c>
      <c r="AR39" s="58"/>
      <c r="AS39" s="80">
        <f t="shared" si="54"/>
        <v>1219.7271890229929</v>
      </c>
      <c r="AT39" s="81">
        <f t="shared" si="55"/>
        <v>1162.5</v>
      </c>
      <c r="AU39" s="81">
        <f t="shared" si="56"/>
        <v>57.227189022992889</v>
      </c>
      <c r="AV39" s="82">
        <f t="shared" si="57"/>
        <v>0</v>
      </c>
      <c r="AW39" s="82">
        <f t="shared" si="58"/>
        <v>0</v>
      </c>
      <c r="AX39" s="67">
        <f t="shared" si="59"/>
        <v>0</v>
      </c>
      <c r="AY39" s="210">
        <f t="shared" si="60"/>
        <v>1162.5</v>
      </c>
    </row>
    <row r="40" spans="1:51" x14ac:dyDescent="0.2">
      <c r="A40" s="63" t="s">
        <v>2</v>
      </c>
      <c r="B40" s="63" t="s">
        <v>34</v>
      </c>
      <c r="C40" s="63"/>
      <c r="D40" s="64">
        <f>('SCS Input'!C35/'SCS Input'!C$134)</f>
        <v>3.4957051573525393E-4</v>
      </c>
      <c r="E40" s="65">
        <f t="shared" si="32"/>
        <v>46.001032877149271</v>
      </c>
      <c r="F40" s="66">
        <f>('SCS Input'!D35/'SCS Input'!D$134)</f>
        <v>2.9422325121339615E-3</v>
      </c>
      <c r="G40" s="65">
        <f t="shared" si="33"/>
        <v>165.93308698681903</v>
      </c>
      <c r="H40" s="58"/>
      <c r="I40" s="83">
        <v>555</v>
      </c>
      <c r="J40" s="68">
        <f t="shared" si="34"/>
        <v>8.2884743922791479E-2</v>
      </c>
      <c r="K40" s="58"/>
      <c r="L40" s="69">
        <f t="shared" si="35"/>
        <v>2.1510293935259827E-3</v>
      </c>
      <c r="M40" s="69" t="str">
        <f t="shared" si="36"/>
        <v/>
      </c>
      <c r="N40" s="69">
        <f t="shared" si="37"/>
        <v>2.1630680489515934E-3</v>
      </c>
      <c r="O40" s="58"/>
      <c r="P40" s="67">
        <f t="shared" si="38"/>
        <v>0</v>
      </c>
      <c r="Q40" s="67">
        <f t="shared" si="39"/>
        <v>1.2901273180461863</v>
      </c>
      <c r="R40" s="202">
        <f t="shared" si="40"/>
        <v>167.22321430486522</v>
      </c>
      <c r="S40" s="58"/>
      <c r="T40" s="71">
        <f>VLOOKUP($B40,'Scoring Summary'!$B$5:$O$129,12,FALSE)</f>
        <v>0.33333333333333331</v>
      </c>
      <c r="U40" s="72">
        <f t="shared" si="41"/>
        <v>55.741071434955074</v>
      </c>
      <c r="V40" s="73">
        <f>VLOOKUP($B40,'Scoring Summary'!$B$5:$O$129,13,FALSE)</f>
        <v>-0.17901234567901231</v>
      </c>
      <c r="W40" s="72">
        <f t="shared" si="42"/>
        <v>-29.93501984469809</v>
      </c>
      <c r="X40" s="73">
        <f>VLOOKUP($B40,'Scoring Summary'!$B$5:$O$129,14,FALSE)</f>
        <v>-6.7826918108792614E-2</v>
      </c>
      <c r="Y40" s="72">
        <f t="shared" si="43"/>
        <v>-11.342235262545172</v>
      </c>
      <c r="Z40" s="74">
        <f t="shared" si="44"/>
        <v>14.463816327711813</v>
      </c>
      <c r="AA40" s="67">
        <f t="shared" si="45"/>
        <v>181.68703063257703</v>
      </c>
      <c r="AB40" s="70">
        <f t="shared" si="46"/>
        <v>163.23999528572082</v>
      </c>
      <c r="AC40" s="58"/>
      <c r="AD40" s="75">
        <f t="shared" si="47"/>
        <v>209.24102816287009</v>
      </c>
      <c r="AE40" s="68">
        <f t="shared" si="48"/>
        <v>0.37701086155472091</v>
      </c>
      <c r="AF40" s="67">
        <f t="shared" si="49"/>
        <v>0</v>
      </c>
      <c r="AG40" s="67">
        <f t="shared" si="50"/>
        <v>0</v>
      </c>
      <c r="AH40" s="67">
        <f t="shared" si="51"/>
        <v>222</v>
      </c>
      <c r="AI40" s="58"/>
      <c r="AJ40" s="76">
        <f t="shared" si="52"/>
        <v>222</v>
      </c>
      <c r="AK40" s="68">
        <f t="shared" si="2"/>
        <v>0.4</v>
      </c>
      <c r="AL40" s="77">
        <f t="shared" si="22"/>
        <v>1.1809138783977872E-3</v>
      </c>
      <c r="AM40" s="58"/>
      <c r="AN40" s="83">
        <v>218</v>
      </c>
      <c r="AO40" s="78">
        <f t="shared" si="53"/>
        <v>1.0163170163170164E-3</v>
      </c>
      <c r="AP40" s="58"/>
      <c r="AQ40" s="79">
        <v>0.41287818512988589</v>
      </c>
      <c r="AR40" s="58"/>
      <c r="AS40" s="80">
        <f t="shared" si="54"/>
        <v>222</v>
      </c>
      <c r="AT40" s="81">
        <f t="shared" si="55"/>
        <v>0</v>
      </c>
      <c r="AU40" s="81">
        <f t="shared" si="56"/>
        <v>0</v>
      </c>
      <c r="AV40" s="82">
        <f t="shared" si="57"/>
        <v>1.1809138783977872E-3</v>
      </c>
      <c r="AW40" s="82">
        <f t="shared" si="58"/>
        <v>1.2562389701804403E-3</v>
      </c>
      <c r="AX40" s="67">
        <f t="shared" si="59"/>
        <v>3.5005482227548432</v>
      </c>
      <c r="AY40" s="210">
        <f t="shared" si="60"/>
        <v>225.50054822275484</v>
      </c>
    </row>
    <row r="41" spans="1:51" x14ac:dyDescent="0.2">
      <c r="A41" s="63" t="s">
        <v>2</v>
      </c>
      <c r="B41" s="63" t="s">
        <v>35</v>
      </c>
      <c r="C41" s="63"/>
      <c r="D41" s="64">
        <f>('SCS Input'!C36/'SCS Input'!C$134)</f>
        <v>1.411221650451896E-3</v>
      </c>
      <c r="E41" s="65">
        <f t="shared" si="32"/>
        <v>185.70689064791634</v>
      </c>
      <c r="F41" s="66">
        <f>('SCS Input'!D36/'SCS Input'!D$134)</f>
        <v>2.2834667742616197E-3</v>
      </c>
      <c r="G41" s="65">
        <f t="shared" si="33"/>
        <v>128.78067566803259</v>
      </c>
      <c r="H41" s="58"/>
      <c r="I41" s="83">
        <v>623</v>
      </c>
      <c r="J41" s="68">
        <f t="shared" si="34"/>
        <v>0.29808489670612576</v>
      </c>
      <c r="K41" s="58"/>
      <c r="L41" s="69">
        <f t="shared" si="35"/>
        <v>2.414578940840878E-3</v>
      </c>
      <c r="M41" s="69" t="str">
        <f t="shared" si="36"/>
        <v/>
      </c>
      <c r="N41" s="69">
        <f t="shared" si="37"/>
        <v>2.428092602697014E-3</v>
      </c>
      <c r="O41" s="58"/>
      <c r="P41" s="67">
        <f t="shared" si="38"/>
        <v>0</v>
      </c>
      <c r="Q41" s="67">
        <f t="shared" si="39"/>
        <v>1.4481969714284217</v>
      </c>
      <c r="R41" s="202">
        <f t="shared" si="40"/>
        <v>130.228872639461</v>
      </c>
      <c r="S41" s="58"/>
      <c r="T41" s="71">
        <f>VLOOKUP($B41,'Scoring Summary'!$B$5:$O$129,12,FALSE)</f>
        <v>0.16845878136200715</v>
      </c>
      <c r="U41" s="72">
        <f t="shared" si="41"/>
        <v>21.938197182991637</v>
      </c>
      <c r="V41" s="73">
        <f>VLOOKUP($B41,'Scoring Summary'!$B$5:$O$129,13,FALSE)</f>
        <v>-0.27777777777777768</v>
      </c>
      <c r="W41" s="72">
        <f t="shared" si="42"/>
        <v>-36.174686844294712</v>
      </c>
      <c r="X41" s="73">
        <f>VLOOKUP($B41,'Scoring Summary'!$B$5:$O$129,14,FALSE)</f>
        <v>9.1194729989052328E-2</v>
      </c>
      <c r="Y41" s="72">
        <f t="shared" si="43"/>
        <v>11.87618687713433</v>
      </c>
      <c r="Z41" s="74">
        <f t="shared" si="44"/>
        <v>-2.3603027841687449</v>
      </c>
      <c r="AA41" s="67">
        <f t="shared" si="45"/>
        <v>127.86856985529226</v>
      </c>
      <c r="AB41" s="70">
        <f t="shared" si="46"/>
        <v>114.8858268402298</v>
      </c>
      <c r="AC41" s="58"/>
      <c r="AD41" s="75">
        <f t="shared" si="47"/>
        <v>300.59271748814615</v>
      </c>
      <c r="AE41" s="68">
        <f t="shared" si="48"/>
        <v>0.48249232341596493</v>
      </c>
      <c r="AF41" s="67">
        <f t="shared" si="49"/>
        <v>300.59271748814615</v>
      </c>
      <c r="AG41" s="67">
        <f t="shared" si="50"/>
        <v>291.48514796109288</v>
      </c>
      <c r="AH41" s="67">
        <f t="shared" si="51"/>
        <v>0</v>
      </c>
      <c r="AI41" s="58"/>
      <c r="AJ41" s="76">
        <f t="shared" si="52"/>
        <v>291.48514796109288</v>
      </c>
      <c r="AK41" s="68">
        <f t="shared" si="2"/>
        <v>0.46787343171925022</v>
      </c>
      <c r="AL41" s="77">
        <f t="shared" si="22"/>
        <v>1.5505353899733653E-3</v>
      </c>
      <c r="AM41" s="58"/>
      <c r="AN41" s="83">
        <v>323</v>
      </c>
      <c r="AO41" s="78">
        <f t="shared" si="53"/>
        <v>1.5058275058275059E-3</v>
      </c>
      <c r="AP41" s="58"/>
      <c r="AQ41" s="79">
        <v>1.5112428037367709</v>
      </c>
      <c r="AR41" s="58"/>
      <c r="AS41" s="80">
        <f t="shared" si="54"/>
        <v>291.48514796109288</v>
      </c>
      <c r="AT41" s="81">
        <f t="shared" si="55"/>
        <v>0</v>
      </c>
      <c r="AU41" s="81">
        <f t="shared" si="56"/>
        <v>0</v>
      </c>
      <c r="AV41" s="82">
        <f t="shared" si="57"/>
        <v>1.5505353899733653E-3</v>
      </c>
      <c r="AW41" s="82">
        <f t="shared" si="58"/>
        <v>1.6494369463853E-3</v>
      </c>
      <c r="AX41" s="67">
        <f t="shared" si="59"/>
        <v>4.5962063813271898</v>
      </c>
      <c r="AY41" s="210">
        <f t="shared" si="60"/>
        <v>296.08135434242007</v>
      </c>
    </row>
    <row r="42" spans="1:51" x14ac:dyDescent="0.2">
      <c r="A42" s="63" t="s">
        <v>2</v>
      </c>
      <c r="B42" s="63" t="s">
        <v>36</v>
      </c>
      <c r="C42" s="63"/>
      <c r="D42" s="64">
        <f>('SCS Input'!C37/'SCS Input'!C$134)</f>
        <v>1.3111902181085783E-2</v>
      </c>
      <c r="E42" s="65">
        <f t="shared" si="32"/>
        <v>1725.4345437156214</v>
      </c>
      <c r="F42" s="66">
        <f>('SCS Input'!D37/'SCS Input'!D$134)</f>
        <v>8.7158145430763639E-3</v>
      </c>
      <c r="G42" s="65">
        <f t="shared" si="33"/>
        <v>491.54579278587778</v>
      </c>
      <c r="H42" s="58"/>
      <c r="I42" s="67">
        <v>2095</v>
      </c>
      <c r="J42" s="68">
        <f t="shared" si="34"/>
        <v>0.82359644091437778</v>
      </c>
      <c r="K42" s="58"/>
      <c r="L42" s="69">
        <f t="shared" si="35"/>
        <v>8.1196514944809617E-3</v>
      </c>
      <c r="M42" s="69" t="str">
        <f t="shared" si="36"/>
        <v/>
      </c>
      <c r="N42" s="69">
        <f t="shared" si="37"/>
        <v>8.1650947073037619E-3</v>
      </c>
      <c r="O42" s="58"/>
      <c r="P42" s="67">
        <f t="shared" si="38"/>
        <v>0</v>
      </c>
      <c r="Q42" s="67">
        <f t="shared" si="39"/>
        <v>4.8699400564085762</v>
      </c>
      <c r="R42" s="202">
        <f t="shared" si="40"/>
        <v>496.41573284228633</v>
      </c>
      <c r="S42" s="58"/>
      <c r="T42" s="71">
        <f>VLOOKUP($B42,'Scoring Summary'!$B$5:$O$129,12,FALSE)</f>
        <v>-0.24731182795698919</v>
      </c>
      <c r="U42" s="72">
        <f t="shared" si="41"/>
        <v>-122.76948231583422</v>
      </c>
      <c r="V42" s="73">
        <f>VLOOKUP($B42,'Scoring Summary'!$B$5:$O$129,13,FALSE)</f>
        <v>-2.4691358024691398E-2</v>
      </c>
      <c r="W42" s="72">
        <f t="shared" si="42"/>
        <v>-12.257178588698448</v>
      </c>
      <c r="X42" s="73">
        <f>VLOOKUP($B42,'Scoring Summary'!$B$5:$O$129,14,FALSE)</f>
        <v>-6.6706034100809091E-3</v>
      </c>
      <c r="Y42" s="72">
        <f t="shared" si="43"/>
        <v>-3.3113924803155688</v>
      </c>
      <c r="Z42" s="74">
        <f t="shared" si="44"/>
        <v>-138.33805338484822</v>
      </c>
      <c r="AA42" s="67">
        <f t="shared" si="45"/>
        <v>358.07767945743808</v>
      </c>
      <c r="AB42" s="70">
        <f t="shared" si="46"/>
        <v>321.72136064440321</v>
      </c>
      <c r="AC42" s="58"/>
      <c r="AD42" s="75">
        <f t="shared" si="47"/>
        <v>2047.1559043600246</v>
      </c>
      <c r="AE42" s="68">
        <f t="shared" si="48"/>
        <v>0.97716272284488048</v>
      </c>
      <c r="AF42" s="67">
        <f t="shared" si="49"/>
        <v>2047.1559043600246</v>
      </c>
      <c r="AG42" s="67">
        <f t="shared" si="50"/>
        <v>1985.1297352383067</v>
      </c>
      <c r="AH42" s="67">
        <f t="shared" si="51"/>
        <v>0</v>
      </c>
      <c r="AI42" s="58"/>
      <c r="AJ42" s="76">
        <f t="shared" si="52"/>
        <v>1985.1297352383067</v>
      </c>
      <c r="AK42" s="68">
        <f t="shared" si="2"/>
        <v>0.94755595954095784</v>
      </c>
      <c r="AL42" s="77">
        <f t="shared" si="22"/>
        <v>1.055976240884253E-2</v>
      </c>
      <c r="AM42" s="58"/>
      <c r="AN42" s="67">
        <v>1772</v>
      </c>
      <c r="AO42" s="78">
        <f t="shared" si="53"/>
        <v>8.2610722610722605E-3</v>
      </c>
      <c r="AP42" s="58"/>
      <c r="AQ42" s="79">
        <v>0.50491615674505863</v>
      </c>
      <c r="AR42" s="58"/>
      <c r="AS42" s="80">
        <f t="shared" si="54"/>
        <v>1985.1297352383067</v>
      </c>
      <c r="AT42" s="81">
        <f t="shared" si="55"/>
        <v>0</v>
      </c>
      <c r="AU42" s="81">
        <f t="shared" si="56"/>
        <v>0</v>
      </c>
      <c r="AV42" s="82">
        <f t="shared" si="57"/>
        <v>1.055976240884253E-2</v>
      </c>
      <c r="AW42" s="82">
        <f t="shared" si="58"/>
        <v>1.1233321325542075E-2</v>
      </c>
      <c r="AX42" s="67">
        <f t="shared" si="59"/>
        <v>31.301992642460572</v>
      </c>
      <c r="AY42" s="210">
        <f t="shared" si="60"/>
        <v>2016.4317278807673</v>
      </c>
    </row>
    <row r="43" spans="1:51" x14ac:dyDescent="0.2">
      <c r="A43" s="63" t="s">
        <v>2</v>
      </c>
      <c r="B43" s="63" t="s">
        <v>37</v>
      </c>
      <c r="C43" s="63"/>
      <c r="D43" s="64">
        <f>('SCS Input'!C38/'SCS Input'!C$134)</f>
        <v>7.9267918951034895E-4</v>
      </c>
      <c r="E43" s="65">
        <f t="shared" si="32"/>
        <v>104.31103258523535</v>
      </c>
      <c r="F43" s="66">
        <f>('SCS Input'!D38/'SCS Input'!D$134)</f>
        <v>4.1473388343911746E-3</v>
      </c>
      <c r="G43" s="65">
        <f t="shared" si="33"/>
        <v>233.8974682431591</v>
      </c>
      <c r="H43" s="58"/>
      <c r="I43" s="67">
        <v>1097</v>
      </c>
      <c r="J43" s="68">
        <f t="shared" si="34"/>
        <v>9.5087541098664866E-2</v>
      </c>
      <c r="K43" s="58"/>
      <c r="L43" s="69">
        <f t="shared" si="35"/>
        <v>4.2516743147711766E-3</v>
      </c>
      <c r="M43" s="69" t="str">
        <f t="shared" si="36"/>
        <v/>
      </c>
      <c r="N43" s="69">
        <f t="shared" si="37"/>
        <v>4.2754696390989149E-3</v>
      </c>
      <c r="O43" s="58"/>
      <c r="P43" s="67">
        <f t="shared" si="38"/>
        <v>0</v>
      </c>
      <c r="Q43" s="67">
        <f t="shared" si="39"/>
        <v>2.5500354376516507</v>
      </c>
      <c r="R43" s="202">
        <f t="shared" si="40"/>
        <v>236.44750368081074</v>
      </c>
      <c r="S43" s="58"/>
      <c r="T43" s="71">
        <f>VLOOKUP($B43,'Scoring Summary'!$B$5:$O$129,12,FALSE)</f>
        <v>3.5842293906810118E-3</v>
      </c>
      <c r="U43" s="72">
        <f t="shared" si="41"/>
        <v>0.84748209204591862</v>
      </c>
      <c r="V43" s="73">
        <f>VLOOKUP($B43,'Scoring Summary'!$B$5:$O$129,13,FALSE)</f>
        <v>3.0864197530864172E-2</v>
      </c>
      <c r="W43" s="72">
        <f t="shared" si="42"/>
        <v>7.297762459284276</v>
      </c>
      <c r="X43" s="73">
        <f>VLOOKUP($B43,'Scoring Summary'!$B$5:$O$129,14,FALSE)</f>
        <v>2.0516568573871817E-2</v>
      </c>
      <c r="Y43" s="72">
        <f t="shared" si="43"/>
        <v>4.8510914233881621</v>
      </c>
      <c r="Z43" s="74">
        <f t="shared" si="44"/>
        <v>12.996335974718356</v>
      </c>
      <c r="AA43" s="67">
        <f t="shared" si="45"/>
        <v>249.4438396555291</v>
      </c>
      <c r="AB43" s="70">
        <f t="shared" si="46"/>
        <v>224.11732454236937</v>
      </c>
      <c r="AC43" s="58"/>
      <c r="AD43" s="75">
        <f t="shared" si="47"/>
        <v>328.42835712760473</v>
      </c>
      <c r="AE43" s="68">
        <f t="shared" si="48"/>
        <v>0.29938774578633065</v>
      </c>
      <c r="AF43" s="67">
        <f t="shared" si="49"/>
        <v>0</v>
      </c>
      <c r="AG43" s="67">
        <f t="shared" si="50"/>
        <v>0</v>
      </c>
      <c r="AH43" s="67">
        <f t="shared" si="51"/>
        <v>438.8</v>
      </c>
      <c r="AI43" s="58"/>
      <c r="AJ43" s="76">
        <f t="shared" si="52"/>
        <v>438.8</v>
      </c>
      <c r="AK43" s="68">
        <f t="shared" si="2"/>
        <v>0.4</v>
      </c>
      <c r="AL43" s="77">
        <f t="shared" si="22"/>
        <v>2.3341667109952661E-3</v>
      </c>
      <c r="AM43" s="58"/>
      <c r="AN43" s="83">
        <v>628</v>
      </c>
      <c r="AO43" s="78">
        <f t="shared" si="53"/>
        <v>2.9277389277389278E-3</v>
      </c>
      <c r="AP43" s="58"/>
      <c r="AQ43" s="79">
        <v>0.56696111823990014</v>
      </c>
      <c r="AR43" s="58"/>
      <c r="AS43" s="80">
        <f t="shared" si="54"/>
        <v>438.8</v>
      </c>
      <c r="AT43" s="81">
        <f t="shared" si="55"/>
        <v>0</v>
      </c>
      <c r="AU43" s="81">
        <f t="shared" si="56"/>
        <v>0</v>
      </c>
      <c r="AV43" s="82">
        <f t="shared" si="57"/>
        <v>2.3341667109952661E-3</v>
      </c>
      <c r="AW43" s="82">
        <f t="shared" si="58"/>
        <v>2.4830525230413389E-3</v>
      </c>
      <c r="AX43" s="67">
        <f t="shared" si="59"/>
        <v>6.9191016222739874</v>
      </c>
      <c r="AY43" s="210">
        <f t="shared" si="60"/>
        <v>445.71910162227402</v>
      </c>
    </row>
    <row r="44" spans="1:51" x14ac:dyDescent="0.2">
      <c r="A44" s="63" t="s">
        <v>2</v>
      </c>
      <c r="B44" s="63" t="s">
        <v>38</v>
      </c>
      <c r="C44" s="63"/>
      <c r="D44" s="64">
        <f>('SCS Input'!C39/'SCS Input'!C$134)</f>
        <v>8.8933721289484874E-3</v>
      </c>
      <c r="E44" s="65">
        <f t="shared" si="32"/>
        <v>1170.3055185647183</v>
      </c>
      <c r="F44" s="66">
        <f>('SCS Input'!D39/'SCS Input'!D$134)</f>
        <v>2.8648516691155684E-2</v>
      </c>
      <c r="G44" s="65">
        <f t="shared" si="33"/>
        <v>1615.6903958311073</v>
      </c>
      <c r="H44" s="58"/>
      <c r="I44" s="67">
        <v>3273</v>
      </c>
      <c r="J44" s="68">
        <f t="shared" si="34"/>
        <v>0.35756355593178074</v>
      </c>
      <c r="K44" s="58"/>
      <c r="L44" s="69">
        <f t="shared" si="35"/>
        <v>1.2685259828847823E-2</v>
      </c>
      <c r="M44" s="69" t="str">
        <f t="shared" si="36"/>
        <v/>
      </c>
      <c r="N44" s="69">
        <f t="shared" si="37"/>
        <v>1.2756255358952371E-2</v>
      </c>
      <c r="O44" s="58"/>
      <c r="P44" s="67">
        <f t="shared" si="38"/>
        <v>0</v>
      </c>
      <c r="Q44" s="67">
        <f t="shared" si="39"/>
        <v>7.6082643458831853</v>
      </c>
      <c r="R44" s="202">
        <f t="shared" si="40"/>
        <v>1623.2986601769903</v>
      </c>
      <c r="S44" s="58"/>
      <c r="T44" s="71">
        <f>VLOOKUP($B44,'Scoring Summary'!$B$5:$O$129,12,FALSE)</f>
        <v>-0.30465949820788529</v>
      </c>
      <c r="U44" s="72">
        <f t="shared" si="41"/>
        <v>-494.55335525105437</v>
      </c>
      <c r="V44" s="73">
        <f>VLOOKUP($B44,'Scoring Summary'!$B$5:$O$129,13,FALSE)</f>
        <v>0.11111111111111113</v>
      </c>
      <c r="W44" s="72">
        <f t="shared" si="42"/>
        <v>180.36651779744341</v>
      </c>
      <c r="X44" s="73">
        <f>VLOOKUP($B44,'Scoring Summary'!$B$5:$O$129,14,FALSE)</f>
        <v>7.8260457956500121E-2</v>
      </c>
      <c r="Y44" s="72">
        <f t="shared" si="43"/>
        <v>127.04009654562432</v>
      </c>
      <c r="Z44" s="74">
        <f t="shared" si="44"/>
        <v>-187.14674090798664</v>
      </c>
      <c r="AA44" s="67">
        <f t="shared" si="45"/>
        <v>1436.1519192690037</v>
      </c>
      <c r="AB44" s="70">
        <f t="shared" si="46"/>
        <v>1290.3366394112654</v>
      </c>
      <c r="AC44" s="58"/>
      <c r="AD44" s="75">
        <f t="shared" si="47"/>
        <v>2460.6421579759835</v>
      </c>
      <c r="AE44" s="68">
        <f t="shared" si="48"/>
        <v>0.75180023158447407</v>
      </c>
      <c r="AF44" s="67">
        <f t="shared" si="49"/>
        <v>2460.6421579759835</v>
      </c>
      <c r="AG44" s="67">
        <f t="shared" si="50"/>
        <v>2386.0878915844555</v>
      </c>
      <c r="AH44" s="67">
        <f t="shared" si="51"/>
        <v>0</v>
      </c>
      <c r="AI44" s="58"/>
      <c r="AJ44" s="76">
        <f t="shared" si="52"/>
        <v>2386.0878915844555</v>
      </c>
      <c r="AK44" s="68">
        <f t="shared" si="2"/>
        <v>0.72902165951251319</v>
      </c>
      <c r="AL44" s="77">
        <f t="shared" si="22"/>
        <v>1.2692632010130623E-2</v>
      </c>
      <c r="AM44" s="58"/>
      <c r="AN44" s="67">
        <v>2826</v>
      </c>
      <c r="AO44" s="78">
        <f t="shared" si="53"/>
        <v>1.3174825174825175E-2</v>
      </c>
      <c r="AP44" s="58"/>
      <c r="AQ44" s="79">
        <v>0.40155875710086075</v>
      </c>
      <c r="AR44" s="58"/>
      <c r="AS44" s="80">
        <f t="shared" si="54"/>
        <v>2386.0878915844555</v>
      </c>
      <c r="AT44" s="81">
        <f t="shared" si="55"/>
        <v>0</v>
      </c>
      <c r="AU44" s="81">
        <f t="shared" si="56"/>
        <v>0</v>
      </c>
      <c r="AV44" s="82">
        <f t="shared" si="57"/>
        <v>1.2692632010130623E-2</v>
      </c>
      <c r="AW44" s="82">
        <f t="shared" si="58"/>
        <v>1.350223691749583E-2</v>
      </c>
      <c r="AX44" s="67">
        <f t="shared" si="59"/>
        <v>37.62439517217485</v>
      </c>
      <c r="AY44" s="210">
        <f t="shared" si="60"/>
        <v>2423.7122867566304</v>
      </c>
    </row>
    <row r="45" spans="1:51" x14ac:dyDescent="0.2">
      <c r="A45" s="63" t="s">
        <v>2</v>
      </c>
      <c r="B45" s="63" t="s">
        <v>39</v>
      </c>
      <c r="C45" s="63"/>
      <c r="D45" s="64">
        <f>('SCS Input'!C40/'SCS Input'!C$134)</f>
        <v>3.0858289023049253E-3</v>
      </c>
      <c r="E45" s="65">
        <f t="shared" si="32"/>
        <v>406.07348274101201</v>
      </c>
      <c r="F45" s="66">
        <f>('SCS Input'!D40/'SCS Input'!D$134)</f>
        <v>3.0109672223396413E-3</v>
      </c>
      <c r="G45" s="65">
        <f t="shared" si="33"/>
        <v>169.80951843828876</v>
      </c>
      <c r="H45" s="58"/>
      <c r="I45" s="67">
        <v>1004</v>
      </c>
      <c r="J45" s="68">
        <f t="shared" si="34"/>
        <v>0.40445566010060957</v>
      </c>
      <c r="K45" s="58"/>
      <c r="L45" s="69">
        <f t="shared" si="35"/>
        <v>3.8912315515316881E-3</v>
      </c>
      <c r="M45" s="69" t="str">
        <f t="shared" si="36"/>
        <v/>
      </c>
      <c r="N45" s="69">
        <f t="shared" si="37"/>
        <v>3.9130095876529734E-3</v>
      </c>
      <c r="O45" s="58"/>
      <c r="P45" s="67">
        <f t="shared" si="38"/>
        <v>0</v>
      </c>
      <c r="Q45" s="67">
        <f t="shared" si="39"/>
        <v>2.3338519411141823</v>
      </c>
      <c r="R45" s="202">
        <f t="shared" si="40"/>
        <v>172.14337037940294</v>
      </c>
      <c r="S45" s="58"/>
      <c r="T45" s="71">
        <f>VLOOKUP($B45,'Scoring Summary'!$B$5:$O$129,12,FALSE)</f>
        <v>-8.9605734767025061E-2</v>
      </c>
      <c r="U45" s="72">
        <f t="shared" si="41"/>
        <v>-15.425033188118539</v>
      </c>
      <c r="V45" s="73">
        <f>VLOOKUP($B45,'Scoring Summary'!$B$5:$O$129,13,FALSE)</f>
        <v>-0.24074074074074076</v>
      </c>
      <c r="W45" s="72">
        <f t="shared" si="42"/>
        <v>-41.441922498745157</v>
      </c>
      <c r="X45" s="73">
        <f>VLOOKUP($B45,'Scoring Summary'!$B$5:$O$129,14,FALSE)</f>
        <v>0.14628235979837872</v>
      </c>
      <c r="Y45" s="72">
        <f t="shared" si="43"/>
        <v>25.181538442745392</v>
      </c>
      <c r="Z45" s="74">
        <f t="shared" si="44"/>
        <v>-31.685417244118305</v>
      </c>
      <c r="AA45" s="67">
        <f t="shared" si="45"/>
        <v>140.45795313528464</v>
      </c>
      <c r="AB45" s="70">
        <f t="shared" si="46"/>
        <v>126.196985705675</v>
      </c>
      <c r="AC45" s="58"/>
      <c r="AD45" s="75">
        <f t="shared" si="47"/>
        <v>532.270468446687</v>
      </c>
      <c r="AE45" s="68">
        <f t="shared" si="48"/>
        <v>0.53014986897080374</v>
      </c>
      <c r="AF45" s="67">
        <f t="shared" si="49"/>
        <v>532.270468446687</v>
      </c>
      <c r="AG45" s="67">
        <f t="shared" si="50"/>
        <v>516.14336350853569</v>
      </c>
      <c r="AH45" s="67">
        <f t="shared" si="51"/>
        <v>0</v>
      </c>
      <c r="AI45" s="58"/>
      <c r="AJ45" s="76">
        <f t="shared" si="52"/>
        <v>516.14336350853569</v>
      </c>
      <c r="AK45" s="68">
        <f t="shared" si="2"/>
        <v>0.51408701544674873</v>
      </c>
      <c r="AL45" s="77">
        <f t="shared" si="22"/>
        <v>2.7455894649105576E-3</v>
      </c>
      <c r="AM45" s="58"/>
      <c r="AN45" s="83">
        <v>298</v>
      </c>
      <c r="AO45" s="78">
        <f t="shared" si="53"/>
        <v>1.3892773892773894E-3</v>
      </c>
      <c r="AP45" s="58"/>
      <c r="AQ45" s="79">
        <v>1.2420110286620374</v>
      </c>
      <c r="AR45" s="58"/>
      <c r="AS45" s="80">
        <f t="shared" si="54"/>
        <v>516.14336350853569</v>
      </c>
      <c r="AT45" s="81">
        <f t="shared" si="55"/>
        <v>447</v>
      </c>
      <c r="AU45" s="81">
        <f t="shared" si="56"/>
        <v>69.143363508535685</v>
      </c>
      <c r="AV45" s="82">
        <f t="shared" si="57"/>
        <v>0</v>
      </c>
      <c r="AW45" s="82">
        <f t="shared" si="58"/>
        <v>0</v>
      </c>
      <c r="AX45" s="67">
        <f t="shared" si="59"/>
        <v>0</v>
      </c>
      <c r="AY45" s="210">
        <f t="shared" si="60"/>
        <v>447</v>
      </c>
    </row>
    <row r="46" spans="1:51" x14ac:dyDescent="0.2">
      <c r="A46" s="63" t="s">
        <v>2</v>
      </c>
      <c r="B46" s="63" t="s">
        <v>40</v>
      </c>
      <c r="C46" s="63"/>
      <c r="D46" s="64">
        <f>('SCS Input'!C41/'SCS Input'!C$134)</f>
        <v>5.3598197470677324E-3</v>
      </c>
      <c r="E46" s="65">
        <f t="shared" si="32"/>
        <v>705.31475997588416</v>
      </c>
      <c r="F46" s="66">
        <f>('SCS Input'!D41/'SCS Input'!D$134)</f>
        <v>1.6389262723462854E-2</v>
      </c>
      <c r="G46" s="65">
        <f t="shared" si="33"/>
        <v>924.30524981513463</v>
      </c>
      <c r="H46" s="58"/>
      <c r="I46" s="67">
        <v>1979</v>
      </c>
      <c r="J46" s="68">
        <f t="shared" si="34"/>
        <v>0.35639957553101775</v>
      </c>
      <c r="K46" s="58"/>
      <c r="L46" s="69">
        <f t="shared" si="35"/>
        <v>7.670066972590847E-3</v>
      </c>
      <c r="M46" s="69" t="str">
        <f t="shared" si="36"/>
        <v/>
      </c>
      <c r="N46" s="69">
        <f t="shared" si="37"/>
        <v>7.7129939979733398E-3</v>
      </c>
      <c r="O46" s="58"/>
      <c r="P46" s="67">
        <f t="shared" si="38"/>
        <v>0</v>
      </c>
      <c r="Q46" s="67">
        <f t="shared" si="39"/>
        <v>4.6002918241682931</v>
      </c>
      <c r="R46" s="202">
        <f t="shared" si="40"/>
        <v>928.9055416393029</v>
      </c>
      <c r="S46" s="58"/>
      <c r="T46" s="71">
        <f>VLOOKUP($B46,'Scoring Summary'!$B$5:$O$129,12,FALSE)</f>
        <v>-0.23297491039426521</v>
      </c>
      <c r="U46" s="72">
        <f t="shared" si="41"/>
        <v>-216.41168532815297</v>
      </c>
      <c r="V46" s="73">
        <f>VLOOKUP($B46,'Scoring Summary'!$B$5:$O$129,13,FALSE)</f>
        <v>0.13580246913580249</v>
      </c>
      <c r="W46" s="72">
        <f t="shared" si="42"/>
        <v>126.14766614854733</v>
      </c>
      <c r="X46" s="73">
        <f>VLOOKUP($B46,'Scoring Summary'!$B$5:$O$129,14,FALSE)</f>
        <v>-3.1246077864170489E-2</v>
      </c>
      <c r="Y46" s="72">
        <f t="shared" si="43"/>
        <v>-29.024654882521119</v>
      </c>
      <c r="Z46" s="74">
        <f t="shared" si="44"/>
        <v>-119.28867406212676</v>
      </c>
      <c r="AA46" s="67">
        <f t="shared" si="45"/>
        <v>809.61686757717609</v>
      </c>
      <c r="AB46" s="70">
        <f t="shared" si="46"/>
        <v>727.41490235374715</v>
      </c>
      <c r="AC46" s="58"/>
      <c r="AD46" s="75">
        <f t="shared" si="47"/>
        <v>1432.7296623296313</v>
      </c>
      <c r="AE46" s="68">
        <f t="shared" si="48"/>
        <v>0.72396647919637758</v>
      </c>
      <c r="AF46" s="67">
        <f t="shared" si="49"/>
        <v>1432.7296623296313</v>
      </c>
      <c r="AG46" s="67">
        <f t="shared" si="50"/>
        <v>1389.3198115448956</v>
      </c>
      <c r="AH46" s="67">
        <f t="shared" si="51"/>
        <v>0</v>
      </c>
      <c r="AI46" s="58"/>
      <c r="AJ46" s="76">
        <f t="shared" si="52"/>
        <v>1389.3198115448956</v>
      </c>
      <c r="AK46" s="68">
        <f t="shared" si="2"/>
        <v>0.70203123372657683</v>
      </c>
      <c r="AL46" s="77">
        <f t="shared" si="22"/>
        <v>7.3903921035421878E-3</v>
      </c>
      <c r="AM46" s="58"/>
      <c r="AN46" s="67">
        <v>3463</v>
      </c>
      <c r="AO46" s="78">
        <f t="shared" si="53"/>
        <v>1.6144522144522146E-2</v>
      </c>
      <c r="AP46" s="58"/>
      <c r="AQ46" s="79">
        <v>-0.63016698440894159</v>
      </c>
      <c r="AR46" s="58"/>
      <c r="AS46" s="80">
        <f t="shared" si="54"/>
        <v>1389.3198115448956</v>
      </c>
      <c r="AT46" s="81">
        <f t="shared" si="55"/>
        <v>0</v>
      </c>
      <c r="AU46" s="81">
        <f t="shared" si="56"/>
        <v>0</v>
      </c>
      <c r="AV46" s="82">
        <f t="shared" si="57"/>
        <v>7.3903921035421878E-3</v>
      </c>
      <c r="AW46" s="82">
        <f t="shared" si="58"/>
        <v>7.8617913932722671E-3</v>
      </c>
      <c r="AX46" s="67">
        <f t="shared" si="59"/>
        <v>21.90712160874585</v>
      </c>
      <c r="AY46" s="210">
        <f t="shared" si="60"/>
        <v>1411.2269331536415</v>
      </c>
    </row>
    <row r="47" spans="1:51" x14ac:dyDescent="0.2">
      <c r="A47" s="63" t="s">
        <v>2</v>
      </c>
      <c r="B47" s="63" t="s">
        <v>41</v>
      </c>
      <c r="C47" s="63"/>
      <c r="D47" s="64">
        <f>('SCS Input'!C42/'SCS Input'!C$134)</f>
        <v>6.0886808852188661E-3</v>
      </c>
      <c r="E47" s="65">
        <f t="shared" si="32"/>
        <v>801.22778372860625</v>
      </c>
      <c r="F47" s="66">
        <f>('SCS Input'!D42/'SCS Input'!D$134)</f>
        <v>2.2590803693374788E-2</v>
      </c>
      <c r="G47" s="65">
        <f t="shared" si="33"/>
        <v>1274.0535558952581</v>
      </c>
      <c r="H47" s="58"/>
      <c r="I47" s="67">
        <v>2129</v>
      </c>
      <c r="J47" s="68">
        <f t="shared" si="34"/>
        <v>0.3763399641750147</v>
      </c>
      <c r="K47" s="58"/>
      <c r="L47" s="69">
        <f t="shared" si="35"/>
        <v>8.25142626813841E-3</v>
      </c>
      <c r="M47" s="69" t="str">
        <f t="shared" si="36"/>
        <v/>
      </c>
      <c r="N47" s="69">
        <f t="shared" si="37"/>
        <v>8.2976069841764737E-3</v>
      </c>
      <c r="O47" s="58"/>
      <c r="P47" s="67">
        <f t="shared" si="38"/>
        <v>0</v>
      </c>
      <c r="Q47" s="67">
        <f t="shared" si="39"/>
        <v>4.9489748830996954</v>
      </c>
      <c r="R47" s="202">
        <f t="shared" si="40"/>
        <v>1279.0025307783578</v>
      </c>
      <c r="S47" s="58"/>
      <c r="T47" s="71">
        <f>VLOOKUP($B47,'Scoring Summary'!$B$5:$O$129,12,FALSE)</f>
        <v>-1.7921146953405014E-2</v>
      </c>
      <c r="U47" s="72">
        <f t="shared" si="41"/>
        <v>-22.921192307855868</v>
      </c>
      <c r="V47" s="73">
        <f>VLOOKUP($B47,'Scoring Summary'!$B$5:$O$129,13,FALSE)</f>
        <v>0.27160493827160492</v>
      </c>
      <c r="W47" s="72">
        <f t="shared" si="42"/>
        <v>347.38340342128237</v>
      </c>
      <c r="X47" s="73">
        <f>VLOOKUP($B47,'Scoring Summary'!$B$5:$O$129,14,FALSE)</f>
        <v>1.484684125545499E-2</v>
      </c>
      <c r="Y47" s="72">
        <f t="shared" si="43"/>
        <v>18.989147539791464</v>
      </c>
      <c r="Z47" s="74">
        <f t="shared" si="44"/>
        <v>343.45135865321799</v>
      </c>
      <c r="AA47" s="67">
        <f t="shared" si="45"/>
        <v>1622.4538894315758</v>
      </c>
      <c r="AB47" s="70">
        <f t="shared" si="46"/>
        <v>1457.72301049771</v>
      </c>
      <c r="AC47" s="58"/>
      <c r="AD47" s="75">
        <f t="shared" si="47"/>
        <v>2258.9507942263162</v>
      </c>
      <c r="AE47" s="68">
        <f t="shared" si="48"/>
        <v>1.0610384190823468</v>
      </c>
      <c r="AF47" s="67">
        <f t="shared" si="49"/>
        <v>2258.9507942263162</v>
      </c>
      <c r="AG47" s="67">
        <f t="shared" si="50"/>
        <v>2190.5075146002232</v>
      </c>
      <c r="AH47" s="67">
        <f t="shared" si="51"/>
        <v>0</v>
      </c>
      <c r="AI47" s="58"/>
      <c r="AJ47" s="76">
        <f t="shared" si="52"/>
        <v>2190.5075146002232</v>
      </c>
      <c r="AK47" s="68">
        <f t="shared" si="2"/>
        <v>1.0288903309536042</v>
      </c>
      <c r="AL47" s="77">
        <f t="shared" si="22"/>
        <v>1.1652255516783996E-2</v>
      </c>
      <c r="AM47" s="58"/>
      <c r="AN47" s="67">
        <v>1958</v>
      </c>
      <c r="AO47" s="78">
        <f t="shared" si="53"/>
        <v>9.1282051282051274E-3</v>
      </c>
      <c r="AP47" s="58"/>
      <c r="AQ47" s="79">
        <v>-0.19051375417162331</v>
      </c>
      <c r="AR47" s="58"/>
      <c r="AS47" s="80">
        <f t="shared" si="54"/>
        <v>2190.5075146002232</v>
      </c>
      <c r="AT47" s="81">
        <f t="shared" si="55"/>
        <v>0</v>
      </c>
      <c r="AU47" s="81">
        <f t="shared" si="56"/>
        <v>0</v>
      </c>
      <c r="AV47" s="82">
        <f t="shared" si="57"/>
        <v>1.1652255516783996E-2</v>
      </c>
      <c r="AW47" s="82">
        <f t="shared" si="58"/>
        <v>1.2395499568981533E-2</v>
      </c>
      <c r="AX47" s="67">
        <f t="shared" si="59"/>
        <v>34.540437780022252</v>
      </c>
      <c r="AY47" s="210">
        <f t="shared" si="60"/>
        <v>2225.0479523802455</v>
      </c>
    </row>
    <row r="48" spans="1:51" x14ac:dyDescent="0.2">
      <c r="A48" s="63" t="s">
        <v>2</v>
      </c>
      <c r="B48" s="63" t="s">
        <v>106</v>
      </c>
      <c r="C48" s="63"/>
      <c r="D48" s="64">
        <f>('SCS Input'!C43/'SCS Input'!C$134)</f>
        <v>4.5427941358729381E-3</v>
      </c>
      <c r="E48" s="65">
        <f t="shared" si="32"/>
        <v>597.79990872192752</v>
      </c>
      <c r="F48" s="66">
        <f>('SCS Input'!D43/'SCS Input'!D$134)</f>
        <v>1.4095787594568929E-2</v>
      </c>
      <c r="G48" s="65">
        <f t="shared" si="33"/>
        <v>794.96013297090394</v>
      </c>
      <c r="H48" s="58"/>
      <c r="I48" s="67">
        <v>5207</v>
      </c>
      <c r="J48" s="68">
        <f t="shared" si="34"/>
        <v>0.11480697305971337</v>
      </c>
      <c r="K48" s="58"/>
      <c r="L48" s="69">
        <f t="shared" si="35"/>
        <v>2.0180919012774402E-2</v>
      </c>
      <c r="M48" s="69" t="str">
        <f t="shared" si="36"/>
        <v/>
      </c>
      <c r="N48" s="69">
        <f t="shared" si="37"/>
        <v>2.0293865461064771E-2</v>
      </c>
      <c r="O48" s="58"/>
      <c r="P48" s="67">
        <f t="shared" si="38"/>
        <v>0</v>
      </c>
      <c r="Q48" s="67">
        <f t="shared" si="39"/>
        <v>12.103951252372058</v>
      </c>
      <c r="R48" s="202">
        <f t="shared" si="40"/>
        <v>807.06408422327604</v>
      </c>
      <c r="S48" s="58"/>
      <c r="T48" s="71">
        <f>VLOOKUP($B48,'Scoring Summary'!$B$5:$O$129,12,FALSE)</f>
        <v>-0.21146953405017921</v>
      </c>
      <c r="U48" s="72">
        <f t="shared" si="41"/>
        <v>-170.66946583933077</v>
      </c>
      <c r="V48" s="73">
        <f>VLOOKUP($B48,'Scoring Summary'!$B$5:$O$129,13,FALSE)</f>
        <v>0.26543209876543206</v>
      </c>
      <c r="W48" s="72">
        <f t="shared" si="42"/>
        <v>214.22071371358558</v>
      </c>
      <c r="X48" s="73">
        <f>VLOOKUP($B48,'Scoring Summary'!$B$5:$O$129,14,FALSE)</f>
        <v>-3.1177927337136514E-2</v>
      </c>
      <c r="Y48" s="72">
        <f t="shared" si="43"/>
        <v>-25.162585374325925</v>
      </c>
      <c r="Z48" s="74">
        <f t="shared" si="44"/>
        <v>18.388662499928888</v>
      </c>
      <c r="AA48" s="67">
        <f t="shared" si="45"/>
        <v>825.45274672320488</v>
      </c>
      <c r="AB48" s="70">
        <f t="shared" si="46"/>
        <v>741.64293408580124</v>
      </c>
      <c r="AC48" s="58"/>
      <c r="AD48" s="75">
        <f t="shared" si="47"/>
        <v>1339.4428428077288</v>
      </c>
      <c r="AE48" s="68">
        <f t="shared" si="48"/>
        <v>0.25723887897210079</v>
      </c>
      <c r="AF48" s="67">
        <f t="shared" si="49"/>
        <v>0</v>
      </c>
      <c r="AG48" s="67">
        <f t="shared" si="50"/>
        <v>0</v>
      </c>
      <c r="AH48" s="67">
        <f>AD48</f>
        <v>1339.4428428077288</v>
      </c>
      <c r="AI48" s="58"/>
      <c r="AJ48" s="76">
        <f t="shared" si="52"/>
        <v>1339.4428428077288</v>
      </c>
      <c r="AK48" s="68">
        <f t="shared" si="2"/>
        <v>0.25723887897210079</v>
      </c>
      <c r="AL48" s="77">
        <f t="shared" si="22"/>
        <v>7.1250749657307778E-3</v>
      </c>
      <c r="AM48" s="58"/>
      <c r="AN48" s="67">
        <v>3508</v>
      </c>
      <c r="AO48" s="78">
        <f t="shared" si="53"/>
        <v>1.6354312354312353E-2</v>
      </c>
      <c r="AP48" s="58"/>
      <c r="AQ48" s="79">
        <v>-0.18200158762167645</v>
      </c>
      <c r="AR48" s="58"/>
      <c r="AS48" s="80">
        <f t="shared" si="54"/>
        <v>1339.4428428077288</v>
      </c>
      <c r="AT48" s="81">
        <f t="shared" si="55"/>
        <v>0</v>
      </c>
      <c r="AU48" s="81">
        <f t="shared" si="56"/>
        <v>0</v>
      </c>
      <c r="AV48" s="82">
        <f t="shared" si="57"/>
        <v>7.1250749657307778E-3</v>
      </c>
      <c r="AW48" s="82">
        <f t="shared" si="58"/>
        <v>7.5795508894790208E-3</v>
      </c>
      <c r="AX48" s="67">
        <f t="shared" si="59"/>
        <v>21.120649832758062</v>
      </c>
      <c r="AY48" s="210">
        <f t="shared" si="60"/>
        <v>1360.5634926404869</v>
      </c>
    </row>
    <row r="49" spans="1:51" s="49" customFormat="1" x14ac:dyDescent="0.2">
      <c r="A49" s="84"/>
      <c r="B49" s="84"/>
      <c r="C49" s="84"/>
      <c r="D49" s="85">
        <f>SUM(D29:D48)</f>
        <v>9.3248292789397641E-2</v>
      </c>
      <c r="E49" s="86">
        <f>SUM(E29:E48)</f>
        <v>12270.822593035206</v>
      </c>
      <c r="F49" s="85">
        <f>SUM(F29:F48)</f>
        <v>0.16898722152369572</v>
      </c>
      <c r="G49" s="86">
        <f>SUM(G29:G48)</f>
        <v>9530.3723322718688</v>
      </c>
      <c r="H49" s="58"/>
      <c r="I49" s="87">
        <f>SUM(I29:I48)</f>
        <v>33986</v>
      </c>
      <c r="J49" s="88"/>
      <c r="K49" s="58"/>
      <c r="L49" s="89">
        <f>I49/I$139</f>
        <v>0.13172051345652983</v>
      </c>
      <c r="M49" s="90"/>
      <c r="N49" s="90"/>
      <c r="O49" s="91"/>
      <c r="P49" s="87">
        <f>SUM(P29:P48)</f>
        <v>241.33059391884993</v>
      </c>
      <c r="Q49" s="87">
        <f>SUM(Q29:Q48)</f>
        <v>77.168210048971616</v>
      </c>
      <c r="R49" s="203">
        <f>SUM(R29:R48)</f>
        <v>9366.2099484019891</v>
      </c>
      <c r="S49" s="58"/>
      <c r="T49" s="93"/>
      <c r="U49" s="94">
        <f>SUM(U29:U48)</f>
        <v>-1200.323529813759</v>
      </c>
      <c r="V49" s="95"/>
      <c r="W49" s="94">
        <f>SUM(W29:W48)</f>
        <v>843.61479878144405</v>
      </c>
      <c r="X49" s="95"/>
      <c r="Y49" s="94">
        <f>SUM(Y29:Y48)</f>
        <v>-12.134477935993665</v>
      </c>
      <c r="Z49" s="96">
        <f>SUM(Z29:Z48)</f>
        <v>-368.84320896830872</v>
      </c>
      <c r="AA49" s="119"/>
      <c r="AB49" s="92">
        <f>SUM(AB29:AB48)</f>
        <v>8083.8467061484771</v>
      </c>
      <c r="AC49" s="58"/>
      <c r="AD49" s="97">
        <f>SUM(AD29:AD48)</f>
        <v>20354.669299183679</v>
      </c>
      <c r="AE49" s="88"/>
      <c r="AF49" s="87">
        <f>SUM(AF29:AF48)</f>
        <v>16335.75146114398</v>
      </c>
      <c r="AG49" s="87">
        <f>SUM(AG29:AG48)</f>
        <v>15840.799376302144</v>
      </c>
      <c r="AH49" s="87">
        <f>SUM(AH29:AH48)</f>
        <v>4980.2574252717413</v>
      </c>
      <c r="AI49" s="58"/>
      <c r="AJ49" s="98">
        <f>SUM(AJ29:AJ48)</f>
        <v>20821.056801573886</v>
      </c>
      <c r="AK49" s="88"/>
      <c r="AL49" s="99">
        <f t="shared" si="22"/>
        <v>0.11075619342291552</v>
      </c>
      <c r="AM49" s="58"/>
      <c r="AN49" s="87">
        <f>SUM(AN29:AN48)</f>
        <v>27072</v>
      </c>
      <c r="AO49" s="100">
        <f t="shared" si="53"/>
        <v>0.1262097902097902</v>
      </c>
      <c r="AP49" s="58"/>
      <c r="AQ49" s="101">
        <v>7.4863232580504979E-2</v>
      </c>
      <c r="AR49" s="58"/>
      <c r="AS49" s="102">
        <f>AJ49</f>
        <v>20821.056801573886</v>
      </c>
      <c r="AT49" s="103">
        <f t="shared" ref="AT49:AY49" si="61">SUM(AT29:AT48)</f>
        <v>2289</v>
      </c>
      <c r="AU49" s="103">
        <f t="shared" si="61"/>
        <v>538.08513499554101</v>
      </c>
      <c r="AV49" s="104">
        <f t="shared" si="61"/>
        <v>9.5717706615130307E-2</v>
      </c>
      <c r="AW49" s="104">
        <f t="shared" si="61"/>
        <v>0.10182310106251533</v>
      </c>
      <c r="AX49" s="87">
        <f t="shared" si="61"/>
        <v>283.73317809793616</v>
      </c>
      <c r="AY49" s="211">
        <f t="shared" si="61"/>
        <v>20566.704844676275</v>
      </c>
    </row>
    <row r="50" spans="1:51" s="49" customFormat="1" x14ac:dyDescent="0.2">
      <c r="A50" s="105"/>
      <c r="B50" s="105"/>
      <c r="C50" s="105"/>
      <c r="D50" s="106"/>
      <c r="E50" s="107"/>
      <c r="F50" s="107"/>
      <c r="G50" s="107"/>
      <c r="H50" s="58"/>
      <c r="I50" s="108"/>
      <c r="J50" s="115"/>
      <c r="K50" s="58"/>
      <c r="L50" s="109"/>
      <c r="M50" s="109"/>
      <c r="N50" s="109"/>
      <c r="O50" s="58"/>
      <c r="P50" s="108"/>
      <c r="Q50" s="108"/>
      <c r="R50" s="204"/>
      <c r="S50" s="58"/>
      <c r="T50" s="71"/>
      <c r="U50" s="72"/>
      <c r="V50" s="71"/>
      <c r="W50" s="72"/>
      <c r="X50" s="71"/>
      <c r="Y50" s="72"/>
      <c r="Z50" s="111"/>
      <c r="AA50" s="112"/>
      <c r="AB50" s="110"/>
      <c r="AC50" s="58"/>
      <c r="AD50" s="113"/>
      <c r="AE50" s="115"/>
      <c r="AF50" s="112"/>
      <c r="AG50" s="112"/>
      <c r="AH50" s="112"/>
      <c r="AI50" s="58"/>
      <c r="AJ50" s="114"/>
      <c r="AK50" s="115"/>
      <c r="AL50" s="116"/>
      <c r="AM50" s="58"/>
      <c r="AN50" s="108"/>
      <c r="AO50" s="112"/>
      <c r="AP50" s="58"/>
      <c r="AQ50" s="79"/>
      <c r="AR50" s="58"/>
      <c r="AS50" s="117"/>
      <c r="AT50" s="118"/>
      <c r="AU50" s="118"/>
      <c r="AV50" s="118"/>
      <c r="AW50" s="118"/>
      <c r="AX50" s="112"/>
      <c r="AY50" s="212"/>
    </row>
    <row r="51" spans="1:51" x14ac:dyDescent="0.2">
      <c r="A51" s="63" t="s">
        <v>3</v>
      </c>
      <c r="B51" s="63" t="s">
        <v>42</v>
      </c>
      <c r="C51" s="63"/>
      <c r="D51" s="64">
        <f>('SCS Input'!C46/'SCS Input'!C$134)</f>
        <v>0</v>
      </c>
      <c r="E51" s="65">
        <f t="shared" ref="E51:E62" si="62">D51*$E$10</f>
        <v>0</v>
      </c>
      <c r="F51" s="66">
        <f>('SCS Input'!D46/'SCS Input'!D$134)</f>
        <v>1.1267208374068451E-4</v>
      </c>
      <c r="G51" s="65">
        <f t="shared" ref="G51:G62" si="63">F51*$G$10</f>
        <v>6.3543675067233849</v>
      </c>
      <c r="H51" s="58"/>
      <c r="I51" s="83">
        <v>39</v>
      </c>
      <c r="J51" s="68">
        <f t="shared" ref="J51:J62" si="64">E51/I51</f>
        <v>0</v>
      </c>
      <c r="K51" s="58"/>
      <c r="L51" s="69">
        <f t="shared" ref="L51:L62" si="65">I51/I$139</f>
        <v>1.5115341684236638E-4</v>
      </c>
      <c r="M51" s="69" t="str">
        <f t="shared" ref="M51:M62" si="66">IF(J51&gt;$C$2,L51,"")</f>
        <v/>
      </c>
      <c r="N51" s="69">
        <f t="shared" ref="N51:N62" si="67">IF(M51="",L51/($L$139-$M$139),0)</f>
        <v>1.519993764128147E-4</v>
      </c>
      <c r="O51" s="58"/>
      <c r="P51" s="67">
        <f t="shared" ref="P51:P62" si="68">IF(J51&gt;$C$2,G51,0)</f>
        <v>0</v>
      </c>
      <c r="Q51" s="67">
        <f t="shared" ref="Q51:Q62" si="69">N51*$P$139</f>
        <v>9.0657595322164455E-2</v>
      </c>
      <c r="R51" s="202">
        <f t="shared" ref="R51:R62" si="70">(G51-P51)+Q51</f>
        <v>6.4450251020455491</v>
      </c>
      <c r="S51" s="58"/>
      <c r="T51" s="71">
        <f>VLOOKUP($B51,'Scoring Summary'!$B$5:$O$129,12,FALSE)</f>
        <v>0.33333333333333331</v>
      </c>
      <c r="U51" s="72">
        <f t="shared" ref="U51:U62" si="71">$R51*T51</f>
        <v>2.1483417006818497</v>
      </c>
      <c r="V51" s="73">
        <f>VLOOKUP($B51,'Scoring Summary'!$B$5:$O$129,13,FALSE)</f>
        <v>-0.33333333333333331</v>
      </c>
      <c r="W51" s="72">
        <f t="shared" ref="W51:W62" si="72">$R51*V51</f>
        <v>-2.1483417006818497</v>
      </c>
      <c r="X51" s="73">
        <f>VLOOKUP($B51,'Scoring Summary'!$B$5:$O$129,14,FALSE)</f>
        <v>-0.13399925731616821</v>
      </c>
      <c r="Y51" s="72">
        <f t="shared" ref="Y51:Y62" si="73">$R51*X51</f>
        <v>-0.86362857705816487</v>
      </c>
      <c r="Z51" s="74">
        <f t="shared" ref="Z51:Z62" si="74">U51+W51+Y51</f>
        <v>-0.86362857705816487</v>
      </c>
      <c r="AA51" s="67">
        <f t="shared" ref="AA51:AA62" si="75">R51+Z51</f>
        <v>5.581396524987384</v>
      </c>
      <c r="AB51" s="70">
        <f t="shared" ref="AB51:AB62" si="76">AA51/AA$139*R$139</f>
        <v>5.0147065492484026</v>
      </c>
      <c r="AC51" s="58"/>
      <c r="AD51" s="75">
        <f t="shared" ref="AD51:AD62" si="77">$E51+AB51</f>
        <v>5.0147065492484026</v>
      </c>
      <c r="AE51" s="68">
        <f t="shared" ref="AE51:AE62" si="78">AD51/$I51</f>
        <v>0.12858221921149751</v>
      </c>
      <c r="AF51" s="67">
        <f t="shared" ref="AF51:AF62" si="79">IF(OR(AE51&lt;$C$3,$J51&gt;=$C$2),0,AD51)</f>
        <v>0</v>
      </c>
      <c r="AG51" s="67">
        <f t="shared" ref="AG51:AG62" si="80">AF51/AF$139*(AD$139-AH$139)</f>
        <v>0</v>
      </c>
      <c r="AH51" s="67">
        <f t="shared" ref="AH51:AH61" si="81">IF(AE51&lt;$C$3,$I51*$C$3,IF($J51&gt;=$C$2,$E51,0))</f>
        <v>15.600000000000001</v>
      </c>
      <c r="AI51" s="58"/>
      <c r="AJ51" s="76">
        <f t="shared" ref="AJ51:AJ62" si="82">SUM(AG51:AH51)</f>
        <v>15.600000000000001</v>
      </c>
      <c r="AK51" s="68">
        <f t="shared" si="2"/>
        <v>0.4</v>
      </c>
      <c r="AL51" s="77">
        <f t="shared" si="22"/>
        <v>8.29831374009256E-5</v>
      </c>
      <c r="AM51" s="58"/>
      <c r="AN51" s="83">
        <v>17</v>
      </c>
      <c r="AO51" s="78">
        <f>AN51/$AN$139</f>
        <v>7.9254079254079249E-5</v>
      </c>
      <c r="AP51" s="58"/>
      <c r="AQ51" s="79">
        <v>0.24785462489358903</v>
      </c>
      <c r="AR51" s="58"/>
      <c r="AS51" s="80">
        <f t="shared" ref="AS51:AS62" si="83">AJ51</f>
        <v>15.600000000000001</v>
      </c>
      <c r="AT51" s="81">
        <f t="shared" ref="AT51:AT62" si="84">IF(AS51&gt;AN51*1.5,AN51*1.5,0)</f>
        <v>0</v>
      </c>
      <c r="AU51" s="81">
        <f t="shared" ref="AU51:AU62" si="85">IF(AT51=0,0,AS51-AT51)</f>
        <v>0</v>
      </c>
      <c r="AV51" s="82">
        <f t="shared" ref="AV51:AV62" si="86">IF(AT51&gt;0,0,AL51)</f>
        <v>8.29831374009256E-5</v>
      </c>
      <c r="AW51" s="82">
        <f t="shared" ref="AW51:AW62" si="87">IF(AV51="",0,AV51/$AV$139)</f>
        <v>8.8276251958625547E-5</v>
      </c>
      <c r="AX51" s="67">
        <f t="shared" ref="AX51:AX62" si="88">AW51*$AU$139</f>
        <v>0.24598446970709711</v>
      </c>
      <c r="AY51" s="210">
        <f t="shared" ref="AY51:AY62" si="89">IF(AT51=0,AS51+AX51,AT51)</f>
        <v>15.845984469707098</v>
      </c>
    </row>
    <row r="52" spans="1:51" x14ac:dyDescent="0.2">
      <c r="A52" s="63" t="s">
        <v>3</v>
      </c>
      <c r="B52" s="63" t="s">
        <v>43</v>
      </c>
      <c r="C52" s="63"/>
      <c r="D52" s="64">
        <f>('SCS Input'!C47/'SCS Input'!C$134)</f>
        <v>0</v>
      </c>
      <c r="E52" s="65">
        <f t="shared" si="62"/>
        <v>0</v>
      </c>
      <c r="F52" s="66">
        <f>('SCS Input'!D47/'SCS Input'!D$134)</f>
        <v>1.0376224600534667E-3</v>
      </c>
      <c r="G52" s="65">
        <f t="shared" si="63"/>
        <v>58.518793879635368</v>
      </c>
      <c r="H52" s="58"/>
      <c r="I52" s="83">
        <v>177</v>
      </c>
      <c r="J52" s="68">
        <f t="shared" si="64"/>
        <v>0</v>
      </c>
      <c r="K52" s="58"/>
      <c r="L52" s="69">
        <f t="shared" si="65"/>
        <v>6.8600396874612425E-4</v>
      </c>
      <c r="M52" s="69" t="str">
        <f t="shared" si="66"/>
        <v/>
      </c>
      <c r="N52" s="69">
        <f t="shared" si="67"/>
        <v>6.8984332371969741E-4</v>
      </c>
      <c r="O52" s="58"/>
      <c r="P52" s="67">
        <f t="shared" si="68"/>
        <v>0</v>
      </c>
      <c r="Q52" s="67">
        <f t="shared" si="69"/>
        <v>0.41144600953905403</v>
      </c>
      <c r="R52" s="202">
        <f t="shared" si="70"/>
        <v>58.930239889174423</v>
      </c>
      <c r="S52" s="58"/>
      <c r="T52" s="71">
        <f>VLOOKUP($B52,'Scoring Summary'!$B$5:$O$129,12,FALSE)</f>
        <v>0.33333333333333331</v>
      </c>
      <c r="U52" s="72">
        <f t="shared" si="71"/>
        <v>19.643413296391472</v>
      </c>
      <c r="V52" s="73">
        <f>VLOOKUP($B52,'Scoring Summary'!$B$5:$O$129,13,FALSE)</f>
        <v>-3.0864197530864172E-2</v>
      </c>
      <c r="W52" s="72">
        <f t="shared" si="72"/>
        <v>-1.8188345644806905</v>
      </c>
      <c r="X52" s="73">
        <f>VLOOKUP($B52,'Scoring Summary'!$B$5:$O$129,14,FALSE)</f>
        <v>-3.4326129795372723E-2</v>
      </c>
      <c r="Y52" s="72">
        <f t="shared" si="73"/>
        <v>-2.0228470633082525</v>
      </c>
      <c r="Z52" s="74">
        <f t="shared" si="74"/>
        <v>15.801731668602532</v>
      </c>
      <c r="AA52" s="67">
        <f t="shared" si="75"/>
        <v>74.731971557776959</v>
      </c>
      <c r="AB52" s="70">
        <f t="shared" si="76"/>
        <v>67.144290059175916</v>
      </c>
      <c r="AC52" s="58"/>
      <c r="AD52" s="75">
        <f t="shared" si="77"/>
        <v>67.144290059175916</v>
      </c>
      <c r="AE52" s="68">
        <f t="shared" si="78"/>
        <v>0.37934627152076789</v>
      </c>
      <c r="AF52" s="67">
        <f t="shared" si="79"/>
        <v>0</v>
      </c>
      <c r="AG52" s="67">
        <f t="shared" si="80"/>
        <v>0</v>
      </c>
      <c r="AH52" s="67">
        <f t="shared" si="81"/>
        <v>70.8</v>
      </c>
      <c r="AI52" s="58"/>
      <c r="AJ52" s="76">
        <f t="shared" si="82"/>
        <v>70.8</v>
      </c>
      <c r="AK52" s="68">
        <f t="shared" si="2"/>
        <v>0.39999999999999997</v>
      </c>
      <c r="AL52" s="77">
        <f t="shared" si="22"/>
        <v>3.7661577743496998E-4</v>
      </c>
      <c r="AM52" s="58"/>
      <c r="AN52" s="83">
        <v>244</v>
      </c>
      <c r="AO52" s="78">
        <f t="shared" ref="AO52:AO115" si="90">AN52/$AN$139</f>
        <v>1.1375291375291376E-3</v>
      </c>
      <c r="AP52" s="58"/>
      <c r="AQ52" s="79">
        <v>-0.35813810079136338</v>
      </c>
      <c r="AR52" s="58"/>
      <c r="AS52" s="80">
        <f t="shared" si="83"/>
        <v>70.8</v>
      </c>
      <c r="AT52" s="81">
        <f t="shared" si="84"/>
        <v>0</v>
      </c>
      <c r="AU52" s="81">
        <f t="shared" si="85"/>
        <v>0</v>
      </c>
      <c r="AV52" s="82">
        <f t="shared" si="86"/>
        <v>3.7661577743496998E-4</v>
      </c>
      <c r="AW52" s="82">
        <f t="shared" si="87"/>
        <v>4.0063837427376203E-4</v>
      </c>
      <c r="AX52" s="67">
        <f t="shared" si="88"/>
        <v>1.1163910548245175</v>
      </c>
      <c r="AY52" s="210">
        <f t="shared" si="89"/>
        <v>71.916391054824516</v>
      </c>
    </row>
    <row r="53" spans="1:51" x14ac:dyDescent="0.2">
      <c r="A53" s="63" t="s">
        <v>3</v>
      </c>
      <c r="B53" s="63" t="s">
        <v>44</v>
      </c>
      <c r="C53" s="63"/>
      <c r="D53" s="64">
        <f>('SCS Input'!C48/'SCS Input'!C$134)</f>
        <v>0</v>
      </c>
      <c r="E53" s="65">
        <f t="shared" si="62"/>
        <v>0</v>
      </c>
      <c r="F53" s="66">
        <f>('SCS Input'!D48/'SCS Input'!D$134)</f>
        <v>9.648315823397337E-4</v>
      </c>
      <c r="G53" s="65">
        <f t="shared" si="63"/>
        <v>54.413606749213969</v>
      </c>
      <c r="H53" s="58"/>
      <c r="I53" s="83">
        <v>151</v>
      </c>
      <c r="J53" s="68">
        <f t="shared" si="64"/>
        <v>0</v>
      </c>
      <c r="K53" s="58"/>
      <c r="L53" s="69">
        <f t="shared" si="65"/>
        <v>5.8523502418454665E-4</v>
      </c>
      <c r="M53" s="69" t="str">
        <f t="shared" si="66"/>
        <v/>
      </c>
      <c r="N53" s="69">
        <f t="shared" si="67"/>
        <v>5.8851040611115424E-4</v>
      </c>
      <c r="O53" s="58"/>
      <c r="P53" s="67">
        <f t="shared" si="68"/>
        <v>0</v>
      </c>
      <c r="Q53" s="67">
        <f t="shared" si="69"/>
        <v>0.35100761265761105</v>
      </c>
      <c r="R53" s="202">
        <f t="shared" si="70"/>
        <v>54.76461436187158</v>
      </c>
      <c r="S53" s="58"/>
      <c r="T53" s="71">
        <f>VLOOKUP($B53,'Scoring Summary'!$B$5:$O$129,12,FALSE)</f>
        <v>0.33333333333333331</v>
      </c>
      <c r="U53" s="72">
        <f t="shared" si="71"/>
        <v>18.254871453957193</v>
      </c>
      <c r="V53" s="73">
        <f>VLOOKUP($B53,'Scoring Summary'!$B$5:$O$129,13,FALSE)</f>
        <v>-0.18518518518518523</v>
      </c>
      <c r="W53" s="72">
        <f t="shared" si="72"/>
        <v>-10.141595252198444</v>
      </c>
      <c r="X53" s="73">
        <f>VLOOKUP($B53,'Scoring Summary'!$B$5:$O$129,14,FALSE)</f>
        <v>7.6139812053120665E-3</v>
      </c>
      <c r="Y53" s="72">
        <f t="shared" si="73"/>
        <v>0.41697674446745348</v>
      </c>
      <c r="Z53" s="74">
        <f t="shared" si="74"/>
        <v>8.5302529462262022</v>
      </c>
      <c r="AA53" s="67">
        <f t="shared" si="75"/>
        <v>63.294867308097778</v>
      </c>
      <c r="AB53" s="70">
        <f t="shared" si="76"/>
        <v>56.868417107212075</v>
      </c>
      <c r="AC53" s="58"/>
      <c r="AD53" s="75">
        <f t="shared" si="77"/>
        <v>56.868417107212075</v>
      </c>
      <c r="AE53" s="68">
        <f t="shared" si="78"/>
        <v>0.3766120338225965</v>
      </c>
      <c r="AF53" s="67">
        <f t="shared" si="79"/>
        <v>0</v>
      </c>
      <c r="AG53" s="67">
        <f t="shared" si="80"/>
        <v>0</v>
      </c>
      <c r="AH53" s="67">
        <f t="shared" si="81"/>
        <v>60.400000000000006</v>
      </c>
      <c r="AI53" s="58"/>
      <c r="AJ53" s="76">
        <f t="shared" si="82"/>
        <v>60.400000000000006</v>
      </c>
      <c r="AK53" s="68">
        <f t="shared" si="2"/>
        <v>0.4</v>
      </c>
      <c r="AL53" s="77">
        <f t="shared" si="22"/>
        <v>3.2129368583435296E-4</v>
      </c>
      <c r="AM53" s="58"/>
      <c r="AN53" s="83">
        <v>108</v>
      </c>
      <c r="AO53" s="78">
        <f t="shared" si="90"/>
        <v>5.0349650349650347E-4</v>
      </c>
      <c r="AP53" s="58"/>
      <c r="AQ53" s="79">
        <v>9.9836282511287594E-2</v>
      </c>
      <c r="AR53" s="58"/>
      <c r="AS53" s="80">
        <f t="shared" si="83"/>
        <v>60.400000000000006</v>
      </c>
      <c r="AT53" s="81">
        <f t="shared" si="84"/>
        <v>0</v>
      </c>
      <c r="AU53" s="81">
        <f t="shared" si="85"/>
        <v>0</v>
      </c>
      <c r="AV53" s="82">
        <f t="shared" si="86"/>
        <v>3.2129368583435296E-4</v>
      </c>
      <c r="AW53" s="82">
        <f t="shared" si="87"/>
        <v>3.4178753963467839E-4</v>
      </c>
      <c r="AX53" s="67">
        <f t="shared" si="88"/>
        <v>0.95240140835311959</v>
      </c>
      <c r="AY53" s="210">
        <f t="shared" si="89"/>
        <v>61.352401408353124</v>
      </c>
    </row>
    <row r="54" spans="1:51" x14ac:dyDescent="0.2">
      <c r="A54" s="63" t="s">
        <v>3</v>
      </c>
      <c r="B54" s="63" t="s">
        <v>45</v>
      </c>
      <c r="C54" s="63"/>
      <c r="D54" s="64">
        <f>('SCS Input'!C49/'SCS Input'!C$134)</f>
        <v>0</v>
      </c>
      <c r="E54" s="65">
        <f t="shared" si="62"/>
        <v>0</v>
      </c>
      <c r="F54" s="66">
        <f>('SCS Input'!D49/'SCS Input'!D$134)</f>
        <v>1.8511862895501767E-3</v>
      </c>
      <c r="G54" s="65">
        <f t="shared" si="63"/>
        <v>104.40135317176133</v>
      </c>
      <c r="H54" s="58"/>
      <c r="I54" s="83">
        <v>324</v>
      </c>
      <c r="J54" s="68">
        <f t="shared" si="64"/>
        <v>0</v>
      </c>
      <c r="K54" s="58"/>
      <c r="L54" s="69">
        <f t="shared" si="65"/>
        <v>1.255736078382736E-3</v>
      </c>
      <c r="M54" s="69" t="str">
        <f t="shared" si="66"/>
        <v/>
      </c>
      <c r="N54" s="69">
        <f t="shared" si="67"/>
        <v>1.2627640501987681E-3</v>
      </c>
      <c r="O54" s="58"/>
      <c r="P54" s="67">
        <f t="shared" si="68"/>
        <v>0</v>
      </c>
      <c r="Q54" s="67">
        <f t="shared" si="69"/>
        <v>0.75315540729182762</v>
      </c>
      <c r="R54" s="202">
        <f t="shared" si="70"/>
        <v>105.15450857905316</v>
      </c>
      <c r="S54" s="58"/>
      <c r="T54" s="71">
        <f>VLOOKUP($B54,'Scoring Summary'!$B$5:$O$129,12,FALSE)</f>
        <v>0.28315412186379924</v>
      </c>
      <c r="U54" s="72">
        <f t="shared" si="71"/>
        <v>29.774932536721138</v>
      </c>
      <c r="V54" s="73">
        <f>VLOOKUP($B54,'Scoring Summary'!$B$5:$O$129,13,FALSE)</f>
        <v>-8.0246913580246909E-2</v>
      </c>
      <c r="W54" s="72">
        <f t="shared" si="72"/>
        <v>-8.4383247625166113</v>
      </c>
      <c r="X54" s="73">
        <f>VLOOKUP($B54,'Scoring Summary'!$B$5:$O$129,14,FALSE)</f>
        <v>-1.850343911098264E-2</v>
      </c>
      <c r="Y54" s="72">
        <f t="shared" si="73"/>
        <v>-1.9457200467378117</v>
      </c>
      <c r="Z54" s="74">
        <f t="shared" si="74"/>
        <v>19.390887727466716</v>
      </c>
      <c r="AA54" s="67">
        <f t="shared" si="75"/>
        <v>124.54539630651988</v>
      </c>
      <c r="AB54" s="70">
        <f t="shared" si="76"/>
        <v>111.90006152419977</v>
      </c>
      <c r="AC54" s="58"/>
      <c r="AD54" s="75">
        <f t="shared" si="77"/>
        <v>111.90006152419977</v>
      </c>
      <c r="AE54" s="68">
        <f t="shared" si="78"/>
        <v>0.34537056025987584</v>
      </c>
      <c r="AF54" s="67">
        <f t="shared" si="79"/>
        <v>0</v>
      </c>
      <c r="AG54" s="67">
        <f t="shared" si="80"/>
        <v>0</v>
      </c>
      <c r="AH54" s="67">
        <f t="shared" si="81"/>
        <v>129.6</v>
      </c>
      <c r="AI54" s="58"/>
      <c r="AJ54" s="76">
        <f t="shared" si="82"/>
        <v>129.6</v>
      </c>
      <c r="AK54" s="68">
        <f t="shared" si="2"/>
        <v>0.39999999999999997</v>
      </c>
      <c r="AL54" s="77">
        <f t="shared" si="22"/>
        <v>6.8939837225384334E-4</v>
      </c>
      <c r="AM54" s="58"/>
      <c r="AN54" s="83">
        <v>382</v>
      </c>
      <c r="AO54" s="78">
        <f t="shared" si="90"/>
        <v>1.7808857808857808E-3</v>
      </c>
      <c r="AP54" s="58"/>
      <c r="AQ54" s="79">
        <v>-0.50946657280827812</v>
      </c>
      <c r="AR54" s="58"/>
      <c r="AS54" s="80">
        <f t="shared" si="83"/>
        <v>129.6</v>
      </c>
      <c r="AT54" s="81">
        <f t="shared" si="84"/>
        <v>0</v>
      </c>
      <c r="AU54" s="81">
        <f t="shared" si="85"/>
        <v>0</v>
      </c>
      <c r="AV54" s="82">
        <f t="shared" si="86"/>
        <v>6.8939837225384334E-4</v>
      </c>
      <c r="AW54" s="82">
        <f t="shared" si="87"/>
        <v>7.3337193934858136E-4</v>
      </c>
      <c r="AX54" s="67">
        <f t="shared" si="88"/>
        <v>2.0435632867974221</v>
      </c>
      <c r="AY54" s="210">
        <f t="shared" si="89"/>
        <v>131.64356328679742</v>
      </c>
    </row>
    <row r="55" spans="1:51" x14ac:dyDescent="0.2">
      <c r="A55" s="63" t="s">
        <v>3</v>
      </c>
      <c r="B55" s="63" t="s">
        <v>46</v>
      </c>
      <c r="C55" s="63"/>
      <c r="D55" s="64">
        <f>('SCS Input'!C50/'SCS Input'!C$134)</f>
        <v>0</v>
      </c>
      <c r="E55" s="65">
        <f t="shared" si="62"/>
        <v>0</v>
      </c>
      <c r="F55" s="66">
        <f>('SCS Input'!D50/'SCS Input'!D$134)</f>
        <v>2.087369253574545E-3</v>
      </c>
      <c r="G55" s="65">
        <f t="shared" si="63"/>
        <v>117.72136379384362</v>
      </c>
      <c r="H55" s="58"/>
      <c r="I55" s="83">
        <v>317</v>
      </c>
      <c r="J55" s="68">
        <f t="shared" si="64"/>
        <v>0</v>
      </c>
      <c r="K55" s="58"/>
      <c r="L55" s="69">
        <f t="shared" si="65"/>
        <v>1.2286059779238498E-3</v>
      </c>
      <c r="M55" s="69" t="str">
        <f t="shared" si="66"/>
        <v/>
      </c>
      <c r="N55" s="69">
        <f t="shared" si="67"/>
        <v>1.235482110842622E-3</v>
      </c>
      <c r="O55" s="58"/>
      <c r="P55" s="67">
        <f t="shared" si="68"/>
        <v>0</v>
      </c>
      <c r="Q55" s="67">
        <f t="shared" si="69"/>
        <v>0.73688353120836225</v>
      </c>
      <c r="R55" s="202">
        <f t="shared" si="70"/>
        <v>118.45824732505199</v>
      </c>
      <c r="S55" s="58"/>
      <c r="T55" s="71">
        <f>VLOOKUP($B55,'Scoring Summary'!$B$5:$O$129,12,FALSE)</f>
        <v>8.2437275985663083E-2</v>
      </c>
      <c r="U55" s="72">
        <f t="shared" si="71"/>
        <v>9.7653752275132462</v>
      </c>
      <c r="V55" s="73">
        <f>VLOOKUP($B55,'Scoring Summary'!$B$5:$O$129,13,FALSE)</f>
        <v>-5.5555555555555566E-2</v>
      </c>
      <c r="W55" s="72">
        <f t="shared" si="72"/>
        <v>-6.5810137402806674</v>
      </c>
      <c r="X55" s="73">
        <f>VLOOKUP($B55,'Scoring Summary'!$B$5:$O$129,14,FALSE)</f>
        <v>-3.2321396554399369E-2</v>
      </c>
      <c r="Y55" s="72">
        <f t="shared" si="73"/>
        <v>-3.8287359869321236</v>
      </c>
      <c r="Z55" s="74">
        <f t="shared" si="74"/>
        <v>-0.64437449969954486</v>
      </c>
      <c r="AA55" s="67">
        <f t="shared" si="75"/>
        <v>117.81387282535243</v>
      </c>
      <c r="AB55" s="70">
        <f t="shared" si="76"/>
        <v>105.85200263135734</v>
      </c>
      <c r="AC55" s="58"/>
      <c r="AD55" s="75">
        <f t="shared" si="77"/>
        <v>105.85200263135734</v>
      </c>
      <c r="AE55" s="68">
        <f t="shared" si="78"/>
        <v>0.33391798937336697</v>
      </c>
      <c r="AF55" s="67">
        <f t="shared" si="79"/>
        <v>0</v>
      </c>
      <c r="AG55" s="67">
        <f t="shared" si="80"/>
        <v>0</v>
      </c>
      <c r="AH55" s="67">
        <f t="shared" si="81"/>
        <v>126.80000000000001</v>
      </c>
      <c r="AI55" s="58"/>
      <c r="AJ55" s="76">
        <f t="shared" si="82"/>
        <v>126.80000000000001</v>
      </c>
      <c r="AK55" s="68">
        <f t="shared" si="2"/>
        <v>0.4</v>
      </c>
      <c r="AL55" s="77">
        <f t="shared" si="22"/>
        <v>6.7450396297675424E-4</v>
      </c>
      <c r="AM55" s="58"/>
      <c r="AN55" s="83">
        <v>292</v>
      </c>
      <c r="AO55" s="78">
        <f t="shared" si="90"/>
        <v>1.3613053613053612E-3</v>
      </c>
      <c r="AP55" s="58"/>
      <c r="AQ55" s="79">
        <v>-0.55068493150684927</v>
      </c>
      <c r="AR55" s="58"/>
      <c r="AS55" s="80">
        <f t="shared" si="83"/>
        <v>126.80000000000001</v>
      </c>
      <c r="AT55" s="81">
        <f t="shared" si="84"/>
        <v>0</v>
      </c>
      <c r="AU55" s="81">
        <f t="shared" si="85"/>
        <v>0</v>
      </c>
      <c r="AV55" s="82">
        <f t="shared" si="86"/>
        <v>6.7450396297675424E-4</v>
      </c>
      <c r="AW55" s="82">
        <f t="shared" si="87"/>
        <v>7.1752748386882817E-4</v>
      </c>
      <c r="AX55" s="67">
        <f t="shared" si="88"/>
        <v>1.9994122281320459</v>
      </c>
      <c r="AY55" s="210">
        <f t="shared" si="89"/>
        <v>128.79941222813207</v>
      </c>
    </row>
    <row r="56" spans="1:51" x14ac:dyDescent="0.2">
      <c r="A56" s="63" t="s">
        <v>3</v>
      </c>
      <c r="B56" s="63" t="s">
        <v>47</v>
      </c>
      <c r="C56" s="63"/>
      <c r="D56" s="64">
        <f>('SCS Input'!C51/'SCS Input'!C$134)</f>
        <v>0</v>
      </c>
      <c r="E56" s="65">
        <f t="shared" si="62"/>
        <v>0</v>
      </c>
      <c r="F56" s="66">
        <f>('SCS Input'!D51/'SCS Input'!D$134)</f>
        <v>4.7209736811398041E-3</v>
      </c>
      <c r="G56" s="65">
        <f t="shared" si="63"/>
        <v>266.24875269524159</v>
      </c>
      <c r="H56" s="58"/>
      <c r="I56" s="67">
        <v>1018</v>
      </c>
      <c r="J56" s="68">
        <f t="shared" si="64"/>
        <v>0</v>
      </c>
      <c r="K56" s="58"/>
      <c r="L56" s="69">
        <f t="shared" si="65"/>
        <v>3.9454917524494601E-3</v>
      </c>
      <c r="M56" s="69" t="str">
        <f t="shared" si="66"/>
        <v/>
      </c>
      <c r="N56" s="69">
        <f t="shared" si="67"/>
        <v>3.9675734663652653E-3</v>
      </c>
      <c r="O56" s="58"/>
      <c r="P56" s="67">
        <f t="shared" si="68"/>
        <v>0</v>
      </c>
      <c r="Q56" s="67">
        <f t="shared" si="69"/>
        <v>2.3663956932811128</v>
      </c>
      <c r="R56" s="202">
        <f t="shared" si="70"/>
        <v>268.6151483885227</v>
      </c>
      <c r="S56" s="58"/>
      <c r="T56" s="71">
        <f>VLOOKUP($B56,'Scoring Summary'!$B$5:$O$129,12,FALSE)</f>
        <v>-0.28315412186379924</v>
      </c>
      <c r="U56" s="72">
        <f t="shared" si="71"/>
        <v>-76.059486461266275</v>
      </c>
      <c r="V56" s="73">
        <f>VLOOKUP($B56,'Scoring Summary'!$B$5:$O$129,13,FALSE)</f>
        <v>0.15432098765432095</v>
      </c>
      <c r="W56" s="72">
        <f t="shared" si="72"/>
        <v>41.452954998228805</v>
      </c>
      <c r="X56" s="73">
        <f>VLOOKUP($B56,'Scoring Summary'!$B$5:$O$129,14,FALSE)</f>
        <v>1.3673265116853012E-2</v>
      </c>
      <c r="Y56" s="72">
        <f t="shared" si="73"/>
        <v>3.6728461383190831</v>
      </c>
      <c r="Z56" s="74">
        <f t="shared" si="74"/>
        <v>-30.933685324718386</v>
      </c>
      <c r="AA56" s="67">
        <f t="shared" si="75"/>
        <v>237.6814630638043</v>
      </c>
      <c r="AB56" s="70">
        <f t="shared" si="76"/>
        <v>213.54920477786621</v>
      </c>
      <c r="AC56" s="58"/>
      <c r="AD56" s="75">
        <f t="shared" si="77"/>
        <v>213.54920477786621</v>
      </c>
      <c r="AE56" s="68">
        <f t="shared" si="78"/>
        <v>0.20977328563641082</v>
      </c>
      <c r="AF56" s="67">
        <f t="shared" si="79"/>
        <v>0</v>
      </c>
      <c r="AG56" s="67">
        <f t="shared" si="80"/>
        <v>0</v>
      </c>
      <c r="AH56" s="67">
        <f t="shared" si="81"/>
        <v>407.20000000000005</v>
      </c>
      <c r="AI56" s="58"/>
      <c r="AJ56" s="76">
        <f t="shared" si="82"/>
        <v>407.20000000000005</v>
      </c>
      <c r="AK56" s="68">
        <f t="shared" si="2"/>
        <v>0.4</v>
      </c>
      <c r="AL56" s="77">
        <f t="shared" si="22"/>
        <v>2.1660726634395453E-3</v>
      </c>
      <c r="AM56" s="58"/>
      <c r="AN56" s="67">
        <v>1241</v>
      </c>
      <c r="AO56" s="78">
        <f t="shared" si="90"/>
        <v>5.7855477855477859E-3</v>
      </c>
      <c r="AP56" s="58"/>
      <c r="AQ56" s="79">
        <v>-0.55269223596665817</v>
      </c>
      <c r="AR56" s="58"/>
      <c r="AS56" s="80">
        <f t="shared" si="83"/>
        <v>407.20000000000005</v>
      </c>
      <c r="AT56" s="81">
        <f t="shared" si="84"/>
        <v>0</v>
      </c>
      <c r="AU56" s="81">
        <f t="shared" si="85"/>
        <v>0</v>
      </c>
      <c r="AV56" s="82">
        <f t="shared" si="86"/>
        <v>2.1660726634395453E-3</v>
      </c>
      <c r="AW56" s="82">
        <f t="shared" si="87"/>
        <v>2.3042365254841235E-3</v>
      </c>
      <c r="AX56" s="67">
        <f t="shared" si="88"/>
        <v>6.4208253887647411</v>
      </c>
      <c r="AY56" s="210">
        <f t="shared" si="89"/>
        <v>413.62082538876479</v>
      </c>
    </row>
    <row r="57" spans="1:51" x14ac:dyDescent="0.2">
      <c r="A57" s="63" t="s">
        <v>3</v>
      </c>
      <c r="B57" s="63" t="s">
        <v>48</v>
      </c>
      <c r="C57" s="63"/>
      <c r="D57" s="64">
        <f>('SCS Input'!C52/'SCS Input'!C$134)</f>
        <v>0</v>
      </c>
      <c r="E57" s="65">
        <f t="shared" si="62"/>
        <v>0</v>
      </c>
      <c r="F57" s="66">
        <f>('SCS Input'!D52/'SCS Input'!D$134)</f>
        <v>2.3458150133904001E-4</v>
      </c>
      <c r="G57" s="65">
        <f t="shared" si="63"/>
        <v>13.229692931017841</v>
      </c>
      <c r="H57" s="58"/>
      <c r="I57" s="83">
        <v>45</v>
      </c>
      <c r="J57" s="68">
        <f t="shared" si="64"/>
        <v>0</v>
      </c>
      <c r="K57" s="58"/>
      <c r="L57" s="69">
        <f t="shared" si="65"/>
        <v>1.7440778866426889E-4</v>
      </c>
      <c r="M57" s="69" t="str">
        <f t="shared" si="66"/>
        <v/>
      </c>
      <c r="N57" s="69">
        <f t="shared" si="67"/>
        <v>1.7538389586094002E-4</v>
      </c>
      <c r="O57" s="58"/>
      <c r="P57" s="67">
        <f t="shared" si="68"/>
        <v>0</v>
      </c>
      <c r="Q57" s="67">
        <f t="shared" si="69"/>
        <v>0.10460491767942051</v>
      </c>
      <c r="R57" s="202">
        <f t="shared" si="70"/>
        <v>13.334297848697261</v>
      </c>
      <c r="S57" s="58"/>
      <c r="T57" s="71">
        <f>VLOOKUP($B57,'Scoring Summary'!$B$5:$O$129,12,FALSE)</f>
        <v>0.33333333333333331</v>
      </c>
      <c r="U57" s="72">
        <f t="shared" si="71"/>
        <v>4.4447659495657534</v>
      </c>
      <c r="V57" s="73">
        <f>VLOOKUP($B57,'Scoring Summary'!$B$5:$O$129,13,FALSE)</f>
        <v>-0.3271604938271605</v>
      </c>
      <c r="W57" s="72">
        <f t="shared" si="72"/>
        <v>-4.36245546901824</v>
      </c>
      <c r="X57" s="73">
        <f>VLOOKUP($B57,'Scoring Summary'!$B$5:$O$129,14,FALSE)</f>
        <v>-2.1238477111099219E-2</v>
      </c>
      <c r="Y57" s="72">
        <f t="shared" si="73"/>
        <v>-0.28320017965213634</v>
      </c>
      <c r="Z57" s="74">
        <f t="shared" si="74"/>
        <v>-0.2008896991046229</v>
      </c>
      <c r="AA57" s="67">
        <f t="shared" si="75"/>
        <v>13.133408149592638</v>
      </c>
      <c r="AB57" s="70">
        <f t="shared" si="76"/>
        <v>11.799947838657353</v>
      </c>
      <c r="AC57" s="58"/>
      <c r="AD57" s="75">
        <f t="shared" si="77"/>
        <v>11.799947838657353</v>
      </c>
      <c r="AE57" s="68">
        <f t="shared" si="78"/>
        <v>0.26222106308127452</v>
      </c>
      <c r="AF57" s="67">
        <f t="shared" si="79"/>
        <v>0</v>
      </c>
      <c r="AG57" s="67">
        <f t="shared" si="80"/>
        <v>0</v>
      </c>
      <c r="AH57" s="67">
        <f t="shared" si="81"/>
        <v>18</v>
      </c>
      <c r="AI57" s="58"/>
      <c r="AJ57" s="76">
        <f t="shared" si="82"/>
        <v>18</v>
      </c>
      <c r="AK57" s="68">
        <f t="shared" si="2"/>
        <v>0.4</v>
      </c>
      <c r="AL57" s="77">
        <f t="shared" si="22"/>
        <v>9.5749773924144911E-5</v>
      </c>
      <c r="AM57" s="58"/>
      <c r="AN57" s="83">
        <v>27</v>
      </c>
      <c r="AO57" s="78">
        <f t="shared" si="90"/>
        <v>1.2587412587412587E-4</v>
      </c>
      <c r="AP57" s="58"/>
      <c r="AQ57" s="79">
        <v>0.28316307308207411</v>
      </c>
      <c r="AR57" s="58"/>
      <c r="AS57" s="80">
        <f t="shared" si="83"/>
        <v>18</v>
      </c>
      <c r="AT57" s="81">
        <f t="shared" si="84"/>
        <v>0</v>
      </c>
      <c r="AU57" s="81">
        <f t="shared" si="85"/>
        <v>0</v>
      </c>
      <c r="AV57" s="82">
        <f t="shared" si="86"/>
        <v>9.5749773924144911E-5</v>
      </c>
      <c r="AW57" s="82">
        <f t="shared" si="87"/>
        <v>1.0185721379841408E-4</v>
      </c>
      <c r="AX57" s="67">
        <f t="shared" si="88"/>
        <v>0.28382823427741971</v>
      </c>
      <c r="AY57" s="210">
        <f t="shared" si="89"/>
        <v>18.283828234277419</v>
      </c>
    </row>
    <row r="58" spans="1:51" x14ac:dyDescent="0.2">
      <c r="A58" s="63" t="s">
        <v>3</v>
      </c>
      <c r="B58" s="63" t="s">
        <v>49</v>
      </c>
      <c r="C58" s="63"/>
      <c r="D58" s="64">
        <f>('SCS Input'!C53/'SCS Input'!C$134)</f>
        <v>0</v>
      </c>
      <c r="E58" s="65">
        <f t="shared" si="62"/>
        <v>0</v>
      </c>
      <c r="F58" s="66">
        <f>('SCS Input'!D53/'SCS Input'!D$134)</f>
        <v>1.2002111000048738E-3</v>
      </c>
      <c r="G58" s="65">
        <f t="shared" si="63"/>
        <v>67.688305406974877</v>
      </c>
      <c r="H58" s="58"/>
      <c r="I58" s="83">
        <v>261</v>
      </c>
      <c r="J58" s="68">
        <f t="shared" si="64"/>
        <v>0</v>
      </c>
      <c r="K58" s="58"/>
      <c r="L58" s="69">
        <f t="shared" si="65"/>
        <v>1.0115651742527594E-3</v>
      </c>
      <c r="M58" s="69" t="str">
        <f t="shared" si="66"/>
        <v/>
      </c>
      <c r="N58" s="69">
        <f t="shared" si="67"/>
        <v>1.0172265959934521E-3</v>
      </c>
      <c r="O58" s="58"/>
      <c r="P58" s="67">
        <f t="shared" si="68"/>
        <v>0</v>
      </c>
      <c r="Q58" s="67">
        <f t="shared" si="69"/>
        <v>0.60670852254063889</v>
      </c>
      <c r="R58" s="202">
        <f t="shared" si="70"/>
        <v>68.29501392951552</v>
      </c>
      <c r="S58" s="58"/>
      <c r="T58" s="71">
        <f>VLOOKUP($B58,'Scoring Summary'!$B$5:$O$129,12,FALSE)</f>
        <v>0.33333333333333331</v>
      </c>
      <c r="U58" s="72">
        <f t="shared" si="71"/>
        <v>22.765004643171839</v>
      </c>
      <c r="V58" s="73">
        <f>VLOOKUP($B58,'Scoring Summary'!$B$5:$O$129,13,FALSE)</f>
        <v>-0.12962962962962959</v>
      </c>
      <c r="W58" s="72">
        <f t="shared" si="72"/>
        <v>-8.8530573612334909</v>
      </c>
      <c r="X58" s="73">
        <f>VLOOKUP($B58,'Scoring Summary'!$B$5:$O$129,14,FALSE)</f>
        <v>-1.4565358096160422E-2</v>
      </c>
      <c r="Y58" s="72">
        <f t="shared" si="73"/>
        <v>-0.99474133406565768</v>
      </c>
      <c r="Z58" s="74">
        <f t="shared" si="74"/>
        <v>12.91720594787269</v>
      </c>
      <c r="AA58" s="67">
        <f t="shared" si="75"/>
        <v>81.212219877388208</v>
      </c>
      <c r="AB58" s="70">
        <f t="shared" si="76"/>
        <v>72.966586243227084</v>
      </c>
      <c r="AC58" s="58"/>
      <c r="AD58" s="75">
        <f t="shared" si="77"/>
        <v>72.966586243227084</v>
      </c>
      <c r="AE58" s="68">
        <f t="shared" si="78"/>
        <v>0.27956546453343711</v>
      </c>
      <c r="AF58" s="67">
        <f t="shared" si="79"/>
        <v>0</v>
      </c>
      <c r="AG58" s="67">
        <f t="shared" si="80"/>
        <v>0</v>
      </c>
      <c r="AH58" s="67">
        <f t="shared" si="81"/>
        <v>104.4</v>
      </c>
      <c r="AI58" s="58"/>
      <c r="AJ58" s="76">
        <f t="shared" si="82"/>
        <v>104.4</v>
      </c>
      <c r="AK58" s="68">
        <f t="shared" si="2"/>
        <v>0.4</v>
      </c>
      <c r="AL58" s="77">
        <f t="shared" si="22"/>
        <v>5.5534868876004053E-4</v>
      </c>
      <c r="AM58" s="58"/>
      <c r="AN58" s="83">
        <v>113</v>
      </c>
      <c r="AO58" s="78">
        <f t="shared" si="90"/>
        <v>5.2680652680652678E-4</v>
      </c>
      <c r="AP58" s="58"/>
      <c r="AQ58" s="79">
        <v>0.79598334165064943</v>
      </c>
      <c r="AR58" s="58"/>
      <c r="AS58" s="80">
        <f t="shared" si="83"/>
        <v>104.4</v>
      </c>
      <c r="AT58" s="81">
        <f t="shared" si="84"/>
        <v>0</v>
      </c>
      <c r="AU58" s="81">
        <f t="shared" si="85"/>
        <v>0</v>
      </c>
      <c r="AV58" s="82">
        <f t="shared" si="86"/>
        <v>5.5534868876004053E-4</v>
      </c>
      <c r="AW58" s="82">
        <f t="shared" si="87"/>
        <v>5.9077184003080167E-4</v>
      </c>
      <c r="AX58" s="67">
        <f t="shared" si="88"/>
        <v>1.6462037588090344</v>
      </c>
      <c r="AY58" s="210">
        <f t="shared" si="89"/>
        <v>106.04620375880904</v>
      </c>
    </row>
    <row r="59" spans="1:51" x14ac:dyDescent="0.2">
      <c r="A59" s="63" t="s">
        <v>3</v>
      </c>
      <c r="B59" s="63" t="s">
        <v>50</v>
      </c>
      <c r="C59" s="63"/>
      <c r="D59" s="64">
        <f>('SCS Input'!C54/'SCS Input'!C$134)</f>
        <v>4.6572173842981419E-3</v>
      </c>
      <c r="E59" s="65">
        <f t="shared" si="62"/>
        <v>612.8572072519454</v>
      </c>
      <c r="F59" s="66">
        <f>('SCS Input'!D54/'SCS Input'!D$134)</f>
        <v>6.3367760009786795E-3</v>
      </c>
      <c r="G59" s="65">
        <f t="shared" si="63"/>
        <v>357.37515612719466</v>
      </c>
      <c r="H59" s="58"/>
      <c r="I59" s="67">
        <v>1155</v>
      </c>
      <c r="J59" s="68">
        <f t="shared" si="64"/>
        <v>0.53061230065103493</v>
      </c>
      <c r="K59" s="58"/>
      <c r="L59" s="69">
        <f t="shared" si="65"/>
        <v>4.4764665757162344E-3</v>
      </c>
      <c r="M59" s="69" t="str">
        <f t="shared" si="66"/>
        <v/>
      </c>
      <c r="N59" s="69">
        <f t="shared" si="67"/>
        <v>4.5015199937641272E-3</v>
      </c>
      <c r="O59" s="58"/>
      <c r="P59" s="67">
        <f t="shared" si="68"/>
        <v>0</v>
      </c>
      <c r="Q59" s="67">
        <f t="shared" si="69"/>
        <v>2.6848595537717932</v>
      </c>
      <c r="R59" s="202">
        <f t="shared" si="70"/>
        <v>360.06001568096644</v>
      </c>
      <c r="S59" s="58"/>
      <c r="T59" s="71">
        <f>VLOOKUP($B59,'Scoring Summary'!$B$5:$O$129,12,FALSE)</f>
        <v>4.6594982078853056E-2</v>
      </c>
      <c r="U59" s="72">
        <f t="shared" si="71"/>
        <v>16.776989977966181</v>
      </c>
      <c r="V59" s="73">
        <f>VLOOKUP($B59,'Scoring Summary'!$B$5:$O$129,13,FALSE)</f>
        <v>0.17901234567901231</v>
      </c>
      <c r="W59" s="72">
        <f t="shared" si="72"/>
        <v>64.45518799227176</v>
      </c>
      <c r="X59" s="73">
        <f>VLOOKUP($B59,'Scoring Summary'!$B$5:$O$129,14,FALSE)</f>
        <v>2.7194503794195128E-2</v>
      </c>
      <c r="Y59" s="72">
        <f t="shared" si="73"/>
        <v>9.7916534625739988</v>
      </c>
      <c r="Z59" s="74">
        <f t="shared" si="74"/>
        <v>91.023831432811946</v>
      </c>
      <c r="AA59" s="67">
        <f t="shared" si="75"/>
        <v>451.0838471137784</v>
      </c>
      <c r="AB59" s="70">
        <f t="shared" si="76"/>
        <v>405.28443235570739</v>
      </c>
      <c r="AC59" s="58"/>
      <c r="AD59" s="75">
        <f t="shared" si="77"/>
        <v>1018.1416396076528</v>
      </c>
      <c r="AE59" s="68">
        <f t="shared" si="78"/>
        <v>0.88150791308021892</v>
      </c>
      <c r="AF59" s="67">
        <f t="shared" si="79"/>
        <v>1018.1416396076528</v>
      </c>
      <c r="AG59" s="67">
        <f t="shared" si="80"/>
        <v>987.29326826785029</v>
      </c>
      <c r="AH59" s="67">
        <f t="shared" si="81"/>
        <v>0</v>
      </c>
      <c r="AI59" s="58"/>
      <c r="AJ59" s="76">
        <f t="shared" si="82"/>
        <v>987.29326826785029</v>
      </c>
      <c r="AK59" s="68">
        <f t="shared" si="2"/>
        <v>0.85479936646567123</v>
      </c>
      <c r="AL59" s="77">
        <f t="shared" si="22"/>
        <v>5.2518392907487128E-3</v>
      </c>
      <c r="AM59" s="58"/>
      <c r="AN59" s="67">
        <v>1403</v>
      </c>
      <c r="AO59" s="78">
        <f t="shared" si="90"/>
        <v>6.5407925407925411E-3</v>
      </c>
      <c r="AP59" s="58"/>
      <c r="AQ59" s="79">
        <v>-0.35868327639455516</v>
      </c>
      <c r="AR59" s="58"/>
      <c r="AS59" s="80">
        <f t="shared" si="83"/>
        <v>987.29326826785029</v>
      </c>
      <c r="AT59" s="81">
        <f t="shared" si="84"/>
        <v>0</v>
      </c>
      <c r="AU59" s="81">
        <f t="shared" si="85"/>
        <v>0</v>
      </c>
      <c r="AV59" s="82">
        <f t="shared" si="86"/>
        <v>5.2518392907487128E-3</v>
      </c>
      <c r="AW59" s="82">
        <f t="shared" si="87"/>
        <v>5.5868300837607458E-3</v>
      </c>
      <c r="AX59" s="67">
        <f t="shared" si="88"/>
        <v>15.56787250258038</v>
      </c>
      <c r="AY59" s="210">
        <f t="shared" si="89"/>
        <v>1002.8611407704307</v>
      </c>
    </row>
    <row r="60" spans="1:51" x14ac:dyDescent="0.2">
      <c r="A60" s="63" t="s">
        <v>3</v>
      </c>
      <c r="B60" s="63" t="s">
        <v>118</v>
      </c>
      <c r="C60" s="83"/>
      <c r="D60" s="64">
        <f>('SCS Input'!C55/'SCS Input'!C$134)</f>
        <v>0</v>
      </c>
      <c r="E60" s="65">
        <f t="shared" si="62"/>
        <v>0</v>
      </c>
      <c r="F60" s="66">
        <f>('SCS Input'!D55/'SCS Input'!D$134)</f>
        <v>1.2581501573058365E-3</v>
      </c>
      <c r="G60" s="65">
        <f t="shared" si="63"/>
        <v>70.95589442157727</v>
      </c>
      <c r="H60" s="58"/>
      <c r="I60" s="83">
        <v>143</v>
      </c>
      <c r="J60" s="68">
        <f t="shared" si="64"/>
        <v>0</v>
      </c>
      <c r="K60" s="58"/>
      <c r="L60" s="69">
        <f t="shared" si="65"/>
        <v>5.5422919508867671E-4</v>
      </c>
      <c r="M60" s="69" t="str">
        <f t="shared" si="66"/>
        <v/>
      </c>
      <c r="N60" s="69">
        <f t="shared" si="67"/>
        <v>5.5733104684698722E-4</v>
      </c>
      <c r="O60" s="58"/>
      <c r="P60" s="67">
        <f t="shared" si="68"/>
        <v>0</v>
      </c>
      <c r="Q60" s="67">
        <f t="shared" si="69"/>
        <v>0.3324111828479363</v>
      </c>
      <c r="R60" s="202">
        <f t="shared" si="70"/>
        <v>71.288305604425204</v>
      </c>
      <c r="S60" s="58"/>
      <c r="T60" s="71">
        <f>VLOOKUP($B60,'Scoring Summary'!$B$5:$O$129,12,FALSE)</f>
        <v>0.2186379928315412</v>
      </c>
      <c r="U60" s="72">
        <f t="shared" si="71"/>
        <v>15.586332049713036</v>
      </c>
      <c r="V60" s="73">
        <f>VLOOKUP($B60,'Scoring Summary'!$B$5:$O$129,13,FALSE)</f>
        <v>-1.8518518518518524E-2</v>
      </c>
      <c r="W60" s="72">
        <f t="shared" si="72"/>
        <v>-1.320153807489356</v>
      </c>
      <c r="X60" s="73">
        <f>VLOOKUP($B60,'Scoring Summary'!$B$5:$O$129,14,FALSE)</f>
        <v>5.2441765067284603E-2</v>
      </c>
      <c r="Y60" s="72">
        <f t="shared" si="73"/>
        <v>3.738484574552055</v>
      </c>
      <c r="Z60" s="74">
        <f t="shared" si="74"/>
        <v>18.004662816775735</v>
      </c>
      <c r="AA60" s="67">
        <f t="shared" si="75"/>
        <v>89.292968421200939</v>
      </c>
      <c r="AB60" s="70">
        <f t="shared" si="76"/>
        <v>80.22688077060414</v>
      </c>
      <c r="AC60" s="58"/>
      <c r="AD60" s="75">
        <f t="shared" si="77"/>
        <v>80.22688077060414</v>
      </c>
      <c r="AE60" s="68">
        <f t="shared" si="78"/>
        <v>0.56102713825597306</v>
      </c>
      <c r="AF60" s="67">
        <f t="shared" si="79"/>
        <v>80.22688077060414</v>
      </c>
      <c r="AG60" s="67">
        <f t="shared" si="80"/>
        <v>77.796110322595183</v>
      </c>
      <c r="AH60" s="67">
        <f t="shared" si="81"/>
        <v>0</v>
      </c>
      <c r="AI60" s="58"/>
      <c r="AJ60" s="76">
        <f t="shared" si="82"/>
        <v>77.796110322595183</v>
      </c>
      <c r="AK60" s="68">
        <f t="shared" si="2"/>
        <v>0.54402874351465158</v>
      </c>
      <c r="AL60" s="77">
        <f t="shared" si="22"/>
        <v>4.1383110975368474E-4</v>
      </c>
      <c r="AM60" s="58"/>
      <c r="AN60" s="83">
        <v>165</v>
      </c>
      <c r="AO60" s="78">
        <f t="shared" si="90"/>
        <v>7.6923076923076923E-4</v>
      </c>
      <c r="AP60" s="58"/>
      <c r="AQ60" s="79">
        <v>-0.10976703205153678</v>
      </c>
      <c r="AR60" s="58"/>
      <c r="AS60" s="80">
        <f t="shared" si="83"/>
        <v>77.796110322595183</v>
      </c>
      <c r="AT60" s="81">
        <f t="shared" si="84"/>
        <v>0</v>
      </c>
      <c r="AU60" s="81">
        <f t="shared" si="85"/>
        <v>0</v>
      </c>
      <c r="AV60" s="82">
        <f t="shared" si="86"/>
        <v>4.1383110975368474E-4</v>
      </c>
      <c r="AW60" s="82">
        <f t="shared" si="87"/>
        <v>4.4022750232297701E-4</v>
      </c>
      <c r="AX60" s="67">
        <f t="shared" si="88"/>
        <v>1.226707368139641</v>
      </c>
      <c r="AY60" s="210">
        <f t="shared" si="89"/>
        <v>79.022817690734826</v>
      </c>
    </row>
    <row r="61" spans="1:51" x14ac:dyDescent="0.2">
      <c r="A61" s="63" t="s">
        <v>3</v>
      </c>
      <c r="B61" s="63" t="s">
        <v>51</v>
      </c>
      <c r="C61" s="63"/>
      <c r="D61" s="64">
        <f>('SCS Input'!C56/'SCS Input'!C$134)</f>
        <v>3.8361159201205971E-5</v>
      </c>
      <c r="E61" s="65">
        <f t="shared" si="62"/>
        <v>5.0480600227642975</v>
      </c>
      <c r="F61" s="66">
        <f>('SCS Input'!D56/'SCS Input'!D$134)</f>
        <v>1.0770700061664051E-3</v>
      </c>
      <c r="G61" s="65">
        <f t="shared" si="63"/>
        <v>60.743517137766759</v>
      </c>
      <c r="H61" s="58"/>
      <c r="I61" s="83">
        <v>192</v>
      </c>
      <c r="J61" s="68">
        <f t="shared" si="64"/>
        <v>2.6291979285230718E-2</v>
      </c>
      <c r="K61" s="58"/>
      <c r="L61" s="69">
        <f t="shared" si="65"/>
        <v>7.4413989830088062E-4</v>
      </c>
      <c r="M61" s="69" t="str">
        <f t="shared" si="66"/>
        <v/>
      </c>
      <c r="N61" s="69">
        <f t="shared" si="67"/>
        <v>7.4830462234001078E-4</v>
      </c>
      <c r="O61" s="58"/>
      <c r="P61" s="67">
        <f t="shared" si="68"/>
        <v>0</v>
      </c>
      <c r="Q61" s="67">
        <f t="shared" si="69"/>
        <v>0.44631431543219419</v>
      </c>
      <c r="R61" s="202">
        <f t="shared" si="70"/>
        <v>61.189831453198956</v>
      </c>
      <c r="S61" s="58"/>
      <c r="T61" s="71">
        <f>VLOOKUP($B61,'Scoring Summary'!$B$5:$O$129,12,FALSE)</f>
        <v>0.30465949820788529</v>
      </c>
      <c r="U61" s="72">
        <f t="shared" si="71"/>
        <v>18.642063345956672</v>
      </c>
      <c r="V61" s="73">
        <f>VLOOKUP($B61,'Scoring Summary'!$B$5:$O$129,13,FALSE)</f>
        <v>-0.16049382716049382</v>
      </c>
      <c r="W61" s="72">
        <f t="shared" si="72"/>
        <v>-9.8205902332294617</v>
      </c>
      <c r="X61" s="73">
        <f>VLOOKUP($B61,'Scoring Summary'!$B$5:$O$129,14,FALSE)</f>
        <v>-4.3011135333180635E-2</v>
      </c>
      <c r="Y61" s="72">
        <f t="shared" si="73"/>
        <v>-2.6318441216480535</v>
      </c>
      <c r="Z61" s="74">
        <f t="shared" si="74"/>
        <v>6.1896289910791564</v>
      </c>
      <c r="AA61" s="67">
        <f t="shared" si="75"/>
        <v>67.379460444278109</v>
      </c>
      <c r="AB61" s="70">
        <f t="shared" si="76"/>
        <v>60.538293608427836</v>
      </c>
      <c r="AC61" s="58"/>
      <c r="AD61" s="75">
        <f t="shared" si="77"/>
        <v>65.586353631192139</v>
      </c>
      <c r="AE61" s="68">
        <f t="shared" si="78"/>
        <v>0.34159559182912574</v>
      </c>
      <c r="AF61" s="67">
        <f t="shared" si="79"/>
        <v>0</v>
      </c>
      <c r="AG61" s="67">
        <f t="shared" si="80"/>
        <v>0</v>
      </c>
      <c r="AH61" s="67">
        <f t="shared" si="81"/>
        <v>76.800000000000011</v>
      </c>
      <c r="AI61" s="58"/>
      <c r="AJ61" s="76">
        <f t="shared" si="82"/>
        <v>76.800000000000011</v>
      </c>
      <c r="AK61" s="68">
        <f t="shared" si="2"/>
        <v>0.40000000000000008</v>
      </c>
      <c r="AL61" s="77">
        <f t="shared" si="22"/>
        <v>4.0853236874301835E-4</v>
      </c>
      <c r="AM61" s="58"/>
      <c r="AN61" s="83">
        <v>117</v>
      </c>
      <c r="AO61" s="78">
        <f t="shared" si="90"/>
        <v>5.4545454545454548E-4</v>
      </c>
      <c r="AP61" s="58"/>
      <c r="AQ61" s="79">
        <v>-0.27468550846892453</v>
      </c>
      <c r="AR61" s="58"/>
      <c r="AS61" s="80">
        <f t="shared" si="83"/>
        <v>76.800000000000011</v>
      </c>
      <c r="AT61" s="81">
        <f t="shared" si="84"/>
        <v>0</v>
      </c>
      <c r="AU61" s="81">
        <f t="shared" si="85"/>
        <v>0</v>
      </c>
      <c r="AV61" s="82">
        <f t="shared" si="86"/>
        <v>4.0853236874301835E-4</v>
      </c>
      <c r="AW61" s="82">
        <f t="shared" si="87"/>
        <v>4.3459077887323349E-4</v>
      </c>
      <c r="AX61" s="67">
        <f t="shared" si="88"/>
        <v>1.2110004662503244</v>
      </c>
      <c r="AY61" s="210">
        <f t="shared" si="89"/>
        <v>78.011000466250337</v>
      </c>
    </row>
    <row r="62" spans="1:51" x14ac:dyDescent="0.2">
      <c r="A62" s="63" t="s">
        <v>3</v>
      </c>
      <c r="B62" s="63" t="s">
        <v>107</v>
      </c>
      <c r="C62" s="63"/>
      <c r="D62" s="64">
        <f>('SCS Input'!C57/'SCS Input'!C$134)</f>
        <v>8.0571193993369725E-4</v>
      </c>
      <c r="E62" s="65">
        <f t="shared" si="62"/>
        <v>106.02605131169503</v>
      </c>
      <c r="F62" s="66">
        <f>('SCS Input'!D57/'SCS Input'!D$134)</f>
        <v>1.5889201723969257E-3</v>
      </c>
      <c r="G62" s="65">
        <f t="shared" si="63"/>
        <v>89.610330962669423</v>
      </c>
      <c r="H62" s="58"/>
      <c r="I62" s="67">
        <v>962</v>
      </c>
      <c r="J62" s="68">
        <f t="shared" si="64"/>
        <v>0.11021419055269753</v>
      </c>
      <c r="K62" s="58"/>
      <c r="L62" s="69">
        <f t="shared" si="65"/>
        <v>3.7284509487783704E-3</v>
      </c>
      <c r="M62" s="69" t="str">
        <f t="shared" si="66"/>
        <v/>
      </c>
      <c r="N62" s="69">
        <f t="shared" si="67"/>
        <v>3.7493179515160958E-3</v>
      </c>
      <c r="O62" s="58"/>
      <c r="P62" s="67">
        <f t="shared" si="68"/>
        <v>0</v>
      </c>
      <c r="Q62" s="67">
        <f t="shared" si="69"/>
        <v>2.2362206846133899</v>
      </c>
      <c r="R62" s="202">
        <f t="shared" si="70"/>
        <v>91.846551647282809</v>
      </c>
      <c r="S62" s="58"/>
      <c r="T62" s="71">
        <f>VLOOKUP($B62,'Scoring Summary'!$B$5:$O$129,12,FALSE)</f>
        <v>-5.3763440860215041E-2</v>
      </c>
      <c r="U62" s="72">
        <f t="shared" si="71"/>
        <v>-4.9379866477033758</v>
      </c>
      <c r="V62" s="73">
        <f>VLOOKUP($B62,'Scoring Summary'!$B$5:$O$129,13,FALSE)</f>
        <v>1.2345679012345699E-2</v>
      </c>
      <c r="W62" s="72">
        <f t="shared" si="72"/>
        <v>1.1339080450281847</v>
      </c>
      <c r="X62" s="73">
        <f>VLOOKUP($B62,'Scoring Summary'!$B$5:$O$129,14,FALSE)</f>
        <v>-4.7982677726838764E-2</v>
      </c>
      <c r="Y62" s="72">
        <f t="shared" si="73"/>
        <v>-4.4070434880130227</v>
      </c>
      <c r="Z62" s="74">
        <f t="shared" si="74"/>
        <v>-8.2111220906882139</v>
      </c>
      <c r="AA62" s="67">
        <f t="shared" si="75"/>
        <v>83.635429556594602</v>
      </c>
      <c r="AB62" s="70">
        <f t="shared" si="76"/>
        <v>75.143762760630295</v>
      </c>
      <c r="AC62" s="58"/>
      <c r="AD62" s="75">
        <f t="shared" si="77"/>
        <v>181.16981407232532</v>
      </c>
      <c r="AE62" s="68">
        <f t="shared" si="78"/>
        <v>0.18832621005439223</v>
      </c>
      <c r="AF62" s="67">
        <f t="shared" si="79"/>
        <v>0</v>
      </c>
      <c r="AG62" s="67">
        <f t="shared" si="80"/>
        <v>0</v>
      </c>
      <c r="AH62" s="67">
        <f>AD62</f>
        <v>181.16981407232532</v>
      </c>
      <c r="AI62" s="58"/>
      <c r="AJ62" s="76">
        <f t="shared" si="82"/>
        <v>181.16981407232532</v>
      </c>
      <c r="AK62" s="68">
        <f t="shared" si="2"/>
        <v>0.18832621005439223</v>
      </c>
      <c r="AL62" s="77">
        <f t="shared" si="22"/>
        <v>9.6372048551691763E-4</v>
      </c>
      <c r="AM62" s="58"/>
      <c r="AN62" s="83">
        <v>773</v>
      </c>
      <c r="AO62" s="78">
        <f t="shared" si="90"/>
        <v>3.6037296037296036E-3</v>
      </c>
      <c r="AP62" s="58"/>
      <c r="AQ62" s="79">
        <v>-4.8090470225901991E-3</v>
      </c>
      <c r="AR62" s="58"/>
      <c r="AS62" s="80">
        <f t="shared" si="83"/>
        <v>181.16981407232532</v>
      </c>
      <c r="AT62" s="81">
        <f t="shared" si="84"/>
        <v>0</v>
      </c>
      <c r="AU62" s="81">
        <f t="shared" si="85"/>
        <v>0</v>
      </c>
      <c r="AV62" s="82">
        <f t="shared" si="86"/>
        <v>9.6372048551691763E-4</v>
      </c>
      <c r="AW62" s="82">
        <f t="shared" si="87"/>
        <v>1.0251918047657648E-3</v>
      </c>
      <c r="AX62" s="67">
        <f t="shared" si="88"/>
        <v>2.8567282462509178</v>
      </c>
      <c r="AY62" s="210">
        <f t="shared" si="89"/>
        <v>184.02654231857625</v>
      </c>
    </row>
    <row r="63" spans="1:51" s="49" customFormat="1" x14ac:dyDescent="0.2">
      <c r="A63" s="84"/>
      <c r="B63" s="84"/>
      <c r="C63" s="84"/>
      <c r="D63" s="85">
        <f>SUM(D51:D62)</f>
        <v>5.5012904834330452E-3</v>
      </c>
      <c r="E63" s="86">
        <f>SUM(E51:E62)</f>
        <v>723.9313185864047</v>
      </c>
      <c r="F63" s="85">
        <f>SUM(F51:F62)</f>
        <v>2.2470364288590176E-2</v>
      </c>
      <c r="G63" s="86">
        <f>SUM(G51:G62)</f>
        <v>1267.2611347836203</v>
      </c>
      <c r="H63" s="58"/>
      <c r="I63" s="87">
        <f>SUM(I51:I62)</f>
        <v>4784</v>
      </c>
      <c r="J63" s="88"/>
      <c r="K63" s="58"/>
      <c r="L63" s="89">
        <f>I63/I$139</f>
        <v>1.8541485799330275E-2</v>
      </c>
      <c r="M63" s="90"/>
      <c r="N63" s="90"/>
      <c r="O63" s="91"/>
      <c r="P63" s="87">
        <f>SUM(P51:P62)</f>
        <v>0</v>
      </c>
      <c r="Q63" s="87">
        <f>SUM(Q51:Q62)</f>
        <v>11.120665026185504</v>
      </c>
      <c r="R63" s="203">
        <f>SUM(R51:R62)</f>
        <v>1278.3817998098057</v>
      </c>
      <c r="S63" s="58"/>
      <c r="T63" s="93"/>
      <c r="U63" s="94">
        <f>SUM(U51:U62)</f>
        <v>76.804617072668719</v>
      </c>
      <c r="V63" s="95"/>
      <c r="W63" s="94">
        <f>SUM(W51:W62)</f>
        <v>53.557684144399943</v>
      </c>
      <c r="X63" s="95"/>
      <c r="Y63" s="94">
        <f>SUM(Y51:Y62)</f>
        <v>0.64220012249736591</v>
      </c>
      <c r="Z63" s="96">
        <f>SUM(Z51:Z62)</f>
        <v>131.00450133956605</v>
      </c>
      <c r="AA63" s="119"/>
      <c r="AB63" s="92">
        <f>SUM(AB51:AB62)</f>
        <v>1266.288586226314</v>
      </c>
      <c r="AC63" s="58"/>
      <c r="AD63" s="97">
        <f>SUM(AD51:AD62)</f>
        <v>1990.2199048127186</v>
      </c>
      <c r="AE63" s="88"/>
      <c r="AF63" s="87">
        <f>SUM(AF51:AF62)</f>
        <v>1098.368520378257</v>
      </c>
      <c r="AG63" s="87">
        <f>SUM(AG51:AG62)</f>
        <v>1065.0893785904454</v>
      </c>
      <c r="AH63" s="87">
        <f>SUM(AH51:AH62)</f>
        <v>1190.7698140723255</v>
      </c>
      <c r="AI63" s="58"/>
      <c r="AJ63" s="98">
        <f>SUM(AJ51:AJ62)</f>
        <v>2255.859192662771</v>
      </c>
      <c r="AK63" s="88"/>
      <c r="AL63" s="99">
        <f t="shared" si="22"/>
        <v>1.1999889316786911E-2</v>
      </c>
      <c r="AM63" s="58"/>
      <c r="AN63" s="87">
        <f>SUM(AN51:AN62)</f>
        <v>4882</v>
      </c>
      <c r="AO63" s="100">
        <f t="shared" si="90"/>
        <v>2.2759906759906759E-2</v>
      </c>
      <c r="AP63" s="58"/>
      <c r="AQ63" s="101">
        <v>-0.32226657505852502</v>
      </c>
      <c r="AR63" s="58"/>
      <c r="AS63" s="102">
        <f>AJ63</f>
        <v>2255.859192662771</v>
      </c>
      <c r="AT63" s="103">
        <f t="shared" ref="AT63:AY63" si="91">SUM(AT51:AT62)</f>
        <v>0</v>
      </c>
      <c r="AU63" s="103">
        <f t="shared" si="91"/>
        <v>0</v>
      </c>
      <c r="AV63" s="104">
        <f t="shared" si="91"/>
        <v>1.1999889316786911E-2</v>
      </c>
      <c r="AW63" s="104">
        <f t="shared" si="91"/>
        <v>1.2765307338120535E-2</v>
      </c>
      <c r="AX63" s="87">
        <f t="shared" si="91"/>
        <v>35.570918412886662</v>
      </c>
      <c r="AY63" s="211">
        <f t="shared" si="91"/>
        <v>2291.4301110756574</v>
      </c>
    </row>
    <row r="64" spans="1:51" s="49" customFormat="1" x14ac:dyDescent="0.2">
      <c r="A64" s="105"/>
      <c r="B64" s="105"/>
      <c r="C64" s="105"/>
      <c r="D64" s="106"/>
      <c r="E64" s="107"/>
      <c r="F64" s="107"/>
      <c r="G64" s="107"/>
      <c r="H64" s="58"/>
      <c r="I64" s="108"/>
      <c r="J64" s="115"/>
      <c r="K64" s="58"/>
      <c r="L64" s="109"/>
      <c r="M64" s="109"/>
      <c r="N64" s="109"/>
      <c r="O64" s="58"/>
      <c r="P64" s="108"/>
      <c r="Q64" s="108"/>
      <c r="R64" s="204"/>
      <c r="S64" s="58"/>
      <c r="T64" s="71"/>
      <c r="U64" s="72"/>
      <c r="V64" s="71"/>
      <c r="W64" s="72"/>
      <c r="X64" s="71"/>
      <c r="Y64" s="72"/>
      <c r="Z64" s="111"/>
      <c r="AA64" s="112"/>
      <c r="AB64" s="110"/>
      <c r="AC64" s="58"/>
      <c r="AD64" s="113"/>
      <c r="AE64" s="115"/>
      <c r="AF64" s="112"/>
      <c r="AG64" s="112"/>
      <c r="AH64" s="112"/>
      <c r="AI64" s="58"/>
      <c r="AJ64" s="114"/>
      <c r="AK64" s="115"/>
      <c r="AL64" s="116"/>
      <c r="AM64" s="58"/>
      <c r="AN64" s="108"/>
      <c r="AO64" s="112"/>
      <c r="AP64" s="58"/>
      <c r="AQ64" s="79"/>
      <c r="AR64" s="58"/>
      <c r="AS64" s="117"/>
      <c r="AT64" s="118"/>
      <c r="AU64" s="118"/>
      <c r="AV64" s="118"/>
      <c r="AW64" s="118"/>
      <c r="AX64" s="112"/>
      <c r="AY64" s="212"/>
    </row>
    <row r="65" spans="1:51" x14ac:dyDescent="0.2">
      <c r="A65" s="63" t="s">
        <v>4</v>
      </c>
      <c r="B65" s="63" t="s">
        <v>52</v>
      </c>
      <c r="C65" s="63"/>
      <c r="D65" s="64">
        <f>('SCS Input'!C60/'SCS Input'!C$134)</f>
        <v>2.9314047201645442E-3</v>
      </c>
      <c r="E65" s="65">
        <f t="shared" ref="E65:E70" si="92">D65*$E$10</f>
        <v>385.75234134061287</v>
      </c>
      <c r="F65" s="66">
        <f>('SCS Input'!D60/'SCS Input'!D$134)</f>
        <v>2.5885402536612091E-3</v>
      </c>
      <c r="G65" s="65">
        <f t="shared" ref="G65:G70" si="93">F65*$G$10</f>
        <v>145.98590468573121</v>
      </c>
      <c r="H65" s="58"/>
      <c r="I65" s="83">
        <v>219</v>
      </c>
      <c r="J65" s="68">
        <f t="shared" ref="J65:J70" si="94">E65/I65</f>
        <v>1.7614262161671821</v>
      </c>
      <c r="K65" s="58"/>
      <c r="L65" s="69">
        <f t="shared" ref="L65:L70" si="95">I65/I$139</f>
        <v>8.4878457149944184E-4</v>
      </c>
      <c r="M65" s="69">
        <f t="shared" ref="M65:M70" si="96">IF(J65&gt;$C$2,L65,"")</f>
        <v>8.4878457149944184E-4</v>
      </c>
      <c r="N65" s="69">
        <f t="shared" ref="N65:N70" si="97">IF(M65="",L65/($L$139-$M$139),0)</f>
        <v>0</v>
      </c>
      <c r="O65" s="58"/>
      <c r="P65" s="67">
        <f t="shared" ref="P65:P70" si="98">IF(J65&gt;$C$2,G65,0)</f>
        <v>145.98590468573121</v>
      </c>
      <c r="Q65" s="67">
        <f t="shared" ref="Q65:Q70" si="99">N65*$P$139</f>
        <v>0</v>
      </c>
      <c r="R65" s="202">
        <f t="shared" ref="R65:R70" si="100">(G65-P65)+Q65</f>
        <v>0</v>
      </c>
      <c r="S65" s="58"/>
      <c r="T65" s="71">
        <f>VLOOKUP($B65,'Scoring Summary'!$B$5:$O$129,12,FALSE)</f>
        <v>-3.5842293906810118E-3</v>
      </c>
      <c r="U65" s="72">
        <f t="shared" ref="U65:U70" si="101">$R65*T65</f>
        <v>0</v>
      </c>
      <c r="V65" s="73">
        <f>VLOOKUP($B65,'Scoring Summary'!$B$5:$O$129,13,FALSE)</f>
        <v>-0.29012345679012341</v>
      </c>
      <c r="W65" s="72">
        <f t="shared" ref="W65:W70" si="102">$R65*V65</f>
        <v>0</v>
      </c>
      <c r="X65" s="73">
        <f>VLOOKUP($B65,'Scoring Summary'!$B$5:$O$129,14,FALSE)</f>
        <v>-9.4219571915477709E-2</v>
      </c>
      <c r="Y65" s="72">
        <f t="shared" ref="Y65:Y70" si="103">$R65*X65</f>
        <v>0</v>
      </c>
      <c r="Z65" s="74">
        <f t="shared" ref="Z65:Z70" si="104">U65+W65+Y65</f>
        <v>0</v>
      </c>
      <c r="AA65" s="67">
        <f t="shared" ref="AA65:AA70" si="105">R65+Z65</f>
        <v>0</v>
      </c>
      <c r="AB65" s="70">
        <f t="shared" ref="AB65:AB70" si="106">AA65/AA$139*R$139</f>
        <v>0</v>
      </c>
      <c r="AC65" s="58"/>
      <c r="AD65" s="75">
        <f t="shared" ref="AD65:AD70" si="107">$E65+AB65</f>
        <v>385.75234134061287</v>
      </c>
      <c r="AE65" s="68">
        <f t="shared" ref="AE65:AE70" si="108">AD65/$I65</f>
        <v>1.7614262161671821</v>
      </c>
      <c r="AF65" s="67">
        <f t="shared" ref="AF65:AF70" si="109">IF(OR(AE65&lt;$C$3,$J65&gt;=$C$2),0,AD65)</f>
        <v>0</v>
      </c>
      <c r="AG65" s="67">
        <f t="shared" ref="AG65:AG70" si="110">AF65/AF$139*(AD$139-AH$139)</f>
        <v>0</v>
      </c>
      <c r="AH65" s="67">
        <f t="shared" ref="AH65:AH70" si="111">IF(AE65&lt;$C$3,$I65*$C$3,IF($J65&gt;=$C$2,$E65,0))</f>
        <v>385.75234134061287</v>
      </c>
      <c r="AI65" s="58"/>
      <c r="AJ65" s="76">
        <f t="shared" ref="AJ65:AJ70" si="112">SUM(AG65:AH65)</f>
        <v>385.75234134061287</v>
      </c>
      <c r="AK65" s="68">
        <f t="shared" si="2"/>
        <v>1.7614262161671821</v>
      </c>
      <c r="AL65" s="77">
        <f t="shared" si="22"/>
        <v>2.0519833041151812E-3</v>
      </c>
      <c r="AM65" s="58"/>
      <c r="AN65" s="83">
        <v>728</v>
      </c>
      <c r="AO65" s="78">
        <f t="shared" si="90"/>
        <v>3.393939393939394E-3</v>
      </c>
      <c r="AP65" s="58"/>
      <c r="AQ65" s="79">
        <v>-0.34674885562992303</v>
      </c>
      <c r="AR65" s="58"/>
      <c r="AS65" s="80">
        <f t="shared" ref="AS65:AS70" si="113">AJ65</f>
        <v>385.75234134061287</v>
      </c>
      <c r="AT65" s="81">
        <f t="shared" ref="AT65:AT70" si="114">IF(AS65&gt;AN65*1.5,AN65*1.5,0)</f>
        <v>0</v>
      </c>
      <c r="AU65" s="81">
        <f t="shared" ref="AU65:AU70" si="115">IF(AT65=0,0,AS65-AT65)</f>
        <v>0</v>
      </c>
      <c r="AV65" s="82">
        <f t="shared" ref="AV65:AV70" si="116">IF(AT65&gt;0,0,AL65)</f>
        <v>2.0519833041151812E-3</v>
      </c>
      <c r="AW65" s="82">
        <f t="shared" ref="AW65:AW70" si="117">IF(AV65="",0,AV65/$AV$139)</f>
        <v>2.1828699280649782E-3</v>
      </c>
      <c r="AX65" s="67">
        <f t="shared" ref="AX65:AX70" si="118">AW65*$AU$139</f>
        <v>6.0826336617270353</v>
      </c>
      <c r="AY65" s="210">
        <f t="shared" ref="AY65:AY70" si="119">IF(AT65=0,AS65+AX65,AT65)</f>
        <v>391.83497500233989</v>
      </c>
    </row>
    <row r="66" spans="1:51" x14ac:dyDescent="0.2">
      <c r="A66" s="63" t="s">
        <v>4</v>
      </c>
      <c r="B66" s="63" t="s">
        <v>53</v>
      </c>
      <c r="C66" s="63"/>
      <c r="D66" s="64">
        <f>('SCS Input'!C61/'SCS Input'!C$134)</f>
        <v>0</v>
      </c>
      <c r="E66" s="65">
        <f t="shared" si="92"/>
        <v>0</v>
      </c>
      <c r="F66" s="66">
        <f>('SCS Input'!D61/'SCS Input'!D$134)</f>
        <v>2.3047684481562468E-4</v>
      </c>
      <c r="G66" s="65">
        <f t="shared" si="93"/>
        <v>12.998202617066786</v>
      </c>
      <c r="H66" s="58"/>
      <c r="I66" s="83">
        <v>66</v>
      </c>
      <c r="J66" s="68">
        <f t="shared" si="94"/>
        <v>0</v>
      </c>
      <c r="K66" s="58"/>
      <c r="L66" s="69">
        <f t="shared" si="95"/>
        <v>2.5579809004092768E-4</v>
      </c>
      <c r="M66" s="69" t="str">
        <f t="shared" si="96"/>
        <v/>
      </c>
      <c r="N66" s="69">
        <f t="shared" si="97"/>
        <v>2.5722971392937865E-4</v>
      </c>
      <c r="O66" s="58"/>
      <c r="P66" s="67">
        <f t="shared" si="98"/>
        <v>0</v>
      </c>
      <c r="Q66" s="67">
        <f t="shared" si="99"/>
        <v>0.15342054592981672</v>
      </c>
      <c r="R66" s="202">
        <f t="shared" si="100"/>
        <v>13.151623162996604</v>
      </c>
      <c r="S66" s="58"/>
      <c r="T66" s="71">
        <f>VLOOKUP($B66,'Scoring Summary'!$B$5:$O$129,12,FALSE)</f>
        <v>0.24731182795698919</v>
      </c>
      <c r="U66" s="72">
        <f t="shared" si="101"/>
        <v>3.2525519650421701</v>
      </c>
      <c r="V66" s="73">
        <f>VLOOKUP($B66,'Scoring Summary'!$B$5:$O$129,13,FALSE)</f>
        <v>-0.19135802469135804</v>
      </c>
      <c r="W66" s="72">
        <f t="shared" si="102"/>
        <v>-2.5166686299561403</v>
      </c>
      <c r="X66" s="73">
        <f>VLOOKUP($B66,'Scoring Summary'!$B$5:$O$129,14,FALSE)</f>
        <v>-0.11206660302228674</v>
      </c>
      <c r="Y66" s="72">
        <f t="shared" si="103"/>
        <v>-1.4738577321062516</v>
      </c>
      <c r="Z66" s="74">
        <f t="shared" si="104"/>
        <v>-0.73797439702022172</v>
      </c>
      <c r="AA66" s="67">
        <f t="shared" si="105"/>
        <v>12.413648765976381</v>
      </c>
      <c r="AB66" s="70">
        <f t="shared" si="106"/>
        <v>11.153267016260203</v>
      </c>
      <c r="AC66" s="58"/>
      <c r="AD66" s="75">
        <f t="shared" si="107"/>
        <v>11.153267016260203</v>
      </c>
      <c r="AE66" s="68">
        <f t="shared" si="108"/>
        <v>0.16898889418576066</v>
      </c>
      <c r="AF66" s="67">
        <f t="shared" si="109"/>
        <v>0</v>
      </c>
      <c r="AG66" s="67">
        <f t="shared" si="110"/>
        <v>0</v>
      </c>
      <c r="AH66" s="67">
        <f t="shared" si="111"/>
        <v>26.400000000000002</v>
      </c>
      <c r="AI66" s="58"/>
      <c r="AJ66" s="76">
        <f t="shared" si="112"/>
        <v>26.400000000000002</v>
      </c>
      <c r="AK66" s="68">
        <f t="shared" si="2"/>
        <v>0.4</v>
      </c>
      <c r="AL66" s="77">
        <f t="shared" si="22"/>
        <v>1.4043300175541255E-4</v>
      </c>
      <c r="AM66" s="58"/>
      <c r="AN66" s="83">
        <v>94</v>
      </c>
      <c r="AO66" s="78">
        <f t="shared" si="90"/>
        <v>4.3822843822843822E-4</v>
      </c>
      <c r="AP66" s="58"/>
      <c r="AQ66" s="79">
        <v>-0.63940893937367116</v>
      </c>
      <c r="AR66" s="58"/>
      <c r="AS66" s="80">
        <f t="shared" si="113"/>
        <v>26.400000000000002</v>
      </c>
      <c r="AT66" s="81">
        <f t="shared" si="114"/>
        <v>0</v>
      </c>
      <c r="AU66" s="81">
        <f t="shared" si="115"/>
        <v>0</v>
      </c>
      <c r="AV66" s="82">
        <f t="shared" si="116"/>
        <v>1.4043300175541255E-4</v>
      </c>
      <c r="AW66" s="82">
        <f t="shared" si="117"/>
        <v>1.4939058023767399E-4</v>
      </c>
      <c r="AX66" s="67">
        <f t="shared" si="118"/>
        <v>0.41628141027354892</v>
      </c>
      <c r="AY66" s="210">
        <f t="shared" si="119"/>
        <v>26.81628141027355</v>
      </c>
    </row>
    <row r="67" spans="1:51" x14ac:dyDescent="0.2">
      <c r="A67" s="63" t="s">
        <v>4</v>
      </c>
      <c r="B67" s="63" t="s">
        <v>4</v>
      </c>
      <c r="C67" s="63"/>
      <c r="D67" s="64">
        <f>('SCS Input'!C62/'SCS Input'!C$134)</f>
        <v>1.792709304759993E-3</v>
      </c>
      <c r="E67" s="65">
        <f t="shared" si="92"/>
        <v>235.90799554128176</v>
      </c>
      <c r="F67" s="66">
        <f>('SCS Input'!D62/'SCS Input'!D$134)</f>
        <v>1.179789872801762E-2</v>
      </c>
      <c r="G67" s="65">
        <f t="shared" si="93"/>
        <v>665.36609456400981</v>
      </c>
      <c r="H67" s="58"/>
      <c r="I67" s="67">
        <v>1021</v>
      </c>
      <c r="J67" s="68">
        <f t="shared" si="94"/>
        <v>0.23105582325296942</v>
      </c>
      <c r="K67" s="58"/>
      <c r="L67" s="69">
        <f t="shared" si="95"/>
        <v>3.9571189383604119E-3</v>
      </c>
      <c r="M67" s="69" t="str">
        <f t="shared" si="96"/>
        <v/>
      </c>
      <c r="N67" s="69">
        <f t="shared" si="97"/>
        <v>3.9792657260893285E-3</v>
      </c>
      <c r="O67" s="58"/>
      <c r="P67" s="67">
        <f t="shared" si="98"/>
        <v>0</v>
      </c>
      <c r="Q67" s="67">
        <f t="shared" si="99"/>
        <v>2.3733693544597414</v>
      </c>
      <c r="R67" s="202">
        <f t="shared" si="100"/>
        <v>667.7394639184696</v>
      </c>
      <c r="S67" s="58"/>
      <c r="T67" s="71">
        <f>VLOOKUP($B67,'Scoring Summary'!$B$5:$O$129,12,FALSE)</f>
        <v>-0.1971326164874552</v>
      </c>
      <c r="U67" s="72">
        <f t="shared" si="101"/>
        <v>-131.6332276541786</v>
      </c>
      <c r="V67" s="73">
        <f>VLOOKUP($B67,'Scoring Summary'!$B$5:$O$129,13,FALSE)</f>
        <v>0.20987654320987653</v>
      </c>
      <c r="W67" s="72">
        <f t="shared" si="102"/>
        <v>140.14285045202448</v>
      </c>
      <c r="X67" s="73">
        <f>VLOOKUP($B67,'Scoring Summary'!$B$5:$O$129,14,FALSE)</f>
        <v>6.7661173276748806E-3</v>
      </c>
      <c r="Y67" s="72">
        <f t="shared" si="103"/>
        <v>4.5180035571910926</v>
      </c>
      <c r="Z67" s="74">
        <f t="shared" si="104"/>
        <v>13.027626355036972</v>
      </c>
      <c r="AA67" s="67">
        <f t="shared" si="105"/>
        <v>680.7670902735066</v>
      </c>
      <c r="AB67" s="70">
        <f t="shared" si="106"/>
        <v>611.64749195364664</v>
      </c>
      <c r="AC67" s="58"/>
      <c r="AD67" s="75">
        <f t="shared" si="107"/>
        <v>847.55548749492846</v>
      </c>
      <c r="AE67" s="68">
        <f t="shared" si="108"/>
        <v>0.83012290645928355</v>
      </c>
      <c r="AF67" s="67">
        <f t="shared" si="109"/>
        <v>847.55548749492846</v>
      </c>
      <c r="AG67" s="67">
        <f t="shared" si="110"/>
        <v>821.8756553456351</v>
      </c>
      <c r="AH67" s="67">
        <f t="shared" si="111"/>
        <v>0</v>
      </c>
      <c r="AI67" s="58"/>
      <c r="AJ67" s="76">
        <f t="shared" si="112"/>
        <v>821.8756553456351</v>
      </c>
      <c r="AK67" s="68">
        <f t="shared" si="2"/>
        <v>0.80497125890855548</v>
      </c>
      <c r="AL67" s="77">
        <f t="shared" si="22"/>
        <v>4.3719115662835002E-3</v>
      </c>
      <c r="AM67" s="58"/>
      <c r="AN67" s="67">
        <v>2024</v>
      </c>
      <c r="AO67" s="78">
        <f t="shared" si="90"/>
        <v>9.4358974358974366E-3</v>
      </c>
      <c r="AP67" s="58"/>
      <c r="AQ67" s="79">
        <v>-0.2592351099734222</v>
      </c>
      <c r="AR67" s="58"/>
      <c r="AS67" s="80">
        <f t="shared" si="113"/>
        <v>821.8756553456351</v>
      </c>
      <c r="AT67" s="81">
        <f t="shared" si="114"/>
        <v>0</v>
      </c>
      <c r="AU67" s="81">
        <f t="shared" si="115"/>
        <v>0</v>
      </c>
      <c r="AV67" s="82">
        <f t="shared" si="116"/>
        <v>4.3719115662835002E-3</v>
      </c>
      <c r="AW67" s="82">
        <f t="shared" si="117"/>
        <v>4.6507757967917795E-3</v>
      </c>
      <c r="AX67" s="67">
        <f t="shared" si="118"/>
        <v>12.959528669574931</v>
      </c>
      <c r="AY67" s="210">
        <f t="shared" si="119"/>
        <v>834.83518401521007</v>
      </c>
    </row>
    <row r="68" spans="1:51" x14ac:dyDescent="0.2">
      <c r="A68" s="63" t="s">
        <v>4</v>
      </c>
      <c r="B68" s="63" t="s">
        <v>54</v>
      </c>
      <c r="C68" s="63"/>
      <c r="D68" s="64">
        <f>('SCS Input'!C63/'SCS Input'!C$134)</f>
        <v>0</v>
      </c>
      <c r="E68" s="65">
        <f t="shared" si="92"/>
        <v>0</v>
      </c>
      <c r="F68" s="66">
        <f>('SCS Input'!D63/'SCS Input'!D$134)</f>
        <v>2.7571763681601044E-4</v>
      </c>
      <c r="G68" s="65">
        <f t="shared" si="93"/>
        <v>15.549647563512542</v>
      </c>
      <c r="H68" s="58"/>
      <c r="I68" s="83">
        <v>76</v>
      </c>
      <c r="J68" s="68">
        <f t="shared" si="94"/>
        <v>0</v>
      </c>
      <c r="K68" s="58"/>
      <c r="L68" s="69">
        <f t="shared" si="95"/>
        <v>2.9455537641076524E-4</v>
      </c>
      <c r="M68" s="69" t="str">
        <f t="shared" si="96"/>
        <v/>
      </c>
      <c r="N68" s="69">
        <f t="shared" si="97"/>
        <v>2.9620391300958762E-4</v>
      </c>
      <c r="O68" s="58"/>
      <c r="P68" s="67">
        <f t="shared" si="98"/>
        <v>0</v>
      </c>
      <c r="Q68" s="67">
        <f t="shared" si="99"/>
        <v>0.17666608319191021</v>
      </c>
      <c r="R68" s="202">
        <f t="shared" si="100"/>
        <v>15.726313646704451</v>
      </c>
      <c r="S68" s="58"/>
      <c r="T68" s="71">
        <f>VLOOKUP($B68,'Scoring Summary'!$B$5:$O$129,12,FALSE)</f>
        <v>0.23297491039426527</v>
      </c>
      <c r="U68" s="72">
        <f t="shared" si="101"/>
        <v>3.6638365126730807</v>
      </c>
      <c r="V68" s="73">
        <f>VLOOKUP($B68,'Scoring Summary'!$B$5:$O$129,13,FALSE)</f>
        <v>-0.11111111111111105</v>
      </c>
      <c r="W68" s="72">
        <f t="shared" si="102"/>
        <v>-1.7473681829671603</v>
      </c>
      <c r="X68" s="73">
        <f>VLOOKUP($B68,'Scoring Summary'!$B$5:$O$129,14,FALSE)</f>
        <v>-3.072051138460097E-5</v>
      </c>
      <c r="Y68" s="72">
        <f t="shared" si="103"/>
        <v>-4.8312039742138966E-4</v>
      </c>
      <c r="Z68" s="74">
        <f t="shared" si="104"/>
        <v>1.915985209308499</v>
      </c>
      <c r="AA68" s="67">
        <f t="shared" si="105"/>
        <v>17.64229885601295</v>
      </c>
      <c r="AB68" s="70">
        <f t="shared" si="106"/>
        <v>15.851042157812952</v>
      </c>
      <c r="AC68" s="58"/>
      <c r="AD68" s="75">
        <f t="shared" si="107"/>
        <v>15.851042157812952</v>
      </c>
      <c r="AE68" s="68">
        <f t="shared" si="108"/>
        <v>0.20856634418174935</v>
      </c>
      <c r="AF68" s="67">
        <f t="shared" si="109"/>
        <v>0</v>
      </c>
      <c r="AG68" s="67">
        <f t="shared" si="110"/>
        <v>0</v>
      </c>
      <c r="AH68" s="67">
        <f t="shared" si="111"/>
        <v>30.400000000000002</v>
      </c>
      <c r="AI68" s="58"/>
      <c r="AJ68" s="76">
        <f t="shared" si="112"/>
        <v>30.400000000000002</v>
      </c>
      <c r="AK68" s="68">
        <f t="shared" si="2"/>
        <v>0.4</v>
      </c>
      <c r="AL68" s="77">
        <f t="shared" si="22"/>
        <v>1.6171072929411142E-4</v>
      </c>
      <c r="AM68" s="58"/>
      <c r="AN68" s="83">
        <v>121</v>
      </c>
      <c r="AO68" s="78">
        <f t="shared" si="90"/>
        <v>5.6410256410256406E-4</v>
      </c>
      <c r="AP68" s="58"/>
      <c r="AQ68" s="79">
        <v>-0.57933101511486973</v>
      </c>
      <c r="AR68" s="58"/>
      <c r="AS68" s="80">
        <f t="shared" si="113"/>
        <v>30.400000000000002</v>
      </c>
      <c r="AT68" s="81">
        <f t="shared" si="114"/>
        <v>0</v>
      </c>
      <c r="AU68" s="81">
        <f t="shared" si="115"/>
        <v>0</v>
      </c>
      <c r="AV68" s="82">
        <f t="shared" si="116"/>
        <v>1.6171072929411142E-4</v>
      </c>
      <c r="AW68" s="82">
        <f t="shared" si="117"/>
        <v>1.7202551663732157E-4</v>
      </c>
      <c r="AX68" s="67">
        <f t="shared" si="118"/>
        <v>0.47935435122408665</v>
      </c>
      <c r="AY68" s="210">
        <f t="shared" si="119"/>
        <v>30.879354351224087</v>
      </c>
    </row>
    <row r="69" spans="1:51" x14ac:dyDescent="0.2">
      <c r="A69" s="63" t="s">
        <v>4</v>
      </c>
      <c r="B69" s="63" t="s">
        <v>55</v>
      </c>
      <c r="C69" s="63"/>
      <c r="D69" s="64">
        <f>('SCS Input'!C64/'SCS Input'!C$134)</f>
        <v>0</v>
      </c>
      <c r="E69" s="65">
        <f t="shared" si="92"/>
        <v>0</v>
      </c>
      <c r="F69" s="66">
        <f>('SCS Input'!D64/'SCS Input'!D$134)</f>
        <v>1.2436832291265752E-4</v>
      </c>
      <c r="G69" s="65">
        <f t="shared" si="93"/>
        <v>7.0140003073051469</v>
      </c>
      <c r="H69" s="58"/>
      <c r="I69" s="83">
        <v>43</v>
      </c>
      <c r="J69" s="68">
        <f t="shared" si="94"/>
        <v>0</v>
      </c>
      <c r="K69" s="58"/>
      <c r="L69" s="69">
        <f t="shared" si="95"/>
        <v>1.6665633139030137E-4</v>
      </c>
      <c r="M69" s="69" t="str">
        <f t="shared" si="96"/>
        <v/>
      </c>
      <c r="N69" s="69">
        <f t="shared" si="97"/>
        <v>1.6758905604489824E-4</v>
      </c>
      <c r="O69" s="58"/>
      <c r="P69" s="67">
        <f t="shared" si="98"/>
        <v>0</v>
      </c>
      <c r="Q69" s="67">
        <f t="shared" si="99"/>
        <v>9.9955810227001826E-2</v>
      </c>
      <c r="R69" s="202">
        <f t="shared" si="100"/>
        <v>7.1139561175321484</v>
      </c>
      <c r="S69" s="58"/>
      <c r="T69" s="71">
        <f>VLOOKUP($B69,'Scoring Summary'!$B$5:$O$129,12,FALSE)</f>
        <v>0.3261648745519713</v>
      </c>
      <c r="U69" s="72">
        <f t="shared" si="101"/>
        <v>2.3203226046431018</v>
      </c>
      <c r="V69" s="73">
        <f>VLOOKUP($B69,'Scoring Summary'!$B$5:$O$129,13,FALSE)</f>
        <v>-0.2839506172839506</v>
      </c>
      <c r="W69" s="72">
        <f t="shared" si="102"/>
        <v>-2.0200122309041904</v>
      </c>
      <c r="X69" s="73">
        <f>VLOOKUP($B69,'Scoring Summary'!$B$5:$O$129,14,FALSE)</f>
        <v>-2.491520055292952E-2</v>
      </c>
      <c r="Y69" s="72">
        <f t="shared" si="103"/>
        <v>-0.17724564339305332</v>
      </c>
      <c r="Z69" s="74">
        <f t="shared" si="104"/>
        <v>0.12306473034585813</v>
      </c>
      <c r="AA69" s="67">
        <f t="shared" si="105"/>
        <v>7.2370208478780063</v>
      </c>
      <c r="AB69" s="70">
        <f t="shared" si="106"/>
        <v>6.5022321349911794</v>
      </c>
      <c r="AC69" s="58"/>
      <c r="AD69" s="75">
        <f t="shared" si="107"/>
        <v>6.5022321349911794</v>
      </c>
      <c r="AE69" s="68">
        <f t="shared" si="108"/>
        <v>0.15121470081374835</v>
      </c>
      <c r="AF69" s="67">
        <f t="shared" si="109"/>
        <v>0</v>
      </c>
      <c r="AG69" s="67">
        <f t="shared" si="110"/>
        <v>0</v>
      </c>
      <c r="AH69" s="67">
        <f t="shared" si="111"/>
        <v>17.2</v>
      </c>
      <c r="AI69" s="58"/>
      <c r="AJ69" s="76">
        <f t="shared" si="112"/>
        <v>17.2</v>
      </c>
      <c r="AK69" s="68">
        <f t="shared" si="2"/>
        <v>0.39999999999999997</v>
      </c>
      <c r="AL69" s="77">
        <f t="shared" si="22"/>
        <v>9.1494228416405136E-5</v>
      </c>
      <c r="AM69" s="58"/>
      <c r="AN69" s="83">
        <v>87</v>
      </c>
      <c r="AO69" s="78">
        <f t="shared" si="90"/>
        <v>4.0559440559440562E-4</v>
      </c>
      <c r="AP69" s="58"/>
      <c r="AQ69" s="79">
        <v>-0.51378941981324577</v>
      </c>
      <c r="AR69" s="58"/>
      <c r="AS69" s="80">
        <f t="shared" si="113"/>
        <v>17.2</v>
      </c>
      <c r="AT69" s="81">
        <f t="shared" si="114"/>
        <v>0</v>
      </c>
      <c r="AU69" s="81">
        <f t="shared" si="115"/>
        <v>0</v>
      </c>
      <c r="AV69" s="82">
        <f t="shared" si="116"/>
        <v>9.1494228416405136E-5</v>
      </c>
      <c r="AW69" s="82">
        <f t="shared" si="117"/>
        <v>9.7330226518484557E-5</v>
      </c>
      <c r="AX69" s="67">
        <f t="shared" si="118"/>
        <v>0.27121364608731213</v>
      </c>
      <c r="AY69" s="210">
        <f t="shared" si="119"/>
        <v>17.47121364608731</v>
      </c>
    </row>
    <row r="70" spans="1:51" x14ac:dyDescent="0.2">
      <c r="A70" s="63" t="s">
        <v>4</v>
      </c>
      <c r="B70" s="63" t="s">
        <v>108</v>
      </c>
      <c r="C70" s="63"/>
      <c r="D70" s="64">
        <f>('SCS Input'!C65/'SCS Input'!C$134)</f>
        <v>0</v>
      </c>
      <c r="E70" s="65">
        <f t="shared" si="92"/>
        <v>0</v>
      </c>
      <c r="F70" s="66">
        <f>('SCS Input'!D65/'SCS Input'!D$134)</f>
        <v>3.0734779088972936E-3</v>
      </c>
      <c r="G70" s="65">
        <f t="shared" si="93"/>
        <v>173.33493362808068</v>
      </c>
      <c r="H70" s="58"/>
      <c r="I70" s="83">
        <v>310</v>
      </c>
      <c r="J70" s="68">
        <f t="shared" si="94"/>
        <v>0</v>
      </c>
      <c r="K70" s="58"/>
      <c r="L70" s="69">
        <f t="shared" si="95"/>
        <v>1.2014758774649633E-3</v>
      </c>
      <c r="M70" s="69" t="str">
        <f t="shared" si="96"/>
        <v/>
      </c>
      <c r="N70" s="69">
        <f t="shared" si="97"/>
        <v>1.2082001714864756E-3</v>
      </c>
      <c r="O70" s="58"/>
      <c r="P70" s="67">
        <f t="shared" si="98"/>
        <v>0</v>
      </c>
      <c r="Q70" s="67">
        <f t="shared" si="99"/>
        <v>0.72061165512489678</v>
      </c>
      <c r="R70" s="202">
        <f t="shared" si="100"/>
        <v>174.05554528320556</v>
      </c>
      <c r="S70" s="58"/>
      <c r="T70" s="71">
        <f>VLOOKUP($B70,'Scoring Summary'!$B$5:$O$129,12,FALSE)</f>
        <v>0.11827956989247307</v>
      </c>
      <c r="U70" s="72">
        <f t="shared" si="101"/>
        <v>20.587215033497422</v>
      </c>
      <c r="V70" s="73">
        <f>VLOOKUP($B70,'Scoring Summary'!$B$5:$O$129,13,FALSE)</f>
        <v>0.14814814814814814</v>
      </c>
      <c r="W70" s="72">
        <f t="shared" si="102"/>
        <v>25.786006708623045</v>
      </c>
      <c r="X70" s="73">
        <f>VLOOKUP($B70,'Scoring Summary'!$B$5:$O$129,14,FALSE)</f>
        <v>-9.9025939846948977E-2</v>
      </c>
      <c r="Y70" s="72">
        <f t="shared" si="103"/>
        <v>-17.236013957242619</v>
      </c>
      <c r="Z70" s="74">
        <f t="shared" si="104"/>
        <v>29.137207784877845</v>
      </c>
      <c r="AA70" s="67">
        <f t="shared" si="105"/>
        <v>203.19275306808339</v>
      </c>
      <c r="AB70" s="70">
        <f t="shared" si="106"/>
        <v>182.56220016058336</v>
      </c>
      <c r="AC70" s="58"/>
      <c r="AD70" s="75">
        <f t="shared" si="107"/>
        <v>182.56220016058336</v>
      </c>
      <c r="AE70" s="68">
        <f t="shared" si="108"/>
        <v>0.58891032309865599</v>
      </c>
      <c r="AF70" s="67">
        <f t="shared" si="109"/>
        <v>182.56220016058336</v>
      </c>
      <c r="AG70" s="67">
        <f t="shared" si="110"/>
        <v>177.03080224493061</v>
      </c>
      <c r="AH70" s="67">
        <f t="shared" si="111"/>
        <v>0</v>
      </c>
      <c r="AI70" s="58"/>
      <c r="AJ70" s="76">
        <f t="shared" si="112"/>
        <v>177.03080224493061</v>
      </c>
      <c r="AK70" s="68">
        <f t="shared" si="2"/>
        <v>0.57106710401590521</v>
      </c>
      <c r="AL70" s="77">
        <f t="shared" si="22"/>
        <v>9.4170329403122852E-4</v>
      </c>
      <c r="AM70" s="58"/>
      <c r="AN70" s="83">
        <v>651</v>
      </c>
      <c r="AO70" s="78">
        <f t="shared" si="90"/>
        <v>3.0349650349650349E-3</v>
      </c>
      <c r="AP70" s="58"/>
      <c r="AQ70" s="79">
        <v>-0.37128587777423355</v>
      </c>
      <c r="AR70" s="58"/>
      <c r="AS70" s="80">
        <f t="shared" si="113"/>
        <v>177.03080224493061</v>
      </c>
      <c r="AT70" s="81">
        <f t="shared" si="114"/>
        <v>0</v>
      </c>
      <c r="AU70" s="81">
        <f t="shared" si="115"/>
        <v>0</v>
      </c>
      <c r="AV70" s="82">
        <f t="shared" si="116"/>
        <v>9.4170329403122852E-4</v>
      </c>
      <c r="AW70" s="82">
        <f t="shared" si="117"/>
        <v>1.0017702373981479E-3</v>
      </c>
      <c r="AX70" s="67">
        <f t="shared" si="118"/>
        <v>2.7914633341052073</v>
      </c>
      <c r="AY70" s="210">
        <f t="shared" si="119"/>
        <v>179.82226557903581</v>
      </c>
    </row>
    <row r="71" spans="1:51" s="49" customFormat="1" x14ac:dyDescent="0.2">
      <c r="A71" s="84"/>
      <c r="B71" s="84"/>
      <c r="C71" s="84"/>
      <c r="D71" s="85">
        <f>SUM(D65:D70)</f>
        <v>4.724114024924537E-3</v>
      </c>
      <c r="E71" s="86">
        <f>SUM(E65:E70)</f>
        <v>621.66033688189464</v>
      </c>
      <c r="F71" s="85">
        <f>SUM(F65:F70)</f>
        <v>1.8090479695120416E-2</v>
      </c>
      <c r="G71" s="86">
        <f>SUM(G65:G70)</f>
        <v>1020.2487833657061</v>
      </c>
      <c r="H71" s="58"/>
      <c r="I71" s="87">
        <f>SUM(I65:I70)</f>
        <v>1735</v>
      </c>
      <c r="J71" s="88"/>
      <c r="K71" s="58"/>
      <c r="L71" s="89">
        <f>I71/I$139</f>
        <v>6.7243891851668115E-3</v>
      </c>
      <c r="M71" s="90"/>
      <c r="N71" s="90"/>
      <c r="O71" s="91"/>
      <c r="P71" s="87">
        <f>SUM(P65:P70)</f>
        <v>145.98590468573121</v>
      </c>
      <c r="Q71" s="87">
        <f>SUM(Q65:Q70)</f>
        <v>3.5240234489333671</v>
      </c>
      <c r="R71" s="203">
        <f>SUM(R65:R70)</f>
        <v>877.78690212890831</v>
      </c>
      <c r="S71" s="58"/>
      <c r="T71" s="93"/>
      <c r="U71" s="94">
        <f>SUM(U65:U70)</f>
        <v>-101.80930153832284</v>
      </c>
      <c r="V71" s="95"/>
      <c r="W71" s="94">
        <f>SUM(W65:W70)</f>
        <v>159.64480811682</v>
      </c>
      <c r="X71" s="95"/>
      <c r="Y71" s="94">
        <f>SUM(Y65:Y70)</f>
        <v>-14.369596895948252</v>
      </c>
      <c r="Z71" s="96">
        <f>SUM(Z65:Z70)</f>
        <v>43.465909682548954</v>
      </c>
      <c r="AA71" s="119"/>
      <c r="AB71" s="92">
        <f>SUM(AB65:AB70)</f>
        <v>827.7162334232944</v>
      </c>
      <c r="AC71" s="58"/>
      <c r="AD71" s="97">
        <f>SUM(AD65:AD70)</f>
        <v>1449.376570305189</v>
      </c>
      <c r="AE71" s="88"/>
      <c r="AF71" s="87">
        <f>SUM(AF65:AF70)</f>
        <v>1030.1176876555119</v>
      </c>
      <c r="AG71" s="87">
        <f>SUM(AG65:AG70)</f>
        <v>998.90645759056565</v>
      </c>
      <c r="AH71" s="87">
        <f>SUM(AH65:AH70)</f>
        <v>459.75234134061282</v>
      </c>
      <c r="AI71" s="58"/>
      <c r="AJ71" s="98">
        <f>SUM(AJ65:AJ70)</f>
        <v>1458.6587989311786</v>
      </c>
      <c r="AK71" s="88"/>
      <c r="AL71" s="99">
        <f t="shared" si="22"/>
        <v>7.759236123895839E-3</v>
      </c>
      <c r="AM71" s="58"/>
      <c r="AN71" s="87">
        <f>SUM(AN65:AN70)</f>
        <v>3705</v>
      </c>
      <c r="AO71" s="100">
        <f t="shared" si="90"/>
        <v>1.7272727272727273E-2</v>
      </c>
      <c r="AP71" s="58"/>
      <c r="AQ71" s="101">
        <v>-0.32219576479611162</v>
      </c>
      <c r="AR71" s="58"/>
      <c r="AS71" s="102">
        <f>AJ71</f>
        <v>1458.6587989311786</v>
      </c>
      <c r="AT71" s="103">
        <f t="shared" ref="AT71:AY71" si="120">SUM(AT65:AT70)</f>
        <v>0</v>
      </c>
      <c r="AU71" s="103">
        <f t="shared" si="120"/>
        <v>0</v>
      </c>
      <c r="AV71" s="104">
        <f t="shared" si="120"/>
        <v>7.7592361238958381E-3</v>
      </c>
      <c r="AW71" s="104">
        <f t="shared" si="120"/>
        <v>8.2541622856483858E-3</v>
      </c>
      <c r="AX71" s="87">
        <f t="shared" si="120"/>
        <v>23.000475072992117</v>
      </c>
      <c r="AY71" s="211">
        <f t="shared" si="120"/>
        <v>1481.6592740041706</v>
      </c>
    </row>
    <row r="72" spans="1:51" s="49" customFormat="1" x14ac:dyDescent="0.2">
      <c r="A72" s="105"/>
      <c r="B72" s="105"/>
      <c r="C72" s="105"/>
      <c r="D72" s="106"/>
      <c r="E72" s="107"/>
      <c r="F72" s="107"/>
      <c r="G72" s="107"/>
      <c r="H72" s="58"/>
      <c r="I72" s="108"/>
      <c r="J72" s="115"/>
      <c r="K72" s="58"/>
      <c r="L72" s="109"/>
      <c r="M72" s="109"/>
      <c r="N72" s="109"/>
      <c r="O72" s="58"/>
      <c r="P72" s="108"/>
      <c r="Q72" s="108"/>
      <c r="R72" s="204"/>
      <c r="S72" s="58"/>
      <c r="T72" s="71"/>
      <c r="U72" s="72"/>
      <c r="V72" s="71"/>
      <c r="W72" s="72"/>
      <c r="X72" s="71"/>
      <c r="Y72" s="72"/>
      <c r="Z72" s="111"/>
      <c r="AA72" s="112"/>
      <c r="AB72" s="110"/>
      <c r="AC72" s="58"/>
      <c r="AD72" s="113"/>
      <c r="AE72" s="115"/>
      <c r="AF72" s="112"/>
      <c r="AG72" s="112"/>
      <c r="AH72" s="112"/>
      <c r="AI72" s="58"/>
      <c r="AJ72" s="114"/>
      <c r="AK72" s="115"/>
      <c r="AL72" s="116"/>
      <c r="AM72" s="58"/>
      <c r="AN72" s="108"/>
      <c r="AO72" s="112"/>
      <c r="AP72" s="58"/>
      <c r="AQ72" s="79"/>
      <c r="AR72" s="58"/>
      <c r="AS72" s="117"/>
      <c r="AT72" s="118"/>
      <c r="AU72" s="118"/>
      <c r="AV72" s="118"/>
      <c r="AW72" s="118"/>
      <c r="AX72" s="112"/>
      <c r="AY72" s="212"/>
    </row>
    <row r="73" spans="1:51" x14ac:dyDescent="0.2">
      <c r="A73" s="63" t="s">
        <v>5</v>
      </c>
      <c r="B73" s="63" t="s">
        <v>5</v>
      </c>
      <c r="C73" s="63"/>
      <c r="D73" s="64">
        <f>('SCS Input'!C68/'SCS Input'!C$134)</f>
        <v>0.17902551361366151</v>
      </c>
      <c r="E73" s="65">
        <f>D73*$E$10</f>
        <v>23558.50441296256</v>
      </c>
      <c r="F73" s="66">
        <f>('SCS Input'!D68/'SCS Input'!D$134)</f>
        <v>8.2194944383260998E-2</v>
      </c>
      <c r="G73" s="65">
        <f>F73*$G$10</f>
        <v>4635.5482783827711</v>
      </c>
      <c r="H73" s="58"/>
      <c r="I73" s="67">
        <v>24026</v>
      </c>
      <c r="J73" s="68">
        <f>E73/I73</f>
        <v>0.98054209660212099</v>
      </c>
      <c r="K73" s="58"/>
      <c r="L73" s="69">
        <f>I73/I$139</f>
        <v>9.3118256232171653E-2</v>
      </c>
      <c r="M73" s="69" t="str">
        <f>IF(J73&gt;$C$2,L73,"")</f>
        <v/>
      </c>
      <c r="N73" s="69">
        <f>IF(M73="",L73/($L$139-$M$139),0)</f>
        <v>9.3639410710109894E-2</v>
      </c>
      <c r="O73" s="58"/>
      <c r="P73" s="67">
        <f>IF(J73&gt;$C$2,G73,0)</f>
        <v>0</v>
      </c>
      <c r="Q73" s="67">
        <f>N73*$P$139</f>
        <v>55.849727825905724</v>
      </c>
      <c r="R73" s="202">
        <f>(G73-P73)+Q73</f>
        <v>4691.3980062086766</v>
      </c>
      <c r="S73" s="58"/>
      <c r="T73" s="71">
        <f>VLOOKUP($B73,'Scoring Summary'!$B$5:$O$129,12,FALSE)</f>
        <v>-0.3261648745519713</v>
      </c>
      <c r="U73" s="72">
        <f>$R73*T73</f>
        <v>-1530.1692421684213</v>
      </c>
      <c r="V73" s="73">
        <f>VLOOKUP($B73,'Scoring Summary'!$B$5:$O$129,13,FALSE)</f>
        <v>0.3271604938271605</v>
      </c>
      <c r="W73" s="72">
        <f>$R73*V73</f>
        <v>1534.8400884509867</v>
      </c>
      <c r="X73" s="73">
        <f>VLOOKUP($B73,'Scoring Summary'!$B$5:$O$129,14,FALSE)</f>
        <v>0.33333333333333331</v>
      </c>
      <c r="Y73" s="72">
        <f>$R73*X73</f>
        <v>1563.7993354028922</v>
      </c>
      <c r="Z73" s="74">
        <f>U73+W73+Y73</f>
        <v>1568.4701816854576</v>
      </c>
      <c r="AA73" s="67">
        <f>R73+Z73</f>
        <v>6259.8681878941343</v>
      </c>
      <c r="AB73" s="70">
        <f>AA73/AA$139*R$139</f>
        <v>5624.2916730119623</v>
      </c>
      <c r="AC73" s="58"/>
      <c r="AD73" s="75">
        <f>$E73+AB73</f>
        <v>29182.796085974522</v>
      </c>
      <c r="AE73" s="68">
        <f>AD73/$I73</f>
        <v>1.214633983433552</v>
      </c>
      <c r="AF73" s="67">
        <f>IF(OR(AE73&lt;$C$3,$J73&gt;=$C$2),0,AD73)</f>
        <v>29182.796085974522</v>
      </c>
      <c r="AG73" s="67">
        <f>AF73/AF$139*(AD$139-AH$139)</f>
        <v>28298.595209227358</v>
      </c>
      <c r="AH73" s="67">
        <f>IF(AE73&lt;$C$3,$I73*$C$3,IF($J73&gt;=$C$2,$E73,0))</f>
        <v>0</v>
      </c>
      <c r="AI73" s="58"/>
      <c r="AJ73" s="76">
        <f>SUM(AG73:AH73)</f>
        <v>28298.595209227358</v>
      </c>
      <c r="AK73" s="68">
        <f t="shared" si="2"/>
        <v>1.1778321488898427</v>
      </c>
      <c r="AL73" s="77">
        <f t="shared" si="22"/>
        <v>0.15053244964746723</v>
      </c>
      <c r="AM73" s="58"/>
      <c r="AN73" s="67">
        <v>31193</v>
      </c>
      <c r="AO73" s="78">
        <f t="shared" si="90"/>
        <v>0.14542191142191141</v>
      </c>
      <c r="AP73" s="58"/>
      <c r="AQ73" s="79">
        <v>1.6151569655160448E-2</v>
      </c>
      <c r="AR73" s="58"/>
      <c r="AS73" s="80">
        <f>AJ73</f>
        <v>28298.595209227358</v>
      </c>
      <c r="AT73" s="81">
        <f>IF(AS73&gt;AN73*1.5,AN73*1.5,0)</f>
        <v>0</v>
      </c>
      <c r="AU73" s="81">
        <f>IF(AT73=0,0,AS73-AT73)</f>
        <v>0</v>
      </c>
      <c r="AV73" s="82">
        <f>IF(AT73&gt;0,0,AL73)</f>
        <v>0.15053244964746723</v>
      </c>
      <c r="AW73" s="82">
        <f>IF(AV73="",0,AV73/$AV$139)</f>
        <v>0.1601342256900582</v>
      </c>
      <c r="AX73" s="67">
        <f>AW73*$AU$139</f>
        <v>446.21890615369171</v>
      </c>
      <c r="AY73" s="210">
        <f>IF(AT73=0,AS73+AX73,AT73)</f>
        <v>28744.81411538105</v>
      </c>
    </row>
    <row r="74" spans="1:51" s="49" customFormat="1" x14ac:dyDescent="0.2">
      <c r="A74" s="84"/>
      <c r="B74" s="84"/>
      <c r="C74" s="84"/>
      <c r="D74" s="85">
        <f>SUM(D73)</f>
        <v>0.17902551361366151</v>
      </c>
      <c r="E74" s="86">
        <f>SUM(E73)</f>
        <v>23558.50441296256</v>
      </c>
      <c r="F74" s="85">
        <f>SUM(F73)</f>
        <v>8.2194944383260998E-2</v>
      </c>
      <c r="G74" s="86">
        <f>SUM(G73)</f>
        <v>4635.5482783827711</v>
      </c>
      <c r="H74" s="58"/>
      <c r="I74" s="87">
        <f>SUM(I73)</f>
        <v>24026</v>
      </c>
      <c r="J74" s="88"/>
      <c r="K74" s="58"/>
      <c r="L74" s="89">
        <f>I74/I$139</f>
        <v>9.3118256232171653E-2</v>
      </c>
      <c r="M74" s="90"/>
      <c r="N74" s="90"/>
      <c r="O74" s="91"/>
      <c r="P74" s="87">
        <f>SUM(P73)</f>
        <v>0</v>
      </c>
      <c r="Q74" s="87">
        <f>SUM(Q73)</f>
        <v>55.849727825905724</v>
      </c>
      <c r="R74" s="203">
        <f>SUM(R73)</f>
        <v>4691.3980062086766</v>
      </c>
      <c r="S74" s="58"/>
      <c r="T74" s="93"/>
      <c r="U74" s="94">
        <f>SUM(U73)</f>
        <v>-1530.1692421684213</v>
      </c>
      <c r="V74" s="95"/>
      <c r="W74" s="94">
        <f>SUM(W73)</f>
        <v>1534.8400884509867</v>
      </c>
      <c r="X74" s="95"/>
      <c r="Y74" s="94">
        <f>SUM(Y73)</f>
        <v>1563.7993354028922</v>
      </c>
      <c r="Z74" s="96">
        <f>SUM(Z73)</f>
        <v>1568.4701816854576</v>
      </c>
      <c r="AA74" s="119"/>
      <c r="AB74" s="92">
        <f>SUM(AB73)</f>
        <v>5624.2916730119623</v>
      </c>
      <c r="AC74" s="58"/>
      <c r="AD74" s="97">
        <f>SUM(AD73)</f>
        <v>29182.796085974522</v>
      </c>
      <c r="AE74" s="88"/>
      <c r="AF74" s="87">
        <f>SUM(AF73)</f>
        <v>29182.796085974522</v>
      </c>
      <c r="AG74" s="87">
        <f>SUM(AG73)</f>
        <v>28298.595209227358</v>
      </c>
      <c r="AH74" s="87">
        <f>SUM(AH73)</f>
        <v>0</v>
      </c>
      <c r="AI74" s="58"/>
      <c r="AJ74" s="98">
        <f>SUM(AJ73)</f>
        <v>28298.595209227358</v>
      </c>
      <c r="AK74" s="88"/>
      <c r="AL74" s="99">
        <f t="shared" si="22"/>
        <v>0.15053244964746723</v>
      </c>
      <c r="AM74" s="58"/>
      <c r="AN74" s="87">
        <f>SUM(AN73)</f>
        <v>31193</v>
      </c>
      <c r="AO74" s="100">
        <f t="shared" si="90"/>
        <v>0.14542191142191141</v>
      </c>
      <c r="AP74" s="58"/>
      <c r="AQ74" s="101">
        <v>1.6151569655160448E-2</v>
      </c>
      <c r="AR74" s="58"/>
      <c r="AS74" s="102">
        <f>AJ74</f>
        <v>28298.595209227358</v>
      </c>
      <c r="AT74" s="103">
        <f t="shared" ref="AT74:AY74" si="121">SUM(AT73)</f>
        <v>0</v>
      </c>
      <c r="AU74" s="103">
        <f t="shared" si="121"/>
        <v>0</v>
      </c>
      <c r="AV74" s="104">
        <f t="shared" si="121"/>
        <v>0.15053244964746723</v>
      </c>
      <c r="AW74" s="104">
        <f t="shared" si="121"/>
        <v>0.1601342256900582</v>
      </c>
      <c r="AX74" s="87">
        <f t="shared" si="121"/>
        <v>446.21890615369171</v>
      </c>
      <c r="AY74" s="211">
        <f t="shared" si="121"/>
        <v>28744.81411538105</v>
      </c>
    </row>
    <row r="75" spans="1:51" s="49" customFormat="1" x14ac:dyDescent="0.2">
      <c r="A75" s="196"/>
      <c r="B75" s="196"/>
      <c r="C75" s="196"/>
      <c r="D75" s="197"/>
      <c r="E75" s="130"/>
      <c r="F75" s="130"/>
      <c r="G75" s="130"/>
      <c r="H75" s="58"/>
      <c r="I75" s="48"/>
      <c r="J75" s="136"/>
      <c r="K75" s="58"/>
      <c r="L75" s="123"/>
      <c r="M75" s="123"/>
      <c r="N75" s="123"/>
      <c r="O75" s="58"/>
      <c r="P75" s="48"/>
      <c r="Q75" s="48"/>
      <c r="R75" s="205"/>
      <c r="S75" s="58"/>
      <c r="T75" s="93"/>
      <c r="U75" s="132"/>
      <c r="V75" s="93"/>
      <c r="W75" s="132"/>
      <c r="X75" s="93"/>
      <c r="Y75" s="132"/>
      <c r="Z75" s="133"/>
      <c r="AB75" s="131"/>
      <c r="AC75" s="58"/>
      <c r="AD75" s="134"/>
      <c r="AE75" s="136"/>
      <c r="AI75" s="58"/>
      <c r="AJ75" s="135"/>
      <c r="AK75" s="136"/>
      <c r="AL75" s="137"/>
      <c r="AM75" s="58"/>
      <c r="AN75" s="48"/>
      <c r="AP75" s="58"/>
      <c r="AQ75" s="198"/>
      <c r="AR75" s="58"/>
      <c r="AS75" s="199"/>
      <c r="AT75" s="200"/>
      <c r="AU75" s="200"/>
      <c r="AV75" s="200"/>
      <c r="AW75" s="200"/>
      <c r="AY75" s="213"/>
    </row>
    <row r="76" spans="1:51" x14ac:dyDescent="0.2">
      <c r="A76" s="105" t="s">
        <v>6</v>
      </c>
      <c r="B76" s="105" t="s">
        <v>56</v>
      </c>
      <c r="C76" s="105"/>
      <c r="D76" s="185">
        <f>('SCS Input'!C71/'SCS Input'!C$134)</f>
        <v>0</v>
      </c>
      <c r="E76" s="186">
        <f t="shared" ref="E76:E96" si="122">D76*$E$10</f>
        <v>0</v>
      </c>
      <c r="F76" s="187">
        <f>('SCS Input'!D71/'SCS Input'!D$134)</f>
        <v>1.0642367309356641E-3</v>
      </c>
      <c r="G76" s="186">
        <f t="shared" ref="G76:G96" si="123">F76*$G$10</f>
        <v>60.019758914578652</v>
      </c>
      <c r="H76" s="58"/>
      <c r="I76" s="108">
        <v>260</v>
      </c>
      <c r="J76" s="115">
        <f t="shared" ref="J76:J96" si="124">E76/I76</f>
        <v>0</v>
      </c>
      <c r="K76" s="58"/>
      <c r="L76" s="109">
        <f t="shared" ref="L76:L96" si="125">I76/I$139</f>
        <v>1.0076894456157758E-3</v>
      </c>
      <c r="M76" s="109" t="str">
        <f t="shared" ref="M76:M96" si="126">IF(J76&gt;$C$2,L76,"")</f>
        <v/>
      </c>
      <c r="N76" s="109">
        <f t="shared" ref="N76:N96" si="127">IF(M76="",L76/($L$139-$M$139),0)</f>
        <v>1.0133291760854313E-3</v>
      </c>
      <c r="O76" s="58"/>
      <c r="P76" s="188">
        <f t="shared" ref="P76:P96" si="128">IF(J76&gt;$C$2,G76,0)</f>
        <v>0</v>
      </c>
      <c r="Q76" s="188">
        <f t="shared" ref="Q76:Q96" si="129">N76*$P$139</f>
        <v>0.60438396881442968</v>
      </c>
      <c r="R76" s="206">
        <f t="shared" ref="R76:R96" si="130">(G76-P76)+Q76</f>
        <v>60.624142883393084</v>
      </c>
      <c r="S76" s="58"/>
      <c r="T76" s="71">
        <f>VLOOKUP($B76,'Scoring Summary'!$B$5:$O$129,12,FALSE)</f>
        <v>0.33333333333333331</v>
      </c>
      <c r="U76" s="72">
        <f t="shared" ref="U76:U96" si="131">$R76*T76</f>
        <v>20.208047627797693</v>
      </c>
      <c r="V76" s="71">
        <f>VLOOKUP($B76,'Scoring Summary'!$B$5:$O$129,13,FALSE)</f>
        <v>-0.19753086419753088</v>
      </c>
      <c r="W76" s="72">
        <f t="shared" ref="W76:W96" si="132">$R76*V76</f>
        <v>-11.975139334991228</v>
      </c>
      <c r="X76" s="71">
        <f>VLOOKUP($B76,'Scoring Summary'!$B$5:$O$129,14,FALSE)</f>
        <v>3.63427712325902E-2</v>
      </c>
      <c r="Y76" s="72">
        <f t="shared" ref="Y76:Y96" si="133">$R76*X76</f>
        <v>2.203249355983016</v>
      </c>
      <c r="Z76" s="111">
        <f t="shared" ref="Z76:Z96" si="134">U76+W76+Y76</f>
        <v>10.436157648789482</v>
      </c>
      <c r="AA76" s="188">
        <f t="shared" ref="AA76:AA96" si="135">R76+Z76</f>
        <v>71.060300532182566</v>
      </c>
      <c r="AB76" s="189">
        <f t="shared" ref="AB76:AB96" si="136">AA76/AA$139*R$139</f>
        <v>63.845410888648715</v>
      </c>
      <c r="AC76" s="58"/>
      <c r="AD76" s="190">
        <f t="shared" ref="AD76:AD96" si="137">$E76+AB76</f>
        <v>63.845410888648715</v>
      </c>
      <c r="AE76" s="115">
        <f t="shared" ref="AE76:AE96" si="138">AD76/$I76</f>
        <v>0.24555927264864891</v>
      </c>
      <c r="AF76" s="188">
        <f t="shared" ref="AF76:AF96" si="139">IF(OR(AE76&lt;$C$3,$J76&gt;=$C$2),0,AD76)</f>
        <v>0</v>
      </c>
      <c r="AG76" s="188">
        <f t="shared" ref="AG76:AG96" si="140">AF76/AF$139*(AD$139-AH$139)</f>
        <v>0</v>
      </c>
      <c r="AH76" s="188">
        <f t="shared" ref="AH76:AH95" si="141">IF(AE76&lt;$C$3,$I76*$C$3,IF($J76&gt;=$C$2,$E76,0))</f>
        <v>104</v>
      </c>
      <c r="AI76" s="58"/>
      <c r="AJ76" s="191">
        <f>SUM(AG76:AH76)</f>
        <v>104</v>
      </c>
      <c r="AK76" s="115">
        <f t="shared" ref="AK76:AK96" si="142">AJ76/$I76</f>
        <v>0.4</v>
      </c>
      <c r="AL76" s="116">
        <f t="shared" si="22"/>
        <v>5.5322091600617065E-4</v>
      </c>
      <c r="AM76" s="58"/>
      <c r="AN76" s="108">
        <v>83</v>
      </c>
      <c r="AO76" s="192">
        <f t="shared" si="90"/>
        <v>3.8694638694638692E-4</v>
      </c>
      <c r="AP76" s="58"/>
      <c r="AQ76" s="79">
        <v>1.3854570339331265</v>
      </c>
      <c r="AR76" s="58"/>
      <c r="AS76" s="193">
        <f t="shared" ref="AS76:AS96" si="143">AJ76</f>
        <v>104</v>
      </c>
      <c r="AT76" s="194">
        <f t="shared" ref="AT76:AT96" si="144">IF(AS76&gt;AN76*1.5,AN76*1.5,0)</f>
        <v>0</v>
      </c>
      <c r="AU76" s="194">
        <f t="shared" ref="AU76:AU96" si="145">IF(AT76=0,0,AS76-AT76)</f>
        <v>0</v>
      </c>
      <c r="AV76" s="195">
        <f t="shared" ref="AV76:AV96" si="146">IF(AT76&gt;0,0,AL76)</f>
        <v>5.5322091600617065E-4</v>
      </c>
      <c r="AW76" s="195">
        <f t="shared" ref="AW76:AW96" si="147">IF(AV76="",0,AV76/$AV$139)</f>
        <v>5.8850834639083698E-4</v>
      </c>
      <c r="AX76" s="188">
        <f t="shared" ref="AX76:AX96" si="148">AW76*$AU$139</f>
        <v>1.6398964647139809</v>
      </c>
      <c r="AY76" s="214">
        <f t="shared" ref="AY76:AY96" si="149">IF(AT76=0,AS76+AX76,AT76)</f>
        <v>105.63989646471398</v>
      </c>
    </row>
    <row r="77" spans="1:51" x14ac:dyDescent="0.2">
      <c r="A77" s="63" t="s">
        <v>6</v>
      </c>
      <c r="B77" s="63" t="s">
        <v>57</v>
      </c>
      <c r="C77" s="63"/>
      <c r="D77" s="64">
        <f>('SCS Input'!C72/'SCS Input'!C$134)</f>
        <v>1.8256697241350341E-3</v>
      </c>
      <c r="E77" s="65">
        <f t="shared" si="122"/>
        <v>240.24535600810154</v>
      </c>
      <c r="F77" s="66">
        <f>('SCS Input'!D72/'SCS Input'!D$134)</f>
        <v>1.6498785728479297E-3</v>
      </c>
      <c r="G77" s="65">
        <f t="shared" si="123"/>
        <v>93.048201872904698</v>
      </c>
      <c r="H77" s="58"/>
      <c r="I77" s="83">
        <v>903</v>
      </c>
      <c r="J77" s="68">
        <f t="shared" si="124"/>
        <v>0.26605244297685665</v>
      </c>
      <c r="K77" s="58"/>
      <c r="L77" s="69">
        <f t="shared" si="125"/>
        <v>3.499782959196329E-3</v>
      </c>
      <c r="M77" s="69" t="str">
        <f t="shared" si="126"/>
        <v/>
      </c>
      <c r="N77" s="69">
        <f t="shared" si="127"/>
        <v>3.5193701769428631E-3</v>
      </c>
      <c r="O77" s="58"/>
      <c r="P77" s="67">
        <f t="shared" si="128"/>
        <v>0</v>
      </c>
      <c r="Q77" s="67">
        <f t="shared" si="129"/>
        <v>2.0990720147670383</v>
      </c>
      <c r="R77" s="202">
        <f t="shared" si="130"/>
        <v>95.14727388767173</v>
      </c>
      <c r="S77" s="58"/>
      <c r="T77" s="71">
        <f>VLOOKUP($B77,'Scoring Summary'!$B$5:$O$129,12,FALSE)</f>
        <v>0.16129032258064513</v>
      </c>
      <c r="U77" s="72">
        <f t="shared" si="131"/>
        <v>15.346334498011567</v>
      </c>
      <c r="V77" s="73">
        <f>VLOOKUP($B77,'Scoring Summary'!$B$5:$O$129,13,FALSE)</f>
        <v>-0.14197530864197527</v>
      </c>
      <c r="W77" s="72">
        <f t="shared" si="132"/>
        <v>-13.508563576644748</v>
      </c>
      <c r="X77" s="73">
        <f>VLOOKUP($B77,'Scoring Summary'!$B$5:$O$129,14,FALSE)</f>
        <v>7.5808817354110353E-2</v>
      </c>
      <c r="Y77" s="72">
        <f t="shared" si="133"/>
        <v>7.2130023078920198</v>
      </c>
      <c r="Z77" s="74">
        <f t="shared" si="134"/>
        <v>9.0507732292588372</v>
      </c>
      <c r="AA77" s="67">
        <f t="shared" si="135"/>
        <v>104.19804711693057</v>
      </c>
      <c r="AB77" s="70">
        <f t="shared" si="136"/>
        <v>93.618618020934548</v>
      </c>
      <c r="AC77" s="58"/>
      <c r="AD77" s="75">
        <f t="shared" si="137"/>
        <v>333.86397402903606</v>
      </c>
      <c r="AE77" s="68">
        <f t="shared" si="138"/>
        <v>0.36972754599007318</v>
      </c>
      <c r="AF77" s="67">
        <f t="shared" si="139"/>
        <v>0</v>
      </c>
      <c r="AG77" s="67">
        <f t="shared" si="140"/>
        <v>0</v>
      </c>
      <c r="AH77" s="67">
        <f t="shared" si="141"/>
        <v>361.20000000000005</v>
      </c>
      <c r="AI77" s="58"/>
      <c r="AJ77" s="76">
        <f t="shared" ref="AJ77:AJ96" si="150">SUM(AG77:AH77)</f>
        <v>361.20000000000005</v>
      </c>
      <c r="AK77" s="68">
        <f t="shared" si="142"/>
        <v>0.40000000000000008</v>
      </c>
      <c r="AL77" s="77">
        <f t="shared" ref="AL77:AL137" si="151">AJ77/$AJ$139</f>
        <v>1.9213787967445083E-3</v>
      </c>
      <c r="AM77" s="58"/>
      <c r="AN77" s="83">
        <v>399</v>
      </c>
      <c r="AO77" s="78">
        <f t="shared" si="90"/>
        <v>1.8601398601398602E-3</v>
      </c>
      <c r="AP77" s="58"/>
      <c r="AQ77" s="79">
        <v>0.11223823729271469</v>
      </c>
      <c r="AR77" s="58"/>
      <c r="AS77" s="80">
        <f t="shared" si="143"/>
        <v>361.20000000000005</v>
      </c>
      <c r="AT77" s="81">
        <f t="shared" si="144"/>
        <v>0</v>
      </c>
      <c r="AU77" s="81">
        <f t="shared" si="145"/>
        <v>0</v>
      </c>
      <c r="AV77" s="82">
        <f t="shared" si="146"/>
        <v>1.9213787967445083E-3</v>
      </c>
      <c r="AW77" s="82">
        <f t="shared" si="147"/>
        <v>2.0439347568881761E-3</v>
      </c>
      <c r="AX77" s="67">
        <f t="shared" si="148"/>
        <v>5.695486567833556</v>
      </c>
      <c r="AY77" s="210">
        <f t="shared" si="149"/>
        <v>366.89548656783359</v>
      </c>
    </row>
    <row r="78" spans="1:51" x14ac:dyDescent="0.2">
      <c r="A78" s="63" t="s">
        <v>6</v>
      </c>
      <c r="B78" s="63" t="s">
        <v>58</v>
      </c>
      <c r="C78" s="63"/>
      <c r="D78" s="64">
        <f>('SCS Input'!C73/'SCS Input'!C$134)</f>
        <v>0</v>
      </c>
      <c r="E78" s="65">
        <f t="shared" si="122"/>
        <v>0</v>
      </c>
      <c r="F78" s="66">
        <f>('SCS Input'!D73/'SCS Input'!D$134)</f>
        <v>1.3507514031447863E-3</v>
      </c>
      <c r="G78" s="65">
        <f t="shared" si="123"/>
        <v>76.178326883156529</v>
      </c>
      <c r="H78" s="58"/>
      <c r="I78" s="83">
        <v>137</v>
      </c>
      <c r="J78" s="68">
        <f t="shared" si="124"/>
        <v>0</v>
      </c>
      <c r="K78" s="58"/>
      <c r="L78" s="69">
        <f t="shared" si="125"/>
        <v>5.3097482326677412E-4</v>
      </c>
      <c r="M78" s="69" t="str">
        <f t="shared" si="126"/>
        <v/>
      </c>
      <c r="N78" s="69">
        <f t="shared" si="127"/>
        <v>5.3394652739886177E-4</v>
      </c>
      <c r="O78" s="58"/>
      <c r="P78" s="67">
        <f t="shared" si="128"/>
        <v>0</v>
      </c>
      <c r="Q78" s="67">
        <f t="shared" si="129"/>
        <v>0.31846386049068021</v>
      </c>
      <c r="R78" s="202">
        <f t="shared" si="130"/>
        <v>76.49679074364721</v>
      </c>
      <c r="S78" s="58"/>
      <c r="T78" s="71">
        <f>VLOOKUP($B78,'Scoring Summary'!$B$5:$O$129,12,FALSE)</f>
        <v>0.29749103942652327</v>
      </c>
      <c r="U78" s="72">
        <f t="shared" si="131"/>
        <v>22.757109791120854</v>
      </c>
      <c r="V78" s="73">
        <f>VLOOKUP($B78,'Scoring Summary'!$B$5:$O$129,13,FALSE)</f>
        <v>-6.7901234567901217E-2</v>
      </c>
      <c r="W78" s="72">
        <f t="shared" si="132"/>
        <v>-5.1942265319760441</v>
      </c>
      <c r="X78" s="73">
        <f>VLOOKUP($B78,'Scoring Summary'!$B$5:$O$129,14,FALSE)</f>
        <v>-3.9394154226921781E-3</v>
      </c>
      <c r="Y78" s="72">
        <f t="shared" si="133"/>
        <v>-0.30135263724198008</v>
      </c>
      <c r="Z78" s="74">
        <f t="shared" si="134"/>
        <v>17.261530621902832</v>
      </c>
      <c r="AA78" s="67">
        <f t="shared" si="135"/>
        <v>93.758321365550046</v>
      </c>
      <c r="AB78" s="70">
        <f t="shared" si="136"/>
        <v>84.238857800812326</v>
      </c>
      <c r="AC78" s="58"/>
      <c r="AD78" s="75">
        <f t="shared" si="137"/>
        <v>84.238857800812326</v>
      </c>
      <c r="AE78" s="68">
        <f t="shared" si="138"/>
        <v>0.61488217372855714</v>
      </c>
      <c r="AF78" s="67">
        <f t="shared" si="139"/>
        <v>84.238857800812326</v>
      </c>
      <c r="AG78" s="67">
        <f t="shared" si="140"/>
        <v>81.686529651575967</v>
      </c>
      <c r="AH78" s="67">
        <f t="shared" si="141"/>
        <v>0</v>
      </c>
      <c r="AI78" s="58"/>
      <c r="AJ78" s="76">
        <f t="shared" si="150"/>
        <v>81.686529651575967</v>
      </c>
      <c r="AK78" s="68">
        <f t="shared" si="142"/>
        <v>0.59625204125237929</v>
      </c>
      <c r="AL78" s="77">
        <f t="shared" si="151"/>
        <v>4.3452593037701995E-4</v>
      </c>
      <c r="AM78" s="58"/>
      <c r="AN78" s="83">
        <v>401</v>
      </c>
      <c r="AO78" s="78">
        <f t="shared" si="90"/>
        <v>1.8694638694638694E-3</v>
      </c>
      <c r="AP78" s="58"/>
      <c r="AQ78" s="79">
        <v>1.4489233248221092E-2</v>
      </c>
      <c r="AR78" s="58"/>
      <c r="AS78" s="80">
        <f t="shared" si="143"/>
        <v>81.686529651575967</v>
      </c>
      <c r="AT78" s="81">
        <f t="shared" si="144"/>
        <v>0</v>
      </c>
      <c r="AU78" s="81">
        <f t="shared" si="145"/>
        <v>0</v>
      </c>
      <c r="AV78" s="82">
        <f t="shared" si="146"/>
        <v>4.3452593037701995E-4</v>
      </c>
      <c r="AW78" s="82">
        <f t="shared" si="147"/>
        <v>4.6224235084283696E-4</v>
      </c>
      <c r="AX78" s="67">
        <f t="shared" si="148"/>
        <v>1.2880524152920498</v>
      </c>
      <c r="AY78" s="210">
        <f t="shared" si="149"/>
        <v>82.97458206686801</v>
      </c>
    </row>
    <row r="79" spans="1:51" x14ac:dyDescent="0.2">
      <c r="A79" s="63" t="s">
        <v>6</v>
      </c>
      <c r="B79" s="63" t="s">
        <v>59</v>
      </c>
      <c r="C79" s="63"/>
      <c r="D79" s="64">
        <f>('SCS Input'!C74/'SCS Input'!C$134)</f>
        <v>6.8277717223386219E-3</v>
      </c>
      <c r="E79" s="65">
        <f t="shared" si="122"/>
        <v>898.48696425770629</v>
      </c>
      <c r="F79" s="66">
        <f>('SCS Input'!D74/'SCS Input'!D$134)</f>
        <v>7.5671267504362925E-3</v>
      </c>
      <c r="G79" s="65">
        <f t="shared" si="123"/>
        <v>426.76324734435565</v>
      </c>
      <c r="H79" s="58"/>
      <c r="I79" s="67">
        <v>998</v>
      </c>
      <c r="J79" s="68">
        <f t="shared" si="124"/>
        <v>0.90028753933637906</v>
      </c>
      <c r="K79" s="58"/>
      <c r="L79" s="69">
        <f t="shared" si="125"/>
        <v>3.8679771797097856E-3</v>
      </c>
      <c r="M79" s="69" t="str">
        <f t="shared" si="126"/>
        <v/>
      </c>
      <c r="N79" s="69">
        <f t="shared" si="127"/>
        <v>3.8896250682048474E-3</v>
      </c>
      <c r="O79" s="58"/>
      <c r="P79" s="67">
        <f t="shared" si="128"/>
        <v>0</v>
      </c>
      <c r="Q79" s="67">
        <f t="shared" si="129"/>
        <v>2.3199046187569259</v>
      </c>
      <c r="R79" s="202">
        <f t="shared" si="130"/>
        <v>429.08315196311258</v>
      </c>
      <c r="S79" s="58"/>
      <c r="T79" s="71">
        <f>VLOOKUP($B79,'Scoring Summary'!$B$5:$O$129,12,FALSE)</f>
        <v>0.33333333333333331</v>
      </c>
      <c r="U79" s="72">
        <f t="shared" si="131"/>
        <v>143.02771732103753</v>
      </c>
      <c r="V79" s="73">
        <f>VLOOKUP($B79,'Scoring Summary'!$B$5:$O$129,13,FALSE)</f>
        <v>9.2592592592592615E-2</v>
      </c>
      <c r="W79" s="72">
        <f t="shared" si="132"/>
        <v>39.72992147806599</v>
      </c>
      <c r="X79" s="73">
        <f>VLOOKUP($B79,'Scoring Summary'!$B$5:$O$129,14,FALSE)</f>
        <v>3.4294589005536405E-2</v>
      </c>
      <c r="Y79" s="72">
        <f t="shared" si="133"/>
        <v>14.715230345775067</v>
      </c>
      <c r="Z79" s="74">
        <f t="shared" si="134"/>
        <v>197.47286914487859</v>
      </c>
      <c r="AA79" s="67">
        <f t="shared" si="135"/>
        <v>626.55602110799123</v>
      </c>
      <c r="AB79" s="70">
        <f t="shared" si="136"/>
        <v>562.94057740833352</v>
      </c>
      <c r="AC79" s="58"/>
      <c r="AD79" s="75">
        <f t="shared" si="137"/>
        <v>1461.4275416660398</v>
      </c>
      <c r="AE79" s="68">
        <f t="shared" si="138"/>
        <v>1.4643562541743886</v>
      </c>
      <c r="AF79" s="67">
        <f t="shared" si="139"/>
        <v>1461.4275416660398</v>
      </c>
      <c r="AG79" s="67">
        <f t="shared" si="140"/>
        <v>1417.1481823532217</v>
      </c>
      <c r="AH79" s="67">
        <f t="shared" si="141"/>
        <v>0</v>
      </c>
      <c r="AI79" s="58"/>
      <c r="AJ79" s="76">
        <f t="shared" si="150"/>
        <v>1417.1481823532217</v>
      </c>
      <c r="AK79" s="68">
        <f t="shared" si="142"/>
        <v>1.4199881586705629</v>
      </c>
      <c r="AL79" s="77">
        <f t="shared" si="151"/>
        <v>7.5384232265185485E-3</v>
      </c>
      <c r="AM79" s="58"/>
      <c r="AN79" s="83">
        <v>650</v>
      </c>
      <c r="AO79" s="78">
        <f t="shared" si="90"/>
        <v>3.0303030303030303E-3</v>
      </c>
      <c r="AP79" s="58"/>
      <c r="AQ79" s="79">
        <v>0.94600267992811427</v>
      </c>
      <c r="AR79" s="58"/>
      <c r="AS79" s="80">
        <f t="shared" si="143"/>
        <v>1417.1481823532217</v>
      </c>
      <c r="AT79" s="81">
        <f t="shared" si="144"/>
        <v>975</v>
      </c>
      <c r="AU79" s="81">
        <f t="shared" si="145"/>
        <v>442.14818235322173</v>
      </c>
      <c r="AV79" s="82">
        <f t="shared" si="146"/>
        <v>0</v>
      </c>
      <c r="AW79" s="82">
        <f t="shared" si="147"/>
        <v>0</v>
      </c>
      <c r="AX79" s="67">
        <f t="shared" si="148"/>
        <v>0</v>
      </c>
      <c r="AY79" s="210">
        <f t="shared" si="149"/>
        <v>975</v>
      </c>
    </row>
    <row r="80" spans="1:51" x14ac:dyDescent="0.2">
      <c r="A80" s="63" t="s">
        <v>6</v>
      </c>
      <c r="B80" s="63" t="s">
        <v>60</v>
      </c>
      <c r="C80" s="63"/>
      <c r="D80" s="64">
        <f>('SCS Input'!C75/'SCS Input'!C$134)</f>
        <v>5.028944876695916E-4</v>
      </c>
      <c r="E80" s="65">
        <f t="shared" si="122"/>
        <v>66.177394315904564</v>
      </c>
      <c r="F80" s="66">
        <f>('SCS Input'!D75/'SCS Input'!D$134)</f>
        <v>1.6333820951877366E-4</v>
      </c>
      <c r="G80" s="65">
        <f t="shared" si="123"/>
        <v>9.211785002230279</v>
      </c>
      <c r="H80" s="58"/>
      <c r="I80" s="83">
        <v>56</v>
      </c>
      <c r="J80" s="68">
        <f t="shared" si="124"/>
        <v>1.1817391842125815</v>
      </c>
      <c r="K80" s="58"/>
      <c r="L80" s="69">
        <f t="shared" si="125"/>
        <v>2.1704080367109018E-4</v>
      </c>
      <c r="M80" s="69">
        <f t="shared" si="126"/>
        <v>2.1704080367109018E-4</v>
      </c>
      <c r="N80" s="69">
        <f t="shared" si="127"/>
        <v>0</v>
      </c>
      <c r="O80" s="58"/>
      <c r="P80" s="67">
        <f t="shared" si="128"/>
        <v>9.211785002230279</v>
      </c>
      <c r="Q80" s="67">
        <f t="shared" si="129"/>
        <v>0</v>
      </c>
      <c r="R80" s="202">
        <f t="shared" si="130"/>
        <v>0</v>
      </c>
      <c r="S80" s="58"/>
      <c r="T80" s="71">
        <f>VLOOKUP($B80,'Scoring Summary'!$B$5:$O$129,12,FALSE)</f>
        <v>0.1254480286738352</v>
      </c>
      <c r="U80" s="72">
        <f t="shared" si="131"/>
        <v>0</v>
      </c>
      <c r="V80" s="73">
        <f>VLOOKUP($B80,'Scoring Summary'!$B$5:$O$129,13,FALSE)</f>
        <v>-0.31481481481481477</v>
      </c>
      <c r="W80" s="72">
        <f t="shared" si="132"/>
        <v>0</v>
      </c>
      <c r="X80" s="73">
        <f>VLOOKUP($B80,'Scoring Summary'!$B$5:$O$129,14,FALSE)</f>
        <v>0.28321074508835692</v>
      </c>
      <c r="Y80" s="72">
        <f t="shared" si="133"/>
        <v>0</v>
      </c>
      <c r="Z80" s="74">
        <f t="shared" si="134"/>
        <v>0</v>
      </c>
      <c r="AA80" s="67">
        <f t="shared" si="135"/>
        <v>0</v>
      </c>
      <c r="AB80" s="70">
        <f t="shared" si="136"/>
        <v>0</v>
      </c>
      <c r="AC80" s="58"/>
      <c r="AD80" s="75">
        <f t="shared" si="137"/>
        <v>66.177394315904564</v>
      </c>
      <c r="AE80" s="68">
        <f t="shared" si="138"/>
        <v>1.1817391842125815</v>
      </c>
      <c r="AF80" s="67">
        <f t="shared" si="139"/>
        <v>0</v>
      </c>
      <c r="AG80" s="67">
        <f t="shared" si="140"/>
        <v>0</v>
      </c>
      <c r="AH80" s="67">
        <f t="shared" si="141"/>
        <v>66.177394315904564</v>
      </c>
      <c r="AI80" s="58"/>
      <c r="AJ80" s="76">
        <f t="shared" si="150"/>
        <v>66.177394315904564</v>
      </c>
      <c r="AK80" s="68">
        <f t="shared" si="142"/>
        <v>1.1817391842125815</v>
      </c>
      <c r="AL80" s="77">
        <f t="shared" si="151"/>
        <v>3.5202614136871417E-4</v>
      </c>
      <c r="AM80" s="58"/>
      <c r="AN80" s="83">
        <v>65</v>
      </c>
      <c r="AO80" s="78">
        <f t="shared" si="90"/>
        <v>3.0303030303030303E-4</v>
      </c>
      <c r="AP80" s="58"/>
      <c r="AQ80" s="79">
        <v>1.5563370083301327</v>
      </c>
      <c r="AR80" s="58"/>
      <c r="AS80" s="80">
        <f t="shared" si="143"/>
        <v>66.177394315904564</v>
      </c>
      <c r="AT80" s="81">
        <f t="shared" si="144"/>
        <v>0</v>
      </c>
      <c r="AU80" s="81">
        <f t="shared" si="145"/>
        <v>0</v>
      </c>
      <c r="AV80" s="82">
        <f t="shared" si="146"/>
        <v>3.5202614136871417E-4</v>
      </c>
      <c r="AW80" s="82">
        <f t="shared" si="147"/>
        <v>3.744802778587247E-4</v>
      </c>
      <c r="AX80" s="67">
        <f t="shared" si="148"/>
        <v>1.0435007209868747</v>
      </c>
      <c r="AY80" s="210">
        <f t="shared" si="149"/>
        <v>67.220895036891434</v>
      </c>
    </row>
    <row r="81" spans="1:51" x14ac:dyDescent="0.2">
      <c r="A81" s="63" t="s">
        <v>6</v>
      </c>
      <c r="B81" s="63" t="s">
        <v>61</v>
      </c>
      <c r="C81" s="63"/>
      <c r="D81" s="64">
        <f>('SCS Input'!C76/'SCS Input'!C$134)</f>
        <v>7.1197235967669775E-3</v>
      </c>
      <c r="E81" s="65">
        <f t="shared" si="122"/>
        <v>936.90578726935689</v>
      </c>
      <c r="F81" s="66">
        <f>('SCS Input'!D76/'SCS Input'!D$134)</f>
        <v>6.6238951798669142E-3</v>
      </c>
      <c r="G81" s="65">
        <f t="shared" si="123"/>
        <v>373.56781645895438</v>
      </c>
      <c r="H81" s="58"/>
      <c r="I81" s="67">
        <v>3712</v>
      </c>
      <c r="J81" s="68">
        <f t="shared" si="124"/>
        <v>0.25239918838075348</v>
      </c>
      <c r="K81" s="58"/>
      <c r="L81" s="69">
        <f t="shared" si="125"/>
        <v>1.438670470048369E-2</v>
      </c>
      <c r="M81" s="69" t="str">
        <f t="shared" si="126"/>
        <v/>
      </c>
      <c r="N81" s="69">
        <f t="shared" si="127"/>
        <v>1.4467222698573541E-2</v>
      </c>
      <c r="O81" s="58"/>
      <c r="P81" s="67">
        <f t="shared" si="128"/>
        <v>0</v>
      </c>
      <c r="Q81" s="67">
        <f t="shared" si="129"/>
        <v>8.6287434316890881</v>
      </c>
      <c r="R81" s="202">
        <f t="shared" si="130"/>
        <v>382.19655989064347</v>
      </c>
      <c r="S81" s="58"/>
      <c r="T81" s="71">
        <f>VLOOKUP($B81,'Scoring Summary'!$B$5:$O$129,12,FALSE)</f>
        <v>0.19713261648745517</v>
      </c>
      <c r="U81" s="72">
        <f t="shared" si="131"/>
        <v>75.343407863746904</v>
      </c>
      <c r="V81" s="73">
        <f>VLOOKUP($B81,'Scoring Summary'!$B$5:$O$129,13,FALSE)</f>
        <v>5.5555555555555525E-2</v>
      </c>
      <c r="W81" s="72">
        <f t="shared" si="132"/>
        <v>21.233142216146849</v>
      </c>
      <c r="X81" s="73">
        <f>VLOOKUP($B81,'Scoring Summary'!$B$5:$O$129,14,FALSE)</f>
        <v>0.16870186134405191</v>
      </c>
      <c r="Y81" s="72">
        <f t="shared" si="133"/>
        <v>64.477271052844969</v>
      </c>
      <c r="Z81" s="74">
        <f t="shared" si="134"/>
        <v>161.05382113273873</v>
      </c>
      <c r="AA81" s="67">
        <f t="shared" si="135"/>
        <v>543.25038102338226</v>
      </c>
      <c r="AB81" s="70">
        <f t="shared" si="136"/>
        <v>488.09311995724994</v>
      </c>
      <c r="AC81" s="58"/>
      <c r="AD81" s="75">
        <f t="shared" si="137"/>
        <v>1424.9989072266069</v>
      </c>
      <c r="AE81" s="68">
        <f t="shared" si="138"/>
        <v>0.38388979181751265</v>
      </c>
      <c r="AF81" s="67">
        <f t="shared" si="139"/>
        <v>0</v>
      </c>
      <c r="AG81" s="67">
        <f t="shared" si="140"/>
        <v>0</v>
      </c>
      <c r="AH81" s="67">
        <f t="shared" si="141"/>
        <v>1484.8000000000002</v>
      </c>
      <c r="AI81" s="58"/>
      <c r="AJ81" s="76">
        <f t="shared" si="150"/>
        <v>1484.8000000000002</v>
      </c>
      <c r="AK81" s="68">
        <f t="shared" si="142"/>
        <v>0.4</v>
      </c>
      <c r="AL81" s="77">
        <f t="shared" si="151"/>
        <v>7.8982924623650225E-3</v>
      </c>
      <c r="AM81" s="58"/>
      <c r="AN81" s="67">
        <v>1207</v>
      </c>
      <c r="AO81" s="78">
        <f t="shared" si="90"/>
        <v>5.6270396270396272E-3</v>
      </c>
      <c r="AP81" s="58"/>
      <c r="AQ81" s="79">
        <v>0.79213444437065395</v>
      </c>
      <c r="AR81" s="58"/>
      <c r="AS81" s="80">
        <f t="shared" si="143"/>
        <v>1484.8000000000002</v>
      </c>
      <c r="AT81" s="81">
        <f t="shared" si="144"/>
        <v>0</v>
      </c>
      <c r="AU81" s="81">
        <f t="shared" si="145"/>
        <v>0</v>
      </c>
      <c r="AV81" s="82">
        <f t="shared" si="146"/>
        <v>7.8982924623650225E-3</v>
      </c>
      <c r="AW81" s="82">
        <f t="shared" si="147"/>
        <v>8.4020883915491822E-3</v>
      </c>
      <c r="AX81" s="67">
        <f t="shared" si="148"/>
        <v>23.412675680839609</v>
      </c>
      <c r="AY81" s="210">
        <f t="shared" si="149"/>
        <v>1508.2126756808398</v>
      </c>
    </row>
    <row r="82" spans="1:51" x14ac:dyDescent="0.2">
      <c r="A82" s="63" t="s">
        <v>6</v>
      </c>
      <c r="B82" s="63" t="s">
        <v>62</v>
      </c>
      <c r="C82" s="63"/>
      <c r="D82" s="64">
        <f>('SCS Input'!C77/'SCS Input'!C$134)</f>
        <v>1.7373524248850004E-3</v>
      </c>
      <c r="E82" s="65">
        <f t="shared" si="122"/>
        <v>228.62341764789187</v>
      </c>
      <c r="F82" s="66">
        <f>('SCS Input'!D77/'SCS Input'!D$134)</f>
        <v>5.5160968150134407E-4</v>
      </c>
      <c r="G82" s="65">
        <f t="shared" si="123"/>
        <v>31.109131207631304</v>
      </c>
      <c r="H82" s="58"/>
      <c r="I82" s="67">
        <v>1149</v>
      </c>
      <c r="J82" s="68">
        <f t="shared" si="124"/>
        <v>0.19897599447162043</v>
      </c>
      <c r="K82" s="58"/>
      <c r="L82" s="69">
        <f t="shared" si="125"/>
        <v>4.4532122038943318E-3</v>
      </c>
      <c r="M82" s="69" t="str">
        <f t="shared" si="126"/>
        <v/>
      </c>
      <c r="N82" s="69">
        <f t="shared" si="127"/>
        <v>4.4781354743160017E-3</v>
      </c>
      <c r="O82" s="58"/>
      <c r="P82" s="67">
        <f t="shared" si="128"/>
        <v>0</v>
      </c>
      <c r="Q82" s="67">
        <f t="shared" si="129"/>
        <v>2.6709122314145368</v>
      </c>
      <c r="R82" s="202">
        <f t="shared" si="130"/>
        <v>33.780043439045841</v>
      </c>
      <c r="S82" s="58"/>
      <c r="T82" s="71">
        <f>VLOOKUP($B82,'Scoring Summary'!$B$5:$O$129,12,FALSE)</f>
        <v>-6.8100358422939086E-2</v>
      </c>
      <c r="U82" s="72">
        <f t="shared" si="131"/>
        <v>-2.3004330657414735</v>
      </c>
      <c r="V82" s="73">
        <f>VLOOKUP($B82,'Scoring Summary'!$B$5:$O$129,13,FALSE)</f>
        <v>-0.27160493827160498</v>
      </c>
      <c r="W82" s="72">
        <f t="shared" si="132"/>
        <v>-9.1748266130741811</v>
      </c>
      <c r="X82" s="73">
        <f>VLOOKUP($B82,'Scoring Summary'!$B$5:$O$129,14,FALSE)</f>
        <v>0.13329722509102027</v>
      </c>
      <c r="Y82" s="72">
        <f t="shared" si="133"/>
        <v>4.5027860538789355</v>
      </c>
      <c r="Z82" s="74">
        <f t="shared" si="134"/>
        <v>-6.9724736249367183</v>
      </c>
      <c r="AA82" s="67">
        <f t="shared" si="135"/>
        <v>26.807569814109122</v>
      </c>
      <c r="AB82" s="70">
        <f t="shared" si="136"/>
        <v>24.085745442812929</v>
      </c>
      <c r="AC82" s="58"/>
      <c r="AD82" s="75">
        <f t="shared" si="137"/>
        <v>252.70916309070481</v>
      </c>
      <c r="AE82" s="68">
        <f t="shared" si="138"/>
        <v>0.21993834907807205</v>
      </c>
      <c r="AF82" s="67">
        <f t="shared" si="139"/>
        <v>0</v>
      </c>
      <c r="AG82" s="67">
        <f t="shared" si="140"/>
        <v>0</v>
      </c>
      <c r="AH82" s="67">
        <f t="shared" si="141"/>
        <v>459.6</v>
      </c>
      <c r="AI82" s="58"/>
      <c r="AJ82" s="76">
        <f t="shared" si="150"/>
        <v>459.6</v>
      </c>
      <c r="AK82" s="68">
        <f t="shared" si="142"/>
        <v>0.4</v>
      </c>
      <c r="AL82" s="77">
        <f t="shared" si="151"/>
        <v>2.4448108941965002E-3</v>
      </c>
      <c r="AM82" s="58"/>
      <c r="AN82" s="83">
        <v>630</v>
      </c>
      <c r="AO82" s="78">
        <f t="shared" si="90"/>
        <v>2.9370629370629371E-3</v>
      </c>
      <c r="AP82" s="58"/>
      <c r="AQ82" s="79">
        <v>0.63821081573798999</v>
      </c>
      <c r="AR82" s="58"/>
      <c r="AS82" s="80">
        <f t="shared" si="143"/>
        <v>459.6</v>
      </c>
      <c r="AT82" s="81">
        <f t="shared" si="144"/>
        <v>0</v>
      </c>
      <c r="AU82" s="81">
        <f t="shared" si="145"/>
        <v>0</v>
      </c>
      <c r="AV82" s="82">
        <f t="shared" si="146"/>
        <v>2.4448108941965002E-3</v>
      </c>
      <c r="AW82" s="82">
        <f t="shared" si="147"/>
        <v>2.6007541923195061E-3</v>
      </c>
      <c r="AX82" s="67">
        <f t="shared" si="148"/>
        <v>7.2470809152167837</v>
      </c>
      <c r="AY82" s="210">
        <f t="shared" si="149"/>
        <v>466.84708091521679</v>
      </c>
    </row>
    <row r="83" spans="1:51" x14ac:dyDescent="0.2">
      <c r="A83" s="63" t="s">
        <v>6</v>
      </c>
      <c r="B83" s="63" t="s">
        <v>63</v>
      </c>
      <c r="C83" s="63"/>
      <c r="D83" s="64">
        <f>('SCS Input'!C78/'SCS Input'!C$134)</f>
        <v>0</v>
      </c>
      <c r="E83" s="65">
        <f t="shared" si="122"/>
        <v>0</v>
      </c>
      <c r="F83" s="66">
        <f>('SCS Input'!D78/'SCS Input'!D$134)</f>
        <v>5.3642845497705906E-3</v>
      </c>
      <c r="G83" s="65">
        <f t="shared" si="123"/>
        <v>302.52955575341201</v>
      </c>
      <c r="H83" s="58"/>
      <c r="I83" s="67">
        <v>1058</v>
      </c>
      <c r="J83" s="68">
        <f t="shared" si="124"/>
        <v>0</v>
      </c>
      <c r="K83" s="58"/>
      <c r="L83" s="69">
        <f t="shared" si="125"/>
        <v>4.100520897928811E-3</v>
      </c>
      <c r="M83" s="69" t="str">
        <f t="shared" si="126"/>
        <v/>
      </c>
      <c r="N83" s="69">
        <f t="shared" si="127"/>
        <v>4.1234702626861009E-3</v>
      </c>
      <c r="O83" s="58"/>
      <c r="P83" s="67">
        <f t="shared" si="128"/>
        <v>0</v>
      </c>
      <c r="Q83" s="67">
        <f t="shared" si="129"/>
        <v>2.4593778423294865</v>
      </c>
      <c r="R83" s="202">
        <f t="shared" si="130"/>
        <v>304.98893359574151</v>
      </c>
      <c r="S83" s="58"/>
      <c r="T83" s="71">
        <f>VLOOKUP($B83,'Scoring Summary'!$B$5:$O$129,12,FALSE)</f>
        <v>8.9605734767025061E-2</v>
      </c>
      <c r="U83" s="72">
        <f t="shared" si="131"/>
        <v>27.328757490657832</v>
      </c>
      <c r="V83" s="73">
        <f>VLOOKUP($B83,'Scoring Summary'!$B$5:$O$129,13,FALSE)</f>
        <v>6.1728395061728399E-2</v>
      </c>
      <c r="W83" s="72">
        <f t="shared" si="132"/>
        <v>18.826477382453181</v>
      </c>
      <c r="X83" s="73">
        <f>VLOOKUP($B83,'Scoring Summary'!$B$5:$O$129,14,FALSE)</f>
        <v>7.3652587601364269E-2</v>
      </c>
      <c r="Y83" s="72">
        <f t="shared" si="133"/>
        <v>22.46322414910702</v>
      </c>
      <c r="Z83" s="74">
        <f t="shared" si="134"/>
        <v>68.618459022218033</v>
      </c>
      <c r="AA83" s="67">
        <f t="shared" si="135"/>
        <v>373.60739261795953</v>
      </c>
      <c r="AB83" s="70">
        <f t="shared" si="136"/>
        <v>335.67431201515211</v>
      </c>
      <c r="AC83" s="58"/>
      <c r="AD83" s="75">
        <f t="shared" si="137"/>
        <v>335.67431201515211</v>
      </c>
      <c r="AE83" s="68">
        <f t="shared" si="138"/>
        <v>0.31727250663057854</v>
      </c>
      <c r="AF83" s="67">
        <f t="shared" si="139"/>
        <v>0</v>
      </c>
      <c r="AG83" s="67">
        <f t="shared" si="140"/>
        <v>0</v>
      </c>
      <c r="AH83" s="67">
        <f t="shared" si="141"/>
        <v>423.20000000000005</v>
      </c>
      <c r="AI83" s="58"/>
      <c r="AJ83" s="76">
        <f t="shared" si="150"/>
        <v>423.20000000000005</v>
      </c>
      <c r="AK83" s="68">
        <f t="shared" si="142"/>
        <v>0.4</v>
      </c>
      <c r="AL83" s="77">
        <f t="shared" si="151"/>
        <v>2.2511835735943408E-3</v>
      </c>
      <c r="AM83" s="58"/>
      <c r="AN83" s="83">
        <v>486</v>
      </c>
      <c r="AO83" s="78">
        <f t="shared" si="90"/>
        <v>2.2657342657342659E-3</v>
      </c>
      <c r="AP83" s="58"/>
      <c r="AQ83" s="79">
        <v>0.45755850833726747</v>
      </c>
      <c r="AR83" s="58"/>
      <c r="AS83" s="80">
        <f t="shared" si="143"/>
        <v>423.20000000000005</v>
      </c>
      <c r="AT83" s="81">
        <f t="shared" si="144"/>
        <v>0</v>
      </c>
      <c r="AU83" s="81">
        <f t="shared" si="145"/>
        <v>0</v>
      </c>
      <c r="AV83" s="82">
        <f t="shared" si="146"/>
        <v>2.2511835735943408E-3</v>
      </c>
      <c r="AW83" s="82">
        <f t="shared" si="147"/>
        <v>2.3947762710827135E-3</v>
      </c>
      <c r="AX83" s="67">
        <f t="shared" si="148"/>
        <v>6.6731171525668911</v>
      </c>
      <c r="AY83" s="210">
        <f t="shared" si="149"/>
        <v>429.87311715256692</v>
      </c>
    </row>
    <row r="84" spans="1:51" x14ac:dyDescent="0.2">
      <c r="A84" s="63" t="s">
        <v>6</v>
      </c>
      <c r="B84" s="63" t="s">
        <v>64</v>
      </c>
      <c r="C84" s="63"/>
      <c r="D84" s="64">
        <f>('SCS Input'!C79/'SCS Input'!C$134)</f>
        <v>2.8290542732103956E-6</v>
      </c>
      <c r="E84" s="65">
        <f t="shared" si="122"/>
        <v>0.37228373897457556</v>
      </c>
      <c r="F84" s="66">
        <f>('SCS Input'!D79/'SCS Input'!D$134)</f>
        <v>1.6274063487782553E-3</v>
      </c>
      <c r="G84" s="65">
        <f t="shared" si="123"/>
        <v>91.780835852047275</v>
      </c>
      <c r="H84" s="58"/>
      <c r="I84" s="83">
        <v>457</v>
      </c>
      <c r="J84" s="68">
        <f t="shared" si="124"/>
        <v>8.1462524939732075E-4</v>
      </c>
      <c r="K84" s="58"/>
      <c r="L84" s="69">
        <f t="shared" si="125"/>
        <v>1.7712079871015751E-3</v>
      </c>
      <c r="M84" s="69" t="str">
        <f t="shared" si="126"/>
        <v/>
      </c>
      <c r="N84" s="69">
        <f t="shared" si="127"/>
        <v>1.7811208979655463E-3</v>
      </c>
      <c r="O84" s="58"/>
      <c r="P84" s="67">
        <f t="shared" si="128"/>
        <v>0</v>
      </c>
      <c r="Q84" s="67">
        <f t="shared" si="129"/>
        <v>1.0623210528776705</v>
      </c>
      <c r="R84" s="202">
        <f t="shared" si="130"/>
        <v>92.843156904924939</v>
      </c>
      <c r="S84" s="58"/>
      <c r="T84" s="71">
        <f>VLOOKUP($B84,'Scoring Summary'!$B$5:$O$129,12,FALSE)</f>
        <v>6.8100358422939086E-2</v>
      </c>
      <c r="U84" s="72">
        <f t="shared" si="131"/>
        <v>6.3226522623425598</v>
      </c>
      <c r="V84" s="73">
        <f>VLOOKUP($B84,'Scoring Summary'!$B$5:$O$129,13,FALSE)</f>
        <v>-8.6419753086419748E-2</v>
      </c>
      <c r="W84" s="72">
        <f t="shared" si="132"/>
        <v>-8.0234826954873402</v>
      </c>
      <c r="X84" s="73">
        <f>VLOOKUP($B84,'Scoring Summary'!$B$5:$O$129,14,FALSE)</f>
        <v>2.3710154678849397E-2</v>
      </c>
      <c r="Y84" s="72">
        <f t="shared" si="133"/>
        <v>2.2013256110884547</v>
      </c>
      <c r="Z84" s="74">
        <f t="shared" si="134"/>
        <v>0.50049517794367437</v>
      </c>
      <c r="AA84" s="67">
        <f t="shared" si="135"/>
        <v>93.343652082868616</v>
      </c>
      <c r="AB84" s="70">
        <f t="shared" si="136"/>
        <v>83.866290691787682</v>
      </c>
      <c r="AC84" s="58"/>
      <c r="AD84" s="75">
        <f t="shared" si="137"/>
        <v>84.238574430762256</v>
      </c>
      <c r="AE84" s="68">
        <f t="shared" si="138"/>
        <v>0.18432948453120843</v>
      </c>
      <c r="AF84" s="67">
        <f t="shared" si="139"/>
        <v>0</v>
      </c>
      <c r="AG84" s="67">
        <f t="shared" si="140"/>
        <v>0</v>
      </c>
      <c r="AH84" s="67">
        <f t="shared" si="141"/>
        <v>182.8</v>
      </c>
      <c r="AI84" s="58"/>
      <c r="AJ84" s="76">
        <f t="shared" si="150"/>
        <v>182.8</v>
      </c>
      <c r="AK84" s="68">
        <f t="shared" si="142"/>
        <v>0.4</v>
      </c>
      <c r="AL84" s="77">
        <f t="shared" si="151"/>
        <v>9.7239214851853838E-4</v>
      </c>
      <c r="AM84" s="58"/>
      <c r="AN84" s="83">
        <v>276</v>
      </c>
      <c r="AO84" s="78">
        <f t="shared" si="90"/>
        <v>1.2867132867132867E-3</v>
      </c>
      <c r="AP84" s="58"/>
      <c r="AQ84" s="79">
        <v>-0.33768115942028981</v>
      </c>
      <c r="AR84" s="58"/>
      <c r="AS84" s="80">
        <f t="shared" si="143"/>
        <v>182.8</v>
      </c>
      <c r="AT84" s="81">
        <f t="shared" si="144"/>
        <v>0</v>
      </c>
      <c r="AU84" s="81">
        <f t="shared" si="145"/>
        <v>0</v>
      </c>
      <c r="AV84" s="82">
        <f t="shared" si="146"/>
        <v>9.7239214851853838E-4</v>
      </c>
      <c r="AW84" s="82">
        <f t="shared" si="147"/>
        <v>1.0344165934638942E-3</v>
      </c>
      <c r="AX84" s="67">
        <f t="shared" si="148"/>
        <v>2.8824334014395738</v>
      </c>
      <c r="AY84" s="210">
        <f t="shared" si="149"/>
        <v>185.6824334014396</v>
      </c>
    </row>
    <row r="85" spans="1:51" x14ac:dyDescent="0.2">
      <c r="A85" s="63" t="s">
        <v>6</v>
      </c>
      <c r="B85" s="63" t="s">
        <v>65</v>
      </c>
      <c r="C85" s="63"/>
      <c r="D85" s="64">
        <f>('SCS Input'!C80/'SCS Input'!C$134)</f>
        <v>0</v>
      </c>
      <c r="E85" s="65">
        <f t="shared" si="122"/>
        <v>0</v>
      </c>
      <c r="F85" s="66">
        <f>('SCS Input'!D80/'SCS Input'!D$134)</f>
        <v>1.822234412284781E-3</v>
      </c>
      <c r="G85" s="65">
        <f t="shared" si="123"/>
        <v>102.7685541496248</v>
      </c>
      <c r="H85" s="58"/>
      <c r="I85" s="83">
        <v>390</v>
      </c>
      <c r="J85" s="68">
        <f t="shared" si="124"/>
        <v>0</v>
      </c>
      <c r="K85" s="58"/>
      <c r="L85" s="69">
        <f t="shared" si="125"/>
        <v>1.5115341684236636E-3</v>
      </c>
      <c r="M85" s="69" t="str">
        <f t="shared" si="126"/>
        <v/>
      </c>
      <c r="N85" s="69">
        <f t="shared" si="127"/>
        <v>1.5199937641281467E-3</v>
      </c>
      <c r="O85" s="58"/>
      <c r="P85" s="67">
        <f t="shared" si="128"/>
        <v>0</v>
      </c>
      <c r="Q85" s="67">
        <f t="shared" si="129"/>
        <v>0.9065759532216443</v>
      </c>
      <c r="R85" s="202">
        <f t="shared" si="130"/>
        <v>103.67513010284645</v>
      </c>
      <c r="S85" s="58"/>
      <c r="T85" s="71">
        <f>VLOOKUP($B85,'Scoring Summary'!$B$5:$O$129,12,FALSE)</f>
        <v>0.26164874551971329</v>
      </c>
      <c r="U85" s="72">
        <f t="shared" si="131"/>
        <v>27.126467733002837</v>
      </c>
      <c r="V85" s="73">
        <f>VLOOKUP($B85,'Scoring Summary'!$B$5:$O$129,13,FALSE)</f>
        <v>-0.22222222222222227</v>
      </c>
      <c r="W85" s="72">
        <f t="shared" si="132"/>
        <v>-23.03891780063255</v>
      </c>
      <c r="X85" s="73">
        <f>VLOOKUP($B85,'Scoring Summary'!$B$5:$O$129,14,FALSE)</f>
        <v>-7.7790229065917912E-2</v>
      </c>
      <c r="Y85" s="72">
        <f t="shared" si="133"/>
        <v>-8.064912119139267</v>
      </c>
      <c r="Z85" s="74">
        <f t="shared" si="134"/>
        <v>-3.9773621867689801</v>
      </c>
      <c r="AA85" s="67">
        <f t="shared" si="135"/>
        <v>99.697767916077467</v>
      </c>
      <c r="AB85" s="70">
        <f t="shared" si="136"/>
        <v>89.575260864543395</v>
      </c>
      <c r="AC85" s="58"/>
      <c r="AD85" s="75">
        <f t="shared" si="137"/>
        <v>89.575260864543395</v>
      </c>
      <c r="AE85" s="68">
        <f t="shared" si="138"/>
        <v>0.2296801560629318</v>
      </c>
      <c r="AF85" s="67">
        <f t="shared" si="139"/>
        <v>0</v>
      </c>
      <c r="AG85" s="67">
        <f t="shared" si="140"/>
        <v>0</v>
      </c>
      <c r="AH85" s="67">
        <f t="shared" si="141"/>
        <v>156</v>
      </c>
      <c r="AI85" s="58"/>
      <c r="AJ85" s="76">
        <f t="shared" si="150"/>
        <v>156</v>
      </c>
      <c r="AK85" s="68">
        <f t="shared" si="142"/>
        <v>0.4</v>
      </c>
      <c r="AL85" s="77">
        <f t="shared" si="151"/>
        <v>8.2983137400925592E-4</v>
      </c>
      <c r="AM85" s="58"/>
      <c r="AN85" s="83">
        <v>86</v>
      </c>
      <c r="AO85" s="78">
        <f t="shared" si="90"/>
        <v>4.0093240093240094E-4</v>
      </c>
      <c r="AP85" s="58"/>
      <c r="AQ85" s="79">
        <v>1.0178958163631331</v>
      </c>
      <c r="AR85" s="58"/>
      <c r="AS85" s="80">
        <f t="shared" si="143"/>
        <v>156</v>
      </c>
      <c r="AT85" s="81">
        <f t="shared" si="144"/>
        <v>129</v>
      </c>
      <c r="AU85" s="81">
        <f t="shared" si="145"/>
        <v>27</v>
      </c>
      <c r="AV85" s="82">
        <f t="shared" si="146"/>
        <v>0</v>
      </c>
      <c r="AW85" s="82">
        <f t="shared" si="147"/>
        <v>0</v>
      </c>
      <c r="AX85" s="67">
        <f t="shared" si="148"/>
        <v>0</v>
      </c>
      <c r="AY85" s="210">
        <f t="shared" si="149"/>
        <v>129</v>
      </c>
    </row>
    <row r="86" spans="1:51" x14ac:dyDescent="0.2">
      <c r="A86" s="63" t="s">
        <v>6</v>
      </c>
      <c r="B86" s="63" t="s">
        <v>66</v>
      </c>
      <c r="C86" s="63"/>
      <c r="D86" s="64">
        <f>('SCS Input'!C81/'SCS Input'!C$134)</f>
        <v>2.5048291781581242E-3</v>
      </c>
      <c r="E86" s="65">
        <f t="shared" si="122"/>
        <v>329.61798604136203</v>
      </c>
      <c r="F86" s="66">
        <f>('SCS Input'!D81/'SCS Input'!D$134)</f>
        <v>4.9461725612527504E-3</v>
      </c>
      <c r="G86" s="65">
        <f t="shared" si="123"/>
        <v>278.9492939369714</v>
      </c>
      <c r="H86" s="58"/>
      <c r="I86" s="67">
        <v>1114</v>
      </c>
      <c r="J86" s="68">
        <f t="shared" si="124"/>
        <v>0.29588688154520831</v>
      </c>
      <c r="K86" s="58"/>
      <c r="L86" s="69">
        <f t="shared" si="125"/>
        <v>4.3175617015999007E-3</v>
      </c>
      <c r="M86" s="69" t="str">
        <f t="shared" si="126"/>
        <v/>
      </c>
      <c r="N86" s="69">
        <f t="shared" si="127"/>
        <v>4.3417257775352708E-3</v>
      </c>
      <c r="O86" s="58"/>
      <c r="P86" s="67">
        <f t="shared" si="128"/>
        <v>0</v>
      </c>
      <c r="Q86" s="67">
        <f t="shared" si="129"/>
        <v>2.5895528509972099</v>
      </c>
      <c r="R86" s="202">
        <f t="shared" si="130"/>
        <v>281.53884678796862</v>
      </c>
      <c r="S86" s="58"/>
      <c r="T86" s="71">
        <f>VLOOKUP($B86,'Scoring Summary'!$B$5:$O$129,12,FALSE)</f>
        <v>0.33333333333333331</v>
      </c>
      <c r="U86" s="72">
        <f t="shared" si="131"/>
        <v>93.846282262656203</v>
      </c>
      <c r="V86" s="73">
        <f>VLOOKUP($B86,'Scoring Summary'!$B$5:$O$129,13,FALSE)</f>
        <v>0.24691358024691359</v>
      </c>
      <c r="W86" s="72">
        <f t="shared" si="132"/>
        <v>69.515764639004601</v>
      </c>
      <c r="X86" s="73">
        <f>VLOOKUP($B86,'Scoring Summary'!$B$5:$O$129,14,FALSE)</f>
        <v>6.3653765608970181E-2</v>
      </c>
      <c r="Y86" s="72">
        <f t="shared" si="133"/>
        <v>17.921007763261123</v>
      </c>
      <c r="Z86" s="74">
        <f t="shared" si="134"/>
        <v>181.28305466492191</v>
      </c>
      <c r="AA86" s="67">
        <f t="shared" si="135"/>
        <v>462.82190145289053</v>
      </c>
      <c r="AB86" s="70">
        <f t="shared" si="136"/>
        <v>415.83069935291059</v>
      </c>
      <c r="AC86" s="58"/>
      <c r="AD86" s="75">
        <f t="shared" si="137"/>
        <v>745.44868539427262</v>
      </c>
      <c r="AE86" s="68">
        <f t="shared" si="138"/>
        <v>0.6691639904795984</v>
      </c>
      <c r="AF86" s="67">
        <f t="shared" si="139"/>
        <v>745.44868539427262</v>
      </c>
      <c r="AG86" s="67">
        <f t="shared" si="140"/>
        <v>722.86255693510088</v>
      </c>
      <c r="AH86" s="67">
        <f t="shared" si="141"/>
        <v>0</v>
      </c>
      <c r="AI86" s="58"/>
      <c r="AJ86" s="76">
        <f t="shared" si="150"/>
        <v>722.86255693510088</v>
      </c>
      <c r="AK86" s="68">
        <f t="shared" si="142"/>
        <v>0.64888918934928264</v>
      </c>
      <c r="AL86" s="77">
        <f t="shared" si="151"/>
        <v>3.8452181335980689E-3</v>
      </c>
      <c r="AM86" s="58"/>
      <c r="AN86" s="83">
        <v>993</v>
      </c>
      <c r="AO86" s="78">
        <f t="shared" si="90"/>
        <v>4.6293706293706292E-3</v>
      </c>
      <c r="AP86" s="58"/>
      <c r="AQ86" s="79">
        <v>0.50659730766535427</v>
      </c>
      <c r="AR86" s="58"/>
      <c r="AS86" s="80">
        <f t="shared" si="143"/>
        <v>722.86255693510088</v>
      </c>
      <c r="AT86" s="81">
        <f t="shared" si="144"/>
        <v>0</v>
      </c>
      <c r="AU86" s="81">
        <f t="shared" si="145"/>
        <v>0</v>
      </c>
      <c r="AV86" s="82">
        <f t="shared" si="146"/>
        <v>3.8452181335980689E-3</v>
      </c>
      <c r="AW86" s="82">
        <f t="shared" si="147"/>
        <v>4.0904870004781577E-3</v>
      </c>
      <c r="AX86" s="67">
        <f t="shared" si="148"/>
        <v>11.398266842230582</v>
      </c>
      <c r="AY86" s="210">
        <f t="shared" si="149"/>
        <v>734.26082377733144</v>
      </c>
    </row>
    <row r="87" spans="1:51" x14ac:dyDescent="0.2">
      <c r="A87" s="63" t="s">
        <v>6</v>
      </c>
      <c r="B87" s="63" t="s">
        <v>67</v>
      </c>
      <c r="C87" s="63"/>
      <c r="D87" s="64">
        <f>('SCS Input'!C82/'SCS Input'!C$134)</f>
        <v>5.2733969075647678E-3</v>
      </c>
      <c r="E87" s="65">
        <f t="shared" si="122"/>
        <v>693.94211925717048</v>
      </c>
      <c r="F87" s="66">
        <f>('SCS Input'!D82/'SCS Input'!D$134)</f>
        <v>3.8531725089108611E-3</v>
      </c>
      <c r="G87" s="65">
        <f t="shared" si="123"/>
        <v>217.30736998504585</v>
      </c>
      <c r="H87" s="58"/>
      <c r="I87" s="83">
        <v>759</v>
      </c>
      <c r="J87" s="68">
        <f t="shared" si="124"/>
        <v>0.91428474210430888</v>
      </c>
      <c r="K87" s="58"/>
      <c r="L87" s="69">
        <f t="shared" si="125"/>
        <v>2.9416780354706686E-3</v>
      </c>
      <c r="M87" s="69" t="str">
        <f t="shared" si="126"/>
        <v/>
      </c>
      <c r="N87" s="69">
        <f t="shared" si="127"/>
        <v>2.9581417101878552E-3</v>
      </c>
      <c r="O87" s="58"/>
      <c r="P87" s="67">
        <f t="shared" si="128"/>
        <v>0</v>
      </c>
      <c r="Q87" s="67">
        <f t="shared" si="129"/>
        <v>1.7643362781928928</v>
      </c>
      <c r="R87" s="202">
        <f t="shared" si="130"/>
        <v>219.07170626323875</v>
      </c>
      <c r="S87" s="58"/>
      <c r="T87" s="71">
        <f>VLOOKUP($B87,'Scoring Summary'!$B$5:$O$129,12,FALSE)</f>
        <v>0.33333333333333331</v>
      </c>
      <c r="U87" s="72">
        <f t="shared" si="131"/>
        <v>73.023902087746251</v>
      </c>
      <c r="V87" s="73">
        <f>VLOOKUP($B87,'Scoring Summary'!$B$5:$O$129,13,FALSE)</f>
        <v>-0.26543209876543206</v>
      </c>
      <c r="W87" s="72">
        <f t="shared" si="132"/>
        <v>-58.148662773575708</v>
      </c>
      <c r="X87" s="73">
        <f>VLOOKUP($B87,'Scoring Summary'!$B$5:$O$129,14,FALSE)</f>
        <v>7.5820659915222563E-2</v>
      </c>
      <c r="Y87" s="72">
        <f t="shared" si="133"/>
        <v>16.610161337632558</v>
      </c>
      <c r="Z87" s="74">
        <f t="shared" si="134"/>
        <v>31.485400651803101</v>
      </c>
      <c r="AA87" s="67">
        <f t="shared" si="135"/>
        <v>250.55710691504186</v>
      </c>
      <c r="AB87" s="70">
        <f t="shared" si="136"/>
        <v>225.11755962553346</v>
      </c>
      <c r="AC87" s="58"/>
      <c r="AD87" s="75">
        <f t="shared" si="137"/>
        <v>919.05967888270391</v>
      </c>
      <c r="AE87" s="68">
        <f t="shared" si="138"/>
        <v>1.2108823173685164</v>
      </c>
      <c r="AF87" s="67">
        <f t="shared" si="139"/>
        <v>919.05967888270391</v>
      </c>
      <c r="AG87" s="67">
        <f t="shared" si="140"/>
        <v>891.21336246199564</v>
      </c>
      <c r="AH87" s="67">
        <f t="shared" si="141"/>
        <v>0</v>
      </c>
      <c r="AI87" s="58"/>
      <c r="AJ87" s="76">
        <f t="shared" si="150"/>
        <v>891.21336246199564</v>
      </c>
      <c r="AK87" s="68">
        <f t="shared" si="142"/>
        <v>1.1741941534413645</v>
      </c>
      <c r="AL87" s="77">
        <f t="shared" si="151"/>
        <v>4.7407487763285053E-3</v>
      </c>
      <c r="AM87" s="58"/>
      <c r="AN87" s="83">
        <v>452</v>
      </c>
      <c r="AO87" s="78">
        <f t="shared" si="90"/>
        <v>2.1072261072261071E-3</v>
      </c>
      <c r="AP87" s="58"/>
      <c r="AQ87" s="79">
        <v>0.90410113121832614</v>
      </c>
      <c r="AR87" s="58"/>
      <c r="AS87" s="80">
        <f t="shared" si="143"/>
        <v>891.21336246199564</v>
      </c>
      <c r="AT87" s="81">
        <f t="shared" si="144"/>
        <v>678</v>
      </c>
      <c r="AU87" s="81">
        <f t="shared" si="145"/>
        <v>213.21336246199564</v>
      </c>
      <c r="AV87" s="82">
        <f t="shared" si="146"/>
        <v>0</v>
      </c>
      <c r="AW87" s="82">
        <f t="shared" si="147"/>
        <v>0</v>
      </c>
      <c r="AX87" s="67">
        <f t="shared" si="148"/>
        <v>0</v>
      </c>
      <c r="AY87" s="210">
        <f t="shared" si="149"/>
        <v>678</v>
      </c>
    </row>
    <row r="88" spans="1:51" x14ac:dyDescent="0.2">
      <c r="A88" s="63" t="s">
        <v>6</v>
      </c>
      <c r="B88" s="63" t="s">
        <v>68</v>
      </c>
      <c r="C88" s="63"/>
      <c r="D88" s="64">
        <f>('SCS Input'!C83/'SCS Input'!C$134)</f>
        <v>0</v>
      </c>
      <c r="E88" s="65">
        <f t="shared" si="122"/>
        <v>0</v>
      </c>
      <c r="F88" s="66">
        <f>('SCS Input'!D83/'SCS Input'!D$134)</f>
        <v>2.8641652503074481E-3</v>
      </c>
      <c r="G88" s="65">
        <f t="shared" si="123"/>
        <v>161.53032762158918</v>
      </c>
      <c r="H88" s="58"/>
      <c r="I88" s="67">
        <v>1371</v>
      </c>
      <c r="J88" s="68">
        <f t="shared" si="124"/>
        <v>0</v>
      </c>
      <c r="K88" s="58"/>
      <c r="L88" s="69">
        <f t="shared" si="125"/>
        <v>5.313623961304725E-3</v>
      </c>
      <c r="M88" s="69" t="str">
        <f t="shared" si="126"/>
        <v/>
      </c>
      <c r="N88" s="69">
        <f t="shared" si="127"/>
        <v>5.3433626938966389E-3</v>
      </c>
      <c r="O88" s="58"/>
      <c r="P88" s="67">
        <f t="shared" si="128"/>
        <v>0</v>
      </c>
      <c r="Q88" s="67">
        <f t="shared" si="129"/>
        <v>3.1869631586330112</v>
      </c>
      <c r="R88" s="202">
        <f t="shared" si="130"/>
        <v>164.71729078022219</v>
      </c>
      <c r="S88" s="58"/>
      <c r="T88" s="71">
        <f>VLOOKUP($B88,'Scoring Summary'!$B$5:$O$129,12,FALSE)</f>
        <v>0.29032258064516125</v>
      </c>
      <c r="U88" s="72">
        <f t="shared" si="131"/>
        <v>47.821148936193531</v>
      </c>
      <c r="V88" s="73">
        <f>VLOOKUP($B88,'Scoring Summary'!$B$5:$O$129,13,FALSE)</f>
        <v>-7.4074074074074098E-2</v>
      </c>
      <c r="W88" s="72">
        <f t="shared" si="132"/>
        <v>-12.201280798534981</v>
      </c>
      <c r="X88" s="73">
        <f>VLOOKUP($B88,'Scoring Summary'!$B$5:$O$129,14,FALSE)</f>
        <v>0.11220154891571373</v>
      </c>
      <c r="Y88" s="72">
        <f t="shared" si="133"/>
        <v>18.48153515874094</v>
      </c>
      <c r="Z88" s="74">
        <f t="shared" si="134"/>
        <v>54.101403296399489</v>
      </c>
      <c r="AA88" s="67">
        <f t="shared" si="135"/>
        <v>218.81869407662168</v>
      </c>
      <c r="AB88" s="70">
        <f t="shared" si="136"/>
        <v>196.60160917997089</v>
      </c>
      <c r="AC88" s="58"/>
      <c r="AD88" s="75">
        <f t="shared" si="137"/>
        <v>196.60160917997089</v>
      </c>
      <c r="AE88" s="68">
        <f t="shared" si="138"/>
        <v>0.14340015257474173</v>
      </c>
      <c r="AF88" s="67">
        <f t="shared" si="139"/>
        <v>0</v>
      </c>
      <c r="AG88" s="67">
        <f t="shared" si="140"/>
        <v>0</v>
      </c>
      <c r="AH88" s="67">
        <f t="shared" si="141"/>
        <v>548.4</v>
      </c>
      <c r="AI88" s="58"/>
      <c r="AJ88" s="76">
        <f t="shared" si="150"/>
        <v>548.4</v>
      </c>
      <c r="AK88" s="68">
        <f t="shared" si="142"/>
        <v>0.39999999999999997</v>
      </c>
      <c r="AL88" s="77">
        <f t="shared" si="151"/>
        <v>2.917176445555615E-3</v>
      </c>
      <c r="AM88" s="58"/>
      <c r="AN88" s="83">
        <v>275</v>
      </c>
      <c r="AO88" s="78">
        <f t="shared" si="90"/>
        <v>1.2820512820512821E-3</v>
      </c>
      <c r="AP88" s="58"/>
      <c r="AQ88" s="79">
        <v>1.589174275645157</v>
      </c>
      <c r="AR88" s="58"/>
      <c r="AS88" s="80">
        <f t="shared" si="143"/>
        <v>548.4</v>
      </c>
      <c r="AT88" s="81">
        <f t="shared" si="144"/>
        <v>412.5</v>
      </c>
      <c r="AU88" s="81">
        <f t="shared" si="145"/>
        <v>135.89999999999998</v>
      </c>
      <c r="AV88" s="82">
        <f t="shared" si="146"/>
        <v>0</v>
      </c>
      <c r="AW88" s="82">
        <f t="shared" si="147"/>
        <v>0</v>
      </c>
      <c r="AX88" s="67">
        <f t="shared" si="148"/>
        <v>0</v>
      </c>
      <c r="AY88" s="210">
        <f t="shared" si="149"/>
        <v>412.5</v>
      </c>
    </row>
    <row r="89" spans="1:51" x14ac:dyDescent="0.2">
      <c r="A89" s="63" t="s">
        <v>6</v>
      </c>
      <c r="B89" s="63" t="s">
        <v>69</v>
      </c>
      <c r="C89" s="63"/>
      <c r="D89" s="64">
        <f>('SCS Input'!C84/'SCS Input'!C$134)</f>
        <v>0</v>
      </c>
      <c r="E89" s="65">
        <f t="shared" si="122"/>
        <v>0</v>
      </c>
      <c r="F89" s="66">
        <f>('SCS Input'!D84/'SCS Input'!D$134)</f>
        <v>6.9266185911927487E-4</v>
      </c>
      <c r="G89" s="65">
        <f t="shared" si="123"/>
        <v>39.064050868749753</v>
      </c>
      <c r="H89" s="58"/>
      <c r="I89" s="83">
        <v>158</v>
      </c>
      <c r="J89" s="68">
        <f t="shared" si="124"/>
        <v>0</v>
      </c>
      <c r="K89" s="58"/>
      <c r="L89" s="69">
        <f t="shared" si="125"/>
        <v>6.1236512464343297E-4</v>
      </c>
      <c r="M89" s="69" t="str">
        <f t="shared" si="126"/>
        <v/>
      </c>
      <c r="N89" s="69">
        <f t="shared" si="127"/>
        <v>6.1579234546730048E-4</v>
      </c>
      <c r="O89" s="58"/>
      <c r="P89" s="67">
        <f t="shared" si="128"/>
        <v>0</v>
      </c>
      <c r="Q89" s="67">
        <f t="shared" si="129"/>
        <v>0.36727948874107647</v>
      </c>
      <c r="R89" s="202">
        <f t="shared" si="130"/>
        <v>39.431330357490829</v>
      </c>
      <c r="S89" s="58"/>
      <c r="T89" s="71">
        <f>VLOOKUP($B89,'Scoring Summary'!$B$5:$O$129,12,FALSE)</f>
        <v>0.26164874551971329</v>
      </c>
      <c r="U89" s="72">
        <f t="shared" si="131"/>
        <v>10.317158122210863</v>
      </c>
      <c r="V89" s="73">
        <f>VLOOKUP($B89,'Scoring Summary'!$B$5:$O$129,13,FALSE)</f>
        <v>-0.25925925925925919</v>
      </c>
      <c r="W89" s="72">
        <f t="shared" si="132"/>
        <v>-10.222937500090213</v>
      </c>
      <c r="X89" s="73">
        <f>VLOOKUP($B89,'Scoring Summary'!$B$5:$O$129,14,FALSE)</f>
        <v>-0.33333333333333331</v>
      </c>
      <c r="Y89" s="72">
        <f t="shared" si="133"/>
        <v>-13.143776785830276</v>
      </c>
      <c r="Z89" s="74">
        <f t="shared" si="134"/>
        <v>-13.049556163709626</v>
      </c>
      <c r="AA89" s="67">
        <f t="shared" si="135"/>
        <v>26.381774193781204</v>
      </c>
      <c r="AB89" s="70">
        <f t="shared" si="136"/>
        <v>23.703181674705711</v>
      </c>
      <c r="AC89" s="58"/>
      <c r="AD89" s="75">
        <f t="shared" si="137"/>
        <v>23.703181674705711</v>
      </c>
      <c r="AE89" s="68">
        <f t="shared" si="138"/>
        <v>0.15002013718168172</v>
      </c>
      <c r="AF89" s="67">
        <f t="shared" si="139"/>
        <v>0</v>
      </c>
      <c r="AG89" s="67">
        <f t="shared" si="140"/>
        <v>0</v>
      </c>
      <c r="AH89" s="67">
        <f t="shared" si="141"/>
        <v>63.2</v>
      </c>
      <c r="AI89" s="58"/>
      <c r="AJ89" s="76">
        <f t="shared" si="150"/>
        <v>63.2</v>
      </c>
      <c r="AK89" s="68">
        <f t="shared" si="142"/>
        <v>0.4</v>
      </c>
      <c r="AL89" s="77">
        <f t="shared" si="151"/>
        <v>3.3618809511144217E-4</v>
      </c>
      <c r="AM89" s="58"/>
      <c r="AN89" s="83">
        <v>74</v>
      </c>
      <c r="AO89" s="78">
        <f t="shared" si="90"/>
        <v>3.4498834498834498E-4</v>
      </c>
      <c r="AP89" s="58"/>
      <c r="AQ89" s="79">
        <v>-0.1459459459459459</v>
      </c>
      <c r="AR89" s="58"/>
      <c r="AS89" s="80">
        <f t="shared" si="143"/>
        <v>63.2</v>
      </c>
      <c r="AT89" s="81">
        <f t="shared" si="144"/>
        <v>0</v>
      </c>
      <c r="AU89" s="81">
        <f t="shared" si="145"/>
        <v>0</v>
      </c>
      <c r="AV89" s="82">
        <f t="shared" si="146"/>
        <v>3.3618809511144217E-4</v>
      </c>
      <c r="AW89" s="82">
        <f t="shared" si="147"/>
        <v>3.5763199511443168E-4</v>
      </c>
      <c r="AX89" s="67">
        <f t="shared" si="148"/>
        <v>0.99655246701849598</v>
      </c>
      <c r="AY89" s="210">
        <f t="shared" si="149"/>
        <v>64.196552467018492</v>
      </c>
    </row>
    <row r="90" spans="1:51" x14ac:dyDescent="0.2">
      <c r="A90" s="63" t="s">
        <v>6</v>
      </c>
      <c r="B90" s="63" t="s">
        <v>70</v>
      </c>
      <c r="C90" s="63"/>
      <c r="D90" s="64">
        <f>('SCS Input'!C85/'SCS Input'!C$134)</f>
        <v>2.2209830129053715E-2</v>
      </c>
      <c r="E90" s="65">
        <f t="shared" si="122"/>
        <v>2922.6581761725656</v>
      </c>
      <c r="F90" s="66">
        <f>('SCS Input'!D85/'SCS Input'!D$134)</f>
        <v>1.3997989798415239E-2</v>
      </c>
      <c r="G90" s="65">
        <f t="shared" si="123"/>
        <v>789.44463066122432</v>
      </c>
      <c r="H90" s="58"/>
      <c r="I90" s="67">
        <v>2675</v>
      </c>
      <c r="J90" s="68">
        <f t="shared" si="124"/>
        <v>1.0925824957654451</v>
      </c>
      <c r="K90" s="58"/>
      <c r="L90" s="69">
        <f t="shared" si="125"/>
        <v>1.036757410393154E-2</v>
      </c>
      <c r="M90" s="69" t="str">
        <f t="shared" si="126"/>
        <v/>
      </c>
      <c r="N90" s="69">
        <f t="shared" si="127"/>
        <v>1.042559825395588E-2</v>
      </c>
      <c r="O90" s="58"/>
      <c r="P90" s="67">
        <f t="shared" si="128"/>
        <v>0</v>
      </c>
      <c r="Q90" s="67">
        <f t="shared" si="129"/>
        <v>6.218181217609998</v>
      </c>
      <c r="R90" s="202">
        <f t="shared" si="130"/>
        <v>795.6628118788343</v>
      </c>
      <c r="S90" s="58"/>
      <c r="T90" s="71">
        <f>VLOOKUP($B90,'Scoring Summary'!$B$5:$O$129,12,FALSE)</f>
        <v>6.8100358422939086E-2</v>
      </c>
      <c r="U90" s="72">
        <f t="shared" si="131"/>
        <v>54.184922672752172</v>
      </c>
      <c r="V90" s="73">
        <f>VLOOKUP($B90,'Scoring Summary'!$B$5:$O$129,13,FALSE)</f>
        <v>0.25308641975308638</v>
      </c>
      <c r="W90" s="72">
        <f t="shared" si="132"/>
        <v>201.37145238908766</v>
      </c>
      <c r="X90" s="73">
        <f>VLOOKUP($B90,'Scoring Summary'!$B$5:$O$129,14,FALSE)</f>
        <v>3.3190531827478456E-2</v>
      </c>
      <c r="Y90" s="72">
        <f t="shared" si="133"/>
        <v>26.408471881605454</v>
      </c>
      <c r="Z90" s="74">
        <f t="shared" si="134"/>
        <v>281.96484694344531</v>
      </c>
      <c r="AA90" s="67">
        <f t="shared" si="135"/>
        <v>1077.6276588222795</v>
      </c>
      <c r="AB90" s="70">
        <f t="shared" si="136"/>
        <v>968.21404000847679</v>
      </c>
      <c r="AC90" s="58"/>
      <c r="AD90" s="75">
        <f t="shared" si="137"/>
        <v>3890.8722161810424</v>
      </c>
      <c r="AE90" s="68">
        <f t="shared" si="138"/>
        <v>1.4545316696003896</v>
      </c>
      <c r="AF90" s="67">
        <f t="shared" si="139"/>
        <v>3890.8722161810424</v>
      </c>
      <c r="AG90" s="67">
        <f t="shared" si="140"/>
        <v>3772.9838337682313</v>
      </c>
      <c r="AH90" s="67">
        <f t="shared" si="141"/>
        <v>0</v>
      </c>
      <c r="AI90" s="58"/>
      <c r="AJ90" s="76">
        <f t="shared" si="150"/>
        <v>3772.9838337682313</v>
      </c>
      <c r="AK90" s="68">
        <f t="shared" si="142"/>
        <v>1.4104612462684978</v>
      </c>
      <c r="AL90" s="77">
        <f t="shared" si="151"/>
        <v>2.0070130505708984E-2</v>
      </c>
      <c r="AM90" s="58"/>
      <c r="AN90" s="67">
        <v>1856</v>
      </c>
      <c r="AO90" s="78">
        <f t="shared" si="90"/>
        <v>8.652680652680652E-3</v>
      </c>
      <c r="AP90" s="58"/>
      <c r="AQ90" s="79">
        <v>0.78236553739978543</v>
      </c>
      <c r="AR90" s="58"/>
      <c r="AS90" s="80">
        <f t="shared" si="143"/>
        <v>3772.9838337682313</v>
      </c>
      <c r="AT90" s="81">
        <f t="shared" si="144"/>
        <v>2784</v>
      </c>
      <c r="AU90" s="81">
        <f t="shared" si="145"/>
        <v>988.98383376823131</v>
      </c>
      <c r="AV90" s="82">
        <f t="shared" si="146"/>
        <v>0</v>
      </c>
      <c r="AW90" s="82">
        <f t="shared" si="147"/>
        <v>0</v>
      </c>
      <c r="AX90" s="67">
        <f t="shared" si="148"/>
        <v>0</v>
      </c>
      <c r="AY90" s="210">
        <f t="shared" si="149"/>
        <v>2784</v>
      </c>
    </row>
    <row r="91" spans="1:51" x14ac:dyDescent="0.2">
      <c r="A91" s="63" t="s">
        <v>6</v>
      </c>
      <c r="B91" s="63" t="s">
        <v>71</v>
      </c>
      <c r="C91" s="63"/>
      <c r="D91" s="64">
        <f>('SCS Input'!C86/'SCS Input'!C$134)</f>
        <v>7.8407510604190066E-3</v>
      </c>
      <c r="E91" s="65">
        <f t="shared" si="122"/>
        <v>1031.7879542937183</v>
      </c>
      <c r="F91" s="66">
        <f>('SCS Input'!D86/'SCS Input'!D$134)</f>
        <v>6.2843687889423787E-3</v>
      </c>
      <c r="G91" s="65">
        <f t="shared" si="123"/>
        <v>354.41954658998338</v>
      </c>
      <c r="H91" s="58"/>
      <c r="I91" s="67">
        <v>1511</v>
      </c>
      <c r="J91" s="68">
        <f t="shared" si="124"/>
        <v>0.6828510617430299</v>
      </c>
      <c r="K91" s="58"/>
      <c r="L91" s="69">
        <f t="shared" si="125"/>
        <v>5.856225970482451E-3</v>
      </c>
      <c r="M91" s="69" t="str">
        <f t="shared" si="126"/>
        <v/>
      </c>
      <c r="N91" s="69">
        <f t="shared" si="127"/>
        <v>5.8890014810195641E-3</v>
      </c>
      <c r="O91" s="58"/>
      <c r="P91" s="67">
        <f t="shared" si="128"/>
        <v>0</v>
      </c>
      <c r="Q91" s="67">
        <f t="shared" si="129"/>
        <v>3.5124006803023202</v>
      </c>
      <c r="R91" s="202">
        <f t="shared" si="130"/>
        <v>357.93194727028572</v>
      </c>
      <c r="S91" s="58"/>
      <c r="T91" s="71">
        <f>VLOOKUP($B91,'Scoring Summary'!$B$5:$O$129,12,FALSE)</f>
        <v>-0.11111111111111113</v>
      </c>
      <c r="U91" s="72">
        <f t="shared" si="131"/>
        <v>-39.770216363365087</v>
      </c>
      <c r="V91" s="73">
        <f>VLOOKUP($B91,'Scoring Summary'!$B$5:$O$129,13,FALSE)</f>
        <v>-0.11728395061728397</v>
      </c>
      <c r="W91" s="72">
        <f t="shared" si="132"/>
        <v>-41.979672827996481</v>
      </c>
      <c r="X91" s="73">
        <f>VLOOKUP($B91,'Scoring Summary'!$B$5:$O$129,14,FALSE)</f>
        <v>0.10577058251225405</v>
      </c>
      <c r="Y91" s="72">
        <f t="shared" si="133"/>
        <v>37.858670562523521</v>
      </c>
      <c r="Z91" s="74">
        <f t="shared" si="134"/>
        <v>-43.891218628838054</v>
      </c>
      <c r="AA91" s="67">
        <f t="shared" si="135"/>
        <v>314.04072864144769</v>
      </c>
      <c r="AB91" s="70">
        <f t="shared" si="136"/>
        <v>282.1555665501777</v>
      </c>
      <c r="AC91" s="58"/>
      <c r="AD91" s="75">
        <f t="shared" si="137"/>
        <v>1313.9435208438958</v>
      </c>
      <c r="AE91" s="68">
        <f t="shared" si="138"/>
        <v>0.86958538771932214</v>
      </c>
      <c r="AF91" s="67">
        <f t="shared" si="139"/>
        <v>1313.9435208438958</v>
      </c>
      <c r="AG91" s="67">
        <f t="shared" si="140"/>
        <v>1274.1327361026492</v>
      </c>
      <c r="AH91" s="67">
        <f t="shared" si="141"/>
        <v>0</v>
      </c>
      <c r="AI91" s="58"/>
      <c r="AJ91" s="76">
        <f t="shared" si="150"/>
        <v>1274.1327361026492</v>
      </c>
      <c r="AK91" s="68">
        <f t="shared" si="142"/>
        <v>0.8432380781619121</v>
      </c>
      <c r="AL91" s="77">
        <f t="shared" si="151"/>
        <v>6.7776623017322696E-3</v>
      </c>
      <c r="AM91" s="58"/>
      <c r="AN91" s="83">
        <v>973</v>
      </c>
      <c r="AO91" s="78">
        <f t="shared" si="90"/>
        <v>4.536130536130536E-3</v>
      </c>
      <c r="AP91" s="58"/>
      <c r="AQ91" s="79">
        <v>0.37166717173776243</v>
      </c>
      <c r="AR91" s="58"/>
      <c r="AS91" s="80">
        <f t="shared" si="143"/>
        <v>1274.1327361026492</v>
      </c>
      <c r="AT91" s="81">
        <f t="shared" si="144"/>
        <v>0</v>
      </c>
      <c r="AU91" s="81">
        <f t="shared" si="145"/>
        <v>0</v>
      </c>
      <c r="AV91" s="82">
        <f t="shared" si="146"/>
        <v>6.7776623017322696E-3</v>
      </c>
      <c r="AW91" s="82">
        <f t="shared" si="147"/>
        <v>7.2099783615981027E-3</v>
      </c>
      <c r="AX91" s="67">
        <f t="shared" si="148"/>
        <v>20.090824706837363</v>
      </c>
      <c r="AY91" s="210">
        <f t="shared" si="149"/>
        <v>1294.2235608094866</v>
      </c>
    </row>
    <row r="92" spans="1:51" x14ac:dyDescent="0.2">
      <c r="A92" s="63" t="s">
        <v>6</v>
      </c>
      <c r="B92" s="63" t="s">
        <v>72</v>
      </c>
      <c r="C92" s="63"/>
      <c r="D92" s="64">
        <f>('SCS Input'!C87/'SCS Input'!C$134)</f>
        <v>2.3421572139086873E-3</v>
      </c>
      <c r="E92" s="65">
        <f t="shared" si="122"/>
        <v>308.2114942498859</v>
      </c>
      <c r="F92" s="66">
        <f>('SCS Input'!D87/'SCS Input'!D$134)</f>
        <v>4.478309602963206E-3</v>
      </c>
      <c r="G92" s="65">
        <f t="shared" si="123"/>
        <v>252.56322667831597</v>
      </c>
      <c r="H92" s="58"/>
      <c r="I92" s="67">
        <v>998</v>
      </c>
      <c r="J92" s="68">
        <f t="shared" si="124"/>
        <v>0.30882915255499588</v>
      </c>
      <c r="K92" s="58"/>
      <c r="L92" s="69">
        <f t="shared" si="125"/>
        <v>3.8679771797097856E-3</v>
      </c>
      <c r="M92" s="69" t="str">
        <f t="shared" si="126"/>
        <v/>
      </c>
      <c r="N92" s="69">
        <f t="shared" si="127"/>
        <v>3.8896250682048474E-3</v>
      </c>
      <c r="O92" s="58"/>
      <c r="P92" s="67">
        <f t="shared" si="128"/>
        <v>0</v>
      </c>
      <c r="Q92" s="67">
        <f t="shared" si="129"/>
        <v>2.3199046187569259</v>
      </c>
      <c r="R92" s="202">
        <f t="shared" si="130"/>
        <v>254.88313129707291</v>
      </c>
      <c r="S92" s="58"/>
      <c r="T92" s="71">
        <f>VLOOKUP($B92,'Scoring Summary'!$B$5:$O$129,12,FALSE)</f>
        <v>0.33333333333333331</v>
      </c>
      <c r="U92" s="72">
        <f t="shared" si="131"/>
        <v>84.96104376569096</v>
      </c>
      <c r="V92" s="73">
        <f>VLOOKUP($B92,'Scoring Summary'!$B$5:$O$129,13,FALSE)</f>
        <v>-3.7037037037037049E-2</v>
      </c>
      <c r="W92" s="72">
        <f t="shared" si="132"/>
        <v>-9.4401159739656659</v>
      </c>
      <c r="X92" s="73">
        <f>VLOOKUP($B92,'Scoring Summary'!$B$5:$O$129,14,FALSE)</f>
        <v>8.6013535124924566E-4</v>
      </c>
      <c r="Y92" s="72">
        <f t="shared" si="133"/>
        <v>0.21923399166571542</v>
      </c>
      <c r="Z92" s="74">
        <f t="shared" si="134"/>
        <v>75.740161783391017</v>
      </c>
      <c r="AA92" s="67">
        <f t="shared" si="135"/>
        <v>330.6232930804639</v>
      </c>
      <c r="AB92" s="70">
        <f t="shared" si="136"/>
        <v>297.05447117438479</v>
      </c>
      <c r="AC92" s="58"/>
      <c r="AD92" s="75">
        <f t="shared" si="137"/>
        <v>605.26596542427069</v>
      </c>
      <c r="AE92" s="68">
        <f t="shared" si="138"/>
        <v>0.60647892327081232</v>
      </c>
      <c r="AF92" s="67">
        <f t="shared" si="139"/>
        <v>605.26596542427069</v>
      </c>
      <c r="AG92" s="67">
        <f t="shared" si="140"/>
        <v>586.92719158927935</v>
      </c>
      <c r="AH92" s="67">
        <f t="shared" si="141"/>
        <v>0</v>
      </c>
      <c r="AI92" s="58"/>
      <c r="AJ92" s="76">
        <f t="shared" si="150"/>
        <v>586.92719158927935</v>
      </c>
      <c r="AK92" s="68">
        <f t="shared" si="142"/>
        <v>0.58810339838605141</v>
      </c>
      <c r="AL92" s="77">
        <f t="shared" si="151"/>
        <v>3.1221192169225993E-3</v>
      </c>
      <c r="AM92" s="58"/>
      <c r="AN92" s="83">
        <v>599</v>
      </c>
      <c r="AO92" s="78">
        <f t="shared" si="90"/>
        <v>2.7925407925407926E-3</v>
      </c>
      <c r="AP92" s="58"/>
      <c r="AQ92" s="79">
        <v>0.41823665811400346</v>
      </c>
      <c r="AR92" s="58"/>
      <c r="AS92" s="80">
        <f t="shared" si="143"/>
        <v>586.92719158927935</v>
      </c>
      <c r="AT92" s="81">
        <f t="shared" si="144"/>
        <v>0</v>
      </c>
      <c r="AU92" s="81">
        <f t="shared" si="145"/>
        <v>0</v>
      </c>
      <c r="AV92" s="82">
        <f t="shared" si="146"/>
        <v>3.1221192169225993E-3</v>
      </c>
      <c r="AW92" s="82">
        <f t="shared" si="147"/>
        <v>3.3212649132117762E-3</v>
      </c>
      <c r="AX92" s="67">
        <f t="shared" si="148"/>
        <v>9.254806024343889</v>
      </c>
      <c r="AY92" s="210">
        <f t="shared" si="149"/>
        <v>596.18199761362325</v>
      </c>
    </row>
    <row r="93" spans="1:51" x14ac:dyDescent="0.2">
      <c r="A93" s="63" t="s">
        <v>6</v>
      </c>
      <c r="B93" s="63" t="s">
        <v>6</v>
      </c>
      <c r="C93" s="63"/>
      <c r="D93" s="64">
        <f>('SCS Input'!C88/'SCS Input'!C$134)</f>
        <v>1.6499441095345339E-2</v>
      </c>
      <c r="E93" s="65">
        <f t="shared" si="122"/>
        <v>2171.2109520597792</v>
      </c>
      <c r="F93" s="66">
        <f>('SCS Input'!D88/'SCS Input'!D$134)</f>
        <v>1.491074673930466E-2</v>
      </c>
      <c r="G93" s="65">
        <f t="shared" si="123"/>
        <v>840.92138385656506</v>
      </c>
      <c r="H93" s="58"/>
      <c r="I93" s="67">
        <v>3346</v>
      </c>
      <c r="J93" s="68">
        <f t="shared" si="124"/>
        <v>0.64889747521212771</v>
      </c>
      <c r="K93" s="58"/>
      <c r="L93" s="69">
        <f t="shared" si="125"/>
        <v>1.2968188019347637E-2</v>
      </c>
      <c r="M93" s="69" t="str">
        <f t="shared" si="126"/>
        <v/>
      </c>
      <c r="N93" s="69">
        <f t="shared" si="127"/>
        <v>1.3040767012237895E-2</v>
      </c>
      <c r="O93" s="58"/>
      <c r="P93" s="67">
        <f t="shared" si="128"/>
        <v>0</v>
      </c>
      <c r="Q93" s="67">
        <f t="shared" si="129"/>
        <v>7.7779567678964669</v>
      </c>
      <c r="R93" s="202">
        <f t="shared" si="130"/>
        <v>848.69934062446157</v>
      </c>
      <c r="S93" s="58"/>
      <c r="T93" s="71">
        <f>VLOOKUP($B93,'Scoring Summary'!$B$5:$O$129,12,FALSE)</f>
        <v>-6.093189964157706E-2</v>
      </c>
      <c r="U93" s="72">
        <f t="shared" si="131"/>
        <v>-51.712863048802319</v>
      </c>
      <c r="V93" s="73">
        <f>VLOOKUP($B93,'Scoring Summary'!$B$5:$O$129,13,FALSE)</f>
        <v>0.18518518518518517</v>
      </c>
      <c r="W93" s="72">
        <f t="shared" si="132"/>
        <v>157.16654456008547</v>
      </c>
      <c r="X93" s="73">
        <f>VLOOKUP($B93,'Scoring Summary'!$B$5:$O$129,14,FALSE)</f>
        <v>6.2591175782570702E-2</v>
      </c>
      <c r="Y93" s="72">
        <f t="shared" si="133"/>
        <v>53.121089615577525</v>
      </c>
      <c r="Z93" s="74">
        <f t="shared" si="134"/>
        <v>158.57477112686067</v>
      </c>
      <c r="AA93" s="67">
        <f t="shared" si="135"/>
        <v>1007.2741117513223</v>
      </c>
      <c r="AB93" s="70">
        <f t="shared" si="136"/>
        <v>905.00362453626963</v>
      </c>
      <c r="AC93" s="58"/>
      <c r="AD93" s="75">
        <f t="shared" si="137"/>
        <v>3076.2145765960486</v>
      </c>
      <c r="AE93" s="68">
        <f t="shared" si="138"/>
        <v>0.91937076407532836</v>
      </c>
      <c r="AF93" s="67">
        <f t="shared" si="139"/>
        <v>3076.2145765960486</v>
      </c>
      <c r="AG93" s="67">
        <f t="shared" si="140"/>
        <v>2983.0092642032491</v>
      </c>
      <c r="AH93" s="67">
        <f t="shared" si="141"/>
        <v>0</v>
      </c>
      <c r="AI93" s="58"/>
      <c r="AJ93" s="76">
        <f t="shared" si="150"/>
        <v>2983.0092642032491</v>
      </c>
      <c r="AK93" s="68">
        <f t="shared" si="142"/>
        <v>0.89151502217670331</v>
      </c>
      <c r="AL93" s="77">
        <f t="shared" si="151"/>
        <v>1.5867914592282831E-2</v>
      </c>
      <c r="AM93" s="58"/>
      <c r="AN93" s="67">
        <v>3051</v>
      </c>
      <c r="AO93" s="78">
        <f t="shared" si="90"/>
        <v>1.4223776223776224E-2</v>
      </c>
      <c r="AP93" s="58"/>
      <c r="AQ93" s="79">
        <v>0.34945564859367512</v>
      </c>
      <c r="AR93" s="58"/>
      <c r="AS93" s="80">
        <f t="shared" si="143"/>
        <v>2983.0092642032491</v>
      </c>
      <c r="AT93" s="81">
        <f t="shared" si="144"/>
        <v>0</v>
      </c>
      <c r="AU93" s="81">
        <f t="shared" si="145"/>
        <v>0</v>
      </c>
      <c r="AV93" s="82">
        <f t="shared" si="146"/>
        <v>1.5867914592282831E-2</v>
      </c>
      <c r="AW93" s="82">
        <f t="shared" si="147"/>
        <v>1.6880056243700012E-2</v>
      </c>
      <c r="AX93" s="67">
        <f t="shared" si="148"/>
        <v>47.036791793999626</v>
      </c>
      <c r="AY93" s="210">
        <f t="shared" si="149"/>
        <v>3030.0460559972489</v>
      </c>
    </row>
    <row r="94" spans="1:51" x14ac:dyDescent="0.2">
      <c r="A94" s="63" t="s">
        <v>6</v>
      </c>
      <c r="B94" s="63" t="s">
        <v>73</v>
      </c>
      <c r="C94" s="63"/>
      <c r="D94" s="64">
        <f>('SCS Input'!C89/'SCS Input'!C$134)</f>
        <v>1.3483295246063631E-2</v>
      </c>
      <c r="E94" s="65">
        <f t="shared" si="122"/>
        <v>1774.3072713152512</v>
      </c>
      <c r="F94" s="66">
        <f>('SCS Input'!D89/'SCS Input'!D$134)</f>
        <v>5.5933644764920775E-3</v>
      </c>
      <c r="G94" s="65">
        <f t="shared" si="123"/>
        <v>315.44897638072376</v>
      </c>
      <c r="H94" s="58"/>
      <c r="I94" s="67">
        <v>2221</v>
      </c>
      <c r="J94" s="68">
        <f t="shared" si="124"/>
        <v>0.79887765480200412</v>
      </c>
      <c r="K94" s="58"/>
      <c r="L94" s="69">
        <f t="shared" si="125"/>
        <v>8.6079933027409152E-3</v>
      </c>
      <c r="M94" s="69" t="str">
        <f t="shared" si="126"/>
        <v/>
      </c>
      <c r="N94" s="69">
        <f t="shared" si="127"/>
        <v>8.6561696157143944E-3</v>
      </c>
      <c r="O94" s="58"/>
      <c r="P94" s="67">
        <f t="shared" si="128"/>
        <v>0</v>
      </c>
      <c r="Q94" s="67">
        <f t="shared" si="129"/>
        <v>5.1628338259109539</v>
      </c>
      <c r="R94" s="202">
        <f t="shared" si="130"/>
        <v>320.61181020663474</v>
      </c>
      <c r="S94" s="58"/>
      <c r="T94" s="71">
        <f>VLOOKUP($B94,'Scoring Summary'!$B$5:$O$129,12,FALSE)</f>
        <v>-4.6594982078853056E-2</v>
      </c>
      <c r="U94" s="72">
        <f t="shared" si="131"/>
        <v>-14.938901550846783</v>
      </c>
      <c r="V94" s="73">
        <f>VLOOKUP($B94,'Scoring Summary'!$B$5:$O$129,13,FALSE)</f>
        <v>0.22222222222222224</v>
      </c>
      <c r="W94" s="72">
        <f t="shared" si="132"/>
        <v>71.247068934807729</v>
      </c>
      <c r="X94" s="73">
        <f>VLOOKUP($B94,'Scoring Summary'!$B$5:$O$129,14,FALSE)</f>
        <v>8.5850756326585065E-2</v>
      </c>
      <c r="Y94" s="72">
        <f t="shared" si="133"/>
        <v>27.524766393475137</v>
      </c>
      <c r="Z94" s="74">
        <f t="shared" si="134"/>
        <v>83.832933777436082</v>
      </c>
      <c r="AA94" s="67">
        <f t="shared" si="135"/>
        <v>404.44474398407084</v>
      </c>
      <c r="AB94" s="70">
        <f t="shared" si="136"/>
        <v>363.38068750107266</v>
      </c>
      <c r="AC94" s="58"/>
      <c r="AD94" s="75">
        <f t="shared" si="137"/>
        <v>2137.6879588163238</v>
      </c>
      <c r="AE94" s="68">
        <f t="shared" si="138"/>
        <v>0.96248895039006022</v>
      </c>
      <c r="AF94" s="67">
        <f t="shared" si="139"/>
        <v>2137.6879588163238</v>
      </c>
      <c r="AG94" s="67">
        <f t="shared" si="140"/>
        <v>2072.9187858478135</v>
      </c>
      <c r="AH94" s="67">
        <f t="shared" si="141"/>
        <v>0</v>
      </c>
      <c r="AI94" s="58"/>
      <c r="AJ94" s="76">
        <f t="shared" si="150"/>
        <v>2072.9187858478135</v>
      </c>
      <c r="AK94" s="68">
        <f t="shared" si="142"/>
        <v>0.93332678336236541</v>
      </c>
      <c r="AL94" s="77">
        <f t="shared" si="151"/>
        <v>1.1026750283780062E-2</v>
      </c>
      <c r="AM94" s="58"/>
      <c r="AN94" s="67">
        <v>1635</v>
      </c>
      <c r="AO94" s="78">
        <f t="shared" si="90"/>
        <v>7.6223776223776222E-3</v>
      </c>
      <c r="AP94" s="58"/>
      <c r="AQ94" s="79">
        <v>0.43792410491904626</v>
      </c>
      <c r="AR94" s="58"/>
      <c r="AS94" s="80">
        <f t="shared" si="143"/>
        <v>2072.9187858478135</v>
      </c>
      <c r="AT94" s="81">
        <f t="shared" si="144"/>
        <v>0</v>
      </c>
      <c r="AU94" s="81">
        <f t="shared" si="145"/>
        <v>0</v>
      </c>
      <c r="AV94" s="82">
        <f t="shared" si="146"/>
        <v>1.1026750283780062E-2</v>
      </c>
      <c r="AW94" s="82">
        <f t="shared" si="147"/>
        <v>1.1730096219824982E-2</v>
      </c>
      <c r="AX94" s="67">
        <f t="shared" si="148"/>
        <v>32.686271043759866</v>
      </c>
      <c r="AY94" s="210">
        <f t="shared" si="149"/>
        <v>2105.6050568915734</v>
      </c>
    </row>
    <row r="95" spans="1:51" x14ac:dyDescent="0.2">
      <c r="A95" s="63" t="s">
        <v>6</v>
      </c>
      <c r="B95" s="63" t="s">
        <v>74</v>
      </c>
      <c r="C95" s="63"/>
      <c r="D95" s="64">
        <f>('SCS Input'!C90/'SCS Input'!C$134)</f>
        <v>0</v>
      </c>
      <c r="E95" s="65">
        <f t="shared" si="122"/>
        <v>0</v>
      </c>
      <c r="F95" s="66">
        <f>('SCS Input'!D90/'SCS Input'!D$134)</f>
        <v>4.8341217484124935E-4</v>
      </c>
      <c r="G95" s="65">
        <f t="shared" si="123"/>
        <v>27.262996424521944</v>
      </c>
      <c r="H95" s="58"/>
      <c r="I95" s="83">
        <v>200</v>
      </c>
      <c r="J95" s="68">
        <f t="shared" si="124"/>
        <v>0</v>
      </c>
      <c r="K95" s="58"/>
      <c r="L95" s="69">
        <f t="shared" si="125"/>
        <v>7.7514572739675056E-4</v>
      </c>
      <c r="M95" s="69" t="str">
        <f t="shared" si="126"/>
        <v/>
      </c>
      <c r="N95" s="69">
        <f t="shared" si="127"/>
        <v>7.794839816041778E-4</v>
      </c>
      <c r="O95" s="58"/>
      <c r="P95" s="67">
        <f t="shared" si="128"/>
        <v>0</v>
      </c>
      <c r="Q95" s="67">
        <f t="shared" si="129"/>
        <v>0.46491074524186893</v>
      </c>
      <c r="R95" s="202">
        <f t="shared" si="130"/>
        <v>27.727907169763814</v>
      </c>
      <c r="S95" s="58"/>
      <c r="T95" s="71">
        <f>VLOOKUP($B95,'Scoring Summary'!$B$5:$O$129,12,FALSE)</f>
        <v>0.33333333333333331</v>
      </c>
      <c r="U95" s="72">
        <f t="shared" si="131"/>
        <v>9.2426357232546046</v>
      </c>
      <c r="V95" s="73">
        <f>VLOOKUP($B95,'Scoring Summary'!$B$5:$O$129,13,FALSE)</f>
        <v>-0.16666666666666666</v>
      </c>
      <c r="W95" s="72">
        <f t="shared" si="132"/>
        <v>-4.6213178616273023</v>
      </c>
      <c r="X95" s="73">
        <f>VLOOKUP($B95,'Scoring Summary'!$B$5:$O$129,14,FALSE)</f>
        <v>-0.20005106293196398</v>
      </c>
      <c r="Y95" s="72">
        <f t="shared" si="133"/>
        <v>-5.5469973021900758</v>
      </c>
      <c r="Z95" s="74">
        <f t="shared" si="134"/>
        <v>-0.92567944056277351</v>
      </c>
      <c r="AA95" s="67">
        <f t="shared" si="135"/>
        <v>26.802227729201039</v>
      </c>
      <c r="AB95" s="70">
        <f t="shared" si="136"/>
        <v>24.080945750109628</v>
      </c>
      <c r="AC95" s="58"/>
      <c r="AD95" s="75">
        <f t="shared" si="137"/>
        <v>24.080945750109628</v>
      </c>
      <c r="AE95" s="68">
        <f t="shared" si="138"/>
        <v>0.12040472875054814</v>
      </c>
      <c r="AF95" s="67">
        <f t="shared" si="139"/>
        <v>0</v>
      </c>
      <c r="AG95" s="67">
        <f t="shared" si="140"/>
        <v>0</v>
      </c>
      <c r="AH95" s="67">
        <f t="shared" si="141"/>
        <v>80</v>
      </c>
      <c r="AI95" s="58"/>
      <c r="AJ95" s="76">
        <f t="shared" si="150"/>
        <v>80</v>
      </c>
      <c r="AK95" s="68">
        <f t="shared" si="142"/>
        <v>0.4</v>
      </c>
      <c r="AL95" s="77">
        <f t="shared" si="151"/>
        <v>4.255545507739774E-4</v>
      </c>
      <c r="AM95" s="58"/>
      <c r="AN95" s="83">
        <v>41</v>
      </c>
      <c r="AO95" s="78">
        <f t="shared" si="90"/>
        <v>1.9114219114219115E-4</v>
      </c>
      <c r="AP95" s="58"/>
      <c r="AQ95" s="79">
        <v>1.6730739089505295</v>
      </c>
      <c r="AR95" s="58"/>
      <c r="AS95" s="80">
        <f t="shared" si="143"/>
        <v>80</v>
      </c>
      <c r="AT95" s="81">
        <f t="shared" si="144"/>
        <v>61.5</v>
      </c>
      <c r="AU95" s="81">
        <f t="shared" si="145"/>
        <v>18.5</v>
      </c>
      <c r="AV95" s="82">
        <f t="shared" si="146"/>
        <v>0</v>
      </c>
      <c r="AW95" s="82">
        <f t="shared" si="147"/>
        <v>0</v>
      </c>
      <c r="AX95" s="67">
        <f t="shared" si="148"/>
        <v>0</v>
      </c>
      <c r="AY95" s="210">
        <f t="shared" si="149"/>
        <v>61.5</v>
      </c>
    </row>
    <row r="96" spans="1:51" x14ac:dyDescent="0.2">
      <c r="A96" s="63" t="s">
        <v>6</v>
      </c>
      <c r="B96" s="63" t="s">
        <v>109</v>
      </c>
      <c r="C96" s="63"/>
      <c r="D96" s="64">
        <f>('SCS Input'!C91/'SCS Input'!C$134)</f>
        <v>2.1306628052157727E-3</v>
      </c>
      <c r="E96" s="65">
        <f t="shared" si="122"/>
        <v>280.38031052675916</v>
      </c>
      <c r="F96" s="66">
        <f>('SCS Input'!D91/'SCS Input'!D$134)</f>
        <v>7.6454400664960765E-4</v>
      </c>
      <c r="G96" s="65">
        <f t="shared" si="123"/>
        <v>43.117988343017927</v>
      </c>
      <c r="H96" s="58"/>
      <c r="I96" s="67">
        <v>2299</v>
      </c>
      <c r="J96" s="68">
        <f t="shared" si="124"/>
        <v>0.12195750784113056</v>
      </c>
      <c r="K96" s="58"/>
      <c r="L96" s="69">
        <f t="shared" si="125"/>
        <v>8.910300136425648E-3</v>
      </c>
      <c r="M96" s="69" t="str">
        <f t="shared" si="126"/>
        <v/>
      </c>
      <c r="N96" s="69">
        <f t="shared" si="127"/>
        <v>8.9601683685400241E-3</v>
      </c>
      <c r="O96" s="58"/>
      <c r="P96" s="67">
        <f t="shared" si="128"/>
        <v>0</v>
      </c>
      <c r="Q96" s="67">
        <f t="shared" si="129"/>
        <v>5.3441490165552832</v>
      </c>
      <c r="R96" s="202">
        <f t="shared" si="130"/>
        <v>48.462137359573212</v>
      </c>
      <c r="S96" s="58"/>
      <c r="T96" s="71">
        <f>VLOOKUP($B96,'Scoring Summary'!$B$5:$O$129,12,FALSE)</f>
        <v>0.21146953405017921</v>
      </c>
      <c r="U96" s="72">
        <f t="shared" si="131"/>
        <v>10.248265606504729</v>
      </c>
      <c r="V96" s="73">
        <f>VLOOKUP($B96,'Scoring Summary'!$B$5:$O$129,13,FALSE)</f>
        <v>2.4691358024691346E-2</v>
      </c>
      <c r="W96" s="72">
        <f t="shared" si="132"/>
        <v>1.1965959841869924</v>
      </c>
      <c r="X96" s="73">
        <f>VLOOKUP($B96,'Scoring Summary'!$B$5:$O$129,14,FALSE)</f>
        <v>-1.0089996558377596E-2</v>
      </c>
      <c r="Y96" s="72">
        <f t="shared" si="133"/>
        <v>-0.48898279916971604</v>
      </c>
      <c r="Z96" s="74">
        <f t="shared" si="134"/>
        <v>10.955878791522005</v>
      </c>
      <c r="AA96" s="67">
        <f t="shared" si="135"/>
        <v>59.418016151095216</v>
      </c>
      <c r="AB96" s="70">
        <f t="shared" si="136"/>
        <v>53.385190140547856</v>
      </c>
      <c r="AC96" s="58"/>
      <c r="AD96" s="75">
        <f t="shared" si="137"/>
        <v>333.76550066730704</v>
      </c>
      <c r="AE96" s="68">
        <f t="shared" si="138"/>
        <v>0.14517855618412659</v>
      </c>
      <c r="AF96" s="67">
        <f t="shared" si="139"/>
        <v>0</v>
      </c>
      <c r="AG96" s="67">
        <f t="shared" si="140"/>
        <v>0</v>
      </c>
      <c r="AH96" s="67">
        <f>AD96</f>
        <v>333.76550066730704</v>
      </c>
      <c r="AI96" s="58"/>
      <c r="AJ96" s="76">
        <f t="shared" si="150"/>
        <v>333.76550066730704</v>
      </c>
      <c r="AK96" s="68">
        <f t="shared" si="142"/>
        <v>0.14517855618412659</v>
      </c>
      <c r="AL96" s="77">
        <f t="shared" si="151"/>
        <v>1.7754428462540938E-3</v>
      </c>
      <c r="AM96" s="58"/>
      <c r="AN96" s="67">
        <v>1506</v>
      </c>
      <c r="AO96" s="78">
        <f t="shared" si="90"/>
        <v>7.0209790209790207E-3</v>
      </c>
      <c r="AP96" s="58"/>
      <c r="AQ96" s="79">
        <v>0.28667072302584684</v>
      </c>
      <c r="AR96" s="58"/>
      <c r="AS96" s="80">
        <f t="shared" si="143"/>
        <v>333.76550066730704</v>
      </c>
      <c r="AT96" s="81">
        <f t="shared" si="144"/>
        <v>0</v>
      </c>
      <c r="AU96" s="81">
        <f t="shared" si="145"/>
        <v>0</v>
      </c>
      <c r="AV96" s="82">
        <f t="shared" si="146"/>
        <v>1.7754428462540938E-3</v>
      </c>
      <c r="AW96" s="82">
        <f t="shared" si="147"/>
        <v>1.8886902200002562E-3</v>
      </c>
      <c r="AX96" s="67">
        <f t="shared" si="148"/>
        <v>5.2628929287289283</v>
      </c>
      <c r="AY96" s="210">
        <f t="shared" si="149"/>
        <v>339.02839359603598</v>
      </c>
    </row>
    <row r="97" spans="1:51" s="49" customFormat="1" x14ac:dyDescent="0.2">
      <c r="A97" s="84"/>
      <c r="B97" s="84"/>
      <c r="C97" s="84"/>
      <c r="D97" s="85">
        <f>SUM(D76:D96)</f>
        <v>9.0300604645797491E-2</v>
      </c>
      <c r="E97" s="86">
        <f>SUM(E76:E96)</f>
        <v>11882.927467154426</v>
      </c>
      <c r="F97" s="85">
        <f>SUM(F76:F96)</f>
        <v>8.6653669606284081E-2</v>
      </c>
      <c r="G97" s="86">
        <f>SUM(G76:G96)</f>
        <v>4887.0070047856034</v>
      </c>
      <c r="H97" s="58"/>
      <c r="I97" s="87">
        <f>SUM(I76:I96)</f>
        <v>25772</v>
      </c>
      <c r="J97" s="88"/>
      <c r="K97" s="58"/>
      <c r="L97" s="89">
        <f>I97/I$139</f>
        <v>9.9885278432345279E-2</v>
      </c>
      <c r="M97" s="90"/>
      <c r="N97" s="90"/>
      <c r="O97" s="91"/>
      <c r="P97" s="87">
        <f>SUM(P76:P96)</f>
        <v>9.211785002230279</v>
      </c>
      <c r="Q97" s="87">
        <f>SUM(Q76:Q96)</f>
        <v>59.778223623199501</v>
      </c>
      <c r="R97" s="203">
        <f>SUM(R76:R96)</f>
        <v>4937.5734434065735</v>
      </c>
      <c r="S97" s="58"/>
      <c r="T97" s="93"/>
      <c r="U97" s="94">
        <f>SUM(U76:U96)</f>
        <v>612.38343973597125</v>
      </c>
      <c r="V97" s="95"/>
      <c r="W97" s="94">
        <f>SUM(W76:W96)</f>
        <v>372.75782329524202</v>
      </c>
      <c r="X97" s="95"/>
      <c r="Y97" s="94">
        <f>SUM(Y76:Y96)</f>
        <v>288.37500393748013</v>
      </c>
      <c r="Z97" s="96">
        <f>SUM(Z76:Z96)</f>
        <v>1273.5162669686933</v>
      </c>
      <c r="AA97" s="119"/>
      <c r="AB97" s="92">
        <f>SUM(AB76:AB96)</f>
        <v>5580.465768584435</v>
      </c>
      <c r="AC97" s="58"/>
      <c r="AD97" s="97">
        <f>SUM(AD76:AD96)</f>
        <v>17463.393235738862</v>
      </c>
      <c r="AE97" s="88"/>
      <c r="AF97" s="87">
        <f>SUM(AF76:AF96)</f>
        <v>14234.159001605411</v>
      </c>
      <c r="AG97" s="87">
        <f>SUM(AG76:AG96)</f>
        <v>13802.882442913116</v>
      </c>
      <c r="AH97" s="87">
        <f>SUM(AH76:AH96)</f>
        <v>4263.1428949832125</v>
      </c>
      <c r="AI97" s="58"/>
      <c r="AJ97" s="98">
        <f>SUM(AJ76:AJ96)</f>
        <v>18066.025337896328</v>
      </c>
      <c r="AK97" s="88"/>
      <c r="AL97" s="99">
        <f t="shared" si="151"/>
        <v>9.6100991211747061E-2</v>
      </c>
      <c r="AM97" s="58"/>
      <c r="AN97" s="87">
        <f>SUM(AN76:AN96)</f>
        <v>15738</v>
      </c>
      <c r="AO97" s="100">
        <f t="shared" si="90"/>
        <v>7.3370629370629367E-2</v>
      </c>
      <c r="AP97" s="58"/>
      <c r="AQ97" s="101">
        <v>0.51729652662020198</v>
      </c>
      <c r="AR97" s="58"/>
      <c r="AS97" s="102">
        <f>AJ97</f>
        <v>18066.025337896328</v>
      </c>
      <c r="AT97" s="103">
        <f t="shared" ref="AT97:AY97" si="152">SUM(AT76:AT96)</f>
        <v>5040</v>
      </c>
      <c r="AU97" s="103">
        <f t="shared" si="152"/>
        <v>1825.7453785834487</v>
      </c>
      <c r="AV97" s="104">
        <f t="shared" si="152"/>
        <v>5.9579126332852179E-2</v>
      </c>
      <c r="AW97" s="104">
        <f t="shared" si="152"/>
        <v>6.3379406134323593E-2</v>
      </c>
      <c r="AX97" s="87">
        <f t="shared" si="152"/>
        <v>176.60864912580806</v>
      </c>
      <c r="AY97" s="211">
        <f t="shared" si="152"/>
        <v>16416.88860843869</v>
      </c>
    </row>
    <row r="98" spans="1:51" s="49" customFormat="1" x14ac:dyDescent="0.2">
      <c r="A98" s="105"/>
      <c r="B98" s="105"/>
      <c r="C98" s="105"/>
      <c r="D98" s="106"/>
      <c r="E98" s="107"/>
      <c r="F98" s="107"/>
      <c r="G98" s="107"/>
      <c r="H98" s="58"/>
      <c r="I98" s="108"/>
      <c r="J98" s="115"/>
      <c r="K98" s="58"/>
      <c r="L98" s="109"/>
      <c r="M98" s="109"/>
      <c r="N98" s="109"/>
      <c r="O98" s="58"/>
      <c r="P98" s="108"/>
      <c r="Q98" s="108"/>
      <c r="R98" s="204"/>
      <c r="S98" s="58"/>
      <c r="T98" s="71"/>
      <c r="U98" s="72"/>
      <c r="V98" s="71"/>
      <c r="W98" s="72"/>
      <c r="X98" s="71"/>
      <c r="Y98" s="72"/>
      <c r="Z98" s="111"/>
      <c r="AA98" s="112"/>
      <c r="AB98" s="110"/>
      <c r="AC98" s="58"/>
      <c r="AD98" s="113"/>
      <c r="AE98" s="115"/>
      <c r="AF98" s="112"/>
      <c r="AG98" s="112"/>
      <c r="AH98" s="112"/>
      <c r="AI98" s="58"/>
      <c r="AJ98" s="114"/>
      <c r="AK98" s="115"/>
      <c r="AL98" s="116"/>
      <c r="AM98" s="58"/>
      <c r="AN98" s="108"/>
      <c r="AO98" s="112"/>
      <c r="AP98" s="58"/>
      <c r="AQ98" s="79"/>
      <c r="AR98" s="58"/>
      <c r="AS98" s="117"/>
      <c r="AT98" s="118"/>
      <c r="AU98" s="118"/>
      <c r="AV98" s="118"/>
      <c r="AW98" s="118"/>
      <c r="AX98" s="112"/>
      <c r="AY98" s="212"/>
    </row>
    <row r="99" spans="1:51" x14ac:dyDescent="0.2">
      <c r="A99" s="63" t="s">
        <v>7</v>
      </c>
      <c r="B99" s="63" t="s">
        <v>75</v>
      </c>
      <c r="C99" s="63"/>
      <c r="D99" s="64">
        <f>('SCS Input'!C94/'SCS Input'!C$134)</f>
        <v>2.9802062738868702E-3</v>
      </c>
      <c r="E99" s="65">
        <f t="shared" ref="E99:E114" si="153">D99*$E$10</f>
        <v>392.17428419959492</v>
      </c>
      <c r="F99" s="66">
        <f>('SCS Input'!D94/'SCS Input'!D$134)</f>
        <v>8.2037601112966759E-3</v>
      </c>
      <c r="G99" s="65">
        <f t="shared" ref="G99:G114" si="154">F99*$G$10</f>
        <v>462.6674589967987</v>
      </c>
      <c r="H99" s="58"/>
      <c r="I99" s="67">
        <v>1878</v>
      </c>
      <c r="J99" s="68">
        <f t="shared" ref="J99:J114" si="155">E99/I99</f>
        <v>0.20882549744387377</v>
      </c>
      <c r="K99" s="58"/>
      <c r="L99" s="69">
        <f t="shared" ref="L99:L114" si="156">I99/I$139</f>
        <v>7.2786183802554883E-3</v>
      </c>
      <c r="M99" s="69" t="str">
        <f t="shared" ref="M99:M114" si="157">IF(J99&gt;$C$2,L99,"")</f>
        <v/>
      </c>
      <c r="N99" s="69">
        <f t="shared" ref="N99:N114" si="158">IF(M99="",L99/($L$139-$M$139),0)</f>
        <v>7.3193545872632304E-3</v>
      </c>
      <c r="O99" s="58"/>
      <c r="P99" s="67">
        <f t="shared" ref="P99:P114" si="159">IF(J99&gt;$C$2,G99,0)</f>
        <v>0</v>
      </c>
      <c r="Q99" s="67">
        <f t="shared" ref="Q99:Q114" si="160">N99*$P$139</f>
        <v>4.3655118978211496</v>
      </c>
      <c r="R99" s="202">
        <f t="shared" ref="R99:R114" si="161">(G99-P99)+Q99</f>
        <v>467.03297089461984</v>
      </c>
      <c r="S99" s="58"/>
      <c r="T99" s="71">
        <f>VLOOKUP($B99,'Scoring Summary'!$B$5:$O$129,12,FALSE)</f>
        <v>0.18996415770609312</v>
      </c>
      <c r="U99" s="72">
        <f t="shared" ref="U99:U114" si="162">$R99*T99</f>
        <v>88.719524936970757</v>
      </c>
      <c r="V99" s="73">
        <f>VLOOKUP($B99,'Scoring Summary'!$B$5:$O$129,13,FALSE)</f>
        <v>7.4074074074074042E-2</v>
      </c>
      <c r="W99" s="72">
        <f t="shared" ref="W99:W114" si="163">$R99*V99</f>
        <v>34.595034881082938</v>
      </c>
      <c r="X99" s="73">
        <f>VLOOKUP($B99,'Scoring Summary'!$B$5:$O$129,14,FALSE)</f>
        <v>4.9642631222093975E-2</v>
      </c>
      <c r="Y99" s="72">
        <f t="shared" ref="Y99:Y114" si="164">$R99*X99</f>
        <v>23.18474554268056</v>
      </c>
      <c r="Z99" s="74">
        <f t="shared" ref="Z99:Z114" si="165">U99+W99+Y99</f>
        <v>146.49930536073424</v>
      </c>
      <c r="AA99" s="67">
        <f t="shared" ref="AA99:AA114" si="166">R99+Z99</f>
        <v>613.53227625535408</v>
      </c>
      <c r="AB99" s="70">
        <f t="shared" ref="AB99:AB114" si="167">AA99/AA$139*R$139</f>
        <v>551.2391585401574</v>
      </c>
      <c r="AC99" s="58"/>
      <c r="AD99" s="75">
        <f t="shared" ref="AD99:AD114" si="168">$E99+AB99</f>
        <v>943.41344273975233</v>
      </c>
      <c r="AE99" s="68">
        <f t="shared" ref="AE99:AE114" si="169">AD99/$I99</f>
        <v>0.50235007600625792</v>
      </c>
      <c r="AF99" s="67">
        <f t="shared" ref="AF99:AF114" si="170">IF(OR(AE99&lt;$C$3,$J99&gt;=$C$2),0,AD99)</f>
        <v>943.41344273975233</v>
      </c>
      <c r="AG99" s="67">
        <f t="shared" ref="AG99:AG114" si="171">AF99/AF$139*(AD$139-AH$139)</f>
        <v>914.82923885647688</v>
      </c>
      <c r="AH99" s="67">
        <f t="shared" ref="AH99:AH113" si="172">IF(AE99&lt;$C$3,$I99*$C$3,IF($J99&gt;=$C$2,$E99,0))</f>
        <v>0</v>
      </c>
      <c r="AI99" s="58"/>
      <c r="AJ99" s="76">
        <f t="shared" ref="AJ99:AJ114" si="173">SUM(AG99:AH99)</f>
        <v>914.82923885647688</v>
      </c>
      <c r="AK99" s="68">
        <f t="shared" ref="AK99:AK114" si="174">AJ99/$I99</f>
        <v>0.48712952015786842</v>
      </c>
      <c r="AL99" s="77">
        <f t="shared" si="151"/>
        <v>4.8663718222058464E-3</v>
      </c>
      <c r="AM99" s="58"/>
      <c r="AN99" s="83">
        <v>892</v>
      </c>
      <c r="AO99" s="78">
        <f t="shared" si="90"/>
        <v>4.1585081585081589E-3</v>
      </c>
      <c r="AP99" s="58"/>
      <c r="AQ99" s="79">
        <v>0.58966396258316212</v>
      </c>
      <c r="AR99" s="58"/>
      <c r="AS99" s="80">
        <f t="shared" ref="AS99:AS114" si="175">AJ99</f>
        <v>914.82923885647688</v>
      </c>
      <c r="AT99" s="81">
        <f t="shared" ref="AT99:AT114" si="176">IF(AS99&gt;AN99*1.5,AN99*1.5,0)</f>
        <v>0</v>
      </c>
      <c r="AU99" s="81">
        <f t="shared" ref="AU99:AU114" si="177">IF(AT99=0,0,AS99-AT99)</f>
        <v>0</v>
      </c>
      <c r="AV99" s="82">
        <f t="shared" ref="AV99:AV114" si="178">IF(AT99&gt;0,0,AL99)</f>
        <v>4.8663718222058464E-3</v>
      </c>
      <c r="AW99" s="82">
        <f t="shared" ref="AW99:AW114" si="179">IF(AV99="",0,AV99/$AV$139)</f>
        <v>5.1767754095135886E-3</v>
      </c>
      <c r="AX99" s="67">
        <f t="shared" ref="AX99:AX114" si="180">AW99*$AU$139</f>
        <v>14.425242640554984</v>
      </c>
      <c r="AY99" s="210">
        <f t="shared" ref="AY99:AY114" si="181">IF(AT99=0,AS99+AX99,AT99)</f>
        <v>929.25448149703186</v>
      </c>
    </row>
    <row r="100" spans="1:51" x14ac:dyDescent="0.2">
      <c r="A100" s="63" t="s">
        <v>7</v>
      </c>
      <c r="B100" s="63" t="s">
        <v>76</v>
      </c>
      <c r="C100" s="63"/>
      <c r="D100" s="64">
        <f>('SCS Input'!C95/'SCS Input'!C$134)</f>
        <v>4.6365650266199437E-3</v>
      </c>
      <c r="E100" s="65">
        <f t="shared" si="153"/>
        <v>610.13950154799829</v>
      </c>
      <c r="F100" s="66">
        <f>('SCS Input'!D95/'SCS Input'!D$134)</f>
        <v>7.7903900867021241E-3</v>
      </c>
      <c r="G100" s="65">
        <f t="shared" si="154"/>
        <v>439.35462971973976</v>
      </c>
      <c r="H100" s="58"/>
      <c r="I100" s="67">
        <v>2578</v>
      </c>
      <c r="J100" s="68">
        <f t="shared" si="155"/>
        <v>0.23667164528626777</v>
      </c>
      <c r="K100" s="58"/>
      <c r="L100" s="69">
        <f t="shared" si="156"/>
        <v>9.9916284261441154E-3</v>
      </c>
      <c r="M100" s="69" t="str">
        <f t="shared" si="157"/>
        <v/>
      </c>
      <c r="N100" s="69">
        <f t="shared" si="158"/>
        <v>1.0047548522877854E-2</v>
      </c>
      <c r="O100" s="58"/>
      <c r="P100" s="67">
        <f t="shared" si="159"/>
        <v>0</v>
      </c>
      <c r="Q100" s="67">
        <f t="shared" si="160"/>
        <v>5.9926995061676918</v>
      </c>
      <c r="R100" s="202">
        <f t="shared" si="161"/>
        <v>445.34732922590746</v>
      </c>
      <c r="S100" s="58"/>
      <c r="T100" s="71">
        <f>VLOOKUP($B100,'Scoring Summary'!$B$5:$O$129,12,FALSE)</f>
        <v>0.15412186379928319</v>
      </c>
      <c r="U100" s="72">
        <f t="shared" si="162"/>
        <v>68.637760418329847</v>
      </c>
      <c r="V100" s="73">
        <f>VLOOKUP($B100,'Scoring Summary'!$B$5:$O$129,13,FALSE)</f>
        <v>1.8518518518518524E-2</v>
      </c>
      <c r="W100" s="72">
        <f t="shared" si="163"/>
        <v>8.2471727634427339</v>
      </c>
      <c r="X100" s="73">
        <f>VLOOKUP($B100,'Scoring Summary'!$B$5:$O$129,14,FALSE)</f>
        <v>-1.1508218862006885E-2</v>
      </c>
      <c r="Y100" s="72">
        <f t="shared" si="164"/>
        <v>-5.125154534341978</v>
      </c>
      <c r="Z100" s="74">
        <f t="shared" si="165"/>
        <v>71.759778647430608</v>
      </c>
      <c r="AA100" s="67">
        <f t="shared" si="166"/>
        <v>517.10710787333801</v>
      </c>
      <c r="AB100" s="70">
        <f t="shared" si="167"/>
        <v>464.60422385438557</v>
      </c>
      <c r="AC100" s="58"/>
      <c r="AD100" s="75">
        <f t="shared" si="168"/>
        <v>1074.7437254023839</v>
      </c>
      <c r="AE100" s="68">
        <f t="shared" si="169"/>
        <v>0.41689050636244529</v>
      </c>
      <c r="AF100" s="67">
        <f t="shared" si="170"/>
        <v>1074.7437254023839</v>
      </c>
      <c r="AG100" s="67">
        <f t="shared" si="171"/>
        <v>1042.1803842653769</v>
      </c>
      <c r="AH100" s="67">
        <f t="shared" si="172"/>
        <v>0</v>
      </c>
      <c r="AI100" s="58"/>
      <c r="AJ100" s="76">
        <f t="shared" si="173"/>
        <v>1042.1803842653769</v>
      </c>
      <c r="AK100" s="68">
        <f t="shared" si="174"/>
        <v>0.40425926464909889</v>
      </c>
      <c r="AL100" s="77">
        <f t="shared" si="151"/>
        <v>5.5438075656437952E-3</v>
      </c>
      <c r="AM100" s="58"/>
      <c r="AN100" s="67">
        <v>1170</v>
      </c>
      <c r="AO100" s="78">
        <f t="shared" si="90"/>
        <v>5.454545454545455E-3</v>
      </c>
      <c r="AP100" s="58"/>
      <c r="AQ100" s="79">
        <v>0.91468320228586186</v>
      </c>
      <c r="AR100" s="58"/>
      <c r="AS100" s="80">
        <f t="shared" si="175"/>
        <v>1042.1803842653769</v>
      </c>
      <c r="AT100" s="81">
        <f t="shared" si="176"/>
        <v>0</v>
      </c>
      <c r="AU100" s="81">
        <f t="shared" si="177"/>
        <v>0</v>
      </c>
      <c r="AV100" s="82">
        <f t="shared" si="178"/>
        <v>5.5438075656437952E-3</v>
      </c>
      <c r="AW100" s="82">
        <f t="shared" si="179"/>
        <v>5.8974216787017692E-3</v>
      </c>
      <c r="AX100" s="67">
        <f t="shared" si="180"/>
        <v>16.433345459144707</v>
      </c>
      <c r="AY100" s="210">
        <f t="shared" si="181"/>
        <v>1058.6137297245216</v>
      </c>
    </row>
    <row r="101" spans="1:51" x14ac:dyDescent="0.2">
      <c r="A101" s="63" t="s">
        <v>7</v>
      </c>
      <c r="B101" s="63" t="s">
        <v>77</v>
      </c>
      <c r="C101" s="63"/>
      <c r="D101" s="64">
        <f>('SCS Input'!C96/'SCS Input'!C$134)</f>
        <v>3.8565868326571658E-3</v>
      </c>
      <c r="E101" s="65">
        <f t="shared" si="153"/>
        <v>507.49983106985439</v>
      </c>
      <c r="F101" s="66">
        <f>('SCS Input'!D96/'SCS Input'!D$134)</f>
        <v>4.9840536220799505E-3</v>
      </c>
      <c r="G101" s="65">
        <f t="shared" si="154"/>
        <v>281.08567212444302</v>
      </c>
      <c r="H101" s="58"/>
      <c r="I101" s="67">
        <v>2665</v>
      </c>
      <c r="J101" s="68">
        <f t="shared" si="155"/>
        <v>0.19043145631139002</v>
      </c>
      <c r="K101" s="58"/>
      <c r="L101" s="69">
        <f t="shared" si="156"/>
        <v>1.0328816817561702E-2</v>
      </c>
      <c r="M101" s="69" t="str">
        <f t="shared" si="157"/>
        <v/>
      </c>
      <c r="N101" s="69">
        <f t="shared" si="158"/>
        <v>1.0386624054875671E-2</v>
      </c>
      <c r="O101" s="58"/>
      <c r="P101" s="67">
        <f t="shared" si="159"/>
        <v>0</v>
      </c>
      <c r="Q101" s="67">
        <f t="shared" si="160"/>
        <v>6.1949356803479043</v>
      </c>
      <c r="R101" s="202">
        <f t="shared" si="161"/>
        <v>287.28060780479092</v>
      </c>
      <c r="S101" s="58"/>
      <c r="T101" s="71">
        <f>VLOOKUP($B101,'Scoring Summary'!$B$5:$O$129,12,FALSE)</f>
        <v>-0.18996415770609321</v>
      </c>
      <c r="U101" s="72">
        <f t="shared" si="162"/>
        <v>-54.573018686931611</v>
      </c>
      <c r="V101" s="73">
        <f>VLOOKUP($B101,'Scoring Summary'!$B$5:$O$129,13,FALSE)</f>
        <v>6.7901234567901217E-2</v>
      </c>
      <c r="W101" s="72">
        <f t="shared" si="163"/>
        <v>19.506707937362343</v>
      </c>
      <c r="X101" s="73">
        <f>VLOOKUP($B101,'Scoring Summary'!$B$5:$O$129,14,FALSE)</f>
        <v>1.8048498819475324E-2</v>
      </c>
      <c r="Y101" s="72">
        <f t="shared" si="164"/>
        <v>5.1849837108229222</v>
      </c>
      <c r="Z101" s="74">
        <f t="shared" si="165"/>
        <v>-29.881327038746345</v>
      </c>
      <c r="AA101" s="67">
        <f t="shared" si="166"/>
        <v>257.39928076604457</v>
      </c>
      <c r="AB101" s="70">
        <f t="shared" si="167"/>
        <v>231.26503434231986</v>
      </c>
      <c r="AC101" s="58"/>
      <c r="AD101" s="75">
        <f t="shared" si="168"/>
        <v>738.76486541217423</v>
      </c>
      <c r="AE101" s="68">
        <f t="shared" si="169"/>
        <v>0.27721008083008414</v>
      </c>
      <c r="AF101" s="67">
        <f t="shared" si="170"/>
        <v>0</v>
      </c>
      <c r="AG101" s="67">
        <f t="shared" si="171"/>
        <v>0</v>
      </c>
      <c r="AH101" s="67">
        <f t="shared" si="172"/>
        <v>1066</v>
      </c>
      <c r="AI101" s="58"/>
      <c r="AJ101" s="76">
        <f t="shared" si="173"/>
        <v>1066</v>
      </c>
      <c r="AK101" s="68">
        <f t="shared" si="174"/>
        <v>0.4</v>
      </c>
      <c r="AL101" s="77">
        <f t="shared" si="151"/>
        <v>5.6705143890632493E-3</v>
      </c>
      <c r="AM101" s="58"/>
      <c r="AN101" s="67">
        <v>1615</v>
      </c>
      <c r="AO101" s="78">
        <f t="shared" si="90"/>
        <v>7.5291375291375289E-3</v>
      </c>
      <c r="AP101" s="58"/>
      <c r="AQ101" s="79">
        <v>0.54238574308102494</v>
      </c>
      <c r="AR101" s="58"/>
      <c r="AS101" s="80">
        <f t="shared" si="175"/>
        <v>1066</v>
      </c>
      <c r="AT101" s="81">
        <f t="shared" si="176"/>
        <v>0</v>
      </c>
      <c r="AU101" s="81">
        <f t="shared" si="177"/>
        <v>0</v>
      </c>
      <c r="AV101" s="82">
        <f t="shared" si="178"/>
        <v>5.6705143890632493E-3</v>
      </c>
      <c r="AW101" s="82">
        <f t="shared" si="179"/>
        <v>6.0322105505060787E-3</v>
      </c>
      <c r="AX101" s="67">
        <f t="shared" si="180"/>
        <v>16.808938763318302</v>
      </c>
      <c r="AY101" s="210">
        <f t="shared" si="181"/>
        <v>1082.8089387633183</v>
      </c>
    </row>
    <row r="102" spans="1:51" x14ac:dyDescent="0.2">
      <c r="A102" s="63" t="s">
        <v>7</v>
      </c>
      <c r="B102" s="63" t="s">
        <v>78</v>
      </c>
      <c r="C102" s="63"/>
      <c r="D102" s="64">
        <f>('SCS Input'!C97/'SCS Input'!C$134)</f>
        <v>0</v>
      </c>
      <c r="E102" s="65">
        <f t="shared" si="153"/>
        <v>0</v>
      </c>
      <c r="F102" s="66">
        <f>('SCS Input'!D97/'SCS Input'!D$134)</f>
        <v>6.4419877738555384E-3</v>
      </c>
      <c r="G102" s="65">
        <f t="shared" si="154"/>
        <v>363.30878448213082</v>
      </c>
      <c r="H102" s="58"/>
      <c r="I102" s="67">
        <v>1404</v>
      </c>
      <c r="J102" s="68">
        <f t="shared" si="155"/>
        <v>0</v>
      </c>
      <c r="K102" s="58"/>
      <c r="L102" s="69">
        <f t="shared" si="156"/>
        <v>5.4415230063251888E-3</v>
      </c>
      <c r="M102" s="69" t="str">
        <f t="shared" si="157"/>
        <v/>
      </c>
      <c r="N102" s="69">
        <f t="shared" si="158"/>
        <v>5.4719775508613282E-3</v>
      </c>
      <c r="O102" s="58"/>
      <c r="P102" s="67">
        <f t="shared" si="159"/>
        <v>0</v>
      </c>
      <c r="Q102" s="67">
        <f t="shared" si="160"/>
        <v>3.2636734315979199</v>
      </c>
      <c r="R102" s="202">
        <f t="shared" si="161"/>
        <v>366.57245791372873</v>
      </c>
      <c r="S102" s="58"/>
      <c r="T102" s="71">
        <f>VLOOKUP($B102,'Scoring Summary'!$B$5:$O$129,12,FALSE)</f>
        <v>0.16845878136200715</v>
      </c>
      <c r="U102" s="72">
        <f t="shared" si="162"/>
        <v>61.752349541022397</v>
      </c>
      <c r="V102" s="73">
        <f>VLOOKUP($B102,'Scoring Summary'!$B$5:$O$129,13,FALSE)</f>
        <v>-1.2345679012345651E-2</v>
      </c>
      <c r="W102" s="72">
        <f t="shared" si="163"/>
        <v>-4.5255859001694798</v>
      </c>
      <c r="X102" s="73">
        <f>VLOOKUP($B102,'Scoring Summary'!$B$5:$O$129,14,FALSE)</f>
        <v>-3.7864342991482586E-2</v>
      </c>
      <c r="Y102" s="72">
        <f t="shared" si="164"/>
        <v>-13.880025277676239</v>
      </c>
      <c r="Z102" s="74">
        <f t="shared" si="165"/>
        <v>43.346738363176677</v>
      </c>
      <c r="AA102" s="67">
        <f t="shared" si="166"/>
        <v>409.91919627690538</v>
      </c>
      <c r="AB102" s="70">
        <f t="shared" si="167"/>
        <v>368.2993080727382</v>
      </c>
      <c r="AC102" s="58"/>
      <c r="AD102" s="75">
        <f t="shared" si="168"/>
        <v>368.2993080727382</v>
      </c>
      <c r="AE102" s="68">
        <f t="shared" si="169"/>
        <v>0.26232144449625228</v>
      </c>
      <c r="AF102" s="67">
        <f t="shared" si="170"/>
        <v>0</v>
      </c>
      <c r="AG102" s="67">
        <f t="shared" si="171"/>
        <v>0</v>
      </c>
      <c r="AH102" s="67">
        <f t="shared" si="172"/>
        <v>561.6</v>
      </c>
      <c r="AI102" s="58"/>
      <c r="AJ102" s="76">
        <f t="shared" si="173"/>
        <v>561.6</v>
      </c>
      <c r="AK102" s="68">
        <f t="shared" si="174"/>
        <v>0.4</v>
      </c>
      <c r="AL102" s="77">
        <f t="shared" si="151"/>
        <v>2.9873929464333216E-3</v>
      </c>
      <c r="AM102" s="58"/>
      <c r="AN102" s="83">
        <v>317</v>
      </c>
      <c r="AO102" s="78">
        <f t="shared" si="90"/>
        <v>1.4778554778554778E-3</v>
      </c>
      <c r="AP102" s="58"/>
      <c r="AQ102" s="79">
        <v>0.77160883280757109</v>
      </c>
      <c r="AR102" s="58"/>
      <c r="AS102" s="80">
        <f t="shared" si="175"/>
        <v>561.6</v>
      </c>
      <c r="AT102" s="81">
        <f t="shared" si="176"/>
        <v>475.5</v>
      </c>
      <c r="AU102" s="81">
        <f t="shared" si="177"/>
        <v>86.100000000000023</v>
      </c>
      <c r="AV102" s="82">
        <f t="shared" si="178"/>
        <v>0</v>
      </c>
      <c r="AW102" s="82">
        <f t="shared" si="179"/>
        <v>0</v>
      </c>
      <c r="AX102" s="67">
        <f t="shared" si="180"/>
        <v>0</v>
      </c>
      <c r="AY102" s="210">
        <f t="shared" si="181"/>
        <v>475.5</v>
      </c>
    </row>
    <row r="103" spans="1:51" x14ac:dyDescent="0.2">
      <c r="A103" s="63" t="s">
        <v>7</v>
      </c>
      <c r="B103" s="63" t="s">
        <v>79</v>
      </c>
      <c r="C103" s="63"/>
      <c r="D103" s="64">
        <f>('SCS Input'!C98/'SCS Input'!C$134)</f>
        <v>0</v>
      </c>
      <c r="E103" s="65">
        <f t="shared" si="153"/>
        <v>0</v>
      </c>
      <c r="F103" s="66">
        <f>('SCS Input'!D98/'SCS Input'!D$134)</f>
        <v>5.8419553383691697E-4</v>
      </c>
      <c r="G103" s="65">
        <f t="shared" si="154"/>
        <v>32.946875521800614</v>
      </c>
      <c r="H103" s="58"/>
      <c r="I103" s="83">
        <v>474</v>
      </c>
      <c r="J103" s="68">
        <f t="shared" si="155"/>
        <v>0</v>
      </c>
      <c r="K103" s="58"/>
      <c r="L103" s="69">
        <f t="shared" si="156"/>
        <v>1.8370953739302988E-3</v>
      </c>
      <c r="M103" s="69" t="str">
        <f t="shared" si="157"/>
        <v/>
      </c>
      <c r="N103" s="69">
        <f t="shared" si="158"/>
        <v>1.8473770364019013E-3</v>
      </c>
      <c r="O103" s="58"/>
      <c r="P103" s="67">
        <f t="shared" si="159"/>
        <v>0</v>
      </c>
      <c r="Q103" s="67">
        <f t="shared" si="160"/>
        <v>1.1018384662232292</v>
      </c>
      <c r="R103" s="202">
        <f t="shared" si="161"/>
        <v>34.048713988023842</v>
      </c>
      <c r="S103" s="58"/>
      <c r="T103" s="71">
        <f>VLOOKUP($B103,'Scoring Summary'!$B$5:$O$129,12,FALSE)</f>
        <v>0.20430107526881716</v>
      </c>
      <c r="U103" s="72">
        <f t="shared" si="162"/>
        <v>6.9561888792736868</v>
      </c>
      <c r="V103" s="73">
        <f>VLOOKUP($B103,'Scoring Summary'!$B$5:$O$129,13,FALSE)</f>
        <v>-0.15432098765432101</v>
      </c>
      <c r="W103" s="72">
        <f t="shared" si="163"/>
        <v>-5.2544311709913343</v>
      </c>
      <c r="X103" s="73">
        <f>VLOOKUP($B103,'Scoring Summary'!$B$5:$O$129,14,FALSE)</f>
        <v>-7.4509289994164798E-2</v>
      </c>
      <c r="Y103" s="72">
        <f t="shared" si="164"/>
        <v>-2.5369455044620439</v>
      </c>
      <c r="Z103" s="74">
        <f t="shared" si="165"/>
        <v>-0.83518779617969141</v>
      </c>
      <c r="AA103" s="67">
        <f t="shared" si="166"/>
        <v>33.213526191844153</v>
      </c>
      <c r="AB103" s="70">
        <f t="shared" si="167"/>
        <v>29.841292689422509</v>
      </c>
      <c r="AC103" s="58"/>
      <c r="AD103" s="75">
        <f t="shared" si="168"/>
        <v>29.841292689422509</v>
      </c>
      <c r="AE103" s="68">
        <f t="shared" si="169"/>
        <v>6.2956313690764792E-2</v>
      </c>
      <c r="AF103" s="67">
        <f t="shared" si="170"/>
        <v>0</v>
      </c>
      <c r="AG103" s="67">
        <f t="shared" si="171"/>
        <v>0</v>
      </c>
      <c r="AH103" s="67">
        <f t="shared" si="172"/>
        <v>189.60000000000002</v>
      </c>
      <c r="AI103" s="58"/>
      <c r="AJ103" s="76">
        <f t="shared" si="173"/>
        <v>189.60000000000002</v>
      </c>
      <c r="AK103" s="68">
        <f t="shared" si="174"/>
        <v>0.4</v>
      </c>
      <c r="AL103" s="77">
        <f t="shared" si="151"/>
        <v>1.0085642853343265E-3</v>
      </c>
      <c r="AM103" s="58"/>
      <c r="AN103" s="83">
        <v>81</v>
      </c>
      <c r="AO103" s="78">
        <f t="shared" si="90"/>
        <v>3.7762237762237763E-4</v>
      </c>
      <c r="AP103" s="58"/>
      <c r="AQ103" s="79">
        <v>1.340740740740741</v>
      </c>
      <c r="AR103" s="58"/>
      <c r="AS103" s="80">
        <f t="shared" si="175"/>
        <v>189.60000000000002</v>
      </c>
      <c r="AT103" s="81">
        <f t="shared" si="176"/>
        <v>121.5</v>
      </c>
      <c r="AU103" s="81">
        <f t="shared" si="177"/>
        <v>68.100000000000023</v>
      </c>
      <c r="AV103" s="82">
        <f t="shared" si="178"/>
        <v>0</v>
      </c>
      <c r="AW103" s="82">
        <f t="shared" si="179"/>
        <v>0</v>
      </c>
      <c r="AX103" s="67">
        <f t="shared" si="180"/>
        <v>0</v>
      </c>
      <c r="AY103" s="210">
        <f t="shared" si="181"/>
        <v>121.5</v>
      </c>
    </row>
    <row r="104" spans="1:51" x14ac:dyDescent="0.2">
      <c r="A104" s="63" t="s">
        <v>7</v>
      </c>
      <c r="B104" s="63" t="s">
        <v>80</v>
      </c>
      <c r="C104" s="63"/>
      <c r="D104" s="64">
        <f>('SCS Input'!C99/'SCS Input'!C$134)</f>
        <v>2.2302605940777187E-6</v>
      </c>
      <c r="E104" s="65">
        <f t="shared" si="153"/>
        <v>0.29348668235646924</v>
      </c>
      <c r="F104" s="66">
        <f>('SCS Input'!D99/'SCS Input'!D$134)</f>
        <v>3.9408020304438404E-3</v>
      </c>
      <c r="G104" s="65">
        <f t="shared" si="154"/>
        <v>222.24941211094128</v>
      </c>
      <c r="H104" s="58"/>
      <c r="I104" s="67">
        <v>1519</v>
      </c>
      <c r="J104" s="68">
        <f t="shared" si="155"/>
        <v>1.9321045579754394E-4</v>
      </c>
      <c r="K104" s="58"/>
      <c r="L104" s="69">
        <f t="shared" si="156"/>
        <v>5.8872317995783208E-3</v>
      </c>
      <c r="M104" s="69" t="str">
        <f t="shared" si="157"/>
        <v/>
      </c>
      <c r="N104" s="69">
        <f t="shared" si="158"/>
        <v>5.9201808402837312E-3</v>
      </c>
      <c r="O104" s="58"/>
      <c r="P104" s="67">
        <f t="shared" si="159"/>
        <v>0</v>
      </c>
      <c r="Q104" s="67">
        <f t="shared" si="160"/>
        <v>3.5309971101119948</v>
      </c>
      <c r="R104" s="202">
        <f t="shared" si="161"/>
        <v>225.78040922105328</v>
      </c>
      <c r="S104" s="58"/>
      <c r="T104" s="71">
        <f>VLOOKUP($B104,'Scoring Summary'!$B$5:$O$129,12,FALSE)</f>
        <v>9.677419354838708E-2</v>
      </c>
      <c r="U104" s="72">
        <f t="shared" si="162"/>
        <v>21.849717021392248</v>
      </c>
      <c r="V104" s="73">
        <f>VLOOKUP($B104,'Scoring Summary'!$B$5:$O$129,13,FALSE)</f>
        <v>0.11728395061728397</v>
      </c>
      <c r="W104" s="72">
        <f t="shared" si="163"/>
        <v>26.480418365432179</v>
      </c>
      <c r="X104" s="73">
        <f>VLOOKUP($B104,'Scoring Summary'!$B$5:$O$129,14,FALSE)</f>
        <v>-3.1101054223713804E-2</v>
      </c>
      <c r="Y104" s="72">
        <f t="shared" si="164"/>
        <v>-7.02200874983627</v>
      </c>
      <c r="Z104" s="74">
        <f t="shared" si="165"/>
        <v>41.308126636988156</v>
      </c>
      <c r="AA104" s="67">
        <f t="shared" si="166"/>
        <v>267.08853585804144</v>
      </c>
      <c r="AB104" s="70">
        <f t="shared" si="167"/>
        <v>239.97052063945856</v>
      </c>
      <c r="AC104" s="58"/>
      <c r="AD104" s="75">
        <f t="shared" si="168"/>
        <v>240.26400732181503</v>
      </c>
      <c r="AE104" s="68">
        <f t="shared" si="169"/>
        <v>0.15817248671613893</v>
      </c>
      <c r="AF104" s="67">
        <f t="shared" si="170"/>
        <v>0</v>
      </c>
      <c r="AG104" s="67">
        <f t="shared" si="171"/>
        <v>0</v>
      </c>
      <c r="AH104" s="67">
        <f t="shared" si="172"/>
        <v>607.6</v>
      </c>
      <c r="AI104" s="58"/>
      <c r="AJ104" s="76">
        <f t="shared" si="173"/>
        <v>607.6</v>
      </c>
      <c r="AK104" s="68">
        <f t="shared" si="174"/>
        <v>0.4</v>
      </c>
      <c r="AL104" s="77">
        <f t="shared" si="151"/>
        <v>3.2320868131283584E-3</v>
      </c>
      <c r="AM104" s="58"/>
      <c r="AN104" s="83">
        <v>562</v>
      </c>
      <c r="AO104" s="78">
        <f t="shared" si="90"/>
        <v>2.62004662004662E-3</v>
      </c>
      <c r="AP104" s="58"/>
      <c r="AQ104" s="79">
        <v>8.113879003558723E-2</v>
      </c>
      <c r="AR104" s="58"/>
      <c r="AS104" s="80">
        <f t="shared" si="175"/>
        <v>607.6</v>
      </c>
      <c r="AT104" s="81">
        <f t="shared" si="176"/>
        <v>0</v>
      </c>
      <c r="AU104" s="81">
        <f t="shared" si="177"/>
        <v>0</v>
      </c>
      <c r="AV104" s="82">
        <f t="shared" si="178"/>
        <v>3.2320868131283584E-3</v>
      </c>
      <c r="AW104" s="82">
        <f t="shared" si="179"/>
        <v>3.4382468391064664E-3</v>
      </c>
      <c r="AX104" s="67">
        <f t="shared" si="180"/>
        <v>9.5807797303866788</v>
      </c>
      <c r="AY104" s="210">
        <f t="shared" si="181"/>
        <v>617.18077973038669</v>
      </c>
    </row>
    <row r="105" spans="1:51" x14ac:dyDescent="0.2">
      <c r="A105" s="63" t="s">
        <v>7</v>
      </c>
      <c r="B105" s="63" t="s">
        <v>81</v>
      </c>
      <c r="C105" s="63"/>
      <c r="D105" s="64">
        <f>('SCS Input'!C100/'SCS Input'!C$134)</f>
        <v>1.4602689117436795E-2</v>
      </c>
      <c r="E105" s="65">
        <f t="shared" si="153"/>
        <v>1921.6116690308602</v>
      </c>
      <c r="F105" s="66">
        <f>('SCS Input'!D100/'SCS Input'!D$134)</f>
        <v>3.0275369419628499E-2</v>
      </c>
      <c r="G105" s="65">
        <f t="shared" si="154"/>
        <v>1707.4400091587886</v>
      </c>
      <c r="H105" s="58"/>
      <c r="I105" s="67">
        <v>3181</v>
      </c>
      <c r="J105" s="68">
        <f t="shared" si="155"/>
        <v>0.60409043352117575</v>
      </c>
      <c r="K105" s="58"/>
      <c r="L105" s="69">
        <f t="shared" si="156"/>
        <v>1.2328692794245318E-2</v>
      </c>
      <c r="M105" s="69" t="str">
        <f t="shared" si="157"/>
        <v/>
      </c>
      <c r="N105" s="69">
        <f t="shared" si="158"/>
        <v>1.2397692727414448E-2</v>
      </c>
      <c r="O105" s="58"/>
      <c r="P105" s="67">
        <f t="shared" si="159"/>
        <v>0</v>
      </c>
      <c r="Q105" s="67">
        <f t="shared" si="160"/>
        <v>7.3944054030719251</v>
      </c>
      <c r="R105" s="202">
        <f t="shared" si="161"/>
        <v>1714.8344145618605</v>
      </c>
      <c r="S105" s="58"/>
      <c r="T105" s="71">
        <f>VLOOKUP($B105,'Scoring Summary'!$B$5:$O$129,12,FALSE)</f>
        <v>-0.25448028673835121</v>
      </c>
      <c r="U105" s="72">
        <f t="shared" si="162"/>
        <v>-436.39155352649487</v>
      </c>
      <c r="V105" s="73">
        <f>VLOOKUP($B105,'Scoring Summary'!$B$5:$O$129,13,FALSE)</f>
        <v>9.876543209876544E-2</v>
      </c>
      <c r="W105" s="72">
        <f t="shared" si="163"/>
        <v>169.36636193203563</v>
      </c>
      <c r="X105" s="73">
        <f>VLOOKUP($B105,'Scoring Summary'!$B$5:$O$129,14,FALSE)</f>
        <v>6.7391690651034619E-2</v>
      </c>
      <c r="Y105" s="72">
        <f t="shared" si="164"/>
        <v>115.56559038390095</v>
      </c>
      <c r="Z105" s="74">
        <f t="shared" si="165"/>
        <v>-151.45960121055828</v>
      </c>
      <c r="AA105" s="67">
        <f t="shared" si="166"/>
        <v>1563.3748133513022</v>
      </c>
      <c r="AB105" s="70">
        <f t="shared" si="167"/>
        <v>1404.6423471875607</v>
      </c>
      <c r="AC105" s="58"/>
      <c r="AD105" s="75">
        <f t="shared" si="168"/>
        <v>3326.2540162184209</v>
      </c>
      <c r="AE105" s="68">
        <f t="shared" si="169"/>
        <v>1.0456630041554293</v>
      </c>
      <c r="AF105" s="67">
        <f t="shared" si="170"/>
        <v>3326.2540162184209</v>
      </c>
      <c r="AG105" s="67">
        <f t="shared" si="171"/>
        <v>3225.472833059704</v>
      </c>
      <c r="AH105" s="67">
        <f t="shared" si="172"/>
        <v>0</v>
      </c>
      <c r="AI105" s="58"/>
      <c r="AJ105" s="76">
        <f t="shared" si="173"/>
        <v>3225.472833059704</v>
      </c>
      <c r="AK105" s="68">
        <f t="shared" si="174"/>
        <v>1.0139807711599196</v>
      </c>
      <c r="AL105" s="77">
        <f t="shared" si="151"/>
        <v>1.7157683031329883E-2</v>
      </c>
      <c r="AM105" s="58"/>
      <c r="AN105" s="67">
        <v>2487</v>
      </c>
      <c r="AO105" s="78">
        <f t="shared" si="90"/>
        <v>1.1594405594405595E-2</v>
      </c>
      <c r="AP105" s="58"/>
      <c r="AQ105" s="79">
        <v>0.6901241096657218</v>
      </c>
      <c r="AR105" s="58"/>
      <c r="AS105" s="80">
        <f t="shared" si="175"/>
        <v>3225.472833059704</v>
      </c>
      <c r="AT105" s="81">
        <f t="shared" si="176"/>
        <v>0</v>
      </c>
      <c r="AU105" s="81">
        <f t="shared" si="177"/>
        <v>0</v>
      </c>
      <c r="AV105" s="82">
        <f t="shared" si="178"/>
        <v>1.7157683031329883E-2</v>
      </c>
      <c r="AW105" s="82">
        <f t="shared" si="179"/>
        <v>1.8252093108774372E-2</v>
      </c>
      <c r="AX105" s="67">
        <f t="shared" si="180"/>
        <v>50.860014384284582</v>
      </c>
      <c r="AY105" s="210">
        <f t="shared" si="181"/>
        <v>3276.3328474439886</v>
      </c>
    </row>
    <row r="106" spans="1:51" x14ac:dyDescent="0.2">
      <c r="A106" s="63" t="s">
        <v>7</v>
      </c>
      <c r="B106" s="63" t="s">
        <v>82</v>
      </c>
      <c r="C106" s="63"/>
      <c r="D106" s="64">
        <f>('SCS Input'!C101/'SCS Input'!C$134)</f>
        <v>0</v>
      </c>
      <c r="E106" s="65">
        <f t="shared" si="153"/>
        <v>0</v>
      </c>
      <c r="F106" s="66">
        <f>('SCS Input'!D101/'SCS Input'!D$134)</f>
        <v>5.7583010868020974E-4</v>
      </c>
      <c r="G106" s="65">
        <f t="shared" si="154"/>
        <v>32.475090639237791</v>
      </c>
      <c r="H106" s="58"/>
      <c r="I106" s="83">
        <v>198</v>
      </c>
      <c r="J106" s="68">
        <f t="shared" si="155"/>
        <v>0</v>
      </c>
      <c r="K106" s="58"/>
      <c r="L106" s="69">
        <f t="shared" si="156"/>
        <v>7.673942701227831E-4</v>
      </c>
      <c r="M106" s="69" t="str">
        <f t="shared" si="157"/>
        <v/>
      </c>
      <c r="N106" s="69">
        <f t="shared" si="158"/>
        <v>7.7168914178813613E-4</v>
      </c>
      <c r="O106" s="58"/>
      <c r="P106" s="67">
        <f t="shared" si="159"/>
        <v>0</v>
      </c>
      <c r="Q106" s="67">
        <f t="shared" si="160"/>
        <v>0.46026163778945028</v>
      </c>
      <c r="R106" s="202">
        <f t="shared" si="161"/>
        <v>32.935352277027242</v>
      </c>
      <c r="S106" s="58"/>
      <c r="T106" s="71">
        <f>VLOOKUP($B106,'Scoring Summary'!$B$5:$O$129,12,FALSE)</f>
        <v>0.2401433691756272</v>
      </c>
      <c r="U106" s="72">
        <f t="shared" si="162"/>
        <v>7.9092064607914869</v>
      </c>
      <c r="V106" s="73">
        <f>VLOOKUP($B106,'Scoring Summary'!$B$5:$O$129,13,FALSE)</f>
        <v>-0.32098765432098764</v>
      </c>
      <c r="W106" s="72">
        <f t="shared" si="163"/>
        <v>-10.571841471638374</v>
      </c>
      <c r="X106" s="73">
        <v>0</v>
      </c>
      <c r="Y106" s="72">
        <f t="shared" si="164"/>
        <v>0</v>
      </c>
      <c r="Z106" s="74">
        <f t="shared" si="165"/>
        <v>-2.6626350108468868</v>
      </c>
      <c r="AA106" s="67">
        <f t="shared" si="166"/>
        <v>30.272717266180354</v>
      </c>
      <c r="AB106" s="70">
        <f t="shared" si="167"/>
        <v>27.199069777362389</v>
      </c>
      <c r="AC106" s="58"/>
      <c r="AD106" s="75">
        <f t="shared" si="168"/>
        <v>27.199069777362389</v>
      </c>
      <c r="AE106" s="68">
        <f t="shared" si="169"/>
        <v>0.13736903927960803</v>
      </c>
      <c r="AF106" s="67">
        <f t="shared" si="170"/>
        <v>0</v>
      </c>
      <c r="AG106" s="67">
        <f t="shared" si="171"/>
        <v>0</v>
      </c>
      <c r="AH106" s="67">
        <f t="shared" si="172"/>
        <v>79.2</v>
      </c>
      <c r="AI106" s="58"/>
      <c r="AJ106" s="76">
        <f t="shared" si="173"/>
        <v>79.2</v>
      </c>
      <c r="AK106" s="68">
        <f t="shared" si="174"/>
        <v>0.4</v>
      </c>
      <c r="AL106" s="77">
        <f t="shared" si="151"/>
        <v>4.2129900526623762E-4</v>
      </c>
      <c r="AM106" s="58"/>
      <c r="AN106" s="83">
        <v>41</v>
      </c>
      <c r="AO106" s="78">
        <f t="shared" si="90"/>
        <v>1.9114219114219115E-4</v>
      </c>
      <c r="AP106" s="58"/>
      <c r="AQ106" s="79">
        <v>0.93170731707317078</v>
      </c>
      <c r="AR106" s="58"/>
      <c r="AS106" s="80">
        <f t="shared" si="175"/>
        <v>79.2</v>
      </c>
      <c r="AT106" s="81">
        <f t="shared" si="176"/>
        <v>61.5</v>
      </c>
      <c r="AU106" s="81">
        <f t="shared" si="177"/>
        <v>17.700000000000003</v>
      </c>
      <c r="AV106" s="82">
        <f t="shared" si="178"/>
        <v>0</v>
      </c>
      <c r="AW106" s="82">
        <f t="shared" si="179"/>
        <v>0</v>
      </c>
      <c r="AX106" s="67">
        <f t="shared" si="180"/>
        <v>0</v>
      </c>
      <c r="AY106" s="210">
        <f t="shared" si="181"/>
        <v>61.5</v>
      </c>
    </row>
    <row r="107" spans="1:51" x14ac:dyDescent="0.2">
      <c r="A107" s="63" t="s">
        <v>7</v>
      </c>
      <c r="B107" s="63" t="s">
        <v>83</v>
      </c>
      <c r="C107" s="63"/>
      <c r="D107" s="64">
        <f>('SCS Input'!C102/'SCS Input'!C$134)</f>
        <v>2.8269221040031164E-3</v>
      </c>
      <c r="E107" s="65">
        <f t="shared" si="153"/>
        <v>372.0031604320821</v>
      </c>
      <c r="F107" s="66">
        <f>('SCS Input'!D102/'SCS Input'!D$134)</f>
        <v>1.3370983432885765E-2</v>
      </c>
      <c r="G107" s="65">
        <f t="shared" si="154"/>
        <v>754.08335266445863</v>
      </c>
      <c r="H107" s="58"/>
      <c r="I107" s="67">
        <v>2011</v>
      </c>
      <c r="J107" s="68">
        <f t="shared" si="155"/>
        <v>0.18498416729591352</v>
      </c>
      <c r="K107" s="58"/>
      <c r="L107" s="69">
        <f t="shared" si="156"/>
        <v>7.7940902889743272E-3</v>
      </c>
      <c r="M107" s="69" t="str">
        <f t="shared" si="157"/>
        <v/>
      </c>
      <c r="N107" s="69">
        <f t="shared" si="158"/>
        <v>7.8377114350300092E-3</v>
      </c>
      <c r="O107" s="58"/>
      <c r="P107" s="67">
        <f t="shared" si="159"/>
        <v>0</v>
      </c>
      <c r="Q107" s="67">
        <f t="shared" si="160"/>
        <v>4.6746775434069932</v>
      </c>
      <c r="R107" s="202">
        <f t="shared" si="161"/>
        <v>758.75803020786566</v>
      </c>
      <c r="S107" s="58"/>
      <c r="T107" s="71">
        <f>VLOOKUP($B107,'Scoring Summary'!$B$5:$O$129,12,FALSE)</f>
        <v>-0.22580645161290325</v>
      </c>
      <c r="U107" s="72">
        <f t="shared" si="162"/>
        <v>-171.33245843403421</v>
      </c>
      <c r="V107" s="73">
        <f>VLOOKUP($B107,'Scoring Summary'!$B$5:$O$129,13,FALSE)</f>
        <v>8.6419753086419748E-2</v>
      </c>
      <c r="W107" s="72">
        <f t="shared" si="163"/>
        <v>65.571681622901963</v>
      </c>
      <c r="X107" s="73">
        <f>VLOOKUP($B107,'Scoring Summary'!$B$5:$O$129,14,FALSE)</f>
        <v>-3.079978458857411E-2</v>
      </c>
      <c r="Y107" s="72">
        <f t="shared" si="164"/>
        <v>-23.369583885253071</v>
      </c>
      <c r="Z107" s="74">
        <f t="shared" si="165"/>
        <v>-129.13036069638531</v>
      </c>
      <c r="AA107" s="67">
        <f t="shared" si="166"/>
        <v>629.62766951148035</v>
      </c>
      <c r="AB107" s="70">
        <f t="shared" si="167"/>
        <v>565.70035541317611</v>
      </c>
      <c r="AC107" s="58"/>
      <c r="AD107" s="75">
        <f t="shared" si="168"/>
        <v>937.70351584525815</v>
      </c>
      <c r="AE107" s="68">
        <f t="shared" si="169"/>
        <v>0.46628717844120249</v>
      </c>
      <c r="AF107" s="67">
        <f t="shared" si="170"/>
        <v>937.70351584525815</v>
      </c>
      <c r="AG107" s="67">
        <f t="shared" si="171"/>
        <v>909.29231534217297</v>
      </c>
      <c r="AH107" s="67">
        <f t="shared" si="172"/>
        <v>0</v>
      </c>
      <c r="AI107" s="58"/>
      <c r="AJ107" s="76">
        <f t="shared" si="173"/>
        <v>909.29231534217297</v>
      </c>
      <c r="AK107" s="68">
        <f t="shared" si="174"/>
        <v>0.45215928162216457</v>
      </c>
      <c r="AL107" s="77">
        <f t="shared" si="151"/>
        <v>4.8369185347208526E-3</v>
      </c>
      <c r="AM107" s="58"/>
      <c r="AN107" s="67">
        <v>1312</v>
      </c>
      <c r="AO107" s="78">
        <f t="shared" si="90"/>
        <v>6.1165501165501169E-3</v>
      </c>
      <c r="AP107" s="58"/>
      <c r="AQ107" s="79">
        <v>-3.1808591247270861E-2</v>
      </c>
      <c r="AR107" s="58"/>
      <c r="AS107" s="80">
        <f t="shared" si="175"/>
        <v>909.29231534217297</v>
      </c>
      <c r="AT107" s="81">
        <f t="shared" si="176"/>
        <v>0</v>
      </c>
      <c r="AU107" s="81">
        <f t="shared" si="177"/>
        <v>0</v>
      </c>
      <c r="AV107" s="82">
        <f t="shared" si="178"/>
        <v>4.8369185347208526E-3</v>
      </c>
      <c r="AW107" s="82">
        <f t="shared" si="179"/>
        <v>5.1454434316145926E-3</v>
      </c>
      <c r="AX107" s="67">
        <f t="shared" si="180"/>
        <v>14.337935128088649</v>
      </c>
      <c r="AY107" s="210">
        <f t="shared" si="181"/>
        <v>923.63025047026167</v>
      </c>
    </row>
    <row r="108" spans="1:51" x14ac:dyDescent="0.2">
      <c r="A108" s="63" t="s">
        <v>7</v>
      </c>
      <c r="B108" s="63" t="s">
        <v>84</v>
      </c>
      <c r="C108" s="63"/>
      <c r="D108" s="64">
        <f>('SCS Input'!C103/'SCS Input'!C$134)</f>
        <v>1.7334803695182227E-2</v>
      </c>
      <c r="E108" s="65">
        <f t="shared" si="153"/>
        <v>2281.1388226601148</v>
      </c>
      <c r="F108" s="66">
        <f>('SCS Input'!D103/'SCS Input'!D$134)</f>
        <v>1.0818431288972259E-2</v>
      </c>
      <c r="G108" s="65">
        <f t="shared" si="154"/>
        <v>610.12706940416854</v>
      </c>
      <c r="H108" s="58"/>
      <c r="I108" s="67">
        <v>3369</v>
      </c>
      <c r="J108" s="68">
        <f t="shared" si="155"/>
        <v>0.67709671197985</v>
      </c>
      <c r="K108" s="58"/>
      <c r="L108" s="69">
        <f t="shared" si="156"/>
        <v>1.3057329777998264E-2</v>
      </c>
      <c r="M108" s="69" t="str">
        <f t="shared" si="157"/>
        <v/>
      </c>
      <c r="N108" s="69">
        <f t="shared" si="158"/>
        <v>1.3130407670122376E-2</v>
      </c>
      <c r="O108" s="58"/>
      <c r="P108" s="67">
        <f t="shared" si="159"/>
        <v>0</v>
      </c>
      <c r="Q108" s="67">
        <f t="shared" si="160"/>
        <v>7.831421503599282</v>
      </c>
      <c r="R108" s="202">
        <f t="shared" si="161"/>
        <v>617.95849090776778</v>
      </c>
      <c r="S108" s="58"/>
      <c r="T108" s="71">
        <f>VLOOKUP($B108,'Scoring Summary'!$B$5:$O$129,12,FALSE)</f>
        <v>3.2258064516129017E-2</v>
      </c>
      <c r="U108" s="72">
        <f t="shared" si="162"/>
        <v>19.934144867992501</v>
      </c>
      <c r="V108" s="73">
        <f>VLOOKUP($B108,'Scoring Summary'!$B$5:$O$129,13,FALSE)</f>
        <v>0.1419753086419753</v>
      </c>
      <c r="W108" s="72">
        <f t="shared" si="163"/>
        <v>87.734847474559615</v>
      </c>
      <c r="X108" s="73">
        <f>VLOOKUP($B108,'Scoring Summary'!$B$5:$O$129,14,FALSE)</f>
        <v>4.4276309585966324E-2</v>
      </c>
      <c r="Y108" s="72">
        <f t="shared" si="164"/>
        <v>27.360921454708883</v>
      </c>
      <c r="Z108" s="74">
        <f t="shared" si="165"/>
        <v>135.029913797261</v>
      </c>
      <c r="AA108" s="67">
        <f t="shared" si="166"/>
        <v>752.98840470502876</v>
      </c>
      <c r="AB108" s="70">
        <f t="shared" si="167"/>
        <v>676.53603675666989</v>
      </c>
      <c r="AC108" s="58"/>
      <c r="AD108" s="75">
        <f t="shared" si="168"/>
        <v>2957.6748594167848</v>
      </c>
      <c r="AE108" s="68">
        <f t="shared" si="169"/>
        <v>0.87790883330863301</v>
      </c>
      <c r="AF108" s="67">
        <f t="shared" si="170"/>
        <v>2957.6748594167848</v>
      </c>
      <c r="AG108" s="67">
        <f t="shared" si="171"/>
        <v>2868.0611467305548</v>
      </c>
      <c r="AH108" s="67">
        <f t="shared" si="172"/>
        <v>0</v>
      </c>
      <c r="AI108" s="58"/>
      <c r="AJ108" s="76">
        <f t="shared" si="173"/>
        <v>2868.0611467305548</v>
      </c>
      <c r="AK108" s="68">
        <f t="shared" si="174"/>
        <v>0.85130933414382748</v>
      </c>
      <c r="AL108" s="77">
        <f t="shared" si="151"/>
        <v>1.5256455911115246E-2</v>
      </c>
      <c r="AM108" s="58"/>
      <c r="AN108" s="67">
        <v>2599</v>
      </c>
      <c r="AO108" s="78">
        <f t="shared" si="90"/>
        <v>1.2116550116550117E-2</v>
      </c>
      <c r="AP108" s="58"/>
      <c r="AQ108" s="79">
        <v>0.5839955570648927</v>
      </c>
      <c r="AR108" s="58"/>
      <c r="AS108" s="80">
        <f t="shared" si="175"/>
        <v>2868.0611467305548</v>
      </c>
      <c r="AT108" s="81">
        <f t="shared" si="176"/>
        <v>0</v>
      </c>
      <c r="AU108" s="81">
        <f t="shared" si="177"/>
        <v>0</v>
      </c>
      <c r="AV108" s="82">
        <f t="shared" si="178"/>
        <v>1.5256455911115246E-2</v>
      </c>
      <c r="AW108" s="82">
        <f t="shared" si="179"/>
        <v>1.6229595411636599E-2</v>
      </c>
      <c r="AX108" s="67">
        <f t="shared" si="180"/>
        <v>45.224262837566947</v>
      </c>
      <c r="AY108" s="210">
        <f t="shared" si="181"/>
        <v>2913.2854095681218</v>
      </c>
    </row>
    <row r="109" spans="1:51" x14ac:dyDescent="0.2">
      <c r="A109" s="63" t="s">
        <v>7</v>
      </c>
      <c r="B109" s="63" t="s">
        <v>85</v>
      </c>
      <c r="C109" s="63"/>
      <c r="D109" s="64">
        <f>('SCS Input'!C104/'SCS Input'!C$134)</f>
        <v>1.7181964174056332E-3</v>
      </c>
      <c r="E109" s="65">
        <f t="shared" si="153"/>
        <v>226.10262115565951</v>
      </c>
      <c r="F109" s="66">
        <f>('SCS Input'!D104/'SCS Input'!D$134)</f>
        <v>3.1263061747165276E-2</v>
      </c>
      <c r="G109" s="65">
        <f t="shared" si="154"/>
        <v>1763.1428933548802</v>
      </c>
      <c r="H109" s="58"/>
      <c r="I109" s="67">
        <v>3517</v>
      </c>
      <c r="J109" s="68">
        <f t="shared" si="155"/>
        <v>6.4288490519095673E-2</v>
      </c>
      <c r="K109" s="58"/>
      <c r="L109" s="69">
        <f t="shared" si="156"/>
        <v>1.3630937616271859E-2</v>
      </c>
      <c r="M109" s="69" t="str">
        <f t="shared" si="157"/>
        <v/>
      </c>
      <c r="N109" s="69">
        <f t="shared" si="158"/>
        <v>1.3707225816509468E-2</v>
      </c>
      <c r="O109" s="58"/>
      <c r="P109" s="67">
        <f t="shared" si="159"/>
        <v>0</v>
      </c>
      <c r="Q109" s="67">
        <f t="shared" si="160"/>
        <v>8.1754554550782661</v>
      </c>
      <c r="R109" s="202">
        <f t="shared" si="161"/>
        <v>1771.3183488099585</v>
      </c>
      <c r="S109" s="58"/>
      <c r="T109" s="71">
        <f>VLOOKUP($B109,'Scoring Summary'!$B$5:$O$129,12,FALSE)</f>
        <v>-0.13261648745519711</v>
      </c>
      <c r="U109" s="72">
        <f t="shared" si="162"/>
        <v>-234.90601758411631</v>
      </c>
      <c r="V109" s="73">
        <f>VLOOKUP($B109,'Scoring Summary'!$B$5:$O$129,13,FALSE)</f>
        <v>0.29629629629629628</v>
      </c>
      <c r="W109" s="72">
        <f t="shared" si="163"/>
        <v>524.83506631406169</v>
      </c>
      <c r="X109" s="73">
        <f>VLOOKUP($B109,'Scoring Summary'!$B$5:$O$129,14,FALSE)</f>
        <v>8.4339962735659579E-2</v>
      </c>
      <c r="Y109" s="72">
        <f t="shared" si="164"/>
        <v>149.39292353162196</v>
      </c>
      <c r="Z109" s="74">
        <f t="shared" si="165"/>
        <v>439.32197226156734</v>
      </c>
      <c r="AA109" s="67">
        <f t="shared" si="166"/>
        <v>2210.6403210715257</v>
      </c>
      <c r="AB109" s="70">
        <f t="shared" si="167"/>
        <v>1986.1897370094177</v>
      </c>
      <c r="AC109" s="58"/>
      <c r="AD109" s="75">
        <f t="shared" si="168"/>
        <v>2212.2923581650771</v>
      </c>
      <c r="AE109" s="68">
        <f t="shared" si="169"/>
        <v>0.62902825082885327</v>
      </c>
      <c r="AF109" s="67">
        <f t="shared" si="170"/>
        <v>2212.2923581650771</v>
      </c>
      <c r="AG109" s="67">
        <f t="shared" si="171"/>
        <v>2145.2627686443275</v>
      </c>
      <c r="AH109" s="67">
        <f t="shared" si="172"/>
        <v>0</v>
      </c>
      <c r="AI109" s="58"/>
      <c r="AJ109" s="76">
        <f t="shared" si="173"/>
        <v>2145.2627686443275</v>
      </c>
      <c r="AK109" s="68">
        <f t="shared" si="174"/>
        <v>0.60996951056136695</v>
      </c>
      <c r="AL109" s="77">
        <f t="shared" si="151"/>
        <v>1.1411579172532197E-2</v>
      </c>
      <c r="AM109" s="58"/>
      <c r="AN109" s="67">
        <v>2860</v>
      </c>
      <c r="AO109" s="78">
        <f t="shared" si="90"/>
        <v>1.3333333333333334E-2</v>
      </c>
      <c r="AP109" s="58"/>
      <c r="AQ109" s="79">
        <v>0.34410911337023747</v>
      </c>
      <c r="AR109" s="58"/>
      <c r="AS109" s="80">
        <f t="shared" si="175"/>
        <v>2145.2627686443275</v>
      </c>
      <c r="AT109" s="81">
        <f t="shared" si="176"/>
        <v>0</v>
      </c>
      <c r="AU109" s="81">
        <f t="shared" si="177"/>
        <v>0</v>
      </c>
      <c r="AV109" s="82">
        <f t="shared" si="178"/>
        <v>1.1411579172532197E-2</v>
      </c>
      <c r="AW109" s="82">
        <f t="shared" si="179"/>
        <v>1.2139471582199053E-2</v>
      </c>
      <c r="AX109" s="67">
        <f t="shared" si="180"/>
        <v>33.827007982522673</v>
      </c>
      <c r="AY109" s="210">
        <f t="shared" si="181"/>
        <v>2179.0897766268499</v>
      </c>
    </row>
    <row r="110" spans="1:51" x14ac:dyDescent="0.2">
      <c r="A110" s="63" t="s">
        <v>7</v>
      </c>
      <c r="B110" s="63" t="s">
        <v>86</v>
      </c>
      <c r="C110" s="63"/>
      <c r="D110" s="64">
        <f>('SCS Input'!C105/'SCS Input'!C$134)</f>
        <v>0.22653409641104016</v>
      </c>
      <c r="E110" s="65">
        <f t="shared" si="153"/>
        <v>29810.301349018009</v>
      </c>
      <c r="F110" s="66">
        <f>('SCS Input'!D105/'SCS Input'!D$134)</f>
        <v>0.10562963776154367</v>
      </c>
      <c r="G110" s="65">
        <f t="shared" si="154"/>
        <v>5957.1946808377797</v>
      </c>
      <c r="H110" s="58"/>
      <c r="I110" s="67">
        <v>47314</v>
      </c>
      <c r="J110" s="68">
        <f t="shared" si="155"/>
        <v>0.63005244428748386</v>
      </c>
      <c r="K110" s="58"/>
      <c r="L110" s="69">
        <f t="shared" si="156"/>
        <v>0.18337622473024928</v>
      </c>
      <c r="M110" s="69" t="str">
        <f t="shared" si="157"/>
        <v/>
      </c>
      <c r="N110" s="69">
        <f t="shared" si="158"/>
        <v>0.18440252552810035</v>
      </c>
      <c r="O110" s="58"/>
      <c r="P110" s="67">
        <f t="shared" si="159"/>
        <v>0</v>
      </c>
      <c r="Q110" s="67">
        <f t="shared" si="160"/>
        <v>109.98393500186893</v>
      </c>
      <c r="R110" s="202">
        <f t="shared" si="161"/>
        <v>6067.178615839649</v>
      </c>
      <c r="S110" s="58"/>
      <c r="T110" s="71">
        <f>VLOOKUP($B110,'Scoring Summary'!$B$5:$O$129,12,FALSE)</f>
        <v>-0.33333333333333331</v>
      </c>
      <c r="U110" s="72">
        <f t="shared" si="162"/>
        <v>-2022.3928719465496</v>
      </c>
      <c r="V110" s="73">
        <f>VLOOKUP($B110,'Scoring Summary'!$B$5:$O$129,13,FALSE)</f>
        <v>0.33333333333333331</v>
      </c>
      <c r="W110" s="72">
        <f t="shared" si="163"/>
        <v>2022.3928719465496</v>
      </c>
      <c r="X110" s="73">
        <f>VLOOKUP($B110,'Scoring Summary'!$B$5:$O$129,14,FALSE)</f>
        <v>3.6658819296656965E-2</v>
      </c>
      <c r="Y110" s="72">
        <f t="shared" si="164"/>
        <v>222.41560451860701</v>
      </c>
      <c r="Z110" s="74">
        <f t="shared" si="165"/>
        <v>222.41560451860701</v>
      </c>
      <c r="AA110" s="67">
        <f t="shared" si="166"/>
        <v>6289.5942203582563</v>
      </c>
      <c r="AB110" s="70">
        <f t="shared" si="167"/>
        <v>5650.9995639517374</v>
      </c>
      <c r="AC110" s="58"/>
      <c r="AD110" s="75">
        <f t="shared" si="168"/>
        <v>35461.300912969746</v>
      </c>
      <c r="AE110" s="68">
        <f t="shared" si="169"/>
        <v>0.74948854277739663</v>
      </c>
      <c r="AF110" s="67">
        <f t="shared" si="170"/>
        <v>35461.300912969746</v>
      </c>
      <c r="AG110" s="67">
        <f t="shared" si="171"/>
        <v>34386.86948201745</v>
      </c>
      <c r="AH110" s="67">
        <f t="shared" si="172"/>
        <v>0</v>
      </c>
      <c r="AI110" s="58"/>
      <c r="AJ110" s="76">
        <f t="shared" si="173"/>
        <v>34386.86948201745</v>
      </c>
      <c r="AK110" s="68">
        <f t="shared" si="174"/>
        <v>0.72678001187845986</v>
      </c>
      <c r="AL110" s="77">
        <f t="shared" si="151"/>
        <v>0.1829186099367916</v>
      </c>
      <c r="AM110" s="58"/>
      <c r="AN110" s="67">
        <v>34721</v>
      </c>
      <c r="AO110" s="78">
        <f t="shared" si="90"/>
        <v>0.16186946386946388</v>
      </c>
      <c r="AP110" s="58"/>
      <c r="AQ110" s="79">
        <v>0.12716446482172175</v>
      </c>
      <c r="AR110" s="58"/>
      <c r="AS110" s="80">
        <f t="shared" si="175"/>
        <v>34386.86948201745</v>
      </c>
      <c r="AT110" s="81">
        <f t="shared" si="176"/>
        <v>0</v>
      </c>
      <c r="AU110" s="81">
        <f t="shared" si="177"/>
        <v>0</v>
      </c>
      <c r="AV110" s="82">
        <f t="shared" si="178"/>
        <v>0.1829186099367916</v>
      </c>
      <c r="AW110" s="82">
        <f t="shared" si="179"/>
        <v>0.19458615092711176</v>
      </c>
      <c r="AX110" s="67">
        <f t="shared" si="180"/>
        <v>542.22024707828348</v>
      </c>
      <c r="AY110" s="210">
        <f t="shared" si="181"/>
        <v>34929.089729095736</v>
      </c>
    </row>
    <row r="111" spans="1:51" x14ac:dyDescent="0.2">
      <c r="A111" s="63" t="s">
        <v>7</v>
      </c>
      <c r="B111" s="63" t="s">
        <v>7</v>
      </c>
      <c r="C111" s="63"/>
      <c r="D111" s="64">
        <f>('SCS Input'!C106/'SCS Input'!C$134)</f>
        <v>1.6826706803147008E-2</v>
      </c>
      <c r="E111" s="65">
        <f t="shared" si="153"/>
        <v>2214.2768283465243</v>
      </c>
      <c r="F111" s="66">
        <f>('SCS Input'!D106/'SCS Input'!D$134)</f>
        <v>3.443344946047381E-2</v>
      </c>
      <c r="G111" s="65">
        <f t="shared" si="154"/>
        <v>1941.9432492223416</v>
      </c>
      <c r="H111" s="58"/>
      <c r="I111" s="67">
        <v>5280</v>
      </c>
      <c r="J111" s="68">
        <f t="shared" si="155"/>
        <v>0.41937061142926596</v>
      </c>
      <c r="K111" s="58"/>
      <c r="L111" s="69">
        <f t="shared" si="156"/>
        <v>2.0463847203274217E-2</v>
      </c>
      <c r="M111" s="69" t="str">
        <f t="shared" si="157"/>
        <v/>
      </c>
      <c r="N111" s="69">
        <f t="shared" si="158"/>
        <v>2.0578377114350298E-2</v>
      </c>
      <c r="O111" s="58"/>
      <c r="P111" s="67">
        <f t="shared" si="159"/>
        <v>0</v>
      </c>
      <c r="Q111" s="67">
        <f t="shared" si="160"/>
        <v>12.273643674385342</v>
      </c>
      <c r="R111" s="202">
        <f t="shared" si="161"/>
        <v>1954.2168928967269</v>
      </c>
      <c r="S111" s="58"/>
      <c r="T111" s="71">
        <f>VLOOKUP($B111,'Scoring Summary'!$B$5:$O$129,12,FALSE)</f>
        <v>-0.26164874551971329</v>
      </c>
      <c r="U111" s="72">
        <f t="shared" si="162"/>
        <v>-511.31839849986051</v>
      </c>
      <c r="V111" s="73">
        <f>VLOOKUP($B111,'Scoring Summary'!$B$5:$O$129,13,FALSE)</f>
        <v>0.31481481481481477</v>
      </c>
      <c r="W111" s="72">
        <f t="shared" si="163"/>
        <v>615.21642924526577</v>
      </c>
      <c r="X111" s="73">
        <f>VLOOKUP($B111,'Scoring Summary'!$B$5:$O$129,14,FALSE)</f>
        <v>4.2208831000282693E-2</v>
      </c>
      <c r="Y111" s="72">
        <f t="shared" si="164"/>
        <v>82.485210570175482</v>
      </c>
      <c r="Z111" s="74">
        <f t="shared" si="165"/>
        <v>186.38324131558073</v>
      </c>
      <c r="AA111" s="67">
        <f t="shared" si="166"/>
        <v>2140.6001342123077</v>
      </c>
      <c r="AB111" s="70">
        <f t="shared" si="167"/>
        <v>1923.2608656810551</v>
      </c>
      <c r="AC111" s="58"/>
      <c r="AD111" s="75">
        <f t="shared" si="168"/>
        <v>4137.5376940275792</v>
      </c>
      <c r="AE111" s="68">
        <f t="shared" si="169"/>
        <v>0.78362456326279906</v>
      </c>
      <c r="AF111" s="67">
        <f t="shared" si="170"/>
        <v>4137.5376940275792</v>
      </c>
      <c r="AG111" s="67">
        <f t="shared" si="171"/>
        <v>4012.1756675152574</v>
      </c>
      <c r="AH111" s="67">
        <f t="shared" si="172"/>
        <v>0</v>
      </c>
      <c r="AI111" s="58"/>
      <c r="AJ111" s="76">
        <f t="shared" si="173"/>
        <v>4012.1756675152574</v>
      </c>
      <c r="AK111" s="68">
        <f t="shared" si="174"/>
        <v>0.75988175521122303</v>
      </c>
      <c r="AL111" s="77">
        <f t="shared" si="151"/>
        <v>2.1342495172696728E-2</v>
      </c>
      <c r="AM111" s="58"/>
      <c r="AN111" s="67">
        <v>5873</v>
      </c>
      <c r="AO111" s="78">
        <f t="shared" si="90"/>
        <v>2.737995337995338E-2</v>
      </c>
      <c r="AP111" s="58"/>
      <c r="AQ111" s="79">
        <v>0.12438333305853826</v>
      </c>
      <c r="AR111" s="58"/>
      <c r="AS111" s="80">
        <f t="shared" si="175"/>
        <v>4012.1756675152574</v>
      </c>
      <c r="AT111" s="81">
        <f t="shared" si="176"/>
        <v>0</v>
      </c>
      <c r="AU111" s="81">
        <f t="shared" si="177"/>
        <v>0</v>
      </c>
      <c r="AV111" s="82">
        <f t="shared" si="178"/>
        <v>2.1342495172696728E-2</v>
      </c>
      <c r="AW111" s="82">
        <f t="shared" si="179"/>
        <v>2.270383526460535E-2</v>
      </c>
      <c r="AX111" s="67">
        <f t="shared" si="180"/>
        <v>63.264929740093521</v>
      </c>
      <c r="AY111" s="210">
        <f t="shared" si="181"/>
        <v>4075.4405972553509</v>
      </c>
    </row>
    <row r="112" spans="1:51" x14ac:dyDescent="0.2">
      <c r="A112" s="63" t="s">
        <v>7</v>
      </c>
      <c r="B112" s="63" t="s">
        <v>87</v>
      </c>
      <c r="C112" s="63"/>
      <c r="D112" s="64">
        <f>('SCS Input'!C107/'SCS Input'!C$134)</f>
        <v>0</v>
      </c>
      <c r="E112" s="65">
        <f t="shared" si="153"/>
        <v>0</v>
      </c>
      <c r="F112" s="66">
        <f>('SCS Input'!D107/'SCS Input'!D$134)</f>
        <v>3.8962636384999388E-3</v>
      </c>
      <c r="G112" s="65">
        <f t="shared" si="154"/>
        <v>219.73758042048107</v>
      </c>
      <c r="H112" s="58"/>
      <c r="I112" s="67">
        <v>1464</v>
      </c>
      <c r="J112" s="68">
        <f t="shared" si="155"/>
        <v>0</v>
      </c>
      <c r="K112" s="58"/>
      <c r="L112" s="69">
        <f t="shared" si="156"/>
        <v>5.6740667245442147E-3</v>
      </c>
      <c r="M112" s="69" t="str">
        <f t="shared" si="157"/>
        <v/>
      </c>
      <c r="N112" s="69">
        <f t="shared" si="158"/>
        <v>5.7058227453425821E-3</v>
      </c>
      <c r="O112" s="58"/>
      <c r="P112" s="67">
        <f t="shared" si="159"/>
        <v>0</v>
      </c>
      <c r="Q112" s="67">
        <f t="shared" si="160"/>
        <v>3.4031466551704805</v>
      </c>
      <c r="R112" s="202">
        <f t="shared" si="161"/>
        <v>223.14072707565154</v>
      </c>
      <c r="S112" s="58"/>
      <c r="T112" s="71">
        <f>VLOOKUP($B112,'Scoring Summary'!$B$5:$O$129,12,FALSE)</f>
        <v>0.13978494623655913</v>
      </c>
      <c r="U112" s="72">
        <f t="shared" si="162"/>
        <v>31.191714537456665</v>
      </c>
      <c r="V112" s="73">
        <f>VLOOKUP($B112,'Scoring Summary'!$B$5:$O$129,13,FALSE)</f>
        <v>0</v>
      </c>
      <c r="W112" s="72">
        <f t="shared" si="163"/>
        <v>0</v>
      </c>
      <c r="X112" s="73">
        <f>VLOOKUP($B112,'Scoring Summary'!$B$5:$O$129,14,FALSE)</f>
        <v>-6.6886038519745811E-2</v>
      </c>
      <c r="Y112" s="72">
        <f t="shared" si="164"/>
        <v>-14.924999266506116</v>
      </c>
      <c r="Z112" s="74">
        <f t="shared" si="165"/>
        <v>16.266715270950549</v>
      </c>
      <c r="AA112" s="67">
        <f t="shared" si="166"/>
        <v>239.4074423466021</v>
      </c>
      <c r="AB112" s="70">
        <f t="shared" si="167"/>
        <v>215.09994204846942</v>
      </c>
      <c r="AC112" s="58"/>
      <c r="AD112" s="75">
        <f t="shared" si="168"/>
        <v>215.09994204846942</v>
      </c>
      <c r="AE112" s="68">
        <f t="shared" si="169"/>
        <v>0.1469261899238179</v>
      </c>
      <c r="AF112" s="67">
        <f t="shared" si="170"/>
        <v>0</v>
      </c>
      <c r="AG112" s="67">
        <f t="shared" si="171"/>
        <v>0</v>
      </c>
      <c r="AH112" s="67">
        <f t="shared" si="172"/>
        <v>585.6</v>
      </c>
      <c r="AI112" s="58"/>
      <c r="AJ112" s="76">
        <f t="shared" si="173"/>
        <v>585.6</v>
      </c>
      <c r="AK112" s="68">
        <f t="shared" si="174"/>
        <v>0.4</v>
      </c>
      <c r="AL112" s="77">
        <f t="shared" si="151"/>
        <v>3.1150593116655149E-3</v>
      </c>
      <c r="AM112" s="58"/>
      <c r="AN112" s="83">
        <v>292</v>
      </c>
      <c r="AO112" s="78">
        <f t="shared" si="90"/>
        <v>1.3613053613053612E-3</v>
      </c>
      <c r="AP112" s="58"/>
      <c r="AQ112" s="79">
        <v>1.0054794520547945</v>
      </c>
      <c r="AR112" s="58"/>
      <c r="AS112" s="80">
        <f t="shared" si="175"/>
        <v>585.6</v>
      </c>
      <c r="AT112" s="81">
        <f t="shared" si="176"/>
        <v>438</v>
      </c>
      <c r="AU112" s="81">
        <f t="shared" si="177"/>
        <v>147.60000000000002</v>
      </c>
      <c r="AV112" s="82">
        <f t="shared" si="178"/>
        <v>0</v>
      </c>
      <c r="AW112" s="82">
        <f t="shared" si="179"/>
        <v>0</v>
      </c>
      <c r="AX112" s="67">
        <f t="shared" si="180"/>
        <v>0</v>
      </c>
      <c r="AY112" s="210">
        <f t="shared" si="181"/>
        <v>438</v>
      </c>
    </row>
    <row r="113" spans="1:51" x14ac:dyDescent="0.2">
      <c r="A113" s="63" t="s">
        <v>7</v>
      </c>
      <c r="B113" s="63" t="s">
        <v>88</v>
      </c>
      <c r="C113" s="63"/>
      <c r="D113" s="64">
        <f>('SCS Input'!C108/'SCS Input'!C$134)</f>
        <v>3.0498226002342494E-2</v>
      </c>
      <c r="E113" s="65">
        <f t="shared" si="153"/>
        <v>4013.3530543262559</v>
      </c>
      <c r="F113" s="66">
        <f>('SCS Input'!D108/'SCS Input'!D$134)</f>
        <v>3.2101462980707346E-2</v>
      </c>
      <c r="G113" s="65">
        <f t="shared" si="154"/>
        <v>1810.4262077229523</v>
      </c>
      <c r="H113" s="58"/>
      <c r="I113" s="67">
        <v>6320</v>
      </c>
      <c r="J113" s="68">
        <f t="shared" si="155"/>
        <v>0.63502421745668602</v>
      </c>
      <c r="K113" s="58"/>
      <c r="L113" s="69">
        <f t="shared" si="156"/>
        <v>2.4494604985737318E-2</v>
      </c>
      <c r="M113" s="69" t="str">
        <f t="shared" si="157"/>
        <v/>
      </c>
      <c r="N113" s="69">
        <f t="shared" si="158"/>
        <v>2.463169381869202E-2</v>
      </c>
      <c r="O113" s="58"/>
      <c r="P113" s="67">
        <f t="shared" si="159"/>
        <v>0</v>
      </c>
      <c r="Q113" s="67">
        <f t="shared" si="160"/>
        <v>14.691179549643058</v>
      </c>
      <c r="R113" s="202">
        <f t="shared" si="161"/>
        <v>1825.1173872725954</v>
      </c>
      <c r="S113" s="58"/>
      <c r="T113" s="71">
        <f>VLOOKUP($B113,'Scoring Summary'!$B$5:$O$129,12,FALSE)</f>
        <v>4.6594982078853056E-2</v>
      </c>
      <c r="U113" s="72">
        <f t="shared" si="162"/>
        <v>85.0413119517697</v>
      </c>
      <c r="V113" s="73">
        <f>VLOOKUP($B113,'Scoring Summary'!$B$5:$O$129,13,FALSE)</f>
        <v>0.17283950617283952</v>
      </c>
      <c r="W113" s="72">
        <f t="shared" si="163"/>
        <v>315.45238792365848</v>
      </c>
      <c r="X113" s="73">
        <f>VLOOKUP($B113,'Scoring Summary'!$B$5:$O$129,14,FALSE)</f>
        <v>3.4446047503204319E-2</v>
      </c>
      <c r="Y113" s="72">
        <f t="shared" si="164"/>
        <v>62.868080220915971</v>
      </c>
      <c r="Z113" s="74">
        <f t="shared" si="165"/>
        <v>463.36178009634421</v>
      </c>
      <c r="AA113" s="67">
        <f t="shared" si="166"/>
        <v>2288.4791673689397</v>
      </c>
      <c r="AB113" s="70">
        <f t="shared" si="167"/>
        <v>2056.1254548115971</v>
      </c>
      <c r="AC113" s="58"/>
      <c r="AD113" s="75">
        <f t="shared" si="168"/>
        <v>6069.4785091378526</v>
      </c>
      <c r="AE113" s="68">
        <f t="shared" si="169"/>
        <v>0.96036052359776147</v>
      </c>
      <c r="AF113" s="67">
        <f t="shared" si="170"/>
        <v>6069.4785091378526</v>
      </c>
      <c r="AG113" s="67">
        <f t="shared" si="171"/>
        <v>5885.5811812955426</v>
      </c>
      <c r="AH113" s="67">
        <f t="shared" si="172"/>
        <v>0</v>
      </c>
      <c r="AI113" s="58"/>
      <c r="AJ113" s="76">
        <f t="shared" si="173"/>
        <v>5885.5811812955426</v>
      </c>
      <c r="AK113" s="68">
        <f t="shared" si="174"/>
        <v>0.93126284514169977</v>
      </c>
      <c r="AL113" s="77">
        <f t="shared" si="151"/>
        <v>3.1307948195624997E-2</v>
      </c>
      <c r="AM113" s="58"/>
      <c r="AN113" s="67">
        <v>4426</v>
      </c>
      <c r="AO113" s="78">
        <f t="shared" si="90"/>
        <v>2.0634032634032635E-2</v>
      </c>
      <c r="AP113" s="58"/>
      <c r="AQ113" s="79">
        <v>0.28575141630559114</v>
      </c>
      <c r="AR113" s="58"/>
      <c r="AS113" s="80">
        <f t="shared" si="175"/>
        <v>5885.5811812955426</v>
      </c>
      <c r="AT113" s="81">
        <f t="shared" si="176"/>
        <v>0</v>
      </c>
      <c r="AU113" s="81">
        <f t="shared" si="177"/>
        <v>0</v>
      </c>
      <c r="AV113" s="82">
        <f t="shared" si="178"/>
        <v>3.1307948195624997E-2</v>
      </c>
      <c r="AW113" s="82">
        <f t="shared" si="179"/>
        <v>3.330493892839681E-2</v>
      </c>
      <c r="AX113" s="67">
        <f t="shared" si="180"/>
        <v>92.805228576862447</v>
      </c>
      <c r="AY113" s="210">
        <f t="shared" si="181"/>
        <v>5978.3864098724052</v>
      </c>
    </row>
    <row r="114" spans="1:51" x14ac:dyDescent="0.2">
      <c r="A114" s="63" t="s">
        <v>7</v>
      </c>
      <c r="B114" s="63" t="s">
        <v>110</v>
      </c>
      <c r="C114" s="63"/>
      <c r="D114" s="64">
        <f>('SCS Input'!C109/'SCS Input'!C$134)</f>
        <v>0</v>
      </c>
      <c r="E114" s="65">
        <f t="shared" si="153"/>
        <v>0</v>
      </c>
      <c r="F114" s="66">
        <f>('SCS Input'!D109/'SCS Input'!D$134)</f>
        <v>2.0477902509638888E-3</v>
      </c>
      <c r="G114" s="65">
        <f t="shared" si="154"/>
        <v>115.48922678361045</v>
      </c>
      <c r="H114" s="58"/>
      <c r="I114" s="67">
        <v>695</v>
      </c>
      <c r="J114" s="68">
        <f t="shared" si="155"/>
        <v>0</v>
      </c>
      <c r="K114" s="58"/>
      <c r="L114" s="69">
        <f t="shared" si="156"/>
        <v>2.6936314027037082E-3</v>
      </c>
      <c r="M114" s="69" t="str">
        <f t="shared" si="157"/>
        <v/>
      </c>
      <c r="N114" s="69">
        <f t="shared" si="158"/>
        <v>2.7087068360745182E-3</v>
      </c>
      <c r="O114" s="58"/>
      <c r="P114" s="67">
        <f t="shared" si="159"/>
        <v>0</v>
      </c>
      <c r="Q114" s="67">
        <f t="shared" si="160"/>
        <v>1.6155648397154947</v>
      </c>
      <c r="R114" s="202">
        <f t="shared" si="161"/>
        <v>117.10479162332594</v>
      </c>
      <c r="S114" s="58"/>
      <c r="T114" s="71">
        <f>VLOOKUP($B114,'Scoring Summary'!$B$5:$O$129,12,FALSE)</f>
        <v>-0.16129032258064516</v>
      </c>
      <c r="U114" s="72">
        <f t="shared" si="162"/>
        <v>-18.887869616665473</v>
      </c>
      <c r="V114" s="73">
        <f>VLOOKUP($B114,'Scoring Summary'!$B$5:$O$129,13,FALSE)</f>
        <v>-0.13580246913580243</v>
      </c>
      <c r="W114" s="72">
        <f t="shared" si="163"/>
        <v>-15.903119850081296</v>
      </c>
      <c r="X114" s="73">
        <f>VLOOKUP($B114,'Scoring Summary'!$B$5:$O$129,14,FALSE)</f>
        <v>1.3663566794644451E-2</v>
      </c>
      <c r="Y114" s="72">
        <f t="shared" si="164"/>
        <v>1.6000691423182341</v>
      </c>
      <c r="Z114" s="74">
        <f t="shared" si="165"/>
        <v>-33.190920324428532</v>
      </c>
      <c r="AA114" s="67">
        <f t="shared" si="166"/>
        <v>83.913871298897405</v>
      </c>
      <c r="AB114" s="70">
        <f t="shared" si="167"/>
        <v>75.393933774723081</v>
      </c>
      <c r="AC114" s="58"/>
      <c r="AD114" s="75">
        <f t="shared" si="168"/>
        <v>75.393933774723081</v>
      </c>
      <c r="AE114" s="68">
        <f t="shared" si="169"/>
        <v>0.10848048025140011</v>
      </c>
      <c r="AF114" s="67">
        <f t="shared" si="170"/>
        <v>0</v>
      </c>
      <c r="AG114" s="67">
        <f t="shared" si="171"/>
        <v>0</v>
      </c>
      <c r="AH114" s="67">
        <f>AD114</f>
        <v>75.393933774723081</v>
      </c>
      <c r="AI114" s="58"/>
      <c r="AJ114" s="76">
        <f t="shared" si="173"/>
        <v>75.393933774723081</v>
      </c>
      <c r="AK114" s="68">
        <f t="shared" si="174"/>
        <v>0.10848048025140011</v>
      </c>
      <c r="AL114" s="77">
        <f t="shared" si="151"/>
        <v>4.0105289523231606E-4</v>
      </c>
      <c r="AM114" s="58"/>
      <c r="AN114" s="67">
        <v>1090</v>
      </c>
      <c r="AO114" s="78">
        <f t="shared" si="90"/>
        <v>5.081585081585082E-3</v>
      </c>
      <c r="AP114" s="58"/>
      <c r="AQ114" s="79">
        <v>1.9126333488370777</v>
      </c>
      <c r="AR114" s="58"/>
      <c r="AS114" s="80">
        <f t="shared" si="175"/>
        <v>75.393933774723081</v>
      </c>
      <c r="AT114" s="81">
        <f t="shared" si="176"/>
        <v>0</v>
      </c>
      <c r="AU114" s="81">
        <f t="shared" si="177"/>
        <v>0</v>
      </c>
      <c r="AV114" s="82">
        <f t="shared" si="178"/>
        <v>4.0105289523231606E-4</v>
      </c>
      <c r="AW114" s="82">
        <f t="shared" si="179"/>
        <v>4.2663422397752452E-4</v>
      </c>
      <c r="AX114" s="67">
        <f t="shared" si="180"/>
        <v>1.188829283250465</v>
      </c>
      <c r="AY114" s="210">
        <f t="shared" si="181"/>
        <v>76.582763057973551</v>
      </c>
    </row>
    <row r="115" spans="1:51" s="49" customFormat="1" x14ac:dyDescent="0.2">
      <c r="A115" s="84"/>
      <c r="B115" s="84"/>
      <c r="C115" s="84"/>
      <c r="D115" s="85">
        <f>SUM(D99:D114)</f>
        <v>0.32181722894431547</v>
      </c>
      <c r="E115" s="86">
        <f>SUM(E99:E114)</f>
        <v>42348.894608469309</v>
      </c>
      <c r="F115" s="85">
        <f>SUM(F99:F114)</f>
        <v>0.29635746924773576</v>
      </c>
      <c r="G115" s="86">
        <f>SUM(G99:G114)</f>
        <v>16713.672193164555</v>
      </c>
      <c r="H115" s="58"/>
      <c r="I115" s="87">
        <f>SUM(I99:I114)</f>
        <v>83867</v>
      </c>
      <c r="J115" s="88"/>
      <c r="K115" s="58"/>
      <c r="L115" s="89">
        <f>I115/I$139</f>
        <v>0.32504573359791639</v>
      </c>
      <c r="M115" s="90"/>
      <c r="N115" s="90"/>
      <c r="O115" s="91"/>
      <c r="P115" s="87">
        <f>SUM(P99:P114)</f>
        <v>0</v>
      </c>
      <c r="Q115" s="87">
        <f>SUM(Q99:Q114)</f>
        <v>194.95334735599909</v>
      </c>
      <c r="R115" s="203">
        <f>SUM(R99:R114)</f>
        <v>16908.625540520552</v>
      </c>
      <c r="S115" s="58"/>
      <c r="T115" s="93"/>
      <c r="U115" s="94">
        <f>SUM(U99:U114)</f>
        <v>-3057.8102696796527</v>
      </c>
      <c r="V115" s="95"/>
      <c r="W115" s="94">
        <f>SUM(W99:W114)</f>
        <v>3853.1440020134728</v>
      </c>
      <c r="X115" s="95"/>
      <c r="Y115" s="94">
        <f>SUM(Y99:Y114)</f>
        <v>623.1994118576763</v>
      </c>
      <c r="Z115" s="96">
        <f>SUM(Z99:Z114)</f>
        <v>1418.5331441914955</v>
      </c>
      <c r="AA115" s="119"/>
      <c r="AB115" s="92">
        <f>SUM(AB99:AB114)</f>
        <v>16466.366844550248</v>
      </c>
      <c r="AC115" s="58"/>
      <c r="AD115" s="97">
        <f>SUM(AD99:AD114)</f>
        <v>58815.261453019557</v>
      </c>
      <c r="AE115" s="88"/>
      <c r="AF115" s="87">
        <f>SUM(AF99:AF114)</f>
        <v>57120.399033922855</v>
      </c>
      <c r="AG115" s="87">
        <f>SUM(AG99:AG114)</f>
        <v>55389.725017726865</v>
      </c>
      <c r="AH115" s="87">
        <f>SUM(AH99:AH114)</f>
        <v>3164.9939337747223</v>
      </c>
      <c r="AI115" s="58"/>
      <c r="AJ115" s="98">
        <f>SUM(AJ99:AJ114)</f>
        <v>58554.718951501585</v>
      </c>
      <c r="AK115" s="88"/>
      <c r="AL115" s="99">
        <f t="shared" si="151"/>
        <v>0.31147783898878451</v>
      </c>
      <c r="AM115" s="58"/>
      <c r="AN115" s="87">
        <f>SUM(AN99:AN114)</f>
        <v>60338</v>
      </c>
      <c r="AO115" s="100">
        <f t="shared" si="90"/>
        <v>0.2812960372960373</v>
      </c>
      <c r="AP115" s="58"/>
      <c r="AQ115" s="101">
        <v>0.26309393250316582</v>
      </c>
      <c r="AR115" s="58"/>
      <c r="AS115" s="102">
        <f>AJ115</f>
        <v>58554.718951501585</v>
      </c>
      <c r="AT115" s="103">
        <f t="shared" ref="AT115:AY115" si="182">SUM(AT99:AT114)</f>
        <v>1096.5</v>
      </c>
      <c r="AU115" s="103">
        <f t="shared" si="182"/>
        <v>319.50000000000006</v>
      </c>
      <c r="AV115" s="104">
        <f t="shared" si="182"/>
        <v>0.30394552344008502</v>
      </c>
      <c r="AW115" s="104">
        <f t="shared" si="182"/>
        <v>0.32333281735614394</v>
      </c>
      <c r="AX115" s="87">
        <f t="shared" si="182"/>
        <v>900.97676160435742</v>
      </c>
      <c r="AY115" s="211">
        <f t="shared" si="182"/>
        <v>59136.195713105946</v>
      </c>
    </row>
    <row r="116" spans="1:51" s="49" customFormat="1" x14ac:dyDescent="0.2">
      <c r="A116" s="105"/>
      <c r="B116" s="105"/>
      <c r="C116" s="105"/>
      <c r="D116" s="106"/>
      <c r="E116" s="107"/>
      <c r="F116" s="107"/>
      <c r="G116" s="107"/>
      <c r="H116" s="58"/>
      <c r="I116" s="108"/>
      <c r="J116" s="115"/>
      <c r="K116" s="58"/>
      <c r="L116" s="109"/>
      <c r="M116" s="109"/>
      <c r="N116" s="109"/>
      <c r="O116" s="58"/>
      <c r="P116" s="108"/>
      <c r="Q116" s="108"/>
      <c r="R116" s="204"/>
      <c r="S116" s="58"/>
      <c r="T116" s="71"/>
      <c r="U116" s="72"/>
      <c r="V116" s="71"/>
      <c r="W116" s="72"/>
      <c r="X116" s="71"/>
      <c r="Y116" s="72"/>
      <c r="Z116" s="111"/>
      <c r="AA116" s="112"/>
      <c r="AB116" s="110"/>
      <c r="AC116" s="58"/>
      <c r="AD116" s="113"/>
      <c r="AE116" s="115"/>
      <c r="AF116" s="112"/>
      <c r="AG116" s="112"/>
      <c r="AH116" s="112"/>
      <c r="AI116" s="58"/>
      <c r="AJ116" s="114"/>
      <c r="AK116" s="115"/>
      <c r="AL116" s="116"/>
      <c r="AM116" s="58"/>
      <c r="AN116" s="108"/>
      <c r="AO116" s="112"/>
      <c r="AP116" s="58"/>
      <c r="AQ116" s="79"/>
      <c r="AR116" s="58"/>
      <c r="AS116" s="117"/>
      <c r="AT116" s="118"/>
      <c r="AU116" s="118"/>
      <c r="AV116" s="118"/>
      <c r="AW116" s="118"/>
      <c r="AX116" s="112"/>
      <c r="AY116" s="212"/>
    </row>
    <row r="117" spans="1:51" x14ac:dyDescent="0.2">
      <c r="A117" s="63" t="s">
        <v>8</v>
      </c>
      <c r="B117" s="63" t="s">
        <v>89</v>
      </c>
      <c r="C117" s="63"/>
      <c r="D117" s="64">
        <f>('SCS Input'!C112/'SCS Input'!C$134)</f>
        <v>1.7204666697075034E-3</v>
      </c>
      <c r="E117" s="65">
        <f t="shared" ref="E117:E124" si="183">D117*$E$10</f>
        <v>226.40137046681949</v>
      </c>
      <c r="F117" s="66">
        <f>('SCS Input'!D112/'SCS Input'!D$134)</f>
        <v>2.5730360902698752E-3</v>
      </c>
      <c r="G117" s="65">
        <f t="shared" ref="G117:G124" si="184">F117*$G$10</f>
        <v>145.11151638295019</v>
      </c>
      <c r="H117" s="58"/>
      <c r="I117" s="83">
        <v>762</v>
      </c>
      <c r="J117" s="68">
        <f t="shared" ref="J117:J124" si="185">E117/I117</f>
        <v>0.29711465940527493</v>
      </c>
      <c r="K117" s="58"/>
      <c r="L117" s="69">
        <f t="shared" ref="L117:L124" si="186">I117/I$139</f>
        <v>2.9533052213816199E-3</v>
      </c>
      <c r="M117" s="69" t="str">
        <f t="shared" ref="M117:M124" si="187">IF(J117&gt;$C$2,L117,"")</f>
        <v/>
      </c>
      <c r="N117" s="69">
        <f t="shared" ref="N117:N124" si="188">IF(M117="",L117/($L$139-$M$139),0)</f>
        <v>2.969833969911918E-3</v>
      </c>
      <c r="O117" s="58"/>
      <c r="P117" s="67">
        <f t="shared" ref="P117:P124" si="189">IF(J117&gt;$C$2,G117,0)</f>
        <v>0</v>
      </c>
      <c r="Q117" s="67">
        <f t="shared" ref="Q117:Q124" si="190">N117*$P$139</f>
        <v>1.7713099393715208</v>
      </c>
      <c r="R117" s="202">
        <f t="shared" ref="R117:R124" si="191">(G117-P117)+Q117</f>
        <v>146.8828263223217</v>
      </c>
      <c r="S117" s="58"/>
      <c r="T117" s="71">
        <f>VLOOKUP($B117,'Scoring Summary'!$B$5:$O$129,12,FALSE)</f>
        <v>-2.508960573476704E-2</v>
      </c>
      <c r="U117" s="72">
        <f t="shared" ref="U117:U124" si="192">$R117*T117</f>
        <v>-3.6852322016353138</v>
      </c>
      <c r="V117" s="73">
        <f>VLOOKUP($B117,'Scoring Summary'!$B$5:$O$129,13,FALSE)</f>
        <v>6.1728395061728253E-3</v>
      </c>
      <c r="W117" s="72">
        <f t="shared" ref="W117:W124" si="193">$R117*V117</f>
        <v>0.90668411310074914</v>
      </c>
      <c r="X117" s="73">
        <f>VLOOKUP($B117,'Scoring Summary'!$B$5:$O$129,14,FALSE)</f>
        <v>-0.18184017468363139</v>
      </c>
      <c r="Y117" s="72">
        <f t="shared" ref="Y117:Y124" si="194">$R117*X117</f>
        <v>-26.709198796476471</v>
      </c>
      <c r="Z117" s="74">
        <f t="shared" ref="Z117:Z124" si="195">U117+W117+Y117</f>
        <v>-29.487746885011035</v>
      </c>
      <c r="AA117" s="67">
        <f t="shared" ref="AA117:AA124" si="196">R117+Z117</f>
        <v>117.39507943731067</v>
      </c>
      <c r="AB117" s="70">
        <f t="shared" ref="AB117:AB124" si="197">AA117/AA$139*R$139</f>
        <v>105.4757301453598</v>
      </c>
      <c r="AC117" s="58"/>
      <c r="AD117" s="75">
        <f t="shared" ref="AD117:AD124" si="198">$E117+AB117</f>
        <v>331.87710061217928</v>
      </c>
      <c r="AE117" s="68">
        <f t="shared" ref="AE117:AE124" si="199">AD117/$I117</f>
        <v>0.43553425277188884</v>
      </c>
      <c r="AF117" s="67">
        <f t="shared" ref="AF117:AF124" si="200">IF(OR(AE117&lt;$C$3,$J117&gt;=$C$2),0,AD117)</f>
        <v>331.87710061217928</v>
      </c>
      <c r="AG117" s="67">
        <f t="shared" ref="AG117:AG124" si="201">AF117/AF$139*(AD$139-AH$139)</f>
        <v>321.82165484649312</v>
      </c>
      <c r="AH117" s="67">
        <f t="shared" ref="AH117:AH123" si="202">IF(AE117&lt;$C$3,$I117*$C$3,IF($J117&gt;=$C$2,$E117,0))</f>
        <v>0</v>
      </c>
      <c r="AI117" s="58"/>
      <c r="AJ117" s="76">
        <f t="shared" ref="AJ117:AJ124" si="203">SUM(AG117:AH117)</f>
        <v>321.82165484649312</v>
      </c>
      <c r="AK117" s="68">
        <f t="shared" ref="AK117:AK124" si="204">AJ117/$I117</f>
        <v>0.42233812971980722</v>
      </c>
      <c r="AL117" s="77">
        <f t="shared" si="151"/>
        <v>1.7119083719692174E-3</v>
      </c>
      <c r="AM117" s="58"/>
      <c r="AN117" s="83">
        <v>532</v>
      </c>
      <c r="AO117" s="78">
        <f t="shared" ref="AO117:AO137" si="205">AN117/$AN$139</f>
        <v>2.4801864801864801E-3</v>
      </c>
      <c r="AP117" s="58"/>
      <c r="AQ117" s="79">
        <v>-0.37526106824244437</v>
      </c>
      <c r="AR117" s="58"/>
      <c r="AS117" s="80">
        <f t="shared" ref="AS117:AS124" si="206">AJ117</f>
        <v>321.82165484649312</v>
      </c>
      <c r="AT117" s="81">
        <f t="shared" ref="AT117:AT124" si="207">IF(AS117&gt;AN117*1.5,AN117*1.5,0)</f>
        <v>0</v>
      </c>
      <c r="AU117" s="81">
        <f t="shared" ref="AU117:AU124" si="208">IF(AT117=0,0,AS117-AT117)</f>
        <v>0</v>
      </c>
      <c r="AV117" s="82">
        <f t="shared" ref="AV117:AV124" si="209">IF(AT117&gt;0,0,AL117)</f>
        <v>1.7119083719692174E-3</v>
      </c>
      <c r="AW117" s="82">
        <f t="shared" ref="AW117:AW124" si="210">IF(AV117="",0,AV117/$AV$139)</f>
        <v>1.8211031723699264E-3</v>
      </c>
      <c r="AX117" s="67">
        <f t="shared" ref="AX117:AX124" si="211">AW117*$AU$139</f>
        <v>5.0745595581842977</v>
      </c>
      <c r="AY117" s="210">
        <f t="shared" ref="AY117:AY124" si="212">IF(AT117=0,AS117+AX117,AT117)</f>
        <v>326.89621440467744</v>
      </c>
    </row>
    <row r="118" spans="1:51" x14ac:dyDescent="0.2">
      <c r="A118" s="63" t="s">
        <v>8</v>
      </c>
      <c r="B118" s="63" t="s">
        <v>90</v>
      </c>
      <c r="C118" s="63"/>
      <c r="D118" s="64">
        <f>('SCS Input'!C113/'SCS Input'!C$134)</f>
        <v>4.8931963695920489E-4</v>
      </c>
      <c r="E118" s="65">
        <f t="shared" si="183"/>
        <v>64.391038986372649</v>
      </c>
      <c r="F118" s="66">
        <f>('SCS Input'!D113/'SCS Input'!D$134)</f>
        <v>1.2464969905887796E-3</v>
      </c>
      <c r="G118" s="65">
        <f t="shared" si="184"/>
        <v>70.298690778235411</v>
      </c>
      <c r="H118" s="58"/>
      <c r="I118" s="83">
        <v>485</v>
      </c>
      <c r="J118" s="68">
        <f t="shared" si="185"/>
        <v>0.13276502883788174</v>
      </c>
      <c r="K118" s="58"/>
      <c r="L118" s="69">
        <f t="shared" si="186"/>
        <v>1.8797283889371201E-3</v>
      </c>
      <c r="M118" s="69" t="str">
        <f t="shared" si="187"/>
        <v/>
      </c>
      <c r="N118" s="69">
        <f t="shared" si="188"/>
        <v>1.8902486553901312E-3</v>
      </c>
      <c r="O118" s="58"/>
      <c r="P118" s="67">
        <f t="shared" si="189"/>
        <v>0</v>
      </c>
      <c r="Q118" s="67">
        <f t="shared" si="190"/>
        <v>1.1274085572115322</v>
      </c>
      <c r="R118" s="202">
        <f t="shared" si="191"/>
        <v>71.426099335446949</v>
      </c>
      <c r="S118" s="58"/>
      <c r="T118" s="71">
        <f>VLOOKUP($B118,'Scoring Summary'!$B$5:$O$129,12,FALSE)</f>
        <v>0.33333333333333331</v>
      </c>
      <c r="U118" s="72">
        <f t="shared" si="192"/>
        <v>23.808699778482314</v>
      </c>
      <c r="V118" s="73">
        <f>VLOOKUP($B118,'Scoring Summary'!$B$5:$O$129,13,FALSE)</f>
        <v>-9.8765432098765385E-2</v>
      </c>
      <c r="W118" s="72">
        <f t="shared" si="193"/>
        <v>-7.0544295639947574</v>
      </c>
      <c r="X118" s="73">
        <f>VLOOKUP($B118,'Scoring Summary'!$B$5:$O$129,14,FALSE)</f>
        <v>-0.17679149973220787</v>
      </c>
      <c r="Y118" s="72">
        <f t="shared" si="194"/>
        <v>-12.627527221535322</v>
      </c>
      <c r="Z118" s="74">
        <f t="shared" si="195"/>
        <v>4.1267429929522326</v>
      </c>
      <c r="AA118" s="67">
        <f t="shared" si="196"/>
        <v>75.55284232839918</v>
      </c>
      <c r="AB118" s="70">
        <f t="shared" si="197"/>
        <v>67.881816234049367</v>
      </c>
      <c r="AC118" s="58"/>
      <c r="AD118" s="75">
        <f>$E118+AB118</f>
        <v>132.272855220422</v>
      </c>
      <c r="AE118" s="68">
        <f t="shared" si="199"/>
        <v>0.27272753653695259</v>
      </c>
      <c r="AF118" s="67">
        <f t="shared" si="200"/>
        <v>0</v>
      </c>
      <c r="AG118" s="67">
        <f t="shared" si="201"/>
        <v>0</v>
      </c>
      <c r="AH118" s="67">
        <f t="shared" si="202"/>
        <v>194</v>
      </c>
      <c r="AI118" s="58"/>
      <c r="AJ118" s="76">
        <f t="shared" si="203"/>
        <v>194</v>
      </c>
      <c r="AK118" s="68">
        <f t="shared" si="204"/>
        <v>0.4</v>
      </c>
      <c r="AL118" s="77">
        <f t="shared" si="151"/>
        <v>1.0319697856268951E-3</v>
      </c>
      <c r="AM118" s="58"/>
      <c r="AN118" s="83">
        <v>728</v>
      </c>
      <c r="AO118" s="78">
        <f t="shared" si="205"/>
        <v>3.393939393939394E-3</v>
      </c>
      <c r="AP118" s="58"/>
      <c r="AQ118" s="79">
        <v>-0.32769549369160195</v>
      </c>
      <c r="AR118" s="58"/>
      <c r="AS118" s="80">
        <f t="shared" si="206"/>
        <v>194</v>
      </c>
      <c r="AT118" s="81">
        <f t="shared" si="207"/>
        <v>0</v>
      </c>
      <c r="AU118" s="81">
        <f t="shared" si="208"/>
        <v>0</v>
      </c>
      <c r="AV118" s="82">
        <f t="shared" si="209"/>
        <v>1.0319697856268951E-3</v>
      </c>
      <c r="AW118" s="82">
        <f t="shared" si="210"/>
        <v>1.0977944153829071E-3</v>
      </c>
      <c r="AX118" s="67">
        <f t="shared" si="211"/>
        <v>3.0590376361010789</v>
      </c>
      <c r="AY118" s="210">
        <f t="shared" si="212"/>
        <v>197.05903763610107</v>
      </c>
    </row>
    <row r="119" spans="1:51" x14ac:dyDescent="0.2">
      <c r="A119" s="63" t="s">
        <v>8</v>
      </c>
      <c r="B119" s="63" t="s">
        <v>91</v>
      </c>
      <c r="C119" s="63"/>
      <c r="D119" s="64">
        <f>('SCS Input'!C114/'SCS Input'!C$134)</f>
        <v>2.0283750204059904E-2</v>
      </c>
      <c r="E119" s="65">
        <f t="shared" si="183"/>
        <v>2669.199540602855</v>
      </c>
      <c r="F119" s="66">
        <f>('SCS Input'!D114/'SCS Input'!D$134)</f>
        <v>1.4090534694245276E-2</v>
      </c>
      <c r="G119" s="65">
        <f t="shared" si="184"/>
        <v>794.66388515135088</v>
      </c>
      <c r="H119" s="58"/>
      <c r="I119" s="67">
        <v>3001</v>
      </c>
      <c r="J119" s="68">
        <f t="shared" si="185"/>
        <v>0.88943670130051811</v>
      </c>
      <c r="K119" s="58"/>
      <c r="L119" s="69">
        <f t="shared" si="186"/>
        <v>1.1631061639588243E-2</v>
      </c>
      <c r="M119" s="69" t="str">
        <f t="shared" si="187"/>
        <v/>
      </c>
      <c r="N119" s="69">
        <f t="shared" si="188"/>
        <v>1.169615714397069E-2</v>
      </c>
      <c r="O119" s="58"/>
      <c r="P119" s="67">
        <f t="shared" si="189"/>
        <v>0</v>
      </c>
      <c r="Q119" s="67">
        <f t="shared" si="190"/>
        <v>6.9759857323542445</v>
      </c>
      <c r="R119" s="202">
        <f t="shared" si="191"/>
        <v>801.63987088370516</v>
      </c>
      <c r="S119" s="58"/>
      <c r="T119" s="71">
        <f>VLOOKUP($B119,'Scoring Summary'!$B$5:$O$129,12,FALSE)</f>
        <v>-8.2437275985663083E-2</v>
      </c>
      <c r="U119" s="72">
        <f t="shared" si="192"/>
        <v>-66.08500727715132</v>
      </c>
      <c r="V119" s="73">
        <f>VLOOKUP($B119,'Scoring Summary'!$B$5:$O$129,13,FALSE)</f>
        <v>0.32098765432098764</v>
      </c>
      <c r="W119" s="72">
        <f t="shared" si="193"/>
        <v>257.31650176513989</v>
      </c>
      <c r="X119" s="73">
        <f>VLOOKUP($B119,'Scoring Summary'!$B$5:$O$129,14,FALSE)</f>
        <v>-2.5047120652442818E-2</v>
      </c>
      <c r="Y119" s="72">
        <f t="shared" si="194"/>
        <v>-20.078770565832844</v>
      </c>
      <c r="Z119" s="74">
        <f t="shared" si="195"/>
        <v>171.15272392215573</v>
      </c>
      <c r="AA119" s="67">
        <f t="shared" si="196"/>
        <v>972.79259480586086</v>
      </c>
      <c r="AB119" s="70">
        <f t="shared" si="197"/>
        <v>874.0230826449523</v>
      </c>
      <c r="AC119" s="58"/>
      <c r="AD119" s="75">
        <f t="shared" si="198"/>
        <v>3543.2226232478074</v>
      </c>
      <c r="AE119" s="68">
        <f t="shared" si="199"/>
        <v>1.1806806475334246</v>
      </c>
      <c r="AF119" s="67">
        <f t="shared" si="200"/>
        <v>3543.2226232478074</v>
      </c>
      <c r="AG119" s="67">
        <f t="shared" si="201"/>
        <v>3435.8675726640222</v>
      </c>
      <c r="AH119" s="67">
        <f t="shared" si="202"/>
        <v>0</v>
      </c>
      <c r="AI119" s="58"/>
      <c r="AJ119" s="76">
        <f t="shared" si="203"/>
        <v>3435.8675726640222</v>
      </c>
      <c r="AK119" s="68">
        <f t="shared" si="204"/>
        <v>1.1449075550363286</v>
      </c>
      <c r="AL119" s="77">
        <f t="shared" si="151"/>
        <v>1.8276863517548928E-2</v>
      </c>
      <c r="AM119" s="58"/>
      <c r="AN119" s="67">
        <v>3796</v>
      </c>
      <c r="AO119" s="78">
        <f t="shared" si="205"/>
        <v>1.7696969696969697E-2</v>
      </c>
      <c r="AP119" s="58"/>
      <c r="AQ119" s="79">
        <v>-6.3083658959572866E-2</v>
      </c>
      <c r="AR119" s="58"/>
      <c r="AS119" s="80">
        <f t="shared" si="206"/>
        <v>3435.8675726640222</v>
      </c>
      <c r="AT119" s="81">
        <f t="shared" si="207"/>
        <v>0</v>
      </c>
      <c r="AU119" s="81">
        <f t="shared" si="208"/>
        <v>0</v>
      </c>
      <c r="AV119" s="82">
        <f t="shared" si="209"/>
        <v>1.8276863517548928E-2</v>
      </c>
      <c r="AW119" s="82">
        <f t="shared" si="210"/>
        <v>1.9442660996215409E-2</v>
      </c>
      <c r="AX119" s="67">
        <f t="shared" si="211"/>
        <v>54.177568131126314</v>
      </c>
      <c r="AY119" s="210">
        <f t="shared" si="212"/>
        <v>3490.0451407951487</v>
      </c>
    </row>
    <row r="120" spans="1:51" x14ac:dyDescent="0.2">
      <c r="A120" s="63" t="s">
        <v>8</v>
      </c>
      <c r="B120" s="63" t="s">
        <v>92</v>
      </c>
      <c r="C120" s="63"/>
      <c r="D120" s="64">
        <f>('SCS Input'!C115/'SCS Input'!C$134)</f>
        <v>6.8178976584382263E-4</v>
      </c>
      <c r="E120" s="65">
        <f t="shared" si="183"/>
        <v>89.718760656686158</v>
      </c>
      <c r="F120" s="66">
        <f>('SCS Input'!D115/'SCS Input'!D$134)</f>
        <v>2.854322344290606E-4</v>
      </c>
      <c r="G120" s="65">
        <f t="shared" si="184"/>
        <v>16.097521725095731</v>
      </c>
      <c r="H120" s="58"/>
      <c r="I120" s="83">
        <v>242</v>
      </c>
      <c r="J120" s="68">
        <f t="shared" si="185"/>
        <v>0.37073868039952956</v>
      </c>
      <c r="K120" s="58"/>
      <c r="L120" s="69">
        <f t="shared" si="186"/>
        <v>9.3792633015006826E-4</v>
      </c>
      <c r="M120" s="69" t="str">
        <f t="shared" si="187"/>
        <v/>
      </c>
      <c r="N120" s="69">
        <f t="shared" si="188"/>
        <v>9.4317561774105523E-4</v>
      </c>
      <c r="O120" s="58"/>
      <c r="P120" s="67">
        <f t="shared" si="189"/>
        <v>0</v>
      </c>
      <c r="Q120" s="67">
        <f t="shared" si="190"/>
        <v>0.56254200174266145</v>
      </c>
      <c r="R120" s="202">
        <f t="shared" si="191"/>
        <v>16.660063726838391</v>
      </c>
      <c r="S120" s="58"/>
      <c r="T120" s="71">
        <f>VLOOKUP($B120,'Scoring Summary'!$B$5:$O$129,12,FALSE)</f>
        <v>0.18279569892473119</v>
      </c>
      <c r="U120" s="72">
        <f t="shared" si="192"/>
        <v>3.0453879930779855</v>
      </c>
      <c r="V120" s="73">
        <f>VLOOKUP($B120,'Scoring Summary'!$B$5:$O$129,13,FALSE)</f>
        <v>-0.24691358024691359</v>
      </c>
      <c r="W120" s="72">
        <f t="shared" si="193"/>
        <v>-4.1135959819354051</v>
      </c>
      <c r="X120" s="73">
        <f>VLOOKUP($B120,'Scoring Summary'!$B$5:$O$129,14,FALSE)</f>
        <v>-0.19023701659004005</v>
      </c>
      <c r="Y120" s="72">
        <f t="shared" si="194"/>
        <v>-3.1693608195936798</v>
      </c>
      <c r="Z120" s="74">
        <f t="shared" si="195"/>
        <v>-4.2375688084510994</v>
      </c>
      <c r="AA120" s="67">
        <f t="shared" si="196"/>
        <v>12.422494918387292</v>
      </c>
      <c r="AB120" s="70">
        <f t="shared" si="197"/>
        <v>11.161215001720839</v>
      </c>
      <c r="AC120" s="58"/>
      <c r="AD120" s="75">
        <f t="shared" si="198"/>
        <v>100.87997565840699</v>
      </c>
      <c r="AE120" s="68">
        <f t="shared" si="199"/>
        <v>0.41685940354713635</v>
      </c>
      <c r="AF120" s="67">
        <f t="shared" si="200"/>
        <v>100.87997565840699</v>
      </c>
      <c r="AG120" s="67">
        <f t="shared" si="201"/>
        <v>97.823443218519728</v>
      </c>
      <c r="AH120" s="67">
        <f t="shared" si="202"/>
        <v>0</v>
      </c>
      <c r="AI120" s="58"/>
      <c r="AJ120" s="76">
        <f t="shared" si="203"/>
        <v>97.823443218519728</v>
      </c>
      <c r="AK120" s="68">
        <f t="shared" si="204"/>
        <v>0.40422910420875918</v>
      </c>
      <c r="AL120" s="77">
        <f t="shared" si="151"/>
        <v>5.2036514292526067E-4</v>
      </c>
      <c r="AM120" s="58"/>
      <c r="AN120" s="67">
        <v>1219</v>
      </c>
      <c r="AO120" s="78">
        <f t="shared" si="205"/>
        <v>5.6829836829836826E-3</v>
      </c>
      <c r="AP120" s="58"/>
      <c r="AQ120" s="79">
        <v>-0.67266003074282943</v>
      </c>
      <c r="AR120" s="58"/>
      <c r="AS120" s="80">
        <f t="shared" si="206"/>
        <v>97.823443218519728</v>
      </c>
      <c r="AT120" s="81">
        <f t="shared" si="207"/>
        <v>0</v>
      </c>
      <c r="AU120" s="81">
        <f t="shared" si="208"/>
        <v>0</v>
      </c>
      <c r="AV120" s="82">
        <f t="shared" si="209"/>
        <v>5.2036514292526067E-4</v>
      </c>
      <c r="AW120" s="82">
        <f t="shared" si="210"/>
        <v>5.5355685391143253E-4</v>
      </c>
      <c r="AX120" s="67">
        <f t="shared" si="211"/>
        <v>1.5425030644249937</v>
      </c>
      <c r="AY120" s="210">
        <f t="shared" si="212"/>
        <v>99.365946282944719</v>
      </c>
    </row>
    <row r="121" spans="1:51" x14ac:dyDescent="0.2">
      <c r="A121" s="63" t="s">
        <v>8</v>
      </c>
      <c r="B121" s="63" t="s">
        <v>93</v>
      </c>
      <c r="C121" s="63"/>
      <c r="D121" s="64">
        <f>('SCS Input'!C116/'SCS Input'!C$134)</f>
        <v>1.9621464192908587E-3</v>
      </c>
      <c r="E121" s="65">
        <f t="shared" si="183"/>
        <v>258.20473375374195</v>
      </c>
      <c r="F121" s="66">
        <f>('SCS Input'!D116/'SCS Input'!D$134)</f>
        <v>2.2203050298936398E-3</v>
      </c>
      <c r="G121" s="65">
        <f t="shared" si="184"/>
        <v>125.21854277091161</v>
      </c>
      <c r="H121" s="58"/>
      <c r="I121" s="83">
        <v>785</v>
      </c>
      <c r="J121" s="68">
        <f t="shared" si="185"/>
        <v>0.32892322771177318</v>
      </c>
      <c r="K121" s="58"/>
      <c r="L121" s="69">
        <f t="shared" si="186"/>
        <v>3.0424469800322462E-3</v>
      </c>
      <c r="M121" s="69" t="str">
        <f t="shared" si="187"/>
        <v/>
      </c>
      <c r="N121" s="69">
        <f t="shared" si="188"/>
        <v>3.0594746277963982E-3</v>
      </c>
      <c r="O121" s="58"/>
      <c r="P121" s="67">
        <f t="shared" si="189"/>
        <v>0</v>
      </c>
      <c r="Q121" s="67">
        <f t="shared" si="190"/>
        <v>1.8247746750743357</v>
      </c>
      <c r="R121" s="202">
        <f t="shared" si="191"/>
        <v>127.04331744598595</v>
      </c>
      <c r="S121" s="58"/>
      <c r="T121" s="71">
        <f>VLOOKUP($B121,'Scoring Summary'!$B$5:$O$129,12,FALSE)</f>
        <v>0.11111111111111105</v>
      </c>
      <c r="U121" s="72">
        <f t="shared" si="192"/>
        <v>14.115924160665097</v>
      </c>
      <c r="V121" s="73">
        <f>VLOOKUP($B121,'Scoring Summary'!$B$5:$O$129,13,FALSE)</f>
        <v>-0.25308641975308638</v>
      </c>
      <c r="W121" s="72">
        <f t="shared" si="193"/>
        <v>-32.1529383659594</v>
      </c>
      <c r="X121" s="73">
        <f>VLOOKUP($B121,'Scoring Summary'!$B$5:$O$129,14,FALSE)</f>
        <v>3.8555543770509688E-2</v>
      </c>
      <c r="Y121" s="72">
        <f t="shared" si="194"/>
        <v>4.8982241865394682</v>
      </c>
      <c r="Z121" s="74">
        <f t="shared" si="195"/>
        <v>-13.138790018754836</v>
      </c>
      <c r="AA121" s="67">
        <f t="shared" si="196"/>
        <v>113.90452742723112</v>
      </c>
      <c r="AB121" s="70">
        <f t="shared" si="197"/>
        <v>102.33958062667323</v>
      </c>
      <c r="AC121" s="58"/>
      <c r="AD121" s="75">
        <f t="shared" si="198"/>
        <v>360.54431438041519</v>
      </c>
      <c r="AE121" s="68">
        <f t="shared" si="199"/>
        <v>0.45929212022982824</v>
      </c>
      <c r="AF121" s="67">
        <f t="shared" si="200"/>
        <v>360.54431438041519</v>
      </c>
      <c r="AG121" s="67">
        <f t="shared" si="201"/>
        <v>349.62028921359502</v>
      </c>
      <c r="AH121" s="67">
        <f t="shared" si="202"/>
        <v>0</v>
      </c>
      <c r="AI121" s="58"/>
      <c r="AJ121" s="76">
        <f t="shared" si="203"/>
        <v>349.62028921359502</v>
      </c>
      <c r="AK121" s="68">
        <f t="shared" si="204"/>
        <v>0.44537616460330576</v>
      </c>
      <c r="AL121" s="77">
        <f t="shared" si="151"/>
        <v>1.8597813139719936E-3</v>
      </c>
      <c r="AM121" s="58"/>
      <c r="AN121" s="83">
        <v>610</v>
      </c>
      <c r="AO121" s="78">
        <f t="shared" si="205"/>
        <v>2.8438228438228438E-3</v>
      </c>
      <c r="AP121" s="58"/>
      <c r="AQ121" s="79">
        <v>-0.27711570331899887</v>
      </c>
      <c r="AR121" s="58"/>
      <c r="AS121" s="80">
        <f t="shared" si="206"/>
        <v>349.62028921359502</v>
      </c>
      <c r="AT121" s="81">
        <f t="shared" si="207"/>
        <v>0</v>
      </c>
      <c r="AU121" s="81">
        <f t="shared" si="208"/>
        <v>0</v>
      </c>
      <c r="AV121" s="82">
        <f t="shared" si="209"/>
        <v>1.8597813139719936E-3</v>
      </c>
      <c r="AW121" s="82">
        <f t="shared" si="210"/>
        <v>1.9784082525940287E-3</v>
      </c>
      <c r="AX121" s="67">
        <f t="shared" si="211"/>
        <v>5.5128949641697496</v>
      </c>
      <c r="AY121" s="210">
        <f t="shared" si="212"/>
        <v>355.13318417776475</v>
      </c>
    </row>
    <row r="122" spans="1:51" x14ac:dyDescent="0.2">
      <c r="A122" s="63" t="s">
        <v>8</v>
      </c>
      <c r="B122" s="63" t="s">
        <v>94</v>
      </c>
      <c r="C122" s="63"/>
      <c r="D122" s="64">
        <f>('SCS Input'!C117/'SCS Input'!C$134)</f>
        <v>1.4689820120366997E-3</v>
      </c>
      <c r="E122" s="65">
        <f t="shared" si="183"/>
        <v>193.30774990994541</v>
      </c>
      <c r="F122" s="66">
        <f>('SCS Input'!D117/'SCS Input'!D$134)</f>
        <v>1.5852576399781163E-2</v>
      </c>
      <c r="G122" s="65">
        <f t="shared" si="184"/>
        <v>894.03775121845842</v>
      </c>
      <c r="H122" s="58"/>
      <c r="I122" s="67">
        <v>2669</v>
      </c>
      <c r="J122" s="68">
        <f t="shared" si="185"/>
        <v>7.2427032562737137E-2</v>
      </c>
      <c r="K122" s="58"/>
      <c r="L122" s="69">
        <f t="shared" si="186"/>
        <v>1.0344319732109636E-2</v>
      </c>
      <c r="M122" s="69" t="str">
        <f t="shared" si="187"/>
        <v/>
      </c>
      <c r="N122" s="69">
        <f t="shared" si="188"/>
        <v>1.0402213734507754E-2</v>
      </c>
      <c r="O122" s="58"/>
      <c r="P122" s="67">
        <f t="shared" si="189"/>
        <v>0</v>
      </c>
      <c r="Q122" s="67">
        <f t="shared" si="190"/>
        <v>6.2042338952527407</v>
      </c>
      <c r="R122" s="202">
        <f t="shared" si="191"/>
        <v>900.24198511371117</v>
      </c>
      <c r="S122" s="58"/>
      <c r="T122" s="71">
        <f>VLOOKUP($B122,'Scoring Summary'!$B$5:$O$129,12,FALSE)</f>
        <v>-0.27598566308243727</v>
      </c>
      <c r="U122" s="72">
        <f t="shared" si="192"/>
        <v>-248.45388119625719</v>
      </c>
      <c r="V122" s="73">
        <f>VLOOKUP($B122,'Scoring Summary'!$B$5:$O$129,13,FALSE)</f>
        <v>0.20370370370370366</v>
      </c>
      <c r="W122" s="72">
        <f t="shared" si="193"/>
        <v>183.38262659723742</v>
      </c>
      <c r="X122" s="73">
        <f>VLOOKUP($B122,'Scoring Summary'!$B$5:$O$129,14,FALSE)</f>
        <v>-2.5426986430072036E-2</v>
      </c>
      <c r="Y122" s="72">
        <f t="shared" si="194"/>
        <v>-22.890440739267444</v>
      </c>
      <c r="Z122" s="74">
        <f t="shared" si="195"/>
        <v>-87.961695338287214</v>
      </c>
      <c r="AA122" s="67">
        <f t="shared" si="196"/>
        <v>812.28028977542397</v>
      </c>
      <c r="AB122" s="70">
        <f t="shared" si="197"/>
        <v>729.80790214890089</v>
      </c>
      <c r="AC122" s="58"/>
      <c r="AD122" s="75">
        <f t="shared" si="198"/>
        <v>923.11565205884631</v>
      </c>
      <c r="AE122" s="68">
        <f t="shared" si="199"/>
        <v>0.34586573700219048</v>
      </c>
      <c r="AF122" s="67">
        <f t="shared" si="200"/>
        <v>0</v>
      </c>
      <c r="AG122" s="67">
        <f t="shared" si="201"/>
        <v>0</v>
      </c>
      <c r="AH122" s="67">
        <f t="shared" si="202"/>
        <v>1067.6000000000001</v>
      </c>
      <c r="AI122" s="58"/>
      <c r="AJ122" s="76">
        <f t="shared" si="203"/>
        <v>1067.6000000000001</v>
      </c>
      <c r="AK122" s="68">
        <f t="shared" si="204"/>
        <v>0.40000000000000008</v>
      </c>
      <c r="AL122" s="77">
        <f t="shared" si="151"/>
        <v>5.6790254800787292E-3</v>
      </c>
      <c r="AM122" s="58"/>
      <c r="AN122" s="67">
        <v>2901</v>
      </c>
      <c r="AO122" s="78">
        <f t="shared" si="205"/>
        <v>1.3524475524475525E-2</v>
      </c>
      <c r="AP122" s="58"/>
      <c r="AQ122" s="79">
        <v>-0.4187925295056702</v>
      </c>
      <c r="AR122" s="58"/>
      <c r="AS122" s="80">
        <f t="shared" si="206"/>
        <v>1067.6000000000001</v>
      </c>
      <c r="AT122" s="81">
        <f t="shared" si="207"/>
        <v>0</v>
      </c>
      <c r="AU122" s="81">
        <f t="shared" si="208"/>
        <v>0</v>
      </c>
      <c r="AV122" s="82">
        <f t="shared" si="209"/>
        <v>5.6790254800787292E-3</v>
      </c>
      <c r="AW122" s="82">
        <f t="shared" si="210"/>
        <v>6.041264525065938E-3</v>
      </c>
      <c r="AX122" s="67">
        <f t="shared" si="211"/>
        <v>16.834167939698517</v>
      </c>
      <c r="AY122" s="210">
        <f t="shared" si="212"/>
        <v>1084.4341679396987</v>
      </c>
    </row>
    <row r="123" spans="1:51" x14ac:dyDescent="0.2">
      <c r="A123" s="63" t="s">
        <v>8</v>
      </c>
      <c r="B123" s="63" t="s">
        <v>95</v>
      </c>
      <c r="C123" s="63"/>
      <c r="D123" s="64">
        <f>('SCS Input'!C118/'SCS Input'!C$134)</f>
        <v>1.6380154535692371E-3</v>
      </c>
      <c r="E123" s="65">
        <f t="shared" si="183"/>
        <v>215.55136758153662</v>
      </c>
      <c r="F123" s="66">
        <f>('SCS Input'!D118/'SCS Input'!D$134)</f>
        <v>8.8831340514137422E-3</v>
      </c>
      <c r="G123" s="65">
        <f t="shared" si="184"/>
        <v>500.98211109758086</v>
      </c>
      <c r="H123" s="58"/>
      <c r="I123" s="67">
        <v>3352</v>
      </c>
      <c r="J123" s="68">
        <f t="shared" si="185"/>
        <v>6.4305300591150541E-2</v>
      </c>
      <c r="K123" s="58"/>
      <c r="L123" s="69">
        <f t="shared" si="186"/>
        <v>1.299144239116954E-2</v>
      </c>
      <c r="M123" s="69" t="str">
        <f t="shared" si="187"/>
        <v/>
      </c>
      <c r="N123" s="69">
        <f t="shared" si="188"/>
        <v>1.3064151531686021E-2</v>
      </c>
      <c r="O123" s="58"/>
      <c r="P123" s="67">
        <f t="shared" si="189"/>
        <v>0</v>
      </c>
      <c r="Q123" s="67">
        <f t="shared" si="190"/>
        <v>7.7919040902537233</v>
      </c>
      <c r="R123" s="202">
        <f t="shared" si="191"/>
        <v>508.77401518783461</v>
      </c>
      <c r="S123" s="58"/>
      <c r="T123" s="71">
        <f>VLOOKUP($B123,'Scoring Summary'!$B$5:$O$129,12,FALSE)</f>
        <v>-0.2186379928315412</v>
      </c>
      <c r="U123" s="72">
        <f t="shared" si="192"/>
        <v>-111.23732948551222</v>
      </c>
      <c r="V123" s="73">
        <f>VLOOKUP($B123,'Scoring Summary'!$B$5:$O$129,13,FALSE)</f>
        <v>0.22839506172839508</v>
      </c>
      <c r="W123" s="72">
        <f t="shared" si="193"/>
        <v>116.2014726046289</v>
      </c>
      <c r="X123" s="73">
        <f>VLOOKUP($B123,'Scoring Summary'!$B$5:$O$129,14,FALSE)</f>
        <v>1.151370164048965E-3</v>
      </c>
      <c r="Y123" s="72">
        <f t="shared" si="194"/>
        <v>0.58578722133066774</v>
      </c>
      <c r="Z123" s="74">
        <f t="shared" si="195"/>
        <v>5.5499303404473519</v>
      </c>
      <c r="AA123" s="67">
        <f t="shared" si="196"/>
        <v>514.32394552828191</v>
      </c>
      <c r="AB123" s="70">
        <f t="shared" si="197"/>
        <v>462.10364136093762</v>
      </c>
      <c r="AC123" s="58"/>
      <c r="AD123" s="75">
        <f t="shared" si="198"/>
        <v>677.6550089424743</v>
      </c>
      <c r="AE123" s="68">
        <f t="shared" si="199"/>
        <v>0.20216438214274293</v>
      </c>
      <c r="AF123" s="67">
        <f t="shared" si="200"/>
        <v>0</v>
      </c>
      <c r="AG123" s="67">
        <f t="shared" si="201"/>
        <v>0</v>
      </c>
      <c r="AH123" s="67">
        <f t="shared" si="202"/>
        <v>1340.8000000000002</v>
      </c>
      <c r="AI123" s="58"/>
      <c r="AJ123" s="76">
        <f t="shared" si="203"/>
        <v>1340.8000000000002</v>
      </c>
      <c r="AK123" s="68">
        <f t="shared" si="204"/>
        <v>0.40000000000000008</v>
      </c>
      <c r="AL123" s="77">
        <f t="shared" si="151"/>
        <v>7.1322942709718621E-3</v>
      </c>
      <c r="AM123" s="58"/>
      <c r="AN123" s="67">
        <v>3100</v>
      </c>
      <c r="AO123" s="78">
        <f t="shared" si="205"/>
        <v>1.4452214452214453E-2</v>
      </c>
      <c r="AP123" s="58"/>
      <c r="AQ123" s="79">
        <v>-0.28695894301703739</v>
      </c>
      <c r="AR123" s="58"/>
      <c r="AS123" s="80">
        <f t="shared" si="206"/>
        <v>1340.8000000000002</v>
      </c>
      <c r="AT123" s="81">
        <f t="shared" si="207"/>
        <v>0</v>
      </c>
      <c r="AU123" s="81">
        <f t="shared" si="208"/>
        <v>0</v>
      </c>
      <c r="AV123" s="82">
        <f t="shared" si="209"/>
        <v>7.1322942709718621E-3</v>
      </c>
      <c r="AW123" s="82">
        <f t="shared" si="210"/>
        <v>7.5872306811618677E-3</v>
      </c>
      <c r="AX123" s="67">
        <f t="shared" si="211"/>
        <v>21.142049806620246</v>
      </c>
      <c r="AY123" s="210">
        <f t="shared" si="212"/>
        <v>1361.9420498066204</v>
      </c>
    </row>
    <row r="124" spans="1:51" x14ac:dyDescent="0.2">
      <c r="A124" s="63" t="s">
        <v>8</v>
      </c>
      <c r="B124" s="63" t="s">
        <v>111</v>
      </c>
      <c r="C124" s="63"/>
      <c r="D124" s="64">
        <f>('SCS Input'!C119/'SCS Input'!C$134)</f>
        <v>1.9383113899957955E-6</v>
      </c>
      <c r="E124" s="65">
        <f t="shared" si="183"/>
        <v>0.25506821074371672</v>
      </c>
      <c r="F124" s="66">
        <f>('SCS Input'!D119/'SCS Input'!D$134)</f>
        <v>1.280503486494825E-3</v>
      </c>
      <c r="G124" s="65">
        <f t="shared" si="184"/>
        <v>72.21655512784865</v>
      </c>
      <c r="H124" s="58"/>
      <c r="I124" s="83">
        <v>379</v>
      </c>
      <c r="J124" s="68">
        <f t="shared" si="185"/>
        <v>6.7300319457445044E-4</v>
      </c>
      <c r="K124" s="58"/>
      <c r="L124" s="69">
        <f t="shared" si="186"/>
        <v>1.4689011534168423E-3</v>
      </c>
      <c r="M124" s="69" t="str">
        <f t="shared" si="187"/>
        <v/>
      </c>
      <c r="N124" s="69">
        <f t="shared" si="188"/>
        <v>1.477122145139917E-3</v>
      </c>
      <c r="O124" s="58"/>
      <c r="P124" s="67">
        <f t="shared" si="189"/>
        <v>0</v>
      </c>
      <c r="Q124" s="67">
        <f t="shared" si="190"/>
        <v>0.88100586223334165</v>
      </c>
      <c r="R124" s="202">
        <f t="shared" si="191"/>
        <v>73.097560990081988</v>
      </c>
      <c r="S124" s="58"/>
      <c r="T124" s="71">
        <f>VLOOKUP($B124,'Scoring Summary'!$B$5:$O$129,12,FALSE)</f>
        <v>0.13261648745519711</v>
      </c>
      <c r="U124" s="72">
        <f t="shared" si="192"/>
        <v>9.693941780046714</v>
      </c>
      <c r="V124" s="73">
        <f>VLOOKUP($B124,'Scoring Summary'!$B$5:$O$129,13,FALSE)</f>
        <v>-6.1728395061728343E-2</v>
      </c>
      <c r="W124" s="72">
        <f t="shared" si="193"/>
        <v>-4.5121951228445631</v>
      </c>
      <c r="X124" s="73">
        <f>VLOOKUP($B124,'Scoring Summary'!$B$5:$O$129,14,FALSE)</f>
        <v>-0.13596500992027005</v>
      </c>
      <c r="Y124" s="72">
        <f t="shared" si="194"/>
        <v>-9.9387106051640419</v>
      </c>
      <c r="Z124" s="74">
        <f t="shared" si="195"/>
        <v>-4.756963947961891</v>
      </c>
      <c r="AA124" s="67">
        <f t="shared" si="196"/>
        <v>68.340597042120095</v>
      </c>
      <c r="AB124" s="70">
        <f t="shared" si="197"/>
        <v>61.40184415000693</v>
      </c>
      <c r="AC124" s="58"/>
      <c r="AD124" s="75">
        <f t="shared" si="198"/>
        <v>61.656912360750646</v>
      </c>
      <c r="AE124" s="68">
        <f t="shared" si="199"/>
        <v>0.16268314607058218</v>
      </c>
      <c r="AF124" s="67">
        <f t="shared" si="200"/>
        <v>0</v>
      </c>
      <c r="AG124" s="67">
        <f t="shared" si="201"/>
        <v>0</v>
      </c>
      <c r="AH124" s="67">
        <f>AD124</f>
        <v>61.656912360750646</v>
      </c>
      <c r="AI124" s="58"/>
      <c r="AJ124" s="76">
        <f t="shared" si="203"/>
        <v>61.656912360750646</v>
      </c>
      <c r="AK124" s="68">
        <f t="shared" si="204"/>
        <v>0.16268314607058218</v>
      </c>
      <c r="AL124" s="77">
        <f t="shared" si="151"/>
        <v>3.279797455223717E-4</v>
      </c>
      <c r="AM124" s="58"/>
      <c r="AN124" s="83">
        <v>99</v>
      </c>
      <c r="AO124" s="78">
        <f t="shared" si="205"/>
        <v>4.6153846153846153E-4</v>
      </c>
      <c r="AP124" s="58"/>
      <c r="AQ124" s="79">
        <v>2.52276216427971</v>
      </c>
      <c r="AR124" s="58"/>
      <c r="AS124" s="80">
        <f t="shared" si="206"/>
        <v>61.656912360750646</v>
      </c>
      <c r="AT124" s="81">
        <f t="shared" si="207"/>
        <v>0</v>
      </c>
      <c r="AU124" s="81">
        <f t="shared" si="208"/>
        <v>0</v>
      </c>
      <c r="AV124" s="82">
        <f t="shared" si="209"/>
        <v>3.279797455223717E-4</v>
      </c>
      <c r="AW124" s="82">
        <f t="shared" si="210"/>
        <v>3.489000724710588E-4</v>
      </c>
      <c r="AX124" s="67">
        <f t="shared" si="211"/>
        <v>0.97222069813052614</v>
      </c>
      <c r="AY124" s="210">
        <f t="shared" si="212"/>
        <v>62.629133058881173</v>
      </c>
    </row>
    <row r="125" spans="1:51" s="49" customFormat="1" x14ac:dyDescent="0.2">
      <c r="A125" s="84"/>
      <c r="B125" s="84"/>
      <c r="C125" s="84"/>
      <c r="D125" s="85">
        <f>SUM(D117:D124)</f>
        <v>2.8246408472857226E-2</v>
      </c>
      <c r="E125" s="86">
        <f>SUM(E117:E124)</f>
        <v>3717.0296301687008</v>
      </c>
      <c r="F125" s="85">
        <f>SUM(F117:F124)</f>
        <v>4.6432018977116365E-2</v>
      </c>
      <c r="G125" s="86">
        <f>SUM(G117:G124)</f>
        <v>2618.626574252432</v>
      </c>
      <c r="H125" s="58"/>
      <c r="I125" s="87">
        <f>SUM(I117:I124)</f>
        <v>11675</v>
      </c>
      <c r="J125" s="88"/>
      <c r="K125" s="58"/>
      <c r="L125" s="89">
        <f>I125/I$139</f>
        <v>4.5249131836785313E-2</v>
      </c>
      <c r="M125" s="90"/>
      <c r="N125" s="90"/>
      <c r="O125" s="91"/>
      <c r="P125" s="87">
        <f>SUM(P117:P124)</f>
        <v>0</v>
      </c>
      <c r="Q125" s="87">
        <f>SUM(Q117:Q124)</f>
        <v>27.1391647534941</v>
      </c>
      <c r="R125" s="203">
        <f>SUM(R117:R124)</f>
        <v>2645.7657390059258</v>
      </c>
      <c r="S125" s="58"/>
      <c r="T125" s="93"/>
      <c r="U125" s="94">
        <f>SUM(U117:U124)</f>
        <v>-378.79749644828388</v>
      </c>
      <c r="V125" s="95"/>
      <c r="W125" s="94">
        <f>SUM(W117:W124)</f>
        <v>509.97412604537283</v>
      </c>
      <c r="X125" s="95"/>
      <c r="Y125" s="94">
        <f>SUM(Y117:Y124)</f>
        <v>-89.929997339999687</v>
      </c>
      <c r="Z125" s="96">
        <f>SUM(Z117:Z124)</f>
        <v>41.246632257089253</v>
      </c>
      <c r="AA125" s="119"/>
      <c r="AB125" s="92">
        <f>SUM(AB117:AB124)</f>
        <v>2414.1948123126012</v>
      </c>
      <c r="AC125" s="58"/>
      <c r="AD125" s="97">
        <f>SUM(AD117:AD124)</f>
        <v>6131.2244424813025</v>
      </c>
      <c r="AE125" s="88"/>
      <c r="AF125" s="87">
        <f>SUM(AF117:AF124)</f>
        <v>4336.5240138988092</v>
      </c>
      <c r="AG125" s="87">
        <f>SUM(AG117:AG124)</f>
        <v>4205.1329599426299</v>
      </c>
      <c r="AH125" s="87">
        <f>SUM(AH117:AH124)</f>
        <v>2664.0569123607511</v>
      </c>
      <c r="AI125" s="58"/>
      <c r="AJ125" s="98">
        <f>SUM(AJ117:AJ124)</f>
        <v>6869.189872303381</v>
      </c>
      <c r="AK125" s="88"/>
      <c r="AL125" s="99">
        <f t="shared" si="151"/>
        <v>3.6540187628615259E-2</v>
      </c>
      <c r="AM125" s="58"/>
      <c r="AN125" s="87">
        <f>SUM(AN117:AN124)</f>
        <v>12985</v>
      </c>
      <c r="AO125" s="100">
        <f t="shared" si="205"/>
        <v>6.0536130536130536E-2</v>
      </c>
      <c r="AP125" s="58"/>
      <c r="AQ125" s="101">
        <v>-0.27119109209150383</v>
      </c>
      <c r="AR125" s="58"/>
      <c r="AS125" s="102">
        <f>AJ125</f>
        <v>6869.189872303381</v>
      </c>
      <c r="AT125" s="103">
        <f t="shared" ref="AT125:AY125" si="213">SUM(AT117:AT124)</f>
        <v>0</v>
      </c>
      <c r="AU125" s="103">
        <f t="shared" si="213"/>
        <v>0</v>
      </c>
      <c r="AV125" s="104">
        <f t="shared" si="213"/>
        <v>3.6540187628615252E-2</v>
      </c>
      <c r="AW125" s="104">
        <f t="shared" si="213"/>
        <v>3.8870918969172566E-2</v>
      </c>
      <c r="AX125" s="87">
        <f t="shared" si="213"/>
        <v>108.31500179845573</v>
      </c>
      <c r="AY125" s="211">
        <f t="shared" si="213"/>
        <v>6977.5048741018363</v>
      </c>
    </row>
    <row r="126" spans="1:51" s="49" customFormat="1" x14ac:dyDescent="0.2">
      <c r="A126" s="105"/>
      <c r="B126" s="105"/>
      <c r="C126" s="105"/>
      <c r="D126" s="106"/>
      <c r="E126" s="107"/>
      <c r="F126" s="107"/>
      <c r="G126" s="107"/>
      <c r="H126" s="58"/>
      <c r="I126" s="108"/>
      <c r="J126" s="115"/>
      <c r="K126" s="58"/>
      <c r="L126" s="109"/>
      <c r="M126" s="109"/>
      <c r="N126" s="109"/>
      <c r="O126" s="58"/>
      <c r="P126" s="108"/>
      <c r="Q126" s="108"/>
      <c r="R126" s="204"/>
      <c r="S126" s="58"/>
      <c r="T126" s="71"/>
      <c r="U126" s="72"/>
      <c r="V126" s="71"/>
      <c r="W126" s="72"/>
      <c r="X126" s="71"/>
      <c r="Y126" s="72"/>
      <c r="Z126" s="111"/>
      <c r="AA126" s="112"/>
      <c r="AB126" s="110"/>
      <c r="AC126" s="58"/>
      <c r="AD126" s="113"/>
      <c r="AE126" s="115"/>
      <c r="AF126" s="112"/>
      <c r="AG126" s="112"/>
      <c r="AH126" s="112"/>
      <c r="AI126" s="58"/>
      <c r="AJ126" s="114"/>
      <c r="AK126" s="115"/>
      <c r="AL126" s="116"/>
      <c r="AM126" s="58"/>
      <c r="AN126" s="108"/>
      <c r="AO126" s="112"/>
      <c r="AP126" s="58"/>
      <c r="AQ126" s="79"/>
      <c r="AR126" s="58"/>
      <c r="AS126" s="117"/>
      <c r="AT126" s="118"/>
      <c r="AU126" s="118"/>
      <c r="AV126" s="118"/>
      <c r="AW126" s="118"/>
      <c r="AX126" s="112"/>
      <c r="AY126" s="212"/>
    </row>
    <row r="127" spans="1:51" x14ac:dyDescent="0.2">
      <c r="A127" s="63" t="s">
        <v>9</v>
      </c>
      <c r="B127" s="63" t="s">
        <v>96</v>
      </c>
      <c r="C127" s="63"/>
      <c r="D127" s="64">
        <f>('SCS Input'!C122/'SCS Input'!C$134)</f>
        <v>1.3950052401916957E-3</v>
      </c>
      <c r="E127" s="65">
        <f t="shared" ref="E127:E136" si="214">D127*$E$10</f>
        <v>183.57292457254582</v>
      </c>
      <c r="F127" s="66">
        <f>('SCS Input'!D122/'SCS Input'!D$134)</f>
        <v>9.0270525428419143E-4</v>
      </c>
      <c r="G127" s="65">
        <f t="shared" ref="G127:G136" si="215">F127*$G$10</f>
        <v>50.909868225865551</v>
      </c>
      <c r="H127" s="58"/>
      <c r="I127" s="83">
        <v>280</v>
      </c>
      <c r="J127" s="68">
        <f t="shared" ref="J127:J136" si="216">E127/I127</f>
        <v>0.65561758775909218</v>
      </c>
      <c r="K127" s="58"/>
      <c r="L127" s="69">
        <f t="shared" ref="L127:L136" si="217">I127/I$139</f>
        <v>1.0852040183554508E-3</v>
      </c>
      <c r="M127" s="69" t="str">
        <f t="shared" ref="M127:M136" si="218">IF(J127&gt;$C$2,L127,"")</f>
        <v/>
      </c>
      <c r="N127" s="69">
        <f t="shared" ref="N127:N136" si="219">IF(M127="",L127/($L$139-$M$139),0)</f>
        <v>1.0912775742458491E-3</v>
      </c>
      <c r="O127" s="58"/>
      <c r="P127" s="67">
        <f t="shared" ref="P127:P136" si="220">IF(J127&gt;$C$2,G127,0)</f>
        <v>0</v>
      </c>
      <c r="Q127" s="67">
        <f t="shared" ref="Q127:Q136" si="221">N127*$P$139</f>
        <v>0.65087504333861657</v>
      </c>
      <c r="R127" s="202">
        <f t="shared" ref="R127:R136" si="222">(G127-P127)+Q127</f>
        <v>51.560743269204167</v>
      </c>
      <c r="S127" s="58"/>
      <c r="T127" s="71">
        <f>VLOOKUP($B127,'Scoring Summary'!$B$5:$O$129,12,FALSE)</f>
        <v>1.7921146953405014E-2</v>
      </c>
      <c r="U127" s="72">
        <f t="shared" ref="U127:U136" si="223">$R127*T127</f>
        <v>0.92402765715419632</v>
      </c>
      <c r="V127" s="73">
        <f>VLOOKUP($B127,'Scoring Summary'!$B$5:$O$129,13,FALSE)</f>
        <v>-0.3086419753086419</v>
      </c>
      <c r="W127" s="72">
        <f t="shared" ref="W127:W136" si="224">$R127*V127</f>
        <v>-15.913809650988936</v>
      </c>
      <c r="X127" s="73">
        <f>VLOOKUP($B127,'Scoring Summary'!$B$5:$O$129,14,FALSE)</f>
        <v>-6.0746007737035035E-2</v>
      </c>
      <c r="Y127" s="72">
        <f t="shared" ref="Y127:Y136" si="225">$R127*X127</f>
        <v>-3.1321093095583534</v>
      </c>
      <c r="Z127" s="74">
        <f t="shared" ref="Z127:Z136" si="226">U127+W127+Y127</f>
        <v>-18.121891303393092</v>
      </c>
      <c r="AA127" s="67">
        <f t="shared" ref="AA127:AA136" si="227">R127+Z127</f>
        <v>33.438851965811075</v>
      </c>
      <c r="AB127" s="70">
        <f t="shared" ref="AB127:AB136" si="228">AA127/AA$139*R$139</f>
        <v>30.043740702095999</v>
      </c>
      <c r="AC127" s="58"/>
      <c r="AD127" s="75">
        <f t="shared" ref="AD127:AD136" si="229">$E127+AB127</f>
        <v>213.6166652746418</v>
      </c>
      <c r="AE127" s="68">
        <f t="shared" ref="AE127:AE136" si="230">AD127/$I127</f>
        <v>0.76291666169514927</v>
      </c>
      <c r="AF127" s="67">
        <f t="shared" ref="AF127:AF136" si="231">IF(OR(AE127&lt;$C$3,$J127&gt;=$C$2),0,AD127)</f>
        <v>213.6166652746418</v>
      </c>
      <c r="AG127" s="67">
        <f t="shared" ref="AG127:AG136" si="232">AF127/AF$139*(AD$139-AH$139)</f>
        <v>207.1443573378975</v>
      </c>
      <c r="AH127" s="67">
        <f t="shared" ref="AH127:AH135" si="233">IF(AE127&lt;$C$3,$I127*$C$3,IF($J127&gt;=$C$2,$E127,0))</f>
        <v>0</v>
      </c>
      <c r="AI127" s="58"/>
      <c r="AJ127" s="76">
        <f t="shared" ref="AJ127:AJ136" si="234">SUM(AG127:AH127)</f>
        <v>207.1443573378975</v>
      </c>
      <c r="AK127" s="68">
        <f t="shared" ref="AK127:AK136" si="235">AJ127/$I127</f>
        <v>0.73980127620677683</v>
      </c>
      <c r="AL127" s="77">
        <f t="shared" si="151"/>
        <v>1.1018902991536653E-3</v>
      </c>
      <c r="AM127" s="58"/>
      <c r="AN127" s="83">
        <v>417</v>
      </c>
      <c r="AO127" s="78">
        <f t="shared" si="205"/>
        <v>1.944055944055944E-3</v>
      </c>
      <c r="AP127" s="58"/>
      <c r="AQ127" s="79">
        <v>-0.39393890083163813</v>
      </c>
      <c r="AR127" s="58"/>
      <c r="AS127" s="80">
        <f t="shared" ref="AS127:AS136" si="236">AJ127</f>
        <v>207.1443573378975</v>
      </c>
      <c r="AT127" s="81">
        <f t="shared" ref="AT127:AT136" si="237">IF(AS127&gt;AN127*1.5,AN127*1.5,0)</f>
        <v>0</v>
      </c>
      <c r="AU127" s="81">
        <f t="shared" ref="AU127:AU136" si="238">IF(AT127=0,0,AS127-AT127)</f>
        <v>0</v>
      </c>
      <c r="AV127" s="82">
        <f t="shared" ref="AV127:AV136" si="239">IF(AT127&gt;0,0,AL127)</f>
        <v>1.1018902991536653E-3</v>
      </c>
      <c r="AW127" s="82">
        <f t="shared" ref="AW127:AW136" si="240">IF(AV127="",0,AV127/$AV$139)</f>
        <v>1.1721748384722951E-3</v>
      </c>
      <c r="AX127" s="67">
        <f t="shared" ref="AX127:AX136" si="241">AW127*$AU$139</f>
        <v>3.2663009546525736</v>
      </c>
      <c r="AY127" s="210">
        <f t="shared" ref="AY127:AY136" si="242">IF(AT127=0,AS127+AX127,AT127)</f>
        <v>210.41065829255007</v>
      </c>
    </row>
    <row r="128" spans="1:51" x14ac:dyDescent="0.2">
      <c r="A128" s="63" t="s">
        <v>9</v>
      </c>
      <c r="B128" s="63" t="s">
        <v>97</v>
      </c>
      <c r="C128" s="63"/>
      <c r="D128" s="64">
        <f>('SCS Input'!C123/'SCS Input'!C$134)</f>
        <v>7.6709833413337865E-4</v>
      </c>
      <c r="E128" s="65">
        <f t="shared" si="214"/>
        <v>100.9447710836137</v>
      </c>
      <c r="F128" s="66">
        <f>('SCS Input'!D123/'SCS Input'!D$134)</f>
        <v>8.1151814938591152E-4</v>
      </c>
      <c r="G128" s="65">
        <f t="shared" si="215"/>
        <v>45.767189070917262</v>
      </c>
      <c r="H128" s="58"/>
      <c r="I128" s="83">
        <v>268</v>
      </c>
      <c r="J128" s="68">
        <f t="shared" si="216"/>
        <v>0.37665959359557349</v>
      </c>
      <c r="K128" s="58"/>
      <c r="L128" s="69">
        <f t="shared" si="217"/>
        <v>1.0386952747116459E-3</v>
      </c>
      <c r="M128" s="69" t="str">
        <f t="shared" si="218"/>
        <v/>
      </c>
      <c r="N128" s="69">
        <f t="shared" si="219"/>
        <v>1.0445085353495984E-3</v>
      </c>
      <c r="O128" s="58"/>
      <c r="P128" s="67">
        <f t="shared" si="220"/>
        <v>0</v>
      </c>
      <c r="Q128" s="67">
        <f t="shared" si="221"/>
        <v>0.62298039862410437</v>
      </c>
      <c r="R128" s="202">
        <f t="shared" si="222"/>
        <v>46.390169469541362</v>
      </c>
      <c r="S128" s="58"/>
      <c r="T128" s="71">
        <f>VLOOKUP($B128,'Scoring Summary'!$B$5:$O$129,12,FALSE)</f>
        <v>3.9426523297490988E-2</v>
      </c>
      <c r="U128" s="72">
        <f t="shared" si="223"/>
        <v>1.8290030973654277</v>
      </c>
      <c r="V128" s="73">
        <f>VLOOKUP($B128,'Scoring Summary'!$B$5:$O$129,13,FALSE)</f>
        <v>-0.1728395061728395</v>
      </c>
      <c r="W128" s="72">
        <f t="shared" si="224"/>
        <v>-8.0180539823898656</v>
      </c>
      <c r="X128" s="73">
        <f>VLOOKUP($B128,'Scoring Summary'!$B$5:$O$129,14,FALSE)</f>
        <v>4.3613848904848707E-2</v>
      </c>
      <c r="Y128" s="72">
        <f t="shared" si="225"/>
        <v>2.0232538419149027</v>
      </c>
      <c r="Z128" s="74">
        <f t="shared" si="226"/>
        <v>-4.165797043109535</v>
      </c>
      <c r="AA128" s="67">
        <f t="shared" si="227"/>
        <v>42.224372426431827</v>
      </c>
      <c r="AB128" s="70">
        <f t="shared" si="228"/>
        <v>37.937250291531647</v>
      </c>
      <c r="AC128" s="58"/>
      <c r="AD128" s="75">
        <f t="shared" si="229"/>
        <v>138.88202137514534</v>
      </c>
      <c r="AE128" s="68">
        <f t="shared" si="230"/>
        <v>0.51821649766845279</v>
      </c>
      <c r="AF128" s="67">
        <f t="shared" si="231"/>
        <v>138.88202137514534</v>
      </c>
      <c r="AG128" s="67">
        <f t="shared" si="232"/>
        <v>134.67407623162498</v>
      </c>
      <c r="AH128" s="67">
        <f t="shared" si="233"/>
        <v>0</v>
      </c>
      <c r="AI128" s="58"/>
      <c r="AJ128" s="76">
        <f t="shared" si="234"/>
        <v>134.67407623162498</v>
      </c>
      <c r="AK128" s="68">
        <f t="shared" si="235"/>
        <v>0.50251520981949616</v>
      </c>
      <c r="AL128" s="77">
        <f t="shared" si="151"/>
        <v>7.163895751456195E-4</v>
      </c>
      <c r="AM128" s="58"/>
      <c r="AN128" s="83">
        <v>257</v>
      </c>
      <c r="AO128" s="78">
        <f t="shared" si="205"/>
        <v>1.198135198135198E-3</v>
      </c>
      <c r="AP128" s="58"/>
      <c r="AQ128" s="79">
        <v>-0.48538158791457359</v>
      </c>
      <c r="AR128" s="58"/>
      <c r="AS128" s="80">
        <f t="shared" si="236"/>
        <v>134.67407623162498</v>
      </c>
      <c r="AT128" s="81">
        <f t="shared" si="237"/>
        <v>0</v>
      </c>
      <c r="AU128" s="81">
        <f t="shared" si="238"/>
        <v>0</v>
      </c>
      <c r="AV128" s="82">
        <f t="shared" si="239"/>
        <v>7.163895751456195E-4</v>
      </c>
      <c r="AW128" s="82">
        <f t="shared" si="240"/>
        <v>7.6208478754603013E-4</v>
      </c>
      <c r="AX128" s="67">
        <f t="shared" si="241"/>
        <v>2.1235725144313746</v>
      </c>
      <c r="AY128" s="210">
        <f t="shared" si="242"/>
        <v>136.79764874605635</v>
      </c>
    </row>
    <row r="129" spans="1:51" x14ac:dyDescent="0.2">
      <c r="A129" s="63" t="s">
        <v>9</v>
      </c>
      <c r="B129" s="63" t="s">
        <v>98</v>
      </c>
      <c r="C129" s="63"/>
      <c r="D129" s="64">
        <f>('SCS Input'!C124/'SCS Input'!C$134)</f>
        <v>0</v>
      </c>
      <c r="E129" s="65">
        <f t="shared" si="214"/>
        <v>0</v>
      </c>
      <c r="F129" s="66">
        <f>('SCS Input'!D124/'SCS Input'!D$134)</f>
        <v>1.0054877128903427E-3</v>
      </c>
      <c r="G129" s="65">
        <f t="shared" si="215"/>
        <v>56.706490543876662</v>
      </c>
      <c r="H129" s="58"/>
      <c r="I129" s="83">
        <v>384</v>
      </c>
      <c r="J129" s="68">
        <f t="shared" si="216"/>
        <v>0</v>
      </c>
      <c r="K129" s="58"/>
      <c r="L129" s="69">
        <f t="shared" si="217"/>
        <v>1.4882797966017612E-3</v>
      </c>
      <c r="M129" s="69" t="str">
        <f t="shared" si="218"/>
        <v/>
      </c>
      <c r="N129" s="69">
        <f t="shared" si="219"/>
        <v>1.4966092446800216E-3</v>
      </c>
      <c r="O129" s="58"/>
      <c r="P129" s="67">
        <f t="shared" si="220"/>
        <v>0</v>
      </c>
      <c r="Q129" s="67">
        <f t="shared" si="221"/>
        <v>0.89262863086438837</v>
      </c>
      <c r="R129" s="202">
        <f t="shared" si="222"/>
        <v>57.599119174741048</v>
      </c>
      <c r="S129" s="58"/>
      <c r="T129" s="71">
        <f>VLOOKUP($B129,'Scoring Summary'!$B$5:$O$129,12,FALSE)</f>
        <v>-3.9426523297491037E-2</v>
      </c>
      <c r="U129" s="72">
        <f t="shared" si="223"/>
        <v>-2.2709330140578907</v>
      </c>
      <c r="V129" s="73">
        <f>VLOOKUP($B129,'Scoring Summary'!$B$5:$O$129,13,FALSE)</f>
        <v>-4.3209876543209826E-2</v>
      </c>
      <c r="W129" s="72">
        <f t="shared" si="224"/>
        <v>-2.4888508285381903</v>
      </c>
      <c r="X129" s="73">
        <f>VLOOKUP($B129,'Scoring Summary'!$B$5:$O$129,14,FALSE)</f>
        <v>-6.2330839045119615E-2</v>
      </c>
      <c r="Y129" s="72">
        <f t="shared" si="225"/>
        <v>-3.5902014264214475</v>
      </c>
      <c r="Z129" s="74">
        <f t="shared" si="226"/>
        <v>-8.3499852690175285</v>
      </c>
      <c r="AA129" s="67">
        <f t="shared" si="227"/>
        <v>49.249133905723518</v>
      </c>
      <c r="AB129" s="70">
        <f t="shared" si="228"/>
        <v>44.248774161839634</v>
      </c>
      <c r="AC129" s="58"/>
      <c r="AD129" s="75">
        <f t="shared" si="229"/>
        <v>44.248774161839634</v>
      </c>
      <c r="AE129" s="68">
        <f t="shared" si="230"/>
        <v>0.11523118271312405</v>
      </c>
      <c r="AF129" s="67">
        <f t="shared" si="231"/>
        <v>0</v>
      </c>
      <c r="AG129" s="67">
        <f t="shared" si="232"/>
        <v>0</v>
      </c>
      <c r="AH129" s="67">
        <f t="shared" si="233"/>
        <v>153.60000000000002</v>
      </c>
      <c r="AI129" s="58"/>
      <c r="AJ129" s="76">
        <f t="shared" si="234"/>
        <v>153.60000000000002</v>
      </c>
      <c r="AK129" s="68">
        <f t="shared" si="235"/>
        <v>0.40000000000000008</v>
      </c>
      <c r="AL129" s="77">
        <f t="shared" si="151"/>
        <v>8.170647374860367E-4</v>
      </c>
      <c r="AM129" s="58"/>
      <c r="AN129" s="83">
        <v>331</v>
      </c>
      <c r="AO129" s="78">
        <f t="shared" si="205"/>
        <v>1.5431235431235431E-3</v>
      </c>
      <c r="AP129" s="58"/>
      <c r="AQ129" s="79">
        <v>-0.2671408682374844</v>
      </c>
      <c r="AR129" s="58"/>
      <c r="AS129" s="80">
        <f t="shared" si="236"/>
        <v>153.60000000000002</v>
      </c>
      <c r="AT129" s="81">
        <f t="shared" si="237"/>
        <v>0</v>
      </c>
      <c r="AU129" s="81">
        <f t="shared" si="238"/>
        <v>0</v>
      </c>
      <c r="AV129" s="82">
        <f t="shared" si="239"/>
        <v>8.170647374860367E-4</v>
      </c>
      <c r="AW129" s="82">
        <f t="shared" si="240"/>
        <v>8.6918155774646697E-4</v>
      </c>
      <c r="AX129" s="67">
        <f t="shared" si="241"/>
        <v>2.4220009325006489</v>
      </c>
      <c r="AY129" s="210">
        <f t="shared" si="242"/>
        <v>156.02200093250067</v>
      </c>
    </row>
    <row r="130" spans="1:51" x14ac:dyDescent="0.2">
      <c r="A130" s="63" t="s">
        <v>9</v>
      </c>
      <c r="B130" s="63" t="s">
        <v>99</v>
      </c>
      <c r="C130" s="63"/>
      <c r="D130" s="64">
        <f>('SCS Input'!C125/'SCS Input'!C$134)</f>
        <v>3.2121611884232339E-3</v>
      </c>
      <c r="E130" s="65">
        <f t="shared" si="214"/>
        <v>422.6979272681786</v>
      </c>
      <c r="F130" s="66">
        <f>('SCS Input'!D125/'SCS Input'!D$134)</f>
        <v>5.0412658727700876E-3</v>
      </c>
      <c r="G130" s="65">
        <f t="shared" si="215"/>
        <v>284.31227142661464</v>
      </c>
      <c r="H130" s="58"/>
      <c r="I130" s="67">
        <v>1824</v>
      </c>
      <c r="J130" s="68">
        <f t="shared" si="216"/>
        <v>0.23174228468650143</v>
      </c>
      <c r="K130" s="58"/>
      <c r="L130" s="69">
        <f t="shared" si="217"/>
        <v>7.069329033858365E-3</v>
      </c>
      <c r="M130" s="69" t="str">
        <f t="shared" si="218"/>
        <v/>
      </c>
      <c r="N130" s="69">
        <f t="shared" si="219"/>
        <v>7.108893912230102E-3</v>
      </c>
      <c r="O130" s="58"/>
      <c r="P130" s="67">
        <f t="shared" si="220"/>
        <v>0</v>
      </c>
      <c r="Q130" s="67">
        <f t="shared" si="221"/>
        <v>4.2399859966058449</v>
      </c>
      <c r="R130" s="202">
        <f t="shared" si="222"/>
        <v>288.55225742322051</v>
      </c>
      <c r="S130" s="58"/>
      <c r="T130" s="71">
        <f>VLOOKUP($B130,'Scoring Summary'!$B$5:$O$129,12,FALSE)</f>
        <v>-0.13978494623655913</v>
      </c>
      <c r="U130" s="72">
        <f t="shared" si="223"/>
        <v>-40.335261790342649</v>
      </c>
      <c r="V130" s="73">
        <f>VLOOKUP($B130,'Scoring Summary'!$B$5:$O$129,13,FALSE)</f>
        <v>0.16666666666666666</v>
      </c>
      <c r="W130" s="72">
        <f t="shared" si="224"/>
        <v>48.09204290387008</v>
      </c>
      <c r="X130" s="73">
        <f>VLOOKUP($B130,'Scoring Summary'!$B$5:$O$129,14,FALSE)</f>
        <v>-2.5661822410446719E-2</v>
      </c>
      <c r="Y130" s="72">
        <f t="shared" si="225"/>
        <v>-7.404776786128191</v>
      </c>
      <c r="Z130" s="74">
        <f t="shared" si="226"/>
        <v>0.35200432739924015</v>
      </c>
      <c r="AA130" s="67">
        <f t="shared" si="227"/>
        <v>288.90426175061975</v>
      </c>
      <c r="AB130" s="70">
        <f t="shared" si="228"/>
        <v>259.57125372128661</v>
      </c>
      <c r="AC130" s="58"/>
      <c r="AD130" s="75">
        <f t="shared" si="229"/>
        <v>682.26918098946521</v>
      </c>
      <c r="AE130" s="68">
        <f t="shared" si="230"/>
        <v>0.37405108606878573</v>
      </c>
      <c r="AF130" s="67">
        <f t="shared" si="231"/>
        <v>0</v>
      </c>
      <c r="AG130" s="67">
        <f t="shared" si="232"/>
        <v>0</v>
      </c>
      <c r="AH130" s="67">
        <f t="shared" si="233"/>
        <v>729.6</v>
      </c>
      <c r="AI130" s="58"/>
      <c r="AJ130" s="76">
        <f t="shared" si="234"/>
        <v>729.6</v>
      </c>
      <c r="AK130" s="68">
        <f t="shared" si="235"/>
        <v>0.4</v>
      </c>
      <c r="AL130" s="77">
        <f t="shared" si="151"/>
        <v>3.881057503058674E-3</v>
      </c>
      <c r="AM130" s="58"/>
      <c r="AN130" s="67">
        <v>1945</v>
      </c>
      <c r="AO130" s="78">
        <f t="shared" si="205"/>
        <v>9.0675990675990678E-3</v>
      </c>
      <c r="AP130" s="58"/>
      <c r="AQ130" s="79">
        <v>-0.62488431876606687</v>
      </c>
      <c r="AR130" s="58"/>
      <c r="AS130" s="80">
        <f t="shared" si="236"/>
        <v>729.6</v>
      </c>
      <c r="AT130" s="81">
        <f t="shared" si="237"/>
        <v>0</v>
      </c>
      <c r="AU130" s="81">
        <f t="shared" si="238"/>
        <v>0</v>
      </c>
      <c r="AV130" s="82">
        <f t="shared" si="239"/>
        <v>3.881057503058674E-3</v>
      </c>
      <c r="AW130" s="82">
        <f t="shared" si="240"/>
        <v>4.1286123992957174E-3</v>
      </c>
      <c r="AX130" s="67">
        <f t="shared" si="241"/>
        <v>11.504504429378079</v>
      </c>
      <c r="AY130" s="210">
        <f t="shared" si="242"/>
        <v>741.10450442937815</v>
      </c>
    </row>
    <row r="131" spans="1:51" x14ac:dyDescent="0.2">
      <c r="A131" s="63" t="s">
        <v>9</v>
      </c>
      <c r="B131" s="63" t="s">
        <v>100</v>
      </c>
      <c r="C131" s="63"/>
      <c r="D131" s="64">
        <f>('SCS Input'!C126/'SCS Input'!C$134)</f>
        <v>5.4078415103931861E-3</v>
      </c>
      <c r="E131" s="65">
        <f t="shared" si="214"/>
        <v>711.63408787717049</v>
      </c>
      <c r="F131" s="66">
        <f>('SCS Input'!D126/'SCS Input'!D$134)</f>
        <v>4.6713793113042201E-3</v>
      </c>
      <c r="G131" s="65">
        <f t="shared" si="215"/>
        <v>263.45177901962415</v>
      </c>
      <c r="H131" s="58"/>
      <c r="I131" s="67">
        <v>1376</v>
      </c>
      <c r="J131" s="68">
        <f t="shared" si="216"/>
        <v>0.51717593595724598</v>
      </c>
      <c r="K131" s="58"/>
      <c r="L131" s="69">
        <f t="shared" si="217"/>
        <v>5.333002604489644E-3</v>
      </c>
      <c r="M131" s="69" t="str">
        <f t="shared" si="218"/>
        <v/>
      </c>
      <c r="N131" s="69">
        <f t="shared" si="219"/>
        <v>5.3628497934367437E-3</v>
      </c>
      <c r="O131" s="58"/>
      <c r="P131" s="67">
        <f t="shared" si="220"/>
        <v>0</v>
      </c>
      <c r="Q131" s="67">
        <f t="shared" si="221"/>
        <v>3.1985859272640584</v>
      </c>
      <c r="R131" s="202">
        <f t="shared" si="222"/>
        <v>266.6503649468882</v>
      </c>
      <c r="S131" s="58"/>
      <c r="T131" s="71">
        <f>VLOOKUP($B131,'Scoring Summary'!$B$5:$O$129,12,FALSE)</f>
        <v>-0.26881720430107525</v>
      </c>
      <c r="U131" s="72">
        <f t="shared" si="223"/>
        <v>-71.680205630883918</v>
      </c>
      <c r="V131" s="73">
        <f>VLOOKUP($B131,'Scoring Summary'!$B$5:$O$129,13,FALSE)</f>
        <v>3.7037037037037049E-2</v>
      </c>
      <c r="W131" s="72">
        <f t="shared" si="224"/>
        <v>9.8759394424773443</v>
      </c>
      <c r="X131" s="73">
        <f>VLOOKUP($B131,'Scoring Summary'!$B$5:$O$129,14,FALSE)</f>
        <v>5.484538605817206E-2</v>
      </c>
      <c r="Y131" s="72">
        <f t="shared" si="225"/>
        <v>14.624542208064554</v>
      </c>
      <c r="Z131" s="74">
        <f t="shared" si="226"/>
        <v>-47.179723980342018</v>
      </c>
      <c r="AA131" s="67">
        <f t="shared" si="227"/>
        <v>219.47064096654617</v>
      </c>
      <c r="AB131" s="70">
        <f t="shared" si="228"/>
        <v>197.18736264221462</v>
      </c>
      <c r="AC131" s="58"/>
      <c r="AD131" s="75">
        <f t="shared" si="229"/>
        <v>908.82145051938505</v>
      </c>
      <c r="AE131" s="68">
        <f t="shared" si="230"/>
        <v>0.66048070531932057</v>
      </c>
      <c r="AF131" s="67">
        <f t="shared" si="231"/>
        <v>908.82145051938505</v>
      </c>
      <c r="AG131" s="67">
        <f t="shared" si="232"/>
        <v>881.28533914100785</v>
      </c>
      <c r="AH131" s="67">
        <f t="shared" si="233"/>
        <v>0</v>
      </c>
      <c r="AI131" s="58"/>
      <c r="AJ131" s="76">
        <f t="shared" si="234"/>
        <v>881.28533914100785</v>
      </c>
      <c r="AK131" s="68">
        <f t="shared" si="235"/>
        <v>0.64046899646875566</v>
      </c>
      <c r="AL131" s="77">
        <f t="shared" si="151"/>
        <v>4.6879373325230487E-3</v>
      </c>
      <c r="AM131" s="58"/>
      <c r="AN131" s="67">
        <v>1554</v>
      </c>
      <c r="AO131" s="78">
        <f t="shared" si="205"/>
        <v>7.244755244755245E-3</v>
      </c>
      <c r="AP131" s="58"/>
      <c r="AQ131" s="79">
        <v>-0.4718990788118016</v>
      </c>
      <c r="AR131" s="58"/>
      <c r="AS131" s="80">
        <f t="shared" si="236"/>
        <v>881.28533914100785</v>
      </c>
      <c r="AT131" s="81">
        <f t="shared" si="237"/>
        <v>0</v>
      </c>
      <c r="AU131" s="81">
        <f t="shared" si="238"/>
        <v>0</v>
      </c>
      <c r="AV131" s="82">
        <f t="shared" si="239"/>
        <v>4.6879373325230487E-3</v>
      </c>
      <c r="AW131" s="82">
        <f t="shared" si="240"/>
        <v>4.9869594003496389E-3</v>
      </c>
      <c r="AX131" s="67">
        <f t="shared" si="241"/>
        <v>13.896314539053849</v>
      </c>
      <c r="AY131" s="210">
        <f t="shared" si="242"/>
        <v>895.18165368006169</v>
      </c>
    </row>
    <row r="132" spans="1:51" x14ac:dyDescent="0.2">
      <c r="A132" s="63" t="s">
        <v>9</v>
      </c>
      <c r="B132" s="63" t="s">
        <v>101</v>
      </c>
      <c r="C132" s="63"/>
      <c r="D132" s="64">
        <f>('SCS Input'!C127/'SCS Input'!C$134)</f>
        <v>2.2924093585664218E-2</v>
      </c>
      <c r="E132" s="65">
        <f t="shared" si="214"/>
        <v>3016.6502472183115</v>
      </c>
      <c r="F132" s="66">
        <f>('SCS Input'!D127/'SCS Input'!D$134)</f>
        <v>3.3278117044310836E-2</v>
      </c>
      <c r="G132" s="65">
        <f t="shared" si="215"/>
        <v>1876.7859669479985</v>
      </c>
      <c r="H132" s="58"/>
      <c r="I132" s="67">
        <v>5612</v>
      </c>
      <c r="J132" s="68">
        <f t="shared" si="216"/>
        <v>0.53753568197047608</v>
      </c>
      <c r="K132" s="58"/>
      <c r="L132" s="69">
        <f t="shared" si="217"/>
        <v>2.1750589110752821E-2</v>
      </c>
      <c r="M132" s="69" t="str">
        <f t="shared" si="218"/>
        <v/>
      </c>
      <c r="N132" s="69">
        <f t="shared" si="219"/>
        <v>2.187232052381323E-2</v>
      </c>
      <c r="O132" s="58"/>
      <c r="P132" s="67">
        <f t="shared" si="220"/>
        <v>0</v>
      </c>
      <c r="Q132" s="67">
        <f t="shared" si="221"/>
        <v>13.045395511486841</v>
      </c>
      <c r="R132" s="202">
        <f t="shared" si="222"/>
        <v>1889.8313624594853</v>
      </c>
      <c r="S132" s="58"/>
      <c r="T132" s="71">
        <f>VLOOKUP($B132,'Scoring Summary'!$B$5:$O$129,12,FALSE)</f>
        <v>-0.31899641577060933</v>
      </c>
      <c r="U132" s="72">
        <f t="shared" si="223"/>
        <v>-602.84943103546311</v>
      </c>
      <c r="V132" s="73">
        <f>VLOOKUP($B132,'Scoring Summary'!$B$5:$O$129,13,FALSE)</f>
        <v>0.25925925925925919</v>
      </c>
      <c r="W132" s="72">
        <f t="shared" si="224"/>
        <v>489.95627915616274</v>
      </c>
      <c r="X132" s="73">
        <f>VLOOKUP($B132,'Scoring Summary'!$B$5:$O$129,14,FALSE)</f>
        <v>5.8586589258696621E-2</v>
      </c>
      <c r="Y132" s="72">
        <f t="shared" si="225"/>
        <v>110.71877380061689</v>
      </c>
      <c r="Z132" s="74">
        <f t="shared" si="226"/>
        <v>-2.174378078683489</v>
      </c>
      <c r="AA132" s="67">
        <f t="shared" si="227"/>
        <v>1887.6569843808018</v>
      </c>
      <c r="AB132" s="70">
        <f t="shared" si="228"/>
        <v>1695.9995226876115</v>
      </c>
      <c r="AC132" s="58"/>
      <c r="AD132" s="75">
        <f t="shared" si="229"/>
        <v>4712.6497699059228</v>
      </c>
      <c r="AE132" s="68">
        <f t="shared" si="230"/>
        <v>0.83974514788059917</v>
      </c>
      <c r="AF132" s="67">
        <f t="shared" si="231"/>
        <v>4712.6497699059228</v>
      </c>
      <c r="AG132" s="67">
        <f t="shared" si="232"/>
        <v>4569.8625933078665</v>
      </c>
      <c r="AH132" s="67">
        <f t="shared" si="233"/>
        <v>0</v>
      </c>
      <c r="AI132" s="58"/>
      <c r="AJ132" s="76">
        <f t="shared" si="234"/>
        <v>4569.8625933078665</v>
      </c>
      <c r="AK132" s="68">
        <f t="shared" si="235"/>
        <v>0.81430195889306245</v>
      </c>
      <c r="AL132" s="77">
        <f t="shared" si="151"/>
        <v>2.4309072787424158E-2</v>
      </c>
      <c r="AM132" s="58"/>
      <c r="AN132" s="67">
        <v>6534</v>
      </c>
      <c r="AO132" s="78">
        <f t="shared" si="205"/>
        <v>3.046153846153846E-2</v>
      </c>
      <c r="AP132" s="58"/>
      <c r="AQ132" s="79">
        <v>-5.9465567631692917E-2</v>
      </c>
      <c r="AR132" s="58"/>
      <c r="AS132" s="80">
        <f t="shared" si="236"/>
        <v>4569.8625933078665</v>
      </c>
      <c r="AT132" s="81">
        <f t="shared" si="237"/>
        <v>0</v>
      </c>
      <c r="AU132" s="81">
        <f t="shared" si="238"/>
        <v>0</v>
      </c>
      <c r="AV132" s="82">
        <f t="shared" si="239"/>
        <v>2.4309072787424158E-2</v>
      </c>
      <c r="AW132" s="82">
        <f t="shared" si="240"/>
        <v>2.5859637288663022E-2</v>
      </c>
      <c r="AX132" s="67">
        <f t="shared" si="241"/>
        <v>72.05866837494456</v>
      </c>
      <c r="AY132" s="210">
        <f t="shared" si="242"/>
        <v>4641.9212616828108</v>
      </c>
    </row>
    <row r="133" spans="1:51" x14ac:dyDescent="0.2">
      <c r="A133" s="63" t="s">
        <v>9</v>
      </c>
      <c r="B133" s="63" t="s">
        <v>102</v>
      </c>
      <c r="C133" s="63"/>
      <c r="D133" s="64">
        <f>('SCS Input'!C128/'SCS Input'!C$134)</f>
        <v>7.3276248838985067E-4</v>
      </c>
      <c r="E133" s="65">
        <f t="shared" si="214"/>
        <v>96.426414134685615</v>
      </c>
      <c r="F133" s="66">
        <f>('SCS Input'!D128/'SCS Input'!D$134)</f>
        <v>4.7599431924051877E-4</v>
      </c>
      <c r="G133" s="65">
        <f t="shared" si="215"/>
        <v>26.84465162220754</v>
      </c>
      <c r="H133" s="58"/>
      <c r="I133" s="83">
        <v>250</v>
      </c>
      <c r="J133" s="68">
        <f t="shared" si="216"/>
        <v>0.38570565653874245</v>
      </c>
      <c r="K133" s="58"/>
      <c r="L133" s="69">
        <f t="shared" si="217"/>
        <v>9.689321592459382E-4</v>
      </c>
      <c r="M133" s="69" t="str">
        <f t="shared" si="218"/>
        <v/>
      </c>
      <c r="N133" s="69">
        <f t="shared" si="219"/>
        <v>9.7435497700522225E-4</v>
      </c>
      <c r="O133" s="58"/>
      <c r="P133" s="67">
        <f t="shared" si="220"/>
        <v>0</v>
      </c>
      <c r="Q133" s="67">
        <f t="shared" si="221"/>
        <v>0.58113843155233613</v>
      </c>
      <c r="R133" s="202">
        <f t="shared" si="222"/>
        <v>27.425790053759876</v>
      </c>
      <c r="S133" s="58"/>
      <c r="T133" s="71">
        <f>VLOOKUP($B133,'Scoring Summary'!$B$5:$O$129,12,FALSE)</f>
        <v>0.31182795698924737</v>
      </c>
      <c r="U133" s="72">
        <f t="shared" si="223"/>
        <v>8.552128081279962</v>
      </c>
      <c r="V133" s="73">
        <f>VLOOKUP($B133,'Scoring Summary'!$B$5:$O$129,13,FALSE)</f>
        <v>-0.30246913580246909</v>
      </c>
      <c r="W133" s="72">
        <f t="shared" si="224"/>
        <v>-8.2954550162607017</v>
      </c>
      <c r="X133" s="73">
        <f>VLOOKUP($B133,'Scoring Summary'!$B$5:$O$129,14,FALSE)</f>
        <v>7.3007987626216679E-3</v>
      </c>
      <c r="Y133" s="72">
        <f t="shared" si="225"/>
        <v>0.20023017408841176</v>
      </c>
      <c r="Z133" s="74">
        <f t="shared" si="226"/>
        <v>0.45690323910767211</v>
      </c>
      <c r="AA133" s="67">
        <f t="shared" si="227"/>
        <v>27.882693292867547</v>
      </c>
      <c r="AB133" s="70">
        <f t="shared" si="228"/>
        <v>25.051709556998986</v>
      </c>
      <c r="AC133" s="58"/>
      <c r="AD133" s="75">
        <f t="shared" si="229"/>
        <v>121.4781236916846</v>
      </c>
      <c r="AE133" s="68">
        <f t="shared" si="230"/>
        <v>0.48591249476673842</v>
      </c>
      <c r="AF133" s="67">
        <f t="shared" si="231"/>
        <v>121.4781236916846</v>
      </c>
      <c r="AG133" s="67">
        <f t="shared" si="232"/>
        <v>117.79749407835531</v>
      </c>
      <c r="AH133" s="67">
        <f t="shared" si="233"/>
        <v>0</v>
      </c>
      <c r="AI133" s="58"/>
      <c r="AJ133" s="76">
        <f t="shared" si="234"/>
        <v>117.79749407835531</v>
      </c>
      <c r="AK133" s="68">
        <f t="shared" si="235"/>
        <v>0.47118997631342124</v>
      </c>
      <c r="AL133" s="77">
        <f t="shared" si="151"/>
        <v>6.2661574593518446E-4</v>
      </c>
      <c r="AM133" s="58"/>
      <c r="AN133" s="83">
        <v>176</v>
      </c>
      <c r="AO133" s="78">
        <f t="shared" si="205"/>
        <v>8.2051282051282047E-4</v>
      </c>
      <c r="AP133" s="58"/>
      <c r="AQ133" s="79">
        <v>1.505115689698658E-3</v>
      </c>
      <c r="AR133" s="58"/>
      <c r="AS133" s="80">
        <f t="shared" si="236"/>
        <v>117.79749407835531</v>
      </c>
      <c r="AT133" s="81">
        <f t="shared" si="237"/>
        <v>0</v>
      </c>
      <c r="AU133" s="81">
        <f t="shared" si="238"/>
        <v>0</v>
      </c>
      <c r="AV133" s="82">
        <f t="shared" si="239"/>
        <v>6.2661574593518446E-4</v>
      </c>
      <c r="AW133" s="82">
        <f t="shared" si="240"/>
        <v>6.6658469662535854E-4</v>
      </c>
      <c r="AX133" s="67">
        <f t="shared" si="241"/>
        <v>1.8574585970313553</v>
      </c>
      <c r="AY133" s="210">
        <f t="shared" si="242"/>
        <v>119.65495267538667</v>
      </c>
    </row>
    <row r="134" spans="1:51" x14ac:dyDescent="0.2">
      <c r="A134" s="63" t="s">
        <v>9</v>
      </c>
      <c r="B134" s="63" t="s">
        <v>9</v>
      </c>
      <c r="C134" s="63"/>
      <c r="D134" s="64">
        <f>('SCS Input'!C129/'SCS Input'!C$134)</f>
        <v>2.5311139493438622E-6</v>
      </c>
      <c r="E134" s="65">
        <f t="shared" si="214"/>
        <v>0.33307687793600688</v>
      </c>
      <c r="F134" s="66">
        <f>('SCS Input'!D129/'SCS Input'!D$134)</f>
        <v>1.4903345504518396E-3</v>
      </c>
      <c r="G134" s="65">
        <f t="shared" si="215"/>
        <v>84.050397641832404</v>
      </c>
      <c r="H134" s="58"/>
      <c r="I134" s="83">
        <v>338</v>
      </c>
      <c r="J134" s="68">
        <f t="shared" si="216"/>
        <v>9.8543455010652922E-4</v>
      </c>
      <c r="K134" s="58"/>
      <c r="L134" s="69">
        <f t="shared" si="217"/>
        <v>1.3099962793005084E-3</v>
      </c>
      <c r="M134" s="69" t="str">
        <f t="shared" si="218"/>
        <v/>
      </c>
      <c r="N134" s="69">
        <f t="shared" si="219"/>
        <v>1.3173279289110606E-3</v>
      </c>
      <c r="O134" s="58"/>
      <c r="P134" s="67">
        <f t="shared" si="220"/>
        <v>0</v>
      </c>
      <c r="Q134" s="67">
        <f t="shared" si="221"/>
        <v>0.78569915945875846</v>
      </c>
      <c r="R134" s="202">
        <f t="shared" si="222"/>
        <v>84.836096801291163</v>
      </c>
      <c r="S134" s="58"/>
      <c r="T134" s="71">
        <f>VLOOKUP($B134,'Scoring Summary'!$B$5:$O$129,12,FALSE)</f>
        <v>-1.7921146953405014E-2</v>
      </c>
      <c r="U134" s="72">
        <f t="shared" si="223"/>
        <v>-1.5203601577292318</v>
      </c>
      <c r="V134" s="73">
        <f>VLOOKUP($B134,'Scoring Summary'!$B$5:$O$129,13,FALSE)</f>
        <v>-4.9382716049382692E-2</v>
      </c>
      <c r="W134" s="72">
        <f t="shared" si="224"/>
        <v>-4.189436879076105</v>
      </c>
      <c r="X134" s="73">
        <f>VLOOKUP($B134,'Scoring Summary'!$B$5:$O$129,14,FALSE)</f>
        <v>4.4656812517430255E-2</v>
      </c>
      <c r="Y134" s="72">
        <f t="shared" si="225"/>
        <v>3.788509669565824</v>
      </c>
      <c r="Z134" s="74">
        <f t="shared" si="226"/>
        <v>-1.9212873672395125</v>
      </c>
      <c r="AA134" s="67">
        <f t="shared" si="227"/>
        <v>82.914809434051648</v>
      </c>
      <c r="AB134" s="70">
        <f t="shared" si="228"/>
        <v>74.496308591793138</v>
      </c>
      <c r="AC134" s="58"/>
      <c r="AD134" s="75">
        <f t="shared" si="229"/>
        <v>74.829385469729147</v>
      </c>
      <c r="AE134" s="68">
        <f t="shared" si="230"/>
        <v>0.22138871440748267</v>
      </c>
      <c r="AF134" s="67">
        <f t="shared" si="231"/>
        <v>0</v>
      </c>
      <c r="AG134" s="67">
        <f t="shared" si="232"/>
        <v>0</v>
      </c>
      <c r="AH134" s="67">
        <f t="shared" si="233"/>
        <v>135.20000000000002</v>
      </c>
      <c r="AI134" s="58"/>
      <c r="AJ134" s="76">
        <f t="shared" si="234"/>
        <v>135.20000000000002</v>
      </c>
      <c r="AK134" s="68">
        <f t="shared" si="235"/>
        <v>0.40000000000000008</v>
      </c>
      <c r="AL134" s="77">
        <f t="shared" si="151"/>
        <v>7.1918719080802187E-4</v>
      </c>
      <c r="AM134" s="58"/>
      <c r="AN134" s="83">
        <v>353</v>
      </c>
      <c r="AO134" s="78">
        <f t="shared" si="205"/>
        <v>1.6456876456876458E-3</v>
      </c>
      <c r="AP134" s="58"/>
      <c r="AQ134" s="79">
        <v>-0.37501218787199286</v>
      </c>
      <c r="AR134" s="58"/>
      <c r="AS134" s="80">
        <f t="shared" si="236"/>
        <v>135.20000000000002</v>
      </c>
      <c r="AT134" s="81">
        <f t="shared" si="237"/>
        <v>0</v>
      </c>
      <c r="AU134" s="81">
        <f t="shared" si="238"/>
        <v>0</v>
      </c>
      <c r="AV134" s="82">
        <f t="shared" si="239"/>
        <v>7.1918719080802187E-4</v>
      </c>
      <c r="AW134" s="82">
        <f t="shared" si="240"/>
        <v>7.6506085030808807E-4</v>
      </c>
      <c r="AX134" s="67">
        <f t="shared" si="241"/>
        <v>2.1318654041281753</v>
      </c>
      <c r="AY134" s="210">
        <f t="shared" si="242"/>
        <v>137.33186540412819</v>
      </c>
    </row>
    <row r="135" spans="1:51" x14ac:dyDescent="0.2">
      <c r="A135" s="63" t="s">
        <v>9</v>
      </c>
      <c r="B135" s="63" t="s">
        <v>103</v>
      </c>
      <c r="C135" s="63"/>
      <c r="D135" s="64">
        <f>('SCS Input'!C130/'SCS Input'!C$134)</f>
        <v>2.2499814213892836E-3</v>
      </c>
      <c r="E135" s="65">
        <f t="shared" si="214"/>
        <v>296.08180518488001</v>
      </c>
      <c r="F135" s="66">
        <f>('SCS Input'!D130/'SCS Input'!D$134)</f>
        <v>3.8086718437622272E-3</v>
      </c>
      <c r="G135" s="65">
        <f t="shared" si="215"/>
        <v>214.79766597265836</v>
      </c>
      <c r="H135" s="58"/>
      <c r="I135" s="83">
        <v>840</v>
      </c>
      <c r="J135" s="68">
        <f t="shared" si="216"/>
        <v>0.35247833950580953</v>
      </c>
      <c r="K135" s="58"/>
      <c r="L135" s="69">
        <f t="shared" si="217"/>
        <v>3.2556120550663523E-3</v>
      </c>
      <c r="M135" s="69" t="str">
        <f t="shared" si="218"/>
        <v/>
      </c>
      <c r="N135" s="69">
        <f t="shared" si="219"/>
        <v>3.2738327227375469E-3</v>
      </c>
      <c r="O135" s="58"/>
      <c r="P135" s="67">
        <f t="shared" si="220"/>
        <v>0</v>
      </c>
      <c r="Q135" s="67">
        <f t="shared" si="221"/>
        <v>1.9526251300158495</v>
      </c>
      <c r="R135" s="202">
        <f t="shared" si="222"/>
        <v>216.75029110267423</v>
      </c>
      <c r="S135" s="58"/>
      <c r="T135" s="71">
        <f>VLOOKUP($B135,'Scoring Summary'!$B$5:$O$129,12,FALSE)</f>
        <v>-0.11827956989247312</v>
      </c>
      <c r="U135" s="72">
        <f t="shared" si="223"/>
        <v>-25.637131205692651</v>
      </c>
      <c r="V135" s="73">
        <f>VLOOKUP($B135,'Scoring Summary'!$B$5:$O$129,13,FALSE)</f>
        <v>-0.10493827160493831</v>
      </c>
      <c r="W135" s="72">
        <f t="shared" si="224"/>
        <v>-22.745400918181872</v>
      </c>
      <c r="X135" s="73">
        <f>VLOOKUP($B135,'Scoring Summary'!$B$5:$O$129,14,FALSE)</f>
        <v>-7.5058471519311824E-3</v>
      </c>
      <c r="Y135" s="72">
        <f t="shared" si="225"/>
        <v>-1.6268945551532621</v>
      </c>
      <c r="Z135" s="74">
        <f t="shared" si="226"/>
        <v>-50.00942667902779</v>
      </c>
      <c r="AA135" s="67">
        <f t="shared" si="227"/>
        <v>166.74086442364643</v>
      </c>
      <c r="AB135" s="70">
        <f t="shared" si="228"/>
        <v>149.81134221681009</v>
      </c>
      <c r="AC135" s="58"/>
      <c r="AD135" s="75">
        <f t="shared" si="229"/>
        <v>445.8931474016901</v>
      </c>
      <c r="AE135" s="68">
        <f t="shared" si="230"/>
        <v>0.53082517547820252</v>
      </c>
      <c r="AF135" s="67">
        <f t="shared" si="231"/>
        <v>445.8931474016901</v>
      </c>
      <c r="AG135" s="67">
        <f t="shared" si="232"/>
        <v>432.3831632758849</v>
      </c>
      <c r="AH135" s="67">
        <f t="shared" si="233"/>
        <v>0</v>
      </c>
      <c r="AI135" s="58"/>
      <c r="AJ135" s="76">
        <f t="shared" si="234"/>
        <v>432.3831632758849</v>
      </c>
      <c r="AK135" s="68">
        <f t="shared" si="235"/>
        <v>0.51474186104272013</v>
      </c>
      <c r="AL135" s="77">
        <f t="shared" si="151"/>
        <v>2.3000327851262566E-3</v>
      </c>
      <c r="AM135" s="58"/>
      <c r="AN135" s="83">
        <v>719</v>
      </c>
      <c r="AO135" s="78">
        <f t="shared" si="205"/>
        <v>3.351981351981352E-3</v>
      </c>
      <c r="AP135" s="58"/>
      <c r="AQ135" s="79">
        <v>-0.46286599079221991</v>
      </c>
      <c r="AR135" s="58"/>
      <c r="AS135" s="80">
        <f t="shared" si="236"/>
        <v>432.3831632758849</v>
      </c>
      <c r="AT135" s="81">
        <f t="shared" si="237"/>
        <v>0</v>
      </c>
      <c r="AU135" s="81">
        <f t="shared" si="238"/>
        <v>0</v>
      </c>
      <c r="AV135" s="82">
        <f t="shared" si="239"/>
        <v>2.3000327851262566E-3</v>
      </c>
      <c r="AW135" s="82">
        <f t="shared" si="240"/>
        <v>2.4467413502570218E-3</v>
      </c>
      <c r="AX135" s="67">
        <f t="shared" si="241"/>
        <v>6.8179194313266489</v>
      </c>
      <c r="AY135" s="210">
        <f t="shared" si="242"/>
        <v>439.20108270721153</v>
      </c>
    </row>
    <row r="136" spans="1:51" x14ac:dyDescent="0.2">
      <c r="A136" s="63" t="s">
        <v>9</v>
      </c>
      <c r="B136" s="63" t="s">
        <v>112</v>
      </c>
      <c r="C136" s="63"/>
      <c r="D136" s="64">
        <f>('SCS Input'!C131/'SCS Input'!C$134)</f>
        <v>6.253458034636717E-3</v>
      </c>
      <c r="E136" s="65">
        <f t="shared" si="214"/>
        <v>822.91130315194948</v>
      </c>
      <c r="F136" s="66">
        <f>('SCS Input'!D131/'SCS Input'!D$134)</f>
        <v>1.991612336679618E-3</v>
      </c>
      <c r="G136" s="65">
        <f t="shared" si="215"/>
        <v>112.32096095172044</v>
      </c>
      <c r="H136" s="58"/>
      <c r="I136" s="67">
        <v>3989</v>
      </c>
      <c r="J136" s="68">
        <f t="shared" si="216"/>
        <v>0.20629513741588104</v>
      </c>
      <c r="K136" s="58"/>
      <c r="L136" s="69">
        <f t="shared" si="217"/>
        <v>1.546028153292819E-2</v>
      </c>
      <c r="M136" s="69" t="str">
        <f t="shared" si="218"/>
        <v/>
      </c>
      <c r="N136" s="69">
        <f t="shared" si="219"/>
        <v>1.5546808013095327E-2</v>
      </c>
      <c r="O136" s="58"/>
      <c r="P136" s="67">
        <f t="shared" si="220"/>
        <v>0</v>
      </c>
      <c r="Q136" s="67">
        <f t="shared" si="221"/>
        <v>9.2726448138490767</v>
      </c>
      <c r="R136" s="202">
        <f t="shared" si="222"/>
        <v>121.59360576556952</v>
      </c>
      <c r="S136" s="58"/>
      <c r="T136" s="71">
        <f>VLOOKUP($B136,'Scoring Summary'!$B$5:$O$129,12,FALSE)</f>
        <v>-0.29749103942652327</v>
      </c>
      <c r="U136" s="72">
        <f t="shared" si="223"/>
        <v>-36.173008166818171</v>
      </c>
      <c r="V136" s="73">
        <f>VLOOKUP($B136,'Scoring Summary'!$B$5:$O$129,13,FALSE)</f>
        <v>0.21604938271604937</v>
      </c>
      <c r="W136" s="72">
        <f t="shared" si="224"/>
        <v>26.270223467869958</v>
      </c>
      <c r="X136" s="73">
        <f>VLOOKUP($B136,'Scoring Summary'!$B$5:$O$129,14,FALSE)</f>
        <v>-5.4428819808813006E-2</v>
      </c>
      <c r="Y136" s="72">
        <f t="shared" si="225"/>
        <v>-6.6181964581180299</v>
      </c>
      <c r="Z136" s="74">
        <f t="shared" si="226"/>
        <v>-16.520981157066245</v>
      </c>
      <c r="AA136" s="67">
        <f t="shared" si="227"/>
        <v>105.07262460850328</v>
      </c>
      <c r="AB136" s="70">
        <f t="shared" si="228"/>
        <v>94.404397969587222</v>
      </c>
      <c r="AC136" s="58"/>
      <c r="AD136" s="75">
        <f t="shared" si="229"/>
        <v>917.31570112153668</v>
      </c>
      <c r="AE136" s="68">
        <f t="shared" si="230"/>
        <v>0.22996131890737948</v>
      </c>
      <c r="AF136" s="67">
        <f t="shared" si="231"/>
        <v>0</v>
      </c>
      <c r="AG136" s="67">
        <f t="shared" si="232"/>
        <v>0</v>
      </c>
      <c r="AH136" s="67">
        <f>AD136</f>
        <v>917.31570112153668</v>
      </c>
      <c r="AI136" s="58"/>
      <c r="AJ136" s="76">
        <f t="shared" si="234"/>
        <v>917.31570112153668</v>
      </c>
      <c r="AK136" s="68">
        <f t="shared" si="235"/>
        <v>0.22996131890737948</v>
      </c>
      <c r="AL136" s="77">
        <f t="shared" si="151"/>
        <v>4.8795983888586456E-3</v>
      </c>
      <c r="AM136" s="58"/>
      <c r="AN136" s="67">
        <v>1364</v>
      </c>
      <c r="AO136" s="78">
        <f t="shared" si="205"/>
        <v>6.3589743589743588E-3</v>
      </c>
      <c r="AP136" s="58"/>
      <c r="AQ136" s="79">
        <v>1.0275037128254247</v>
      </c>
      <c r="AR136" s="58"/>
      <c r="AS136" s="80">
        <f t="shared" si="236"/>
        <v>917.31570112153668</v>
      </c>
      <c r="AT136" s="81">
        <f t="shared" si="237"/>
        <v>0</v>
      </c>
      <c r="AU136" s="81">
        <f t="shared" si="238"/>
        <v>0</v>
      </c>
      <c r="AV136" s="82">
        <f t="shared" si="239"/>
        <v>4.8795983888586456E-3</v>
      </c>
      <c r="AW136" s="82">
        <f t="shared" si="240"/>
        <v>5.1908456383210257E-3</v>
      </c>
      <c r="AX136" s="67">
        <f t="shared" si="241"/>
        <v>14.464449762459946</v>
      </c>
      <c r="AY136" s="210">
        <f t="shared" si="242"/>
        <v>931.78015088399661</v>
      </c>
    </row>
    <row r="137" spans="1:51" s="49" customFormat="1" x14ac:dyDescent="0.2">
      <c r="D137" s="120">
        <f>SUM(D127:D136)</f>
        <v>4.29449329171709E-2</v>
      </c>
      <c r="E137" s="121">
        <f>SUM(E127:E136)</f>
        <v>5651.252557369271</v>
      </c>
      <c r="F137" s="120">
        <f>SUM(F127:F136)</f>
        <v>5.3477086395079788E-2</v>
      </c>
      <c r="G137" s="121">
        <f>SUM(G127:G136)</f>
        <v>3015.9472414233151</v>
      </c>
      <c r="H137" s="58"/>
      <c r="I137" s="122">
        <f>SUM(I127:I136)</f>
        <v>15161</v>
      </c>
      <c r="J137" s="122"/>
      <c r="K137" s="58"/>
      <c r="L137" s="89">
        <f>I137/I$139</f>
        <v>5.8759921865310677E-2</v>
      </c>
      <c r="M137" s="123"/>
      <c r="N137" s="123"/>
      <c r="O137" s="91"/>
      <c r="P137" s="122">
        <f>SUM(P127:P136)</f>
        <v>0</v>
      </c>
      <c r="Q137" s="122">
        <f>SUM(Q127:Q136)</f>
        <v>35.242559043059877</v>
      </c>
      <c r="R137" s="207">
        <f>SUM(R127:R136)</f>
        <v>3051.1898004663753</v>
      </c>
      <c r="S137" s="58"/>
      <c r="T137" s="122"/>
      <c r="U137" s="94">
        <f>SUM(U127:U136)</f>
        <v>-769.16117216518796</v>
      </c>
      <c r="V137" s="122"/>
      <c r="W137" s="94">
        <f>SUM(W127:W136)</f>
        <v>512.5434776949445</v>
      </c>
      <c r="X137" s="122"/>
      <c r="Y137" s="94">
        <f>SUM(Y127:Y136)</f>
        <v>108.9831311588713</v>
      </c>
      <c r="Z137" s="96">
        <f>SUM(Z127:Z136)</f>
        <v>-147.63456331137229</v>
      </c>
      <c r="AB137" s="124">
        <f>SUM(AB127:AB136)</f>
        <v>2608.7516625417693</v>
      </c>
      <c r="AC137" s="58"/>
      <c r="AD137" s="125">
        <f>SUM(AD127:AD136)</f>
        <v>8260.0042199110394</v>
      </c>
      <c r="AE137" s="122"/>
      <c r="AF137" s="122">
        <f>SUM(AF127:AF136)</f>
        <v>6541.341178168469</v>
      </c>
      <c r="AG137" s="122">
        <f>SUM(AG127:AG136)</f>
        <v>6343.1470233726368</v>
      </c>
      <c r="AH137" s="122">
        <f>SUM(AH127:AH136)</f>
        <v>1935.7157011215368</v>
      </c>
      <c r="AI137" s="58"/>
      <c r="AJ137" s="126">
        <f>SUM(AJ127:AJ136)</f>
        <v>8278.8627244941727</v>
      </c>
      <c r="AK137" s="88"/>
      <c r="AL137" s="99">
        <f t="shared" si="151"/>
        <v>4.4038846345519307E-2</v>
      </c>
      <c r="AM137" s="58"/>
      <c r="AN137" s="87">
        <f>SUM(AN127:AN136)</f>
        <v>13650</v>
      </c>
      <c r="AO137" s="100">
        <f t="shared" si="205"/>
        <v>6.363636363636363E-2</v>
      </c>
      <c r="AP137" s="58"/>
      <c r="AQ137" s="101">
        <v>-0.13026508348348875</v>
      </c>
      <c r="AR137" s="58"/>
      <c r="AS137" s="127">
        <f>AJ137</f>
        <v>8278.8627244941727</v>
      </c>
      <c r="AT137" s="128">
        <f t="shared" ref="AT137:AY137" si="243">SUM(AT127:AT136)</f>
        <v>0</v>
      </c>
      <c r="AU137" s="128">
        <f t="shared" si="243"/>
        <v>0</v>
      </c>
      <c r="AV137" s="129">
        <f t="shared" si="243"/>
        <v>4.4038846345519314E-2</v>
      </c>
      <c r="AW137" s="129">
        <f t="shared" si="243"/>
        <v>4.6847882807584659E-2</v>
      </c>
      <c r="AX137" s="128">
        <f t="shared" si="243"/>
        <v>130.54305493990719</v>
      </c>
      <c r="AY137" s="215">
        <f t="shared" si="243"/>
        <v>8409.4057794340806</v>
      </c>
    </row>
    <row r="138" spans="1:51" s="49" customFormat="1" x14ac:dyDescent="0.2">
      <c r="D138" s="130"/>
      <c r="E138" s="130"/>
      <c r="F138" s="130"/>
      <c r="G138" s="130"/>
      <c r="H138" s="58"/>
      <c r="I138" s="48"/>
      <c r="J138" s="48"/>
      <c r="K138" s="58"/>
      <c r="L138" s="48"/>
      <c r="M138" s="48"/>
      <c r="N138" s="48"/>
      <c r="O138" s="58"/>
      <c r="P138" s="48"/>
      <c r="Q138" s="48"/>
      <c r="R138" s="205"/>
      <c r="S138" s="58"/>
      <c r="T138" s="48"/>
      <c r="U138" s="132"/>
      <c r="V138" s="48"/>
      <c r="W138" s="132"/>
      <c r="X138" s="48"/>
      <c r="Y138" s="132"/>
      <c r="Z138" s="133"/>
      <c r="AB138" s="131"/>
      <c r="AC138" s="58"/>
      <c r="AD138" s="134"/>
      <c r="AE138" s="48"/>
      <c r="AI138" s="58"/>
      <c r="AJ138" s="135"/>
      <c r="AK138" s="136"/>
      <c r="AL138" s="137"/>
      <c r="AM138" s="58"/>
      <c r="AN138" s="48"/>
      <c r="AP138" s="58"/>
      <c r="AQ138" s="79"/>
      <c r="AR138" s="58"/>
      <c r="AS138" s="138"/>
      <c r="AT138" s="47"/>
      <c r="AU138" s="47"/>
      <c r="AV138" s="47"/>
      <c r="AW138" s="47"/>
      <c r="AX138" s="50"/>
      <c r="AY138" s="213"/>
    </row>
    <row r="139" spans="1:51" s="49" customFormat="1" x14ac:dyDescent="0.2">
      <c r="D139" s="120">
        <f>D27+D49+D63+D71+D74+D97+D115+D125+D137</f>
        <v>0.99999999999999989</v>
      </c>
      <c r="E139" s="121">
        <f>E27+E49+E63+E71+E74+E97+E115+E125+E137</f>
        <v>131593</v>
      </c>
      <c r="F139" s="120">
        <f>F27+F49+F63+F71+F74+F97+F115+F125+F137</f>
        <v>0.99999999999999989</v>
      </c>
      <c r="G139" s="121">
        <f>G27+G49+G63+G71+G74+G97+G115+G125+G137</f>
        <v>56397.000000000007</v>
      </c>
      <c r="H139" s="58"/>
      <c r="I139" s="122">
        <f>I27+I49+I63+I71+I74+I97+I115+I125+I137</f>
        <v>258016</v>
      </c>
      <c r="J139" s="122"/>
      <c r="K139" s="58"/>
      <c r="L139" s="139">
        <f>L27+L49+L63+L71+L74+L97+L115+L125+L137</f>
        <v>1.0000000000000002</v>
      </c>
      <c r="M139" s="139">
        <f>SUM(M12:M137)</f>
        <v>5.565546322708669E-3</v>
      </c>
      <c r="N139" s="139">
        <f>SUM(N12:N137)</f>
        <v>0.99999999999999989</v>
      </c>
      <c r="O139" s="58"/>
      <c r="P139" s="122">
        <f>P27+P49+P63+P71+P74+P97+P115+P125+P137</f>
        <v>596.4339950707938</v>
      </c>
      <c r="Q139" s="122">
        <f>Q27+Q49+Q63+Q71+Q74+Q97+Q115+Q125+Q137</f>
        <v>596.43399507079369</v>
      </c>
      <c r="R139" s="207">
        <f>R27+R49+R63+R71+R74+R97+R115+R125+R137</f>
        <v>56397</v>
      </c>
      <c r="S139" s="58"/>
      <c r="T139" s="122"/>
      <c r="U139" s="94">
        <f>U27+U49+U63+U71+U74+U97+U115+U125+U137</f>
        <v>-8040.5824648522012</v>
      </c>
      <c r="V139" s="122"/>
      <c r="W139" s="94">
        <f>W27+W49+W63+W71+W74+W97+W115+W125+W137</f>
        <v>10733.379661833429</v>
      </c>
      <c r="X139" s="122"/>
      <c r="Y139" s="94">
        <f>Y27+Y49+Y63+Y71+Y74+Y97+Y115+Y125+Y137</f>
        <v>3680.3802258415258</v>
      </c>
      <c r="Z139" s="140">
        <f>Z27+Z49+Z63+Z71+Z74+Z97+Z115+Z125+Z137</f>
        <v>6373.177422822755</v>
      </c>
      <c r="AA139" s="141">
        <f>SUM(AA12:AA138)</f>
        <v>62770.177422822759</v>
      </c>
      <c r="AB139" s="124">
        <f>AB27+AB49+AB63+AB71+AB74+AB97+AB115+AB125+AB137</f>
        <v>56396.999999999993</v>
      </c>
      <c r="AC139" s="58"/>
      <c r="AD139" s="125">
        <f>AD27+AD49+AD63+AD71+AD74+AD97+AD115+AD125+AD137</f>
        <v>187989.99999999997</v>
      </c>
      <c r="AE139" s="122"/>
      <c r="AF139" s="122">
        <f>AF27+AF49+AF63+AF71+AF74+AF97+AF115+AF125+AF137</f>
        <v>170032.12144394612</v>
      </c>
      <c r="AG139" s="122">
        <f>AG27+AG49+AG63+AG71+AG74+AG97+AG115+AG125+AG137</f>
        <v>164880.36866422629</v>
      </c>
      <c r="AH139" s="122">
        <f>AH27+AH49+AH63+AH71+AH74+AH97+AH115+AH125+AH137</f>
        <v>23109.631335773694</v>
      </c>
      <c r="AI139" s="58"/>
      <c r="AJ139" s="126">
        <f>AJ27+AJ49+AJ63+AJ71+AJ74+AJ97+AJ115+AJ125+AJ137</f>
        <v>187989.99999999997</v>
      </c>
      <c r="AK139" s="136"/>
      <c r="AL139" s="142">
        <f>AL27+AL49+AL63+AL71+AL74+AL97+AL115+AL125+AL137</f>
        <v>1</v>
      </c>
      <c r="AM139" s="58"/>
      <c r="AN139" s="122">
        <f>AN27+AN49+AN63+AN71+AN74+AN97+AN115+AN125+AN137</f>
        <v>214500</v>
      </c>
      <c r="AO139" s="142">
        <f>AO27+AO49+AO63+AO71+AO74+AO97+AO115+AO125+AO137</f>
        <v>0.99999999999999989</v>
      </c>
      <c r="AP139" s="58"/>
      <c r="AQ139" s="101">
        <v>0.1655011655011655</v>
      </c>
      <c r="AR139" s="58"/>
      <c r="AS139" s="127">
        <f>AJ139</f>
        <v>187989.99999999997</v>
      </c>
      <c r="AT139" s="122">
        <f t="shared" ref="AT139:AY139" si="244">AT27+AT49+AT63+AT71+AT74+AT97+AT115+AT125+AT137</f>
        <v>8485.5</v>
      </c>
      <c r="AU139" s="122">
        <f t="shared" si="244"/>
        <v>2786.5305135789895</v>
      </c>
      <c r="AV139" s="142">
        <f t="shared" si="244"/>
        <v>0.9400392014810417</v>
      </c>
      <c r="AW139" s="142">
        <f t="shared" si="244"/>
        <v>1</v>
      </c>
      <c r="AX139" s="122">
        <f t="shared" si="244"/>
        <v>2786.530513578989</v>
      </c>
      <c r="AY139" s="215">
        <f t="shared" si="244"/>
        <v>187990</v>
      </c>
    </row>
    <row r="140" spans="1:51" x14ac:dyDescent="0.2">
      <c r="AN140" s="1"/>
      <c r="AO140" s="49"/>
    </row>
    <row r="141" spans="1:51" x14ac:dyDescent="0.2">
      <c r="AN141" s="1"/>
      <c r="AO141" s="49"/>
    </row>
  </sheetData>
  <sheetProtection password="D307" sheet="1" objects="1" scenarios="1"/>
  <mergeCells count="44">
    <mergeCell ref="AD9:AH9"/>
    <mergeCell ref="D6:G6"/>
    <mergeCell ref="I6:J6"/>
    <mergeCell ref="L6:R6"/>
    <mergeCell ref="T6:AB6"/>
    <mergeCell ref="AD6:AL6"/>
    <mergeCell ref="D9:G9"/>
    <mergeCell ref="AF10:AF11"/>
    <mergeCell ref="M10:M11"/>
    <mergeCell ref="AH10:AH11"/>
    <mergeCell ref="AG10:AG11"/>
    <mergeCell ref="AD10:AD11"/>
    <mergeCell ref="AE10:AE11"/>
    <mergeCell ref="AB10:AB11"/>
    <mergeCell ref="I2:R4"/>
    <mergeCell ref="P10:P11"/>
    <mergeCell ref="N10:N11"/>
    <mergeCell ref="X10:Y10"/>
    <mergeCell ref="Q10:Q11"/>
    <mergeCell ref="I9:J9"/>
    <mergeCell ref="L9:R9"/>
    <mergeCell ref="T10:U10"/>
    <mergeCell ref="R10:R11"/>
    <mergeCell ref="I10:I11"/>
    <mergeCell ref="J10:J11"/>
    <mergeCell ref="L10:L11"/>
    <mergeCell ref="T9:AB9"/>
    <mergeCell ref="V10:W10"/>
    <mergeCell ref="Z10:Z11"/>
    <mergeCell ref="AA10:AA11"/>
    <mergeCell ref="AJ2:AS4"/>
    <mergeCell ref="AY10:AY11"/>
    <mergeCell ref="AS9:AY9"/>
    <mergeCell ref="AT10:AT11"/>
    <mergeCell ref="AS10:AS11"/>
    <mergeCell ref="AX10:AX11"/>
    <mergeCell ref="AV10:AV11"/>
    <mergeCell ref="AW10:AW11"/>
    <mergeCell ref="AU10:AU11"/>
    <mergeCell ref="AJ9:AL9"/>
    <mergeCell ref="AN9:AO9"/>
    <mergeCell ref="AJ10:AJ11"/>
    <mergeCell ref="AK10:AK11"/>
    <mergeCell ref="AS6:AY6"/>
  </mergeCells>
  <phoneticPr fontId="5" type="noConversion"/>
  <conditionalFormatting sqref="AE125:AE126 AE115:AE116 AE97:AE98 AE74:AE75 AE71:AE72 AE63:AE64 AE49:AE50 AE27:AE28 AE137:AE139 J125:J126 J137:J139 J27:J28 J49:J50 J63:J64 J71:J72 J74:J75 J97:J98 J115:J116">
    <cfRule type="cellIs" dxfId="3" priority="27" stopIfTrue="1" operator="greaterThan">
      <formula>1.5</formula>
    </cfRule>
  </conditionalFormatting>
  <conditionalFormatting sqref="AE12:AE26 AE29:AE48 AE51:AE62 AE65:AE70 AE73 AE76:AE96 AE99:AE114 AE117:AE124 AE127:AE136">
    <cfRule type="cellIs" dxfId="2" priority="29" stopIfTrue="1" operator="lessThan">
      <formula>$C$3</formula>
    </cfRule>
  </conditionalFormatting>
  <conditionalFormatting sqref="J12:J26 J29:J48 J51:J62 J65:J70 J73 J76:J96 J99:J114 J117:J124 J127:J136">
    <cfRule type="cellIs" dxfId="1" priority="31" stopIfTrue="1" operator="greaterThanOrEqual">
      <formula>$C$2</formula>
    </cfRule>
  </conditionalFormatting>
  <conditionalFormatting sqref="AQ12:AQ139">
    <cfRule type="cellIs" dxfId="0" priority="38" stopIfTrue="1" operator="greaterThan">
      <formula>1</formula>
    </cfRule>
  </conditionalFormatting>
  <pageMargins left="0.5" right="0.5" top="0.5" bottom="0.6" header="0.5" footer="0.5"/>
  <pageSetup paperSize="17" scale="71" orientation="landscape" r:id="rId1"/>
  <headerFooter alignWithMargins="0">
    <oddFooter>&amp;L&amp;"Calibri,Regular"2014-2022 RHNA Methodology Model</oddFooter>
  </headerFooter>
  <rowBreaks count="1" manualBreakCount="1">
    <brk id="75" max="49" man="1"/>
  </rowBreaks>
  <colBreaks count="1" manualBreakCount="1">
    <brk id="28" max="142" man="1"/>
  </colBreaks>
  <ignoredErrors>
    <ignoredError sqref="AA139" formula="1"/>
    <ignoredError sqref="T127:T136 T29:T48 T51:T62 T65:T70 T73 T76:T96 T99:T114 T117:T124 T13:T26" emptyCellReference="1"/>
    <ignoredError sqref="V12:V26 X12:X26 X107:X114 V29:V48 X29:X48 X51:X62 V51:V62 V65:V70 X65:X70 V73 X73 V76:V96 X76:X96 V99:V114 X99:X105 V117:V124 X117:X124 V127:V136 X127:X136" formula="1" emptyCellReference="1"/>
    <ignoredError sqref="U30:U36" evalError="1"/>
    <ignoredError sqref="C5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A1:R142"/>
  <sheetViews>
    <sheetView zoomScaleNormal="100" zoomScaleSheetLayoutView="25" workbookViewId="0">
      <pane xSplit="3" ySplit="8" topLeftCell="D9" activePane="bottomRight" state="frozen"/>
      <selection pane="topRight" activeCell="D1" sqref="D1"/>
      <selection pane="bottomLeft" activeCell="A8" sqref="A8"/>
      <selection pane="bottomRight" sqref="A1:B2"/>
    </sheetView>
  </sheetViews>
  <sheetFormatPr defaultRowHeight="12.75" x14ac:dyDescent="0.2"/>
  <cols>
    <col min="1" max="1" width="30.7109375" style="3" customWidth="1"/>
    <col min="2" max="2" width="8.7109375" style="3" customWidth="1"/>
    <col min="3" max="3" width="2.7109375" style="3" customWidth="1"/>
    <col min="4" max="7" width="8.7109375" style="3" customWidth="1"/>
    <col min="8" max="8" width="2.7109375" style="3" customWidth="1"/>
    <col min="9" max="12" width="8.7109375" style="3" customWidth="1"/>
    <col min="13" max="13" width="2.7109375" style="3" customWidth="1"/>
    <col min="14" max="18" width="8.7109375" style="3" customWidth="1"/>
    <col min="19" max="16384" width="9.140625" style="3"/>
  </cols>
  <sheetData>
    <row r="1" spans="1:18" ht="51" x14ac:dyDescent="0.2">
      <c r="A1" s="458" t="s">
        <v>202</v>
      </c>
      <c r="B1" s="459"/>
      <c r="D1" s="39" t="s">
        <v>218</v>
      </c>
      <c r="E1" s="45" t="s">
        <v>219</v>
      </c>
      <c r="F1" s="45" t="s">
        <v>220</v>
      </c>
      <c r="G1" s="40" t="s">
        <v>221</v>
      </c>
      <c r="I1" s="466" t="s">
        <v>265</v>
      </c>
      <c r="J1" s="467"/>
      <c r="K1" s="467"/>
      <c r="L1" s="467"/>
      <c r="M1" s="467"/>
      <c r="N1" s="467"/>
      <c r="O1" s="467"/>
      <c r="P1" s="467"/>
      <c r="Q1" s="467"/>
      <c r="R1" s="467"/>
    </row>
    <row r="2" spans="1:18" ht="15.75" x14ac:dyDescent="0.25">
      <c r="A2" s="459"/>
      <c r="B2" s="459"/>
      <c r="D2" s="41">
        <v>0.24831</v>
      </c>
      <c r="E2" s="30">
        <v>0.153945</v>
      </c>
      <c r="F2" s="30">
        <v>0.17777499999999999</v>
      </c>
      <c r="G2" s="43">
        <v>0.41997000000000001</v>
      </c>
      <c r="I2" s="467"/>
      <c r="J2" s="467"/>
      <c r="K2" s="467"/>
      <c r="L2" s="467"/>
      <c r="M2" s="467"/>
      <c r="N2" s="467"/>
      <c r="O2" s="467"/>
      <c r="P2" s="467"/>
      <c r="Q2" s="467"/>
      <c r="R2" s="467"/>
    </row>
    <row r="3" spans="1:18" ht="15.75" x14ac:dyDescent="0.25">
      <c r="A3" s="28"/>
      <c r="B3" s="29" t="s">
        <v>208</v>
      </c>
      <c r="D3" s="42">
        <f>$B136*D136</f>
        <v>46679.796900000001</v>
      </c>
      <c r="E3" s="31">
        <f>$B136*E136</f>
        <v>28940.12055</v>
      </c>
      <c r="F3" s="31">
        <f>$B136*F136</f>
        <v>33419.922249999996</v>
      </c>
      <c r="G3" s="44">
        <f>$B136*G136</f>
        <v>78950.160300000003</v>
      </c>
      <c r="I3" s="467"/>
      <c r="J3" s="467"/>
      <c r="K3" s="467"/>
      <c r="L3" s="467"/>
      <c r="M3" s="467"/>
      <c r="N3" s="467"/>
      <c r="O3" s="467"/>
      <c r="P3" s="467"/>
      <c r="Q3" s="467"/>
      <c r="R3" s="467"/>
    </row>
    <row r="4" spans="1:18" x14ac:dyDescent="0.2">
      <c r="B4" s="4"/>
      <c r="D4" s="415">
        <v>0.25110500000000002</v>
      </c>
      <c r="E4" s="415">
        <v>0.15357499999999999</v>
      </c>
      <c r="F4" s="415">
        <v>0.177508</v>
      </c>
      <c r="G4" s="415">
        <v>0.41785299999999997</v>
      </c>
    </row>
    <row r="5" spans="1:18" ht="15.75" x14ac:dyDescent="0.25">
      <c r="A5" s="28"/>
      <c r="B5" s="29" t="s">
        <v>203</v>
      </c>
      <c r="D5" s="32">
        <v>1.75</v>
      </c>
      <c r="E5" s="28"/>
      <c r="F5" s="28"/>
      <c r="G5" s="28"/>
    </row>
    <row r="6" spans="1:18" x14ac:dyDescent="0.2">
      <c r="B6" s="4"/>
      <c r="D6" s="6"/>
    </row>
    <row r="7" spans="1:18" ht="15.75" x14ac:dyDescent="0.2">
      <c r="A7" s="27"/>
      <c r="B7" s="7"/>
      <c r="C7" s="8"/>
      <c r="D7" s="460" t="s">
        <v>204</v>
      </c>
      <c r="E7" s="461"/>
      <c r="F7" s="461"/>
      <c r="G7" s="461"/>
      <c r="H7" s="8"/>
      <c r="I7" s="462" t="s">
        <v>209</v>
      </c>
      <c r="J7" s="463"/>
      <c r="K7" s="463"/>
      <c r="L7" s="463"/>
      <c r="M7" s="8"/>
      <c r="N7" s="464" t="s">
        <v>205</v>
      </c>
      <c r="O7" s="465"/>
      <c r="P7" s="465"/>
      <c r="Q7" s="465"/>
      <c r="R7" s="465"/>
    </row>
    <row r="8" spans="1:18" ht="51" x14ac:dyDescent="0.2">
      <c r="A8" s="38"/>
      <c r="B8" s="37" t="s">
        <v>186</v>
      </c>
      <c r="C8" s="8"/>
      <c r="D8" s="37" t="s">
        <v>218</v>
      </c>
      <c r="E8" s="37" t="s">
        <v>219</v>
      </c>
      <c r="F8" s="37" t="s">
        <v>220</v>
      </c>
      <c r="G8" s="37" t="s">
        <v>221</v>
      </c>
      <c r="H8" s="8"/>
      <c r="I8" s="37" t="s">
        <v>218</v>
      </c>
      <c r="J8" s="37" t="s">
        <v>219</v>
      </c>
      <c r="K8" s="37" t="s">
        <v>220</v>
      </c>
      <c r="L8" s="37" t="s">
        <v>221</v>
      </c>
      <c r="M8" s="8"/>
      <c r="N8" s="37" t="s">
        <v>218</v>
      </c>
      <c r="O8" s="37" t="s">
        <v>219</v>
      </c>
      <c r="P8" s="37" t="s">
        <v>220</v>
      </c>
      <c r="Q8" s="37" t="s">
        <v>221</v>
      </c>
      <c r="R8" s="37" t="s">
        <v>206</v>
      </c>
    </row>
    <row r="9" spans="1:18" x14ac:dyDescent="0.2">
      <c r="A9" s="33"/>
      <c r="B9" s="5"/>
      <c r="C9" s="8"/>
      <c r="H9" s="8"/>
      <c r="I9" s="15"/>
      <c r="J9" s="15"/>
      <c r="K9" s="15"/>
      <c r="L9" s="15"/>
      <c r="M9" s="8"/>
      <c r="N9" s="5"/>
      <c r="O9" s="5"/>
      <c r="P9" s="5"/>
      <c r="Q9" s="5"/>
      <c r="R9" s="5"/>
    </row>
    <row r="10" spans="1:18" x14ac:dyDescent="0.2">
      <c r="A10" s="33" t="s">
        <v>1</v>
      </c>
      <c r="B10" s="9">
        <f>'RHNA Model'!AY12</f>
        <v>1715.5226309573959</v>
      </c>
      <c r="C10" s="10"/>
      <c r="D10" s="184">
        <v>0.24199999999999999</v>
      </c>
      <c r="E10" s="184">
        <v>0.16600000000000001</v>
      </c>
      <c r="F10" s="184">
        <v>0.19500000000000001</v>
      </c>
      <c r="G10" s="184">
        <v>0.39700000000000002</v>
      </c>
      <c r="H10" s="10"/>
      <c r="I10" s="11">
        <f>D10+(D$4-D10)*$D$5</f>
        <v>0.25793375000000007</v>
      </c>
      <c r="J10" s="11">
        <f>E10+(E$4-E10)*$D$5</f>
        <v>0.14425624999999997</v>
      </c>
      <c r="K10" s="11">
        <f>F10+(F$4-F10)*$D$5</f>
        <v>0.16438900000000001</v>
      </c>
      <c r="L10" s="11">
        <f>G10+(G$4-G10)*$D$5</f>
        <v>0.43349274999999993</v>
      </c>
      <c r="M10" s="10"/>
      <c r="N10" s="9">
        <f>$B10*I10</f>
        <v>442.49118541270735</v>
      </c>
      <c r="O10" s="9">
        <f t="shared" ref="O10:Q24" si="0">$B10*J10</f>
        <v>247.47486153204781</v>
      </c>
      <c r="P10" s="9">
        <f t="shared" si="0"/>
        <v>282.01304978045539</v>
      </c>
      <c r="Q10" s="9">
        <f t="shared" si="0"/>
        <v>743.6666229809565</v>
      </c>
      <c r="R10" s="9">
        <f>N10+O10+P10+Q10</f>
        <v>1715.645719706167</v>
      </c>
    </row>
    <row r="11" spans="1:18" x14ac:dyDescent="0.2">
      <c r="A11" s="34" t="s">
        <v>10</v>
      </c>
      <c r="B11" s="9">
        <f>'RHNA Model'!AY13</f>
        <v>334.3851453608649</v>
      </c>
      <c r="C11" s="10"/>
      <c r="D11" s="184">
        <v>0.26600000000000001</v>
      </c>
      <c r="E11" s="184">
        <v>0.14799999999999999</v>
      </c>
      <c r="F11" s="184">
        <v>0.188</v>
      </c>
      <c r="G11" s="184">
        <v>0.39800000000000002</v>
      </c>
      <c r="H11" s="10"/>
      <c r="I11" s="11">
        <f t="shared" ref="I11:I24" si="1">D11+(D$4-D11)*$D$5</f>
        <v>0.23993375000000003</v>
      </c>
      <c r="J11" s="11">
        <f t="shared" ref="J11:J24" si="2">E11+(E$4-E11)*$D$5</f>
        <v>0.15775624999999999</v>
      </c>
      <c r="K11" s="11">
        <f t="shared" ref="K11:K24" si="3">F11+(F$4-F11)*$D$5</f>
        <v>0.16963899999999998</v>
      </c>
      <c r="L11" s="11">
        <f t="shared" ref="L11:L24" si="4">G11+(G$4-G11)*$D$5</f>
        <v>0.43274274999999995</v>
      </c>
      <c r="M11" s="10"/>
      <c r="N11" s="9">
        <f>$B11*I11</f>
        <v>80.230281870727424</v>
      </c>
      <c r="O11" s="9">
        <f t="shared" si="0"/>
        <v>52.751346587834938</v>
      </c>
      <c r="P11" s="9">
        <f t="shared" si="0"/>
        <v>56.724761673871754</v>
      </c>
      <c r="Q11" s="9">
        <f t="shared" si="0"/>
        <v>144.70274736261041</v>
      </c>
      <c r="R11" s="9">
        <f t="shared" ref="R11:R24" si="5">N11+O11+P11+Q11</f>
        <v>334.40913749504455</v>
      </c>
    </row>
    <row r="12" spans="1:18" x14ac:dyDescent="0.2">
      <c r="A12" s="34" t="s">
        <v>11</v>
      </c>
      <c r="B12" s="9">
        <f>'RHNA Model'!AY14</f>
        <v>2945.906884626113</v>
      </c>
      <c r="C12" s="10"/>
      <c r="D12" s="184">
        <v>0.34599999999999997</v>
      </c>
      <c r="E12" s="184">
        <v>0.159</v>
      </c>
      <c r="F12" s="184">
        <v>0.151</v>
      </c>
      <c r="G12" s="184">
        <v>0.34300000000000003</v>
      </c>
      <c r="H12" s="10"/>
      <c r="I12" s="11">
        <f t="shared" si="1"/>
        <v>0.17993375000000006</v>
      </c>
      <c r="J12" s="11">
        <f t="shared" si="2"/>
        <v>0.14950624999999998</v>
      </c>
      <c r="K12" s="11">
        <f t="shared" si="3"/>
        <v>0.19738900000000001</v>
      </c>
      <c r="L12" s="11">
        <f t="shared" si="4"/>
        <v>0.47399274999999996</v>
      </c>
      <c r="M12" s="10"/>
      <c r="N12" s="9">
        <f t="shared" ref="N12:N23" si="6">$B12*I12</f>
        <v>530.06807290159406</v>
      </c>
      <c r="O12" s="9">
        <f t="shared" si="0"/>
        <v>440.43149116963275</v>
      </c>
      <c r="P12" s="9">
        <f t="shared" si="0"/>
        <v>581.48961404946385</v>
      </c>
      <c r="Q12" s="9">
        <f t="shared" si="0"/>
        <v>1396.3385054878638</v>
      </c>
      <c r="R12" s="9">
        <f t="shared" si="5"/>
        <v>2948.3276836085543</v>
      </c>
    </row>
    <row r="13" spans="1:18" x14ac:dyDescent="0.2">
      <c r="A13" s="34" t="s">
        <v>12</v>
      </c>
      <c r="B13" s="9">
        <f>'RHNA Model'!AY15</f>
        <v>2275.1227658579269</v>
      </c>
      <c r="C13" s="10"/>
      <c r="D13" s="184">
        <v>0.121</v>
      </c>
      <c r="E13" s="184">
        <v>9.8000000000000004E-2</v>
      </c>
      <c r="F13" s="184">
        <v>0.16600000000000001</v>
      </c>
      <c r="G13" s="184">
        <v>0.61599999999999999</v>
      </c>
      <c r="H13" s="10"/>
      <c r="I13" s="11">
        <f t="shared" si="1"/>
        <v>0.34868375000000007</v>
      </c>
      <c r="J13" s="11">
        <f t="shared" si="2"/>
        <v>0.19525624999999996</v>
      </c>
      <c r="K13" s="11">
        <f t="shared" si="3"/>
        <v>0.186139</v>
      </c>
      <c r="L13" s="11">
        <f t="shared" si="4"/>
        <v>0.26924274999999998</v>
      </c>
      <c r="M13" s="10"/>
      <c r="N13" s="9">
        <f t="shared" si="6"/>
        <v>793.29833770971402</v>
      </c>
      <c r="O13" s="9">
        <f t="shared" si="0"/>
        <v>444.23193955104676</v>
      </c>
      <c r="P13" s="9">
        <f t="shared" si="0"/>
        <v>423.48907651402862</v>
      </c>
      <c r="Q13" s="9">
        <f t="shared" si="0"/>
        <v>612.56031006719434</v>
      </c>
      <c r="R13" s="9">
        <f t="shared" si="5"/>
        <v>2273.5796638419838</v>
      </c>
    </row>
    <row r="14" spans="1:18" x14ac:dyDescent="0.2">
      <c r="A14" s="34" t="s">
        <v>13</v>
      </c>
      <c r="B14" s="9">
        <f>'RHNA Model'!AY16</f>
        <v>1492.2880458929935</v>
      </c>
      <c r="C14" s="10"/>
      <c r="D14" s="184">
        <v>0.34</v>
      </c>
      <c r="E14" s="184">
        <v>0.17100000000000001</v>
      </c>
      <c r="F14" s="184">
        <v>0.184</v>
      </c>
      <c r="G14" s="184">
        <v>0.30499999999999999</v>
      </c>
      <c r="H14" s="10"/>
      <c r="I14" s="11">
        <f t="shared" si="1"/>
        <v>0.18443375000000001</v>
      </c>
      <c r="J14" s="11">
        <f t="shared" si="2"/>
        <v>0.14050624999999997</v>
      </c>
      <c r="K14" s="11">
        <f t="shared" si="3"/>
        <v>0.17263899999999999</v>
      </c>
      <c r="L14" s="11">
        <f t="shared" si="4"/>
        <v>0.50249274999999993</v>
      </c>
      <c r="M14" s="10"/>
      <c r="N14" s="9">
        <f t="shared" si="6"/>
        <v>275.22828038421693</v>
      </c>
      <c r="O14" s="9">
        <f t="shared" si="0"/>
        <v>209.67579724825237</v>
      </c>
      <c r="P14" s="9">
        <f t="shared" si="0"/>
        <v>257.6271159549205</v>
      </c>
      <c r="Q14" s="9">
        <f t="shared" si="0"/>
        <v>749.86392397289637</v>
      </c>
      <c r="R14" s="9">
        <f t="shared" si="5"/>
        <v>1492.3951175602861</v>
      </c>
    </row>
    <row r="15" spans="1:18" x14ac:dyDescent="0.2">
      <c r="A15" s="34" t="s">
        <v>14</v>
      </c>
      <c r="B15" s="9">
        <f>'RHNA Model'!AY17</f>
        <v>5431.5716038142009</v>
      </c>
      <c r="C15" s="10"/>
      <c r="D15" s="184">
        <v>0.16700000000000001</v>
      </c>
      <c r="E15" s="184">
        <v>0.13200000000000001</v>
      </c>
      <c r="F15" s="184">
        <v>0.17499999999999999</v>
      </c>
      <c r="G15" s="184">
        <v>0.52700000000000002</v>
      </c>
      <c r="H15" s="10"/>
      <c r="I15" s="11">
        <f t="shared" si="1"/>
        <v>0.31418375000000004</v>
      </c>
      <c r="J15" s="11">
        <f t="shared" si="2"/>
        <v>0.16975624999999997</v>
      </c>
      <c r="K15" s="11">
        <f t="shared" si="3"/>
        <v>0.17938900000000002</v>
      </c>
      <c r="L15" s="11">
        <f t="shared" si="4"/>
        <v>0.33599274999999995</v>
      </c>
      <c r="M15" s="10"/>
      <c r="N15" s="9">
        <f t="shared" si="6"/>
        <v>1706.5115348798602</v>
      </c>
      <c r="O15" s="9">
        <f t="shared" si="0"/>
        <v>922.04322706998425</v>
      </c>
      <c r="P15" s="9">
        <f t="shared" si="0"/>
        <v>974.36419843662577</v>
      </c>
      <c r="Q15" s="9">
        <f t="shared" si="0"/>
        <v>1824.9686799874437</v>
      </c>
      <c r="R15" s="9">
        <f t="shared" si="5"/>
        <v>5427.8876403739141</v>
      </c>
    </row>
    <row r="16" spans="1:18" x14ac:dyDescent="0.2">
      <c r="A16" s="34" t="s">
        <v>15</v>
      </c>
      <c r="B16" s="9">
        <f>'RHNA Model'!AY18</f>
        <v>4021.1178458015115</v>
      </c>
      <c r="C16" s="10"/>
      <c r="D16" s="184">
        <v>0.3</v>
      </c>
      <c r="E16" s="184">
        <v>0.19600000000000001</v>
      </c>
      <c r="F16" s="184">
        <v>0.20699999999999999</v>
      </c>
      <c r="G16" s="184">
        <v>0.29799999999999999</v>
      </c>
      <c r="H16" s="10"/>
      <c r="I16" s="11">
        <f t="shared" si="1"/>
        <v>0.21443375000000003</v>
      </c>
      <c r="J16" s="11">
        <f t="shared" si="2"/>
        <v>0.12175624999999998</v>
      </c>
      <c r="K16" s="11">
        <f t="shared" si="3"/>
        <v>0.155389</v>
      </c>
      <c r="L16" s="11">
        <f t="shared" si="4"/>
        <v>0.50774275000000002</v>
      </c>
      <c r="M16" s="10"/>
      <c r="N16" s="9">
        <f t="shared" si="6"/>
        <v>862.26337886713998</v>
      </c>
      <c r="O16" s="9">
        <f t="shared" si="0"/>
        <v>489.59622971287024</v>
      </c>
      <c r="P16" s="9">
        <f t="shared" si="0"/>
        <v>624.8374809412511</v>
      </c>
      <c r="Q16" s="9">
        <f t="shared" si="0"/>
        <v>2041.6934331013356</v>
      </c>
      <c r="R16" s="9">
        <f t="shared" si="5"/>
        <v>4018.390522622597</v>
      </c>
    </row>
    <row r="17" spans="1:18" x14ac:dyDescent="0.2">
      <c r="A17" s="34" t="s">
        <v>16</v>
      </c>
      <c r="B17" s="9">
        <f>'RHNA Model'!AY19</f>
        <v>2717.4978282178768</v>
      </c>
      <c r="C17" s="10"/>
      <c r="D17" s="184">
        <v>0.17599999999999999</v>
      </c>
      <c r="E17" s="184">
        <v>0.127</v>
      </c>
      <c r="F17" s="184">
        <v>0.17199999999999999</v>
      </c>
      <c r="G17" s="184">
        <v>0.52400000000000002</v>
      </c>
      <c r="H17" s="10"/>
      <c r="I17" s="11">
        <f t="shared" si="1"/>
        <v>0.30743375000000006</v>
      </c>
      <c r="J17" s="11">
        <f t="shared" si="2"/>
        <v>0.17350624999999997</v>
      </c>
      <c r="K17" s="11">
        <f t="shared" si="3"/>
        <v>0.18163899999999999</v>
      </c>
      <c r="L17" s="11">
        <f t="shared" si="4"/>
        <v>0.33824274999999993</v>
      </c>
      <c r="M17" s="10"/>
      <c r="N17" s="9">
        <f t="shared" si="6"/>
        <v>835.45054794587782</v>
      </c>
      <c r="O17" s="9">
        <f t="shared" si="0"/>
        <v>471.50285755722791</v>
      </c>
      <c r="P17" s="9">
        <f t="shared" si="0"/>
        <v>493.60358801966692</v>
      </c>
      <c r="Q17" s="9">
        <f t="shared" si="0"/>
        <v>919.17393853544206</v>
      </c>
      <c r="R17" s="9">
        <f t="shared" si="5"/>
        <v>2719.7309320582149</v>
      </c>
    </row>
    <row r="18" spans="1:18" x14ac:dyDescent="0.2">
      <c r="A18" s="34" t="s">
        <v>17</v>
      </c>
      <c r="B18" s="9">
        <f>'RHNA Model'!AY20</f>
        <v>1073.2415803022827</v>
      </c>
      <c r="C18" s="10"/>
      <c r="D18" s="184">
        <v>0.17799999999999999</v>
      </c>
      <c r="E18" s="184">
        <v>0.152</v>
      </c>
      <c r="F18" s="184">
        <v>0.219</v>
      </c>
      <c r="G18" s="184">
        <v>0.45200000000000001</v>
      </c>
      <c r="H18" s="10"/>
      <c r="I18" s="11">
        <f t="shared" si="1"/>
        <v>0.30593375000000006</v>
      </c>
      <c r="J18" s="11">
        <f t="shared" si="2"/>
        <v>0.15475624999999998</v>
      </c>
      <c r="K18" s="11">
        <f t="shared" si="3"/>
        <v>0.14638899999999999</v>
      </c>
      <c r="L18" s="11">
        <f t="shared" si="4"/>
        <v>0.39224274999999997</v>
      </c>
      <c r="M18" s="10"/>
      <c r="N18" s="9">
        <f t="shared" si="6"/>
        <v>328.34082131780355</v>
      </c>
      <c r="O18" s="9">
        <f t="shared" si="0"/>
        <v>166.09084231165514</v>
      </c>
      <c r="P18" s="9">
        <f t="shared" si="0"/>
        <v>157.11076169887085</v>
      </c>
      <c r="Q18" s="9">
        <f t="shared" si="0"/>
        <v>420.97122887211316</v>
      </c>
      <c r="R18" s="9">
        <f t="shared" si="5"/>
        <v>1072.5136542004427</v>
      </c>
    </row>
    <row r="19" spans="1:18" x14ac:dyDescent="0.2">
      <c r="A19" s="34" t="s">
        <v>18</v>
      </c>
      <c r="B19" s="9">
        <f>'RHNA Model'!AY21</f>
        <v>14700.967466053226</v>
      </c>
      <c r="C19" s="10"/>
      <c r="D19" s="184">
        <v>0.4</v>
      </c>
      <c r="E19" s="184">
        <v>0.17100000000000001</v>
      </c>
      <c r="F19" s="184">
        <v>0.16</v>
      </c>
      <c r="G19" s="184">
        <v>0.26900000000000002</v>
      </c>
      <c r="H19" s="10"/>
      <c r="I19" s="11">
        <f t="shared" si="1"/>
        <v>0.13943375000000002</v>
      </c>
      <c r="J19" s="11">
        <f t="shared" si="2"/>
        <v>0.14050624999999997</v>
      </c>
      <c r="K19" s="11">
        <f t="shared" si="3"/>
        <v>0.190639</v>
      </c>
      <c r="L19" s="11">
        <f t="shared" si="4"/>
        <v>0.52949274999999996</v>
      </c>
      <c r="M19" s="10"/>
      <c r="N19" s="9">
        <f t="shared" si="6"/>
        <v>2049.8110224197994</v>
      </c>
      <c r="O19" s="9">
        <f t="shared" si="0"/>
        <v>2065.5778100271405</v>
      </c>
      <c r="P19" s="9">
        <f t="shared" si="0"/>
        <v>2802.5777367609207</v>
      </c>
      <c r="Q19" s="9">
        <f t="shared" si="0"/>
        <v>7784.0556912610537</v>
      </c>
      <c r="R19" s="9">
        <f t="shared" si="5"/>
        <v>14702.022260468915</v>
      </c>
    </row>
    <row r="20" spans="1:18" x14ac:dyDescent="0.2">
      <c r="A20" s="34" t="s">
        <v>19</v>
      </c>
      <c r="B20" s="9">
        <f>'RHNA Model'!AY22</f>
        <v>60</v>
      </c>
      <c r="C20" s="10"/>
      <c r="D20" s="184">
        <v>5.8999999999999997E-2</v>
      </c>
      <c r="E20" s="184">
        <v>5.8000000000000003E-2</v>
      </c>
      <c r="F20" s="184">
        <v>8.4000000000000005E-2</v>
      </c>
      <c r="G20" s="184">
        <v>0.8</v>
      </c>
      <c r="H20" s="10"/>
      <c r="I20" s="11">
        <f t="shared" si="1"/>
        <v>0.39518375000000006</v>
      </c>
      <c r="J20" s="11">
        <f t="shared" si="2"/>
        <v>0.22525624999999999</v>
      </c>
      <c r="K20" s="11">
        <f t="shared" si="3"/>
        <v>0.247639</v>
      </c>
      <c r="L20" s="11">
        <f t="shared" si="4"/>
        <v>0.13124274999999996</v>
      </c>
      <c r="M20" s="10"/>
      <c r="N20" s="9">
        <f t="shared" si="6"/>
        <v>23.711025000000003</v>
      </c>
      <c r="O20" s="9">
        <f t="shared" si="0"/>
        <v>13.515374999999999</v>
      </c>
      <c r="P20" s="9">
        <f t="shared" si="0"/>
        <v>14.85834</v>
      </c>
      <c r="Q20" s="9">
        <f t="shared" si="0"/>
        <v>7.8745649999999978</v>
      </c>
      <c r="R20" s="9">
        <f t="shared" si="5"/>
        <v>59.959304999999993</v>
      </c>
    </row>
    <row r="21" spans="1:18" x14ac:dyDescent="0.2">
      <c r="A21" s="34" t="s">
        <v>20</v>
      </c>
      <c r="B21" s="9">
        <f>'RHNA Model'!AY23</f>
        <v>2057.8359493529747</v>
      </c>
      <c r="C21" s="10"/>
      <c r="D21" s="184">
        <v>0.124</v>
      </c>
      <c r="E21" s="184">
        <v>0.106</v>
      </c>
      <c r="F21" s="184">
        <v>0.152</v>
      </c>
      <c r="G21" s="184">
        <v>0.61799999999999999</v>
      </c>
      <c r="H21" s="10"/>
      <c r="I21" s="11">
        <f t="shared" si="1"/>
        <v>0.34643375000000004</v>
      </c>
      <c r="J21" s="11">
        <f t="shared" si="2"/>
        <v>0.18925624999999999</v>
      </c>
      <c r="K21" s="11">
        <f t="shared" si="3"/>
        <v>0.19663900000000001</v>
      </c>
      <c r="L21" s="11">
        <f t="shared" si="4"/>
        <v>0.26774274999999997</v>
      </c>
      <c r="M21" s="10"/>
      <c r="N21" s="9">
        <f t="shared" si="6"/>
        <v>712.90382481916117</v>
      </c>
      <c r="O21" s="9">
        <f t="shared" si="0"/>
        <v>389.45831488973391</v>
      </c>
      <c r="P21" s="9">
        <f t="shared" si="0"/>
        <v>404.6508032448196</v>
      </c>
      <c r="Q21" s="9">
        <f t="shared" si="0"/>
        <v>550.97065612862616</v>
      </c>
      <c r="R21" s="9">
        <f t="shared" si="5"/>
        <v>2057.9835990823408</v>
      </c>
    </row>
    <row r="22" spans="1:18" x14ac:dyDescent="0.2">
      <c r="A22" s="34" t="s">
        <v>21</v>
      </c>
      <c r="B22" s="9">
        <f>'RHNA Model'!AY24</f>
        <v>2276.8745371617451</v>
      </c>
      <c r="C22" s="10"/>
      <c r="D22" s="184">
        <v>0.29199999999999998</v>
      </c>
      <c r="E22" s="184">
        <v>0.20100000000000001</v>
      </c>
      <c r="F22" s="184">
        <v>0.20899999999999999</v>
      </c>
      <c r="G22" s="184">
        <v>0.29799999999999999</v>
      </c>
      <c r="H22" s="10"/>
      <c r="I22" s="11">
        <f t="shared" si="1"/>
        <v>0.22043375000000004</v>
      </c>
      <c r="J22" s="11">
        <f t="shared" si="2"/>
        <v>0.11800624999999998</v>
      </c>
      <c r="K22" s="11">
        <f t="shared" si="3"/>
        <v>0.153889</v>
      </c>
      <c r="L22" s="11">
        <f t="shared" si="4"/>
        <v>0.50774275000000002</v>
      </c>
      <c r="M22" s="10"/>
      <c r="N22" s="9">
        <f t="shared" si="6"/>
        <v>501.89999250607792</v>
      </c>
      <c r="O22" s="9">
        <f t="shared" si="0"/>
        <v>268.68542585094315</v>
      </c>
      <c r="P22" s="9">
        <f t="shared" si="0"/>
        <v>350.38594564928377</v>
      </c>
      <c r="Q22" s="9">
        <f t="shared" si="0"/>
        <v>1156.0665389034816</v>
      </c>
      <c r="R22" s="9">
        <f t="shared" si="5"/>
        <v>2277.0379029097867</v>
      </c>
    </row>
    <row r="23" spans="1:18" x14ac:dyDescent="0.2">
      <c r="A23" s="34" t="s">
        <v>22</v>
      </c>
      <c r="B23" s="9">
        <f>'RHNA Model'!AY25</f>
        <v>1101.4990742916909</v>
      </c>
      <c r="C23" s="10"/>
      <c r="D23" s="184">
        <v>0.20399999999999999</v>
      </c>
      <c r="E23" s="184">
        <v>0.14199999999999999</v>
      </c>
      <c r="F23" s="184">
        <v>0.183</v>
      </c>
      <c r="G23" s="184">
        <v>0.47199999999999998</v>
      </c>
      <c r="H23" s="10"/>
      <c r="I23" s="11">
        <f t="shared" si="1"/>
        <v>0.28643375000000004</v>
      </c>
      <c r="J23" s="11">
        <f t="shared" si="2"/>
        <v>0.16225624999999999</v>
      </c>
      <c r="K23" s="11">
        <f t="shared" si="3"/>
        <v>0.17338900000000002</v>
      </c>
      <c r="L23" s="11">
        <f t="shared" si="4"/>
        <v>0.37724274999999996</v>
      </c>
      <c r="M23" s="10"/>
      <c r="N23" s="9">
        <f t="shared" si="6"/>
        <v>315.50651047089769</v>
      </c>
      <c r="O23" s="9">
        <f t="shared" si="0"/>
        <v>178.72510917304118</v>
      </c>
      <c r="P23" s="9">
        <f t="shared" si="0"/>
        <v>190.98782299236203</v>
      </c>
      <c r="Q23" s="9">
        <f t="shared" si="0"/>
        <v>415.53253990825175</v>
      </c>
      <c r="R23" s="9">
        <f t="shared" si="5"/>
        <v>1100.7519825445527</v>
      </c>
    </row>
    <row r="24" spans="1:18" x14ac:dyDescent="0.2">
      <c r="A24" s="34" t="s">
        <v>105</v>
      </c>
      <c r="B24" s="9">
        <f>'RHNA Model'!AY26</f>
        <v>1761.5653220914662</v>
      </c>
      <c r="C24" s="10"/>
      <c r="D24" s="184">
        <v>0.26200000000000001</v>
      </c>
      <c r="E24" s="184">
        <v>0.187</v>
      </c>
      <c r="F24" s="184">
        <v>0.192</v>
      </c>
      <c r="G24" s="184">
        <v>0.35899999999999999</v>
      </c>
      <c r="H24" s="10"/>
      <c r="I24" s="11">
        <f t="shared" si="1"/>
        <v>0.24293375000000003</v>
      </c>
      <c r="J24" s="11">
        <f t="shared" si="2"/>
        <v>0.12850624999999999</v>
      </c>
      <c r="K24" s="11">
        <f t="shared" si="3"/>
        <v>0.16663899999999998</v>
      </c>
      <c r="L24" s="11">
        <f t="shared" si="4"/>
        <v>0.46199274999999995</v>
      </c>
      <c r="M24" s="10"/>
      <c r="N24" s="9">
        <f>$B24*I24</f>
        <v>427.94366956563778</v>
      </c>
      <c r="O24" s="9">
        <f t="shared" si="0"/>
        <v>226.37215367201645</v>
      </c>
      <c r="P24" s="9">
        <f t="shared" si="0"/>
        <v>293.54548370799978</v>
      </c>
      <c r="Q24" s="9">
        <f t="shared" si="0"/>
        <v>813.8304074576721</v>
      </c>
      <c r="R24" s="9">
        <f t="shared" si="5"/>
        <v>1761.6917144033262</v>
      </c>
    </row>
    <row r="25" spans="1:18" x14ac:dyDescent="0.2">
      <c r="A25" s="35"/>
      <c r="B25" s="18">
        <f>'RHNA Model'!AY27</f>
        <v>43965.396679782272</v>
      </c>
      <c r="C25" s="13"/>
      <c r="F25" s="5"/>
      <c r="H25" s="13"/>
      <c r="K25" s="5"/>
      <c r="M25" s="13"/>
      <c r="N25" s="14">
        <f>SUM(N10:N24)</f>
        <v>9885.6584860712155</v>
      </c>
      <c r="O25" s="14">
        <f>SUM(O10:O24)</f>
        <v>6586.1327813534272</v>
      </c>
      <c r="P25" s="14">
        <f>SUM(P10:P24)</f>
        <v>7908.2657794245406</v>
      </c>
      <c r="Q25" s="14">
        <f>SUM(Q10:Q24)</f>
        <v>19582.269789026937</v>
      </c>
      <c r="R25" s="14">
        <f>N25+O25+P25+Q25</f>
        <v>43962.326835876127</v>
      </c>
    </row>
    <row r="26" spans="1:18" x14ac:dyDescent="0.2">
      <c r="A26" s="35"/>
      <c r="B26" s="5"/>
      <c r="C26" s="8"/>
      <c r="H26" s="8"/>
      <c r="I26" s="15"/>
      <c r="J26" s="15"/>
      <c r="K26" s="15"/>
      <c r="L26" s="15"/>
      <c r="M26" s="8"/>
      <c r="N26" s="5"/>
      <c r="O26" s="5"/>
      <c r="P26" s="5"/>
      <c r="Q26" s="5"/>
      <c r="R26" s="5"/>
    </row>
    <row r="27" spans="1:18" x14ac:dyDescent="0.2">
      <c r="A27" s="34" t="s">
        <v>23</v>
      </c>
      <c r="B27" s="9">
        <f>'RHNA Model'!AY29</f>
        <v>1442.3807804395638</v>
      </c>
      <c r="C27" s="10"/>
      <c r="D27" s="184">
        <v>0.26400000000000001</v>
      </c>
      <c r="E27" s="184">
        <v>0.17</v>
      </c>
      <c r="F27" s="184">
        <v>0.217</v>
      </c>
      <c r="G27" s="184">
        <v>0.35</v>
      </c>
      <c r="H27" s="10"/>
      <c r="I27" s="11">
        <f t="shared" ref="I27:I46" si="7">D27+(D$4-D27)*$D$5</f>
        <v>0.24143375000000003</v>
      </c>
      <c r="J27" s="11">
        <f t="shared" ref="J27:J46" si="8">E27+(E$4-E27)*$D$5</f>
        <v>0.14125624999999997</v>
      </c>
      <c r="K27" s="11">
        <f t="shared" ref="K27:K46" si="9">F27+(F$4-F27)*$D$5</f>
        <v>0.14788899999999999</v>
      </c>
      <c r="L27" s="11">
        <f t="shared" ref="L27:L46" si="10">G27+(G$4-G27)*$D$5</f>
        <v>0.46874274999999999</v>
      </c>
      <c r="M27" s="10"/>
      <c r="N27" s="9">
        <f t="shared" ref="N27:Q46" si="11">$B27*I27</f>
        <v>348.23940074945057</v>
      </c>
      <c r="O27" s="9">
        <f t="shared" si="11"/>
        <v>203.74530011696609</v>
      </c>
      <c r="P27" s="9">
        <f t="shared" si="11"/>
        <v>213.31225123842663</v>
      </c>
      <c r="Q27" s="9">
        <f t="shared" si="11"/>
        <v>676.10553357038725</v>
      </c>
      <c r="R27" s="9">
        <f t="shared" ref="R27:R47" si="12">N27+O27+P27+Q27</f>
        <v>1441.4024856752305</v>
      </c>
    </row>
    <row r="28" spans="1:18" x14ac:dyDescent="0.2">
      <c r="A28" s="34" t="s">
        <v>24</v>
      </c>
      <c r="B28" s="9">
        <f>'RHNA Model'!AY30</f>
        <v>756.1378743108952</v>
      </c>
      <c r="C28" s="10"/>
      <c r="D28" s="184">
        <v>0.17499999999999999</v>
      </c>
      <c r="E28" s="184">
        <v>0.14199999999999999</v>
      </c>
      <c r="F28" s="184">
        <v>0.19900000000000001</v>
      </c>
      <c r="G28" s="184">
        <v>0.48499999999999999</v>
      </c>
      <c r="H28" s="10"/>
      <c r="I28" s="11">
        <f t="shared" si="7"/>
        <v>0.30818375000000003</v>
      </c>
      <c r="J28" s="11">
        <f t="shared" si="8"/>
        <v>0.16225624999999999</v>
      </c>
      <c r="K28" s="11">
        <f t="shared" si="9"/>
        <v>0.161389</v>
      </c>
      <c r="L28" s="11">
        <f t="shared" si="10"/>
        <v>0.36749274999999998</v>
      </c>
      <c r="M28" s="10"/>
      <c r="N28" s="9">
        <f t="shared" si="11"/>
        <v>233.02940562216037</v>
      </c>
      <c r="O28" s="9">
        <f t="shared" si="11"/>
        <v>122.68809596865718</v>
      </c>
      <c r="P28" s="9">
        <f t="shared" si="11"/>
        <v>122.03233539716106</v>
      </c>
      <c r="Q28" s="9">
        <f t="shared" si="11"/>
        <v>277.87518680966519</v>
      </c>
      <c r="R28" s="9">
        <f t="shared" si="12"/>
        <v>755.62502379764373</v>
      </c>
    </row>
    <row r="29" spans="1:18" x14ac:dyDescent="0.2">
      <c r="A29" s="34" t="s">
        <v>25</v>
      </c>
      <c r="B29" s="9">
        <f>'RHNA Model'!AY31</f>
        <v>140.5823237568886</v>
      </c>
      <c r="C29" s="10"/>
      <c r="D29" s="184">
        <v>0.10199999999999999</v>
      </c>
      <c r="E29" s="184">
        <v>0.11799999999999999</v>
      </c>
      <c r="F29" s="184">
        <v>0.121</v>
      </c>
      <c r="G29" s="184">
        <v>0.65900000000000003</v>
      </c>
      <c r="H29" s="10"/>
      <c r="I29" s="11">
        <f t="shared" si="7"/>
        <v>0.36293375000000005</v>
      </c>
      <c r="J29" s="11">
        <f t="shared" si="8"/>
        <v>0.18025624999999998</v>
      </c>
      <c r="K29" s="11">
        <f t="shared" si="9"/>
        <v>0.219889</v>
      </c>
      <c r="L29" s="11">
        <f t="shared" si="10"/>
        <v>0.23699274999999992</v>
      </c>
      <c r="M29" s="10"/>
      <c r="N29" s="9">
        <f t="shared" si="11"/>
        <v>51.022069944801672</v>
      </c>
      <c r="O29" s="9">
        <f t="shared" si="11"/>
        <v>25.340842496702649</v>
      </c>
      <c r="P29" s="9">
        <f t="shared" si="11"/>
        <v>30.912506588578477</v>
      </c>
      <c r="Q29" s="9">
        <f t="shared" si="11"/>
        <v>33.316991508535352</v>
      </c>
      <c r="R29" s="9">
        <f t="shared" si="12"/>
        <v>140.59241053861814</v>
      </c>
    </row>
    <row r="30" spans="1:18" x14ac:dyDescent="0.2">
      <c r="A30" s="34" t="s">
        <v>26</v>
      </c>
      <c r="B30" s="9">
        <f>'RHNA Model'!AY32</f>
        <v>3461.8175337874768</v>
      </c>
      <c r="C30" s="10"/>
      <c r="D30" s="184">
        <v>0.28000000000000003</v>
      </c>
      <c r="E30" s="184">
        <v>0.188</v>
      </c>
      <c r="F30" s="184">
        <v>0.2</v>
      </c>
      <c r="G30" s="184">
        <v>0.33200000000000002</v>
      </c>
      <c r="H30" s="10"/>
      <c r="I30" s="11">
        <f t="shared" si="7"/>
        <v>0.22943375000000002</v>
      </c>
      <c r="J30" s="11">
        <f t="shared" si="8"/>
        <v>0.12775624999999999</v>
      </c>
      <c r="K30" s="11">
        <f t="shared" si="9"/>
        <v>0.16063899999999998</v>
      </c>
      <c r="L30" s="11">
        <f t="shared" si="10"/>
        <v>0.48224274999999994</v>
      </c>
      <c r="M30" s="10"/>
      <c r="N30" s="9">
        <f t="shared" si="11"/>
        <v>794.25777859261257</v>
      </c>
      <c r="O30" s="9">
        <f t="shared" si="11"/>
        <v>442.26882630093627</v>
      </c>
      <c r="P30" s="9">
        <f t="shared" si="11"/>
        <v>556.10290681008644</v>
      </c>
      <c r="Q30" s="9">
        <f t="shared" si="11"/>
        <v>1669.4364074918906</v>
      </c>
      <c r="R30" s="9">
        <f t="shared" si="12"/>
        <v>3462.0659191955256</v>
      </c>
    </row>
    <row r="31" spans="1:18" x14ac:dyDescent="0.2">
      <c r="A31" s="34" t="s">
        <v>27</v>
      </c>
      <c r="B31" s="9">
        <f>'RHNA Model'!AY33</f>
        <v>554.60945643974844</v>
      </c>
      <c r="C31" s="10"/>
      <c r="D31" s="184">
        <v>0.11700000000000001</v>
      </c>
      <c r="E31" s="184">
        <v>9.1999999999999998E-2</v>
      </c>
      <c r="F31" s="184">
        <v>0.115</v>
      </c>
      <c r="G31" s="184">
        <v>0.67600000000000005</v>
      </c>
      <c r="H31" s="10"/>
      <c r="I31" s="11">
        <f t="shared" si="7"/>
        <v>0.35168375000000007</v>
      </c>
      <c r="J31" s="11">
        <f t="shared" si="8"/>
        <v>0.19975624999999997</v>
      </c>
      <c r="K31" s="11">
        <f t="shared" si="9"/>
        <v>0.22438900000000001</v>
      </c>
      <c r="L31" s="11">
        <f t="shared" si="10"/>
        <v>0.22424274999999994</v>
      </c>
      <c r="M31" s="10"/>
      <c r="N31" s="9">
        <f t="shared" si="11"/>
        <v>195.04713342619243</v>
      </c>
      <c r="O31" s="9">
        <f t="shared" si="11"/>
        <v>110.78670523294248</v>
      </c>
      <c r="P31" s="9">
        <f t="shared" si="11"/>
        <v>124.44826132105871</v>
      </c>
      <c r="Q31" s="9">
        <f t="shared" si="11"/>
        <v>124.36714968805437</v>
      </c>
      <c r="R31" s="9">
        <f t="shared" si="12"/>
        <v>554.64924966824799</v>
      </c>
    </row>
    <row r="32" spans="1:18" x14ac:dyDescent="0.2">
      <c r="A32" s="34" t="s">
        <v>28</v>
      </c>
      <c r="B32" s="9">
        <f>'RHNA Model'!AY34</f>
        <v>396.72263491314015</v>
      </c>
      <c r="C32" s="10"/>
      <c r="D32" s="184">
        <v>0.251</v>
      </c>
      <c r="E32" s="184">
        <v>0.14699999999999999</v>
      </c>
      <c r="F32" s="184">
        <v>0.182</v>
      </c>
      <c r="G32" s="184">
        <v>0.42</v>
      </c>
      <c r="H32" s="10"/>
      <c r="I32" s="11">
        <f t="shared" si="7"/>
        <v>0.25118375000000004</v>
      </c>
      <c r="J32" s="11">
        <f t="shared" si="8"/>
        <v>0.15850624999999999</v>
      </c>
      <c r="K32" s="11">
        <f t="shared" si="9"/>
        <v>0.17413899999999999</v>
      </c>
      <c r="L32" s="11">
        <f t="shared" si="10"/>
        <v>0.41624274999999999</v>
      </c>
      <c r="M32" s="10"/>
      <c r="N32" s="9">
        <f t="shared" si="11"/>
        <v>99.650279147363477</v>
      </c>
      <c r="O32" s="9">
        <f t="shared" si="11"/>
        <v>62.883017150200914</v>
      </c>
      <c r="P32" s="9">
        <f t="shared" si="11"/>
        <v>69.084882921139311</v>
      </c>
      <c r="Q32" s="9">
        <f t="shared" si="11"/>
        <v>165.13292054349148</v>
      </c>
      <c r="R32" s="9">
        <f t="shared" si="12"/>
        <v>396.75109976219517</v>
      </c>
    </row>
    <row r="33" spans="1:18" x14ac:dyDescent="0.2">
      <c r="A33" s="34" t="s">
        <v>29</v>
      </c>
      <c r="B33" s="9">
        <f>'RHNA Model'!AY35</f>
        <v>679.5</v>
      </c>
      <c r="C33" s="10"/>
      <c r="D33" s="184">
        <v>0.157</v>
      </c>
      <c r="E33" s="184">
        <v>0.129</v>
      </c>
      <c r="F33" s="184">
        <v>0.218</v>
      </c>
      <c r="G33" s="184">
        <v>0.496</v>
      </c>
      <c r="H33" s="10"/>
      <c r="I33" s="11">
        <f t="shared" si="7"/>
        <v>0.32168375000000005</v>
      </c>
      <c r="J33" s="11">
        <f t="shared" si="8"/>
        <v>0.17200624999999997</v>
      </c>
      <c r="K33" s="11">
        <f t="shared" si="9"/>
        <v>0.14713899999999999</v>
      </c>
      <c r="L33" s="11">
        <f t="shared" si="10"/>
        <v>0.35924274999999994</v>
      </c>
      <c r="M33" s="10"/>
      <c r="N33" s="9">
        <f t="shared" si="11"/>
        <v>218.58410812500003</v>
      </c>
      <c r="O33" s="9">
        <f t="shared" si="11"/>
        <v>116.87824687499997</v>
      </c>
      <c r="P33" s="9">
        <f t="shared" si="11"/>
        <v>99.980950499999992</v>
      </c>
      <c r="Q33" s="9">
        <f t="shared" si="11"/>
        <v>244.10544862499995</v>
      </c>
      <c r="R33" s="9">
        <f t="shared" si="12"/>
        <v>679.54875412499996</v>
      </c>
    </row>
    <row r="34" spans="1:18" x14ac:dyDescent="0.2">
      <c r="A34" s="34" t="s">
        <v>30</v>
      </c>
      <c r="B34" s="9">
        <f>'RHNA Model'!AY36</f>
        <v>425.88918762465539</v>
      </c>
      <c r="C34" s="10"/>
      <c r="D34" s="184">
        <v>0.128</v>
      </c>
      <c r="E34" s="184">
        <v>9.7000000000000003E-2</v>
      </c>
      <c r="F34" s="184">
        <v>0.13200000000000001</v>
      </c>
      <c r="G34" s="184">
        <v>0.64300000000000002</v>
      </c>
      <c r="H34" s="10"/>
      <c r="I34" s="11">
        <f t="shared" si="7"/>
        <v>0.34343375000000004</v>
      </c>
      <c r="J34" s="11">
        <f t="shared" si="8"/>
        <v>0.19600624999999999</v>
      </c>
      <c r="K34" s="11">
        <f t="shared" si="9"/>
        <v>0.21163899999999999</v>
      </c>
      <c r="L34" s="11">
        <f t="shared" si="10"/>
        <v>0.24899274999999993</v>
      </c>
      <c r="M34" s="10"/>
      <c r="N34" s="9">
        <f t="shared" si="11"/>
        <v>146.26472079038902</v>
      </c>
      <c r="O34" s="9">
        <f t="shared" si="11"/>
        <v>83.476942581855113</v>
      </c>
      <c r="P34" s="9">
        <f t="shared" si="11"/>
        <v>90.134761779694443</v>
      </c>
      <c r="Q34" s="9">
        <f t="shared" si="11"/>
        <v>106.04332002192888</v>
      </c>
      <c r="R34" s="9">
        <f t="shared" si="12"/>
        <v>425.91974517386745</v>
      </c>
    </row>
    <row r="35" spans="1:18" x14ac:dyDescent="0.2">
      <c r="A35" s="34" t="s">
        <v>31</v>
      </c>
      <c r="B35" s="9">
        <f>'RHNA Model'!AY37</f>
        <v>467.25338820931182</v>
      </c>
      <c r="C35" s="10"/>
      <c r="D35" s="184">
        <v>0.23400000000000001</v>
      </c>
      <c r="E35" s="184">
        <v>0.153</v>
      </c>
      <c r="F35" s="184">
        <v>0.191</v>
      </c>
      <c r="G35" s="184">
        <v>0.42299999999999999</v>
      </c>
      <c r="H35" s="10"/>
      <c r="I35" s="11">
        <f t="shared" si="7"/>
        <v>0.26393375000000002</v>
      </c>
      <c r="J35" s="11">
        <f t="shared" si="8"/>
        <v>0.15400624999999998</v>
      </c>
      <c r="K35" s="11">
        <f t="shared" si="9"/>
        <v>0.16738900000000001</v>
      </c>
      <c r="L35" s="11">
        <f t="shared" si="10"/>
        <v>0.41399274999999996</v>
      </c>
      <c r="M35" s="10"/>
      <c r="N35" s="9">
        <f t="shared" si="11"/>
        <v>123.32393895028946</v>
      </c>
      <c r="O35" s="9">
        <f t="shared" si="11"/>
        <v>71.959942117910316</v>
      </c>
      <c r="P35" s="9">
        <f t="shared" si="11"/>
        <v>78.213077398968508</v>
      </c>
      <c r="Q35" s="9">
        <f t="shared" si="11"/>
        <v>193.43951513159055</v>
      </c>
      <c r="R35" s="9">
        <f t="shared" si="12"/>
        <v>466.93647359875882</v>
      </c>
    </row>
    <row r="36" spans="1:18" x14ac:dyDescent="0.2">
      <c r="A36" s="34" t="s">
        <v>32</v>
      </c>
      <c r="B36" s="9">
        <f>'RHNA Model'!AY38</f>
        <v>228.02826819537998</v>
      </c>
      <c r="C36" s="10"/>
      <c r="D36" s="184">
        <v>0.14899999999999999</v>
      </c>
      <c r="E36" s="184">
        <v>0.109</v>
      </c>
      <c r="F36" s="184">
        <v>0.124</v>
      </c>
      <c r="G36" s="184">
        <v>0.61799999999999999</v>
      </c>
      <c r="H36" s="10"/>
      <c r="I36" s="11">
        <f t="shared" si="7"/>
        <v>0.32768375000000005</v>
      </c>
      <c r="J36" s="11">
        <f t="shared" si="8"/>
        <v>0.18700624999999998</v>
      </c>
      <c r="K36" s="11">
        <f t="shared" si="9"/>
        <v>0.217639</v>
      </c>
      <c r="L36" s="11">
        <f t="shared" si="10"/>
        <v>0.26774274999999997</v>
      </c>
      <c r="M36" s="10"/>
      <c r="N36" s="9">
        <f t="shared" si="11"/>
        <v>74.721158028267851</v>
      </c>
      <c r="O36" s="9">
        <f t="shared" si="11"/>
        <v>42.642711329212275</v>
      </c>
      <c r="P36" s="9">
        <f t="shared" si="11"/>
        <v>49.6278442617743</v>
      </c>
      <c r="Q36" s="9">
        <f t="shared" si="11"/>
        <v>61.052915604368565</v>
      </c>
      <c r="R36" s="9">
        <f t="shared" si="12"/>
        <v>228.04462922362299</v>
      </c>
    </row>
    <row r="37" spans="1:18" x14ac:dyDescent="0.2">
      <c r="A37" s="34" t="s">
        <v>33</v>
      </c>
      <c r="B37" s="9">
        <f>'RHNA Model'!AY39</f>
        <v>1162.5</v>
      </c>
      <c r="C37" s="10"/>
      <c r="D37" s="184">
        <v>0.224</v>
      </c>
      <c r="E37" s="184">
        <v>0.16</v>
      </c>
      <c r="F37" s="184">
        <v>0.215</v>
      </c>
      <c r="G37" s="184">
        <v>0.40100000000000002</v>
      </c>
      <c r="H37" s="10"/>
      <c r="I37" s="11">
        <f t="shared" si="7"/>
        <v>0.27143375000000003</v>
      </c>
      <c r="J37" s="11">
        <f t="shared" si="8"/>
        <v>0.14875624999999998</v>
      </c>
      <c r="K37" s="11">
        <f t="shared" si="9"/>
        <v>0.14938899999999999</v>
      </c>
      <c r="L37" s="11">
        <f t="shared" si="10"/>
        <v>0.43049274999999992</v>
      </c>
      <c r="M37" s="10"/>
      <c r="N37" s="9">
        <f t="shared" si="11"/>
        <v>315.54173437500003</v>
      </c>
      <c r="O37" s="9">
        <f t="shared" si="11"/>
        <v>172.92914062499997</v>
      </c>
      <c r="P37" s="9">
        <f t="shared" si="11"/>
        <v>173.66471249999998</v>
      </c>
      <c r="Q37" s="9">
        <f t="shared" si="11"/>
        <v>500.44782187499993</v>
      </c>
      <c r="R37" s="9">
        <f t="shared" si="12"/>
        <v>1162.583409375</v>
      </c>
    </row>
    <row r="38" spans="1:18" x14ac:dyDescent="0.2">
      <c r="A38" s="34" t="s">
        <v>34</v>
      </c>
      <c r="B38" s="9">
        <f>'RHNA Model'!AY40</f>
        <v>225.50054822275484</v>
      </c>
      <c r="C38" s="10"/>
      <c r="D38" s="184">
        <v>8.6999999999999994E-2</v>
      </c>
      <c r="E38" s="184">
        <v>7.8E-2</v>
      </c>
      <c r="F38" s="184">
        <v>9.9000000000000005E-2</v>
      </c>
      <c r="G38" s="184">
        <v>0.73599999999999999</v>
      </c>
      <c r="H38" s="10"/>
      <c r="I38" s="11">
        <f t="shared" si="7"/>
        <v>0.37418375000000004</v>
      </c>
      <c r="J38" s="11">
        <f t="shared" si="8"/>
        <v>0.21025624999999998</v>
      </c>
      <c r="K38" s="11">
        <f t="shared" si="9"/>
        <v>0.23638899999999999</v>
      </c>
      <c r="L38" s="11">
        <f t="shared" si="10"/>
        <v>0.17924275000000001</v>
      </c>
      <c r="M38" s="10"/>
      <c r="N38" s="9">
        <f t="shared" si="11"/>
        <v>84.378640761046256</v>
      </c>
      <c r="O38" s="9">
        <f t="shared" si="11"/>
        <v>47.412899642260591</v>
      </c>
      <c r="P38" s="9">
        <f t="shared" si="11"/>
        <v>53.30584909382879</v>
      </c>
      <c r="Q38" s="9">
        <f t="shared" si="11"/>
        <v>40.419338389954191</v>
      </c>
      <c r="R38" s="9">
        <f t="shared" si="12"/>
        <v>225.51672788708981</v>
      </c>
    </row>
    <row r="39" spans="1:18" x14ac:dyDescent="0.2">
      <c r="A39" s="34" t="s">
        <v>35</v>
      </c>
      <c r="B39" s="9">
        <f>'RHNA Model'!AY41</f>
        <v>296.08135434242007</v>
      </c>
      <c r="C39" s="10"/>
      <c r="D39" s="184">
        <v>0.224</v>
      </c>
      <c r="E39" s="184">
        <v>0.14399999999999999</v>
      </c>
      <c r="F39" s="184">
        <v>0.22500000000000001</v>
      </c>
      <c r="G39" s="184">
        <v>0.40699999999999997</v>
      </c>
      <c r="H39" s="10"/>
      <c r="I39" s="11">
        <f t="shared" si="7"/>
        <v>0.27143375000000003</v>
      </c>
      <c r="J39" s="11">
        <f t="shared" si="8"/>
        <v>0.16075624999999999</v>
      </c>
      <c r="K39" s="11">
        <f t="shared" si="9"/>
        <v>0.14188899999999999</v>
      </c>
      <c r="L39" s="11">
        <f t="shared" si="10"/>
        <v>0.42599274999999998</v>
      </c>
      <c r="M39" s="10"/>
      <c r="N39" s="9">
        <f t="shared" si="11"/>
        <v>80.366472314241875</v>
      </c>
      <c r="O39" s="9">
        <f t="shared" si="11"/>
        <v>47.59692821900866</v>
      </c>
      <c r="P39" s="9">
        <f t="shared" si="11"/>
        <v>42.010687286291635</v>
      </c>
      <c r="Q39" s="9">
        <f t="shared" si="11"/>
        <v>126.12851036005196</v>
      </c>
      <c r="R39" s="9">
        <f t="shared" si="12"/>
        <v>296.10259817959411</v>
      </c>
    </row>
    <row r="40" spans="1:18" x14ac:dyDescent="0.2">
      <c r="A40" s="34" t="s">
        <v>36</v>
      </c>
      <c r="B40" s="9">
        <f>'RHNA Model'!AY42</f>
        <v>2016.4317278807673</v>
      </c>
      <c r="C40" s="10"/>
      <c r="D40" s="184">
        <v>0.32800000000000001</v>
      </c>
      <c r="E40" s="184">
        <v>0.191</v>
      </c>
      <c r="F40" s="184">
        <v>0.20599999999999999</v>
      </c>
      <c r="G40" s="184">
        <v>0.27500000000000002</v>
      </c>
      <c r="H40" s="10"/>
      <c r="I40" s="11">
        <f t="shared" si="7"/>
        <v>0.19343375000000002</v>
      </c>
      <c r="J40" s="11">
        <f t="shared" si="8"/>
        <v>0.12550624999999999</v>
      </c>
      <c r="K40" s="11">
        <f t="shared" si="9"/>
        <v>0.156139</v>
      </c>
      <c r="L40" s="11">
        <f t="shared" si="10"/>
        <v>0.52499275000000001</v>
      </c>
      <c r="M40" s="10"/>
      <c r="N40" s="9">
        <f t="shared" si="11"/>
        <v>390.04595074295639</v>
      </c>
      <c r="O40" s="9">
        <f t="shared" si="11"/>
        <v>253.07478454733553</v>
      </c>
      <c r="P40" s="9">
        <f t="shared" si="11"/>
        <v>314.84363355957515</v>
      </c>
      <c r="Q40" s="9">
        <f t="shared" si="11"/>
        <v>1058.6120380073758</v>
      </c>
      <c r="R40" s="9">
        <f t="shared" si="12"/>
        <v>2016.5764068572428</v>
      </c>
    </row>
    <row r="41" spans="1:18" x14ac:dyDescent="0.2">
      <c r="A41" s="34" t="s">
        <v>37</v>
      </c>
      <c r="B41" s="9">
        <f>'RHNA Model'!AY43</f>
        <v>445.71910162227402</v>
      </c>
      <c r="C41" s="10"/>
      <c r="D41" s="184">
        <v>0.23699999999999999</v>
      </c>
      <c r="E41" s="184">
        <v>0.153</v>
      </c>
      <c r="F41" s="184">
        <v>0.16400000000000001</v>
      </c>
      <c r="G41" s="184">
        <v>0.44600000000000001</v>
      </c>
      <c r="H41" s="10"/>
      <c r="I41" s="11">
        <f t="shared" si="7"/>
        <v>0.26168375000000005</v>
      </c>
      <c r="J41" s="11">
        <f t="shared" si="8"/>
        <v>0.15400624999999998</v>
      </c>
      <c r="K41" s="11">
        <f t="shared" si="9"/>
        <v>0.187639</v>
      </c>
      <c r="L41" s="11">
        <f t="shared" si="10"/>
        <v>0.39674274999999992</v>
      </c>
      <c r="M41" s="10"/>
      <c r="N41" s="9">
        <f t="shared" si="11"/>
        <v>116.63744595914777</v>
      </c>
      <c r="O41" s="9">
        <f t="shared" si="11"/>
        <v>68.643527394215326</v>
      </c>
      <c r="P41" s="9">
        <f t="shared" si="11"/>
        <v>83.634286509301873</v>
      </c>
      <c r="Q41" s="9">
        <f t="shared" si="11"/>
        <v>176.83582210515041</v>
      </c>
      <c r="R41" s="9">
        <f t="shared" si="12"/>
        <v>445.75108196781537</v>
      </c>
    </row>
    <row r="42" spans="1:18" x14ac:dyDescent="0.2">
      <c r="A42" s="34" t="s">
        <v>38</v>
      </c>
      <c r="B42" s="9">
        <f>'RHNA Model'!AY44</f>
        <v>2423.7122867566304</v>
      </c>
      <c r="C42" s="10"/>
      <c r="D42" s="184">
        <v>0.34599999999999997</v>
      </c>
      <c r="E42" s="184">
        <v>0.191</v>
      </c>
      <c r="F42" s="184">
        <v>0.19</v>
      </c>
      <c r="G42" s="184">
        <v>0.27400000000000002</v>
      </c>
      <c r="H42" s="10"/>
      <c r="I42" s="11">
        <f t="shared" si="7"/>
        <v>0.17993375000000006</v>
      </c>
      <c r="J42" s="11">
        <f t="shared" si="8"/>
        <v>0.12550624999999999</v>
      </c>
      <c r="K42" s="11">
        <f t="shared" si="9"/>
        <v>0.16813899999999998</v>
      </c>
      <c r="L42" s="11">
        <f t="shared" si="10"/>
        <v>0.52574274999999993</v>
      </c>
      <c r="M42" s="10"/>
      <c r="N42" s="9">
        <f t="shared" si="11"/>
        <v>436.107640677196</v>
      </c>
      <c r="O42" s="9">
        <f t="shared" si="11"/>
        <v>304.19104018974929</v>
      </c>
      <c r="P42" s="9">
        <f t="shared" si="11"/>
        <v>407.52056018297304</v>
      </c>
      <c r="Q42" s="9">
        <f t="shared" si="11"/>
        <v>1274.2491628482194</v>
      </c>
      <c r="R42" s="9">
        <f t="shared" si="12"/>
        <v>2422.0684038981376</v>
      </c>
    </row>
    <row r="43" spans="1:18" x14ac:dyDescent="0.2">
      <c r="A43" s="34" t="s">
        <v>39</v>
      </c>
      <c r="B43" s="9">
        <f>'RHNA Model'!AY45</f>
        <v>447</v>
      </c>
      <c r="C43" s="10"/>
      <c r="D43" s="184">
        <v>0.42299999999999999</v>
      </c>
      <c r="E43" s="184">
        <v>0.20100000000000001</v>
      </c>
      <c r="F43" s="184">
        <v>0.19</v>
      </c>
      <c r="G43" s="184">
        <v>0.187</v>
      </c>
      <c r="H43" s="10"/>
      <c r="I43" s="11">
        <f t="shared" si="7"/>
        <v>0.12218375000000004</v>
      </c>
      <c r="J43" s="11">
        <f t="shared" si="8"/>
        <v>0.11800624999999998</v>
      </c>
      <c r="K43" s="11">
        <f t="shared" si="9"/>
        <v>0.16813899999999998</v>
      </c>
      <c r="L43" s="11">
        <f t="shared" si="10"/>
        <v>0.59099274999999996</v>
      </c>
      <c r="M43" s="10"/>
      <c r="N43" s="9">
        <f t="shared" si="11"/>
        <v>54.616136250000018</v>
      </c>
      <c r="O43" s="9">
        <f t="shared" si="11"/>
        <v>52.74879374999999</v>
      </c>
      <c r="P43" s="9">
        <f t="shared" si="11"/>
        <v>75.158132999999992</v>
      </c>
      <c r="Q43" s="9">
        <f t="shared" si="11"/>
        <v>264.17375924999999</v>
      </c>
      <c r="R43" s="9">
        <f t="shared" si="12"/>
        <v>446.69682224999997</v>
      </c>
    </row>
    <row r="44" spans="1:18" x14ac:dyDescent="0.2">
      <c r="A44" s="34" t="s">
        <v>40</v>
      </c>
      <c r="B44" s="9">
        <f>'RHNA Model'!AY46</f>
        <v>1411.2269331536415</v>
      </c>
      <c r="C44" s="10"/>
      <c r="D44" s="184">
        <v>0.1</v>
      </c>
      <c r="E44" s="184">
        <v>9.6000000000000002E-2</v>
      </c>
      <c r="F44" s="184">
        <v>0.14899999999999999</v>
      </c>
      <c r="G44" s="184">
        <v>0.65500000000000003</v>
      </c>
      <c r="H44" s="10"/>
      <c r="I44" s="11">
        <f t="shared" si="7"/>
        <v>0.36443375</v>
      </c>
      <c r="J44" s="11">
        <f t="shared" si="8"/>
        <v>0.19675624999999997</v>
      </c>
      <c r="K44" s="11">
        <f t="shared" si="9"/>
        <v>0.19888900000000001</v>
      </c>
      <c r="L44" s="11">
        <f t="shared" si="10"/>
        <v>0.23999274999999992</v>
      </c>
      <c r="M44" s="10"/>
      <c r="N44" s="9">
        <f t="shared" si="11"/>
        <v>514.29872335018092</v>
      </c>
      <c r="O44" s="9">
        <f t="shared" si="11"/>
        <v>277.66771926631111</v>
      </c>
      <c r="P44" s="9">
        <f t="shared" si="11"/>
        <v>280.6775135079946</v>
      </c>
      <c r="Q44" s="9">
        <f t="shared" si="11"/>
        <v>338.6842325616085</v>
      </c>
      <c r="R44" s="9">
        <f t="shared" si="12"/>
        <v>1411.328188686095</v>
      </c>
    </row>
    <row r="45" spans="1:18" x14ac:dyDescent="0.2">
      <c r="A45" s="34" t="s">
        <v>41</v>
      </c>
      <c r="B45" s="9">
        <f>'RHNA Model'!AY47</f>
        <v>2225.0479523802455</v>
      </c>
      <c r="C45" s="10"/>
      <c r="D45" s="184">
        <v>0.22600000000000001</v>
      </c>
      <c r="E45" s="184">
        <v>0.14699999999999999</v>
      </c>
      <c r="F45" s="184">
        <v>0.187</v>
      </c>
      <c r="G45" s="184">
        <v>0.44</v>
      </c>
      <c r="H45" s="10"/>
      <c r="I45" s="11">
        <f t="shared" si="7"/>
        <v>0.26993375000000003</v>
      </c>
      <c r="J45" s="11">
        <f t="shared" si="8"/>
        <v>0.15850624999999999</v>
      </c>
      <c r="K45" s="11">
        <f t="shared" si="9"/>
        <v>0.17038900000000001</v>
      </c>
      <c r="L45" s="11">
        <f t="shared" si="10"/>
        <v>0.40124274999999998</v>
      </c>
      <c r="M45" s="10"/>
      <c r="N45" s="9">
        <f t="shared" si="11"/>
        <v>600.61553771582112</v>
      </c>
      <c r="O45" s="9">
        <f t="shared" si="11"/>
        <v>352.68400700197128</v>
      </c>
      <c r="P45" s="9">
        <f t="shared" si="11"/>
        <v>379.12369555811767</v>
      </c>
      <c r="Q45" s="9">
        <f t="shared" si="11"/>
        <v>892.78435929491877</v>
      </c>
      <c r="R45" s="9">
        <f t="shared" si="12"/>
        <v>2225.2075995708287</v>
      </c>
    </row>
    <row r="46" spans="1:18" x14ac:dyDescent="0.2">
      <c r="A46" s="34" t="s">
        <v>106</v>
      </c>
      <c r="B46" s="9">
        <f>'RHNA Model'!AY48</f>
        <v>1360.5634926404869</v>
      </c>
      <c r="C46" s="10"/>
      <c r="D46" s="184">
        <v>0.221</v>
      </c>
      <c r="E46" s="184">
        <v>0.14599999999999999</v>
      </c>
      <c r="F46" s="184">
        <v>0.17699999999999999</v>
      </c>
      <c r="G46" s="184">
        <v>0.45600000000000002</v>
      </c>
      <c r="H46" s="10"/>
      <c r="I46" s="11">
        <f t="shared" si="7"/>
        <v>0.27368375000000006</v>
      </c>
      <c r="J46" s="11">
        <f t="shared" si="8"/>
        <v>0.15925624999999999</v>
      </c>
      <c r="K46" s="11">
        <f t="shared" si="9"/>
        <v>0.17788900000000002</v>
      </c>
      <c r="L46" s="11">
        <f t="shared" si="10"/>
        <v>0.38924274999999997</v>
      </c>
      <c r="M46" s="10"/>
      <c r="N46" s="9">
        <f t="shared" si="11"/>
        <v>372.36411877894591</v>
      </c>
      <c r="O46" s="9">
        <f t="shared" si="11"/>
        <v>216.67823972482651</v>
      </c>
      <c r="P46" s="9">
        <f t="shared" si="11"/>
        <v>242.02927914232359</v>
      </c>
      <c r="Q46" s="9">
        <f t="shared" si="11"/>
        <v>529.58947542498788</v>
      </c>
      <c r="R46" s="9">
        <f t="shared" si="12"/>
        <v>1360.6611130710839</v>
      </c>
    </row>
    <row r="47" spans="1:18" x14ac:dyDescent="0.2">
      <c r="A47" s="35"/>
      <c r="B47" s="18">
        <f>'RHNA Model'!AY49</f>
        <v>20566.704844676275</v>
      </c>
      <c r="C47" s="13"/>
      <c r="F47" s="5"/>
      <c r="H47" s="13"/>
      <c r="K47" s="5"/>
      <c r="M47" s="13"/>
      <c r="N47" s="14">
        <f>SUM(N27:N46)</f>
        <v>5249.1123943010653</v>
      </c>
      <c r="O47" s="14">
        <f>SUM(O27:O46)</f>
        <v>3076.2977105310615</v>
      </c>
      <c r="P47" s="14">
        <f>SUM(P27:P46)</f>
        <v>3485.8181285572941</v>
      </c>
      <c r="Q47" s="14">
        <f>SUM(Q27:Q46)</f>
        <v>8752.7999091121783</v>
      </c>
      <c r="R47" s="14">
        <f t="shared" si="12"/>
        <v>20564.0281425016</v>
      </c>
    </row>
    <row r="48" spans="1:18" x14ac:dyDescent="0.2">
      <c r="A48" s="35"/>
      <c r="B48" s="16"/>
      <c r="C48" s="8"/>
      <c r="H48" s="8"/>
      <c r="I48" s="15"/>
      <c r="J48" s="15"/>
      <c r="K48" s="15"/>
      <c r="L48" s="15"/>
      <c r="M48" s="8"/>
      <c r="N48" s="5"/>
      <c r="O48" s="5"/>
      <c r="P48" s="5"/>
      <c r="Q48" s="5"/>
      <c r="R48" s="5"/>
    </row>
    <row r="49" spans="1:18" x14ac:dyDescent="0.2">
      <c r="A49" s="34" t="s">
        <v>42</v>
      </c>
      <c r="B49" s="9">
        <f>'RHNA Model'!AY51</f>
        <v>15.845984469707098</v>
      </c>
      <c r="C49" s="10"/>
      <c r="D49" s="184">
        <v>0.21</v>
      </c>
      <c r="E49" s="184">
        <v>0.10100000000000001</v>
      </c>
      <c r="F49" s="184">
        <v>9.9000000000000005E-2</v>
      </c>
      <c r="G49" s="184">
        <v>0.59</v>
      </c>
      <c r="H49" s="10"/>
      <c r="I49" s="11">
        <f t="shared" ref="I49:I60" si="13">D49+(D$4-D49)*$D$5</f>
        <v>0.28193375000000004</v>
      </c>
      <c r="J49" s="11">
        <f t="shared" ref="J49:J60" si="14">E49+(E$4-E49)*$D$5</f>
        <v>0.19300624999999999</v>
      </c>
      <c r="K49" s="11">
        <f t="shared" ref="K49:K60" si="15">F49+(F$4-F49)*$D$5</f>
        <v>0.23638899999999999</v>
      </c>
      <c r="L49" s="11">
        <f t="shared" ref="L49:L60" si="16">G49+(G$4-G49)*$D$5</f>
        <v>0.28874274999999999</v>
      </c>
      <c r="M49" s="10"/>
      <c r="N49" s="9">
        <f t="shared" ref="N49:Q60" si="17">$B49*I49</f>
        <v>4.4675178239862845</v>
      </c>
      <c r="O49" s="9">
        <f t="shared" si="17"/>
        <v>3.0583740400564055</v>
      </c>
      <c r="P49" s="9">
        <f t="shared" si="17"/>
        <v>3.7458164228095909</v>
      </c>
      <c r="Q49" s="9">
        <f t="shared" si="17"/>
        <v>4.5754131322405192</v>
      </c>
      <c r="R49" s="9">
        <f t="shared" ref="R49:R61" si="18">N49+O49+P49+Q49</f>
        <v>15.847121419092801</v>
      </c>
    </row>
    <row r="50" spans="1:18" x14ac:dyDescent="0.2">
      <c r="A50" s="34" t="s">
        <v>43</v>
      </c>
      <c r="B50" s="9">
        <f>'RHNA Model'!AY52</f>
        <v>71.916391054824516</v>
      </c>
      <c r="C50" s="10"/>
      <c r="D50" s="184">
        <v>0.18099999999999999</v>
      </c>
      <c r="E50" s="184">
        <v>0.124</v>
      </c>
      <c r="F50" s="184">
        <v>0.17599999999999999</v>
      </c>
      <c r="G50" s="184">
        <v>0.51900000000000002</v>
      </c>
      <c r="H50" s="10"/>
      <c r="I50" s="11">
        <f t="shared" si="13"/>
        <v>0.30368375000000003</v>
      </c>
      <c r="J50" s="11">
        <f t="shared" si="14"/>
        <v>0.17575624999999997</v>
      </c>
      <c r="K50" s="11">
        <f t="shared" si="15"/>
        <v>0.17863899999999999</v>
      </c>
      <c r="L50" s="11">
        <f t="shared" si="16"/>
        <v>0.34199274999999996</v>
      </c>
      <c r="M50" s="10"/>
      <c r="N50" s="9">
        <f t="shared" si="17"/>
        <v>21.839839321995566</v>
      </c>
      <c r="O50" s="9">
        <f t="shared" si="17"/>
        <v>12.6397552053295</v>
      </c>
      <c r="P50" s="9">
        <f t="shared" si="17"/>
        <v>12.847072181642796</v>
      </c>
      <c r="Q50" s="9">
        <f t="shared" si="17"/>
        <v>24.594884346914835</v>
      </c>
      <c r="R50" s="9">
        <f t="shared" si="18"/>
        <v>71.921551055882688</v>
      </c>
    </row>
    <row r="51" spans="1:18" x14ac:dyDescent="0.2">
      <c r="A51" s="34" t="s">
        <v>44</v>
      </c>
      <c r="B51" s="9">
        <f>'RHNA Model'!AY53</f>
        <v>61.352401408353124</v>
      </c>
      <c r="C51" s="10"/>
      <c r="D51" s="184">
        <v>0.23</v>
      </c>
      <c r="E51" s="184">
        <v>0.11700000000000001</v>
      </c>
      <c r="F51" s="184">
        <v>0.17100000000000001</v>
      </c>
      <c r="G51" s="184">
        <v>0.48099999999999998</v>
      </c>
      <c r="H51" s="10"/>
      <c r="I51" s="11">
        <f t="shared" si="13"/>
        <v>0.26693375000000003</v>
      </c>
      <c r="J51" s="11">
        <f t="shared" si="14"/>
        <v>0.18100624999999998</v>
      </c>
      <c r="K51" s="11">
        <f t="shared" si="15"/>
        <v>0.182389</v>
      </c>
      <c r="L51" s="11">
        <f t="shared" si="16"/>
        <v>0.37049274999999998</v>
      </c>
      <c r="M51" s="10"/>
      <c r="N51" s="9">
        <f t="shared" si="17"/>
        <v>16.377026579436983</v>
      </c>
      <c r="O51" s="9">
        <f t="shared" si="17"/>
        <v>11.105168107420717</v>
      </c>
      <c r="P51" s="9">
        <f t="shared" si="17"/>
        <v>11.190003140468118</v>
      </c>
      <c r="Q51" s="9">
        <f t="shared" si="17"/>
        <v>22.730619916884621</v>
      </c>
      <c r="R51" s="9">
        <f t="shared" si="18"/>
        <v>61.402817744210438</v>
      </c>
    </row>
    <row r="52" spans="1:18" x14ac:dyDescent="0.2">
      <c r="A52" s="34" t="s">
        <v>45</v>
      </c>
      <c r="B52" s="9">
        <f>'RHNA Model'!AY54</f>
        <v>131.64356328679742</v>
      </c>
      <c r="C52" s="10"/>
      <c r="D52" s="184">
        <v>0.18099999999999999</v>
      </c>
      <c r="E52" s="184">
        <v>0.156</v>
      </c>
      <c r="F52" s="184">
        <v>0.20399999999999999</v>
      </c>
      <c r="G52" s="184">
        <v>0.46</v>
      </c>
      <c r="H52" s="10"/>
      <c r="I52" s="11">
        <f t="shared" si="13"/>
        <v>0.30368375000000003</v>
      </c>
      <c r="J52" s="11">
        <f t="shared" si="14"/>
        <v>0.15175624999999998</v>
      </c>
      <c r="K52" s="11">
        <f t="shared" si="15"/>
        <v>0.157639</v>
      </c>
      <c r="L52" s="11">
        <f t="shared" si="16"/>
        <v>0.38624274999999997</v>
      </c>
      <c r="M52" s="10"/>
      <c r="N52" s="9">
        <f t="shared" si="17"/>
        <v>39.97801096229697</v>
      </c>
      <c r="O52" s="9">
        <f t="shared" si="17"/>
        <v>19.977733501042049</v>
      </c>
      <c r="P52" s="9">
        <f t="shared" si="17"/>
        <v>20.752159672967458</v>
      </c>
      <c r="Q52" s="9">
        <f t="shared" si="17"/>
        <v>50.846371903691669</v>
      </c>
      <c r="R52" s="9">
        <f t="shared" si="18"/>
        <v>131.55427603999814</v>
      </c>
    </row>
    <row r="53" spans="1:18" x14ac:dyDescent="0.2">
      <c r="A53" s="34" t="s">
        <v>46</v>
      </c>
      <c r="B53" s="9">
        <f>'RHNA Model'!AY55</f>
        <v>128.79941222813207</v>
      </c>
      <c r="C53" s="10"/>
      <c r="D53" s="184">
        <v>0.16300000000000001</v>
      </c>
      <c r="E53" s="184">
        <v>0.107</v>
      </c>
      <c r="F53" s="184">
        <v>0.14499999999999999</v>
      </c>
      <c r="G53" s="184">
        <v>0.58499999999999996</v>
      </c>
      <c r="H53" s="10"/>
      <c r="I53" s="11">
        <f t="shared" si="13"/>
        <v>0.31718375000000004</v>
      </c>
      <c r="J53" s="11">
        <f t="shared" si="14"/>
        <v>0.18850624999999999</v>
      </c>
      <c r="K53" s="11">
        <f t="shared" si="15"/>
        <v>0.20188900000000001</v>
      </c>
      <c r="L53" s="11">
        <f t="shared" si="16"/>
        <v>0.29249274999999997</v>
      </c>
      <c r="M53" s="10"/>
      <c r="N53" s="9">
        <f t="shared" si="17"/>
        <v>40.853080568314788</v>
      </c>
      <c r="O53" s="9">
        <f t="shared" si="17"/>
        <v>24.279494201329321</v>
      </c>
      <c r="P53" s="9">
        <f t="shared" si="17"/>
        <v>26.003184535325357</v>
      </c>
      <c r="Q53" s="9">
        <f t="shared" si="17"/>
        <v>37.672894280989972</v>
      </c>
      <c r="R53" s="9">
        <f t="shared" si="18"/>
        <v>128.80865358595943</v>
      </c>
    </row>
    <row r="54" spans="1:18" x14ac:dyDescent="0.2">
      <c r="A54" s="34" t="s">
        <v>47</v>
      </c>
      <c r="B54" s="9">
        <f>'RHNA Model'!AY56</f>
        <v>413.62082538876479</v>
      </c>
      <c r="C54" s="10"/>
      <c r="D54" s="184">
        <v>0.22900000000000001</v>
      </c>
      <c r="E54" s="184">
        <v>0.14799999999999999</v>
      </c>
      <c r="F54" s="184">
        <v>0.182</v>
      </c>
      <c r="G54" s="184">
        <v>0.441</v>
      </c>
      <c r="H54" s="10"/>
      <c r="I54" s="11">
        <f t="shared" si="13"/>
        <v>0.26768375000000005</v>
      </c>
      <c r="J54" s="11">
        <f t="shared" si="14"/>
        <v>0.15775624999999999</v>
      </c>
      <c r="K54" s="11">
        <f t="shared" si="15"/>
        <v>0.17413899999999999</v>
      </c>
      <c r="L54" s="11">
        <f t="shared" si="16"/>
        <v>0.40049274999999995</v>
      </c>
      <c r="M54" s="10"/>
      <c r="N54" s="9">
        <f t="shared" si="17"/>
        <v>110.71957361815979</v>
      </c>
      <c r="O54" s="9">
        <f t="shared" si="17"/>
        <v>65.251270335236313</v>
      </c>
      <c r="P54" s="9">
        <f t="shared" si="17"/>
        <v>72.027516912374111</v>
      </c>
      <c r="Q54" s="9">
        <f t="shared" si="17"/>
        <v>165.6521418172162</v>
      </c>
      <c r="R54" s="9">
        <f t="shared" si="18"/>
        <v>413.65050268298643</v>
      </c>
    </row>
    <row r="55" spans="1:18" x14ac:dyDescent="0.2">
      <c r="A55" s="34" t="s">
        <v>48</v>
      </c>
      <c r="B55" s="9">
        <f>'RHNA Model'!AY57</f>
        <v>18.283828234277419</v>
      </c>
      <c r="C55" s="10"/>
      <c r="D55" s="184">
        <v>0.13500000000000001</v>
      </c>
      <c r="E55" s="184">
        <v>7.5999999999999998E-2</v>
      </c>
      <c r="F55" s="184">
        <v>0.107</v>
      </c>
      <c r="G55" s="184">
        <v>0.68100000000000005</v>
      </c>
      <c r="H55" s="10"/>
      <c r="I55" s="11">
        <f t="shared" si="13"/>
        <v>0.33818375000000001</v>
      </c>
      <c r="J55" s="11">
        <f t="shared" si="14"/>
        <v>0.21175624999999998</v>
      </c>
      <c r="K55" s="11">
        <f t="shared" si="15"/>
        <v>0.23038900000000001</v>
      </c>
      <c r="L55" s="11">
        <f t="shared" si="16"/>
        <v>0.2204927499999999</v>
      </c>
      <c r="M55" s="10"/>
      <c r="N55" s="9">
        <f t="shared" si="17"/>
        <v>6.1832935966238161</v>
      </c>
      <c r="O55" s="9">
        <f t="shared" si="17"/>
        <v>3.8717149025347073</v>
      </c>
      <c r="P55" s="9">
        <f t="shared" si="17"/>
        <v>4.2123929030669407</v>
      </c>
      <c r="Q55" s="9">
        <f t="shared" si="17"/>
        <v>4.0314515679034706</v>
      </c>
      <c r="R55" s="9">
        <f t="shared" si="18"/>
        <v>18.298852970128934</v>
      </c>
    </row>
    <row r="56" spans="1:18" x14ac:dyDescent="0.2">
      <c r="A56" s="34" t="s">
        <v>49</v>
      </c>
      <c r="B56" s="9">
        <f>'RHNA Model'!AY58</f>
        <v>106.04620375880904</v>
      </c>
      <c r="C56" s="10"/>
      <c r="D56" s="184">
        <v>0.17299999999999999</v>
      </c>
      <c r="E56" s="184">
        <v>0.14099999999999999</v>
      </c>
      <c r="F56" s="184">
        <v>0.18</v>
      </c>
      <c r="G56" s="184">
        <v>0.50600000000000001</v>
      </c>
      <c r="H56" s="10"/>
      <c r="I56" s="11">
        <f t="shared" si="13"/>
        <v>0.30968375000000004</v>
      </c>
      <c r="J56" s="11">
        <f t="shared" si="14"/>
        <v>0.16300624999999999</v>
      </c>
      <c r="K56" s="11">
        <f t="shared" si="15"/>
        <v>0.17563899999999999</v>
      </c>
      <c r="L56" s="11">
        <f t="shared" si="16"/>
        <v>0.35174274999999994</v>
      </c>
      <c r="M56" s="10"/>
      <c r="N56" s="9">
        <f t="shared" si="17"/>
        <v>32.840786053292085</v>
      </c>
      <c r="O56" s="9">
        <f t="shared" si="17"/>
        <v>17.286194001459364</v>
      </c>
      <c r="P56" s="9">
        <f t="shared" si="17"/>
        <v>18.625849181993459</v>
      </c>
      <c r="Q56" s="9">
        <f t="shared" si="17"/>
        <v>37.300983337183823</v>
      </c>
      <c r="R56" s="9">
        <f t="shared" si="18"/>
        <v>106.05381257392872</v>
      </c>
    </row>
    <row r="57" spans="1:18" x14ac:dyDescent="0.2">
      <c r="A57" s="34" t="s">
        <v>50</v>
      </c>
      <c r="B57" s="9">
        <f>'RHNA Model'!AY59</f>
        <v>1002.8611407704307</v>
      </c>
      <c r="C57" s="10"/>
      <c r="D57" s="184">
        <v>0.26800000000000002</v>
      </c>
      <c r="E57" s="184">
        <v>0.16300000000000001</v>
      </c>
      <c r="F57" s="184">
        <v>0.17499999999999999</v>
      </c>
      <c r="G57" s="184">
        <v>0.39400000000000002</v>
      </c>
      <c r="H57" s="10"/>
      <c r="I57" s="11">
        <f t="shared" si="13"/>
        <v>0.23843375000000003</v>
      </c>
      <c r="J57" s="11">
        <f t="shared" si="14"/>
        <v>0.14650624999999998</v>
      </c>
      <c r="K57" s="11">
        <f t="shared" si="15"/>
        <v>0.17938900000000002</v>
      </c>
      <c r="L57" s="11">
        <f t="shared" si="16"/>
        <v>0.43574274999999996</v>
      </c>
      <c r="M57" s="10"/>
      <c r="N57" s="9">
        <f t="shared" si="17"/>
        <v>239.1159425231717</v>
      </c>
      <c r="O57" s="9">
        <f t="shared" si="17"/>
        <v>146.92542500499789</v>
      </c>
      <c r="P57" s="9">
        <f t="shared" si="17"/>
        <v>179.90225718166681</v>
      </c>
      <c r="Q57" s="9">
        <f t="shared" si="17"/>
        <v>436.98947134744452</v>
      </c>
      <c r="R57" s="9">
        <f t="shared" si="18"/>
        <v>1002.9330960572809</v>
      </c>
    </row>
    <row r="58" spans="1:18" x14ac:dyDescent="0.2">
      <c r="A58" s="34" t="s">
        <v>118</v>
      </c>
      <c r="B58" s="9">
        <f>'RHNA Model'!AY60</f>
        <v>79.022817690734826</v>
      </c>
      <c r="C58" s="10"/>
      <c r="D58" s="184">
        <v>0.153</v>
      </c>
      <c r="E58" s="184">
        <v>0.123</v>
      </c>
      <c r="F58" s="184">
        <v>0.152</v>
      </c>
      <c r="G58" s="184">
        <v>0.57199999999999995</v>
      </c>
      <c r="H58" s="10"/>
      <c r="I58" s="11">
        <f t="shared" si="13"/>
        <v>0.32468375000000005</v>
      </c>
      <c r="J58" s="11">
        <f t="shared" si="14"/>
        <v>0.17650624999999998</v>
      </c>
      <c r="K58" s="11">
        <f t="shared" si="15"/>
        <v>0.19663900000000001</v>
      </c>
      <c r="L58" s="11">
        <f t="shared" si="16"/>
        <v>0.30224275</v>
      </c>
      <c r="M58" s="10"/>
      <c r="N58" s="9">
        <f t="shared" si="17"/>
        <v>25.657424783394127</v>
      </c>
      <c r="O58" s="9">
        <f t="shared" si="17"/>
        <v>13.948021215025262</v>
      </c>
      <c r="P58" s="9">
        <f t="shared" si="17"/>
        <v>15.538967847888406</v>
      </c>
      <c r="Q58" s="9">
        <f t="shared" si="17"/>
        <v>23.884073731596345</v>
      </c>
      <c r="R58" s="9">
        <f t="shared" si="18"/>
        <v>79.028487577904144</v>
      </c>
    </row>
    <row r="59" spans="1:18" x14ac:dyDescent="0.2">
      <c r="A59" s="34" t="s">
        <v>51</v>
      </c>
      <c r="B59" s="9">
        <f>'RHNA Model'!AY61</f>
        <v>78.011000466250337</v>
      </c>
      <c r="C59" s="10"/>
      <c r="D59" s="184">
        <v>0.17</v>
      </c>
      <c r="E59" s="184">
        <v>9.0999999999999998E-2</v>
      </c>
      <c r="F59" s="184">
        <v>8.7999999999999995E-2</v>
      </c>
      <c r="G59" s="184">
        <v>0.65100000000000002</v>
      </c>
      <c r="H59" s="10"/>
      <c r="I59" s="11">
        <f t="shared" si="13"/>
        <v>0.31193375000000001</v>
      </c>
      <c r="J59" s="11">
        <f t="shared" si="14"/>
        <v>0.20050625</v>
      </c>
      <c r="K59" s="11">
        <f t="shared" si="15"/>
        <v>0.244639</v>
      </c>
      <c r="L59" s="11">
        <f t="shared" si="16"/>
        <v>0.24299274999999992</v>
      </c>
      <c r="M59" s="10"/>
      <c r="N59" s="9">
        <f t="shared" si="17"/>
        <v>24.334263916689217</v>
      </c>
      <c r="O59" s="9">
        <f t="shared" si="17"/>
        <v>15.641693162236107</v>
      </c>
      <c r="P59" s="9">
        <f t="shared" si="17"/>
        <v>19.084533143063016</v>
      </c>
      <c r="Q59" s="9">
        <f t="shared" si="17"/>
        <v>18.956107533545445</v>
      </c>
      <c r="R59" s="9">
        <f t="shared" si="18"/>
        <v>78.016597755533795</v>
      </c>
    </row>
    <row r="60" spans="1:18" x14ac:dyDescent="0.2">
      <c r="A60" s="34" t="s">
        <v>107</v>
      </c>
      <c r="B60" s="9">
        <f>'RHNA Model'!AY62</f>
        <v>184.02654231857625</v>
      </c>
      <c r="C60" s="10"/>
      <c r="D60" s="184">
        <v>0.19</v>
      </c>
      <c r="E60" s="184">
        <v>0.124</v>
      </c>
      <c r="F60" s="184">
        <v>0.14799999999999999</v>
      </c>
      <c r="G60" s="184">
        <v>0.53800000000000003</v>
      </c>
      <c r="H60" s="10"/>
      <c r="I60" s="11">
        <f t="shared" si="13"/>
        <v>0.29693375000000005</v>
      </c>
      <c r="J60" s="11">
        <f t="shared" si="14"/>
        <v>0.17575624999999997</v>
      </c>
      <c r="K60" s="11">
        <f t="shared" si="15"/>
        <v>0.19963900000000001</v>
      </c>
      <c r="L60" s="11">
        <f t="shared" si="16"/>
        <v>0.32774274999999992</v>
      </c>
      <c r="M60" s="10"/>
      <c r="N60" s="9">
        <f t="shared" si="17"/>
        <v>54.643691310188551</v>
      </c>
      <c r="O60" s="9">
        <f t="shared" si="17"/>
        <v>32.343814978379264</v>
      </c>
      <c r="P60" s="9">
        <f t="shared" si="17"/>
        <v>36.738874881938244</v>
      </c>
      <c r="Q60" s="9">
        <f t="shared" si="17"/>
        <v>60.313365052481537</v>
      </c>
      <c r="R60" s="9">
        <f t="shared" si="18"/>
        <v>184.03974622298759</v>
      </c>
    </row>
    <row r="61" spans="1:18" x14ac:dyDescent="0.2">
      <c r="A61" s="36"/>
      <c r="B61" s="18">
        <f>'RHNA Model'!AY63</f>
        <v>2291.4301110756574</v>
      </c>
      <c r="C61" s="17"/>
      <c r="F61" s="5"/>
      <c r="H61" s="17"/>
      <c r="K61" s="5"/>
      <c r="M61" s="17"/>
      <c r="N61" s="18">
        <f>SUM(N49:N60)</f>
        <v>617.01045105754986</v>
      </c>
      <c r="O61" s="18">
        <f>SUM(O49:O60)</f>
        <v>366.32865865504692</v>
      </c>
      <c r="P61" s="18">
        <f>SUM(P49:P60)</f>
        <v>420.66862800520425</v>
      </c>
      <c r="Q61" s="18">
        <f>SUM(Q49:Q60)</f>
        <v>887.54777796809299</v>
      </c>
      <c r="R61" s="18">
        <f t="shared" si="18"/>
        <v>2291.5555156858941</v>
      </c>
    </row>
    <row r="62" spans="1:18" x14ac:dyDescent="0.2">
      <c r="A62" s="35"/>
      <c r="B62" s="16"/>
      <c r="C62" s="8"/>
      <c r="H62" s="8"/>
      <c r="I62" s="15"/>
      <c r="J62" s="15"/>
      <c r="K62" s="15"/>
      <c r="L62" s="15"/>
      <c r="M62" s="8"/>
      <c r="N62" s="5"/>
      <c r="O62" s="5"/>
      <c r="P62" s="5"/>
      <c r="Q62" s="5"/>
      <c r="R62" s="5"/>
    </row>
    <row r="63" spans="1:18" x14ac:dyDescent="0.2">
      <c r="A63" s="34" t="s">
        <v>52</v>
      </c>
      <c r="B63" s="9">
        <f>'RHNA Model'!AY65</f>
        <v>391.83497500233989</v>
      </c>
      <c r="C63" s="10"/>
      <c r="D63" s="184">
        <v>0.191</v>
      </c>
      <c r="E63" s="184">
        <v>0.17599999999999999</v>
      </c>
      <c r="F63" s="184">
        <v>0.216</v>
      </c>
      <c r="G63" s="184">
        <v>0.41699999999999998</v>
      </c>
      <c r="H63" s="10"/>
      <c r="I63" s="11">
        <f t="shared" ref="I63:I68" si="19">D63+(D$4-D63)*$D$5</f>
        <v>0.29618375000000002</v>
      </c>
      <c r="J63" s="11">
        <f t="shared" ref="J63:J68" si="20">E63+(E$4-E63)*$D$5</f>
        <v>0.13675625</v>
      </c>
      <c r="K63" s="11">
        <f t="shared" ref="K63:K68" si="21">F63+(F$4-F63)*$D$5</f>
        <v>0.14863899999999999</v>
      </c>
      <c r="L63" s="11">
        <f t="shared" ref="L63:L68" si="22">G63+(G$4-G63)*$D$5</f>
        <v>0.41849274999999997</v>
      </c>
      <c r="M63" s="10"/>
      <c r="N63" s="9">
        <f t="shared" ref="N63:Q68" si="23">$B63*I63</f>
        <v>116.05515227734929</v>
      </c>
      <c r="O63" s="9">
        <f t="shared" si="23"/>
        <v>53.58588180016374</v>
      </c>
      <c r="P63" s="9">
        <f t="shared" si="23"/>
        <v>58.241958849372793</v>
      </c>
      <c r="Q63" s="9">
        <f t="shared" si="23"/>
        <v>163.98009623491046</v>
      </c>
      <c r="R63" s="9">
        <f t="shared" ref="R63:R69" si="24">N63+O63+P63+Q63</f>
        <v>391.86308916179632</v>
      </c>
    </row>
    <row r="64" spans="1:18" x14ac:dyDescent="0.2">
      <c r="A64" s="34" t="s">
        <v>53</v>
      </c>
      <c r="B64" s="9">
        <f>'RHNA Model'!AY66</f>
        <v>26.81628141027355</v>
      </c>
      <c r="C64" s="10"/>
      <c r="D64" s="184">
        <v>0.29499999999999998</v>
      </c>
      <c r="E64" s="184">
        <v>0.25800000000000001</v>
      </c>
      <c r="F64" s="184">
        <v>0.21299999999999999</v>
      </c>
      <c r="G64" s="184">
        <v>0.23499999999999999</v>
      </c>
      <c r="H64" s="10"/>
      <c r="I64" s="11">
        <f t="shared" si="19"/>
        <v>0.21818375000000007</v>
      </c>
      <c r="J64" s="11">
        <f t="shared" si="20"/>
        <v>7.5256249999999969E-2</v>
      </c>
      <c r="K64" s="11">
        <f t="shared" si="21"/>
        <v>0.150889</v>
      </c>
      <c r="L64" s="11">
        <f t="shared" si="22"/>
        <v>0.55499275000000003</v>
      </c>
      <c r="M64" s="10"/>
      <c r="N64" s="9">
        <f t="shared" si="23"/>
        <v>5.8508768391487731</v>
      </c>
      <c r="O64" s="9">
        <f t="shared" si="23"/>
        <v>2.0180927778818982</v>
      </c>
      <c r="P64" s="9">
        <f t="shared" si="23"/>
        <v>4.046281885714766</v>
      </c>
      <c r="Q64" s="9">
        <f t="shared" si="23"/>
        <v>14.882841764661597</v>
      </c>
      <c r="R64" s="9">
        <f t="shared" si="24"/>
        <v>26.798093267407033</v>
      </c>
    </row>
    <row r="65" spans="1:18" x14ac:dyDescent="0.2">
      <c r="A65" s="34" t="s">
        <v>4</v>
      </c>
      <c r="B65" s="9">
        <f>'RHNA Model'!AY67</f>
        <v>834.83518401521007</v>
      </c>
      <c r="C65" s="10"/>
      <c r="D65" s="184">
        <v>0.29099999999999998</v>
      </c>
      <c r="E65" s="184">
        <v>0.189</v>
      </c>
      <c r="F65" s="184">
        <v>0.189</v>
      </c>
      <c r="G65" s="184">
        <v>0.33100000000000002</v>
      </c>
      <c r="H65" s="10"/>
      <c r="I65" s="11">
        <f t="shared" si="19"/>
        <v>0.22118375000000007</v>
      </c>
      <c r="J65" s="11">
        <f t="shared" si="20"/>
        <v>0.12700624999999999</v>
      </c>
      <c r="K65" s="11">
        <f t="shared" si="21"/>
        <v>0.16888900000000001</v>
      </c>
      <c r="L65" s="11">
        <f t="shared" si="22"/>
        <v>0.48299274999999997</v>
      </c>
      <c r="M65" s="10"/>
      <c r="N65" s="9">
        <f t="shared" si="23"/>
        <v>184.65197663242427</v>
      </c>
      <c r="O65" s="9">
        <f t="shared" si="23"/>
        <v>106.02928608983176</v>
      </c>
      <c r="P65" s="9">
        <f t="shared" si="23"/>
        <v>140.99447939314481</v>
      </c>
      <c r="Q65" s="9">
        <f t="shared" si="23"/>
        <v>403.21934132426236</v>
      </c>
      <c r="R65" s="9">
        <f t="shared" si="24"/>
        <v>834.89508343966315</v>
      </c>
    </row>
    <row r="66" spans="1:18" x14ac:dyDescent="0.2">
      <c r="A66" s="34" t="s">
        <v>54</v>
      </c>
      <c r="B66" s="9">
        <f>'RHNA Model'!AY68</f>
        <v>30.879354351224087</v>
      </c>
      <c r="C66" s="10"/>
      <c r="D66" s="184">
        <v>0.255</v>
      </c>
      <c r="E66" s="184">
        <v>0.159</v>
      </c>
      <c r="F66" s="184">
        <v>0.18</v>
      </c>
      <c r="G66" s="184">
        <v>0.40500000000000003</v>
      </c>
      <c r="H66" s="10"/>
      <c r="I66" s="11">
        <f t="shared" si="19"/>
        <v>0.24818375000000004</v>
      </c>
      <c r="J66" s="11">
        <f t="shared" si="20"/>
        <v>0.14950624999999998</v>
      </c>
      <c r="K66" s="11">
        <f t="shared" si="21"/>
        <v>0.17563899999999999</v>
      </c>
      <c r="L66" s="11">
        <f t="shared" si="22"/>
        <v>0.42749274999999992</v>
      </c>
      <c r="M66" s="10"/>
      <c r="N66" s="9">
        <f t="shared" si="23"/>
        <v>7.6637539604656126</v>
      </c>
      <c r="O66" s="9">
        <f t="shared" si="23"/>
        <v>4.6166564714726954</v>
      </c>
      <c r="P66" s="9">
        <f t="shared" si="23"/>
        <v>5.4236189188946469</v>
      </c>
      <c r="Q66" s="9">
        <f t="shared" si="23"/>
        <v>13.200700109829249</v>
      </c>
      <c r="R66" s="9">
        <f t="shared" si="24"/>
        <v>30.904729460662203</v>
      </c>
    </row>
    <row r="67" spans="1:18" x14ac:dyDescent="0.2">
      <c r="A67" s="34" t="s">
        <v>55</v>
      </c>
      <c r="B67" s="9">
        <f>'RHNA Model'!AY69</f>
        <v>17.47121364608731</v>
      </c>
      <c r="C67" s="10"/>
      <c r="D67" s="184">
        <v>0.24399999999999999</v>
      </c>
      <c r="E67" s="184">
        <v>0.20499999999999999</v>
      </c>
      <c r="F67" s="184">
        <v>0.16800000000000001</v>
      </c>
      <c r="G67" s="184">
        <v>0.38400000000000001</v>
      </c>
      <c r="H67" s="10"/>
      <c r="I67" s="11">
        <f t="shared" si="19"/>
        <v>0.25643375000000002</v>
      </c>
      <c r="J67" s="11">
        <f t="shared" si="20"/>
        <v>0.11500624999999999</v>
      </c>
      <c r="K67" s="11">
        <f t="shared" si="21"/>
        <v>0.184639</v>
      </c>
      <c r="L67" s="11">
        <f t="shared" si="22"/>
        <v>0.44324274999999996</v>
      </c>
      <c r="M67" s="10"/>
      <c r="N67" s="9">
        <f t="shared" si="23"/>
        <v>4.4802088323173423</v>
      </c>
      <c r="O67" s="9">
        <f t="shared" si="23"/>
        <v>2.0092987643853286</v>
      </c>
      <c r="P67" s="9">
        <f t="shared" si="23"/>
        <v>3.225867416399915</v>
      </c>
      <c r="Q67" s="9">
        <f t="shared" si="23"/>
        <v>7.7439887823292652</v>
      </c>
      <c r="R67" s="9">
        <f t="shared" si="24"/>
        <v>17.459363795431852</v>
      </c>
    </row>
    <row r="68" spans="1:18" x14ac:dyDescent="0.2">
      <c r="A68" s="34" t="s">
        <v>108</v>
      </c>
      <c r="B68" s="9">
        <f>'RHNA Model'!AY70</f>
        <v>179.82226557903581</v>
      </c>
      <c r="C68" s="10"/>
      <c r="D68" s="184">
        <v>0.20599999999999999</v>
      </c>
      <c r="E68" s="184">
        <v>0.13600000000000001</v>
      </c>
      <c r="F68" s="184">
        <v>0.17499999999999999</v>
      </c>
      <c r="G68" s="184">
        <v>0.48299999999999998</v>
      </c>
      <c r="H68" s="10"/>
      <c r="I68" s="11">
        <f t="shared" si="19"/>
        <v>0.28493375000000004</v>
      </c>
      <c r="J68" s="11">
        <f t="shared" si="20"/>
        <v>0.16675624999999997</v>
      </c>
      <c r="K68" s="11">
        <f t="shared" si="21"/>
        <v>0.17938900000000002</v>
      </c>
      <c r="L68" s="11">
        <f t="shared" si="22"/>
        <v>0.36899274999999998</v>
      </c>
      <c r="M68" s="10"/>
      <c r="N68" s="9">
        <f t="shared" si="23"/>
        <v>51.237432464930606</v>
      </c>
      <c r="O68" s="9">
        <f t="shared" si="23"/>
        <v>29.986486674464086</v>
      </c>
      <c r="P68" s="9">
        <f t="shared" si="23"/>
        <v>32.258136399957657</v>
      </c>
      <c r="Q68" s="9">
        <f t="shared" si="23"/>
        <v>66.353112287238758</v>
      </c>
      <c r="R68" s="9">
        <f t="shared" si="24"/>
        <v>179.83516782659112</v>
      </c>
    </row>
    <row r="69" spans="1:18" x14ac:dyDescent="0.2">
      <c r="A69" s="35"/>
      <c r="B69" s="18">
        <f>'RHNA Model'!AY71</f>
        <v>1481.6592740041706</v>
      </c>
      <c r="C69" s="13"/>
      <c r="F69" s="5"/>
      <c r="H69" s="13"/>
      <c r="K69" s="5"/>
      <c r="M69" s="13"/>
      <c r="N69" s="14">
        <f>SUM(N63:N68)</f>
        <v>369.93940100663588</v>
      </c>
      <c r="O69" s="14">
        <f>SUM(O63:O68)</f>
        <v>198.24570257819951</v>
      </c>
      <c r="P69" s="14">
        <f>SUM(P63:P68)</f>
        <v>244.1903428634846</v>
      </c>
      <c r="Q69" s="14">
        <f>SUM(Q63:Q68)</f>
        <v>669.38008050323162</v>
      </c>
      <c r="R69" s="14">
        <f t="shared" si="24"/>
        <v>1481.7555269515515</v>
      </c>
    </row>
    <row r="70" spans="1:18" x14ac:dyDescent="0.2">
      <c r="A70" s="35"/>
      <c r="B70" s="16"/>
      <c r="C70" s="8"/>
      <c r="H70" s="8"/>
      <c r="I70" s="15"/>
      <c r="J70" s="15"/>
      <c r="K70" s="15"/>
      <c r="L70" s="15"/>
      <c r="M70" s="8"/>
      <c r="N70" s="5"/>
      <c r="O70" s="5"/>
      <c r="P70" s="5"/>
      <c r="Q70" s="5"/>
      <c r="R70" s="5"/>
    </row>
    <row r="71" spans="1:18" x14ac:dyDescent="0.2">
      <c r="A71" s="34" t="s">
        <v>5</v>
      </c>
      <c r="B71" s="12">
        <f>'RHNA Model'!AY73</f>
        <v>28744.81411538105</v>
      </c>
      <c r="C71" s="19"/>
      <c r="D71" s="184">
        <v>0.29799999999999999</v>
      </c>
      <c r="E71" s="184">
        <v>0.14399999999999999</v>
      </c>
      <c r="F71" s="184">
        <v>0.16200000000000001</v>
      </c>
      <c r="G71" s="184">
        <v>0.39600000000000002</v>
      </c>
      <c r="H71" s="19"/>
      <c r="I71" s="11">
        <f>D71+(D$4-D71)*$D$5</f>
        <v>0.21593375000000004</v>
      </c>
      <c r="J71" s="11">
        <f>E71+(E$4-E71)*$D$5</f>
        <v>0.16075624999999999</v>
      </c>
      <c r="K71" s="11">
        <f>F71+(F$4-F71)*$D$5</f>
        <v>0.189139</v>
      </c>
      <c r="L71" s="11">
        <f>G71+(G$4-G71)*$D$5</f>
        <v>0.43424274999999996</v>
      </c>
      <c r="M71" s="19"/>
      <c r="N71" s="12">
        <f>$B71*I71</f>
        <v>6206.9755049871637</v>
      </c>
      <c r="O71" s="12">
        <f>$B71*J71</f>
        <v>4620.9085241357243</v>
      </c>
      <c r="P71" s="12">
        <f>$B71*K71</f>
        <v>5436.7653969690564</v>
      </c>
      <c r="Q71" s="12">
        <f>$B71*L71</f>
        <v>12482.227129701883</v>
      </c>
      <c r="R71" s="12">
        <f>N71+O71+P71+Q71</f>
        <v>28746.876555793828</v>
      </c>
    </row>
    <row r="72" spans="1:18" x14ac:dyDescent="0.2">
      <c r="A72" s="20"/>
      <c r="B72" s="9"/>
      <c r="C72" s="8"/>
      <c r="H72" s="8"/>
      <c r="I72" s="15"/>
      <c r="J72" s="15"/>
      <c r="K72" s="15"/>
      <c r="L72" s="15"/>
      <c r="M72" s="8"/>
      <c r="N72" s="5"/>
      <c r="O72" s="5"/>
      <c r="P72" s="5"/>
      <c r="Q72" s="5"/>
      <c r="R72" s="5"/>
    </row>
    <row r="73" spans="1:18" x14ac:dyDescent="0.2">
      <c r="A73" s="34" t="s">
        <v>56</v>
      </c>
      <c r="B73" s="9">
        <f>'RHNA Model'!AY76</f>
        <v>105.63989646471398</v>
      </c>
      <c r="C73" s="10"/>
      <c r="D73" s="184">
        <v>0.13100000000000001</v>
      </c>
      <c r="E73" s="184">
        <v>2.1000000000000001E-2</v>
      </c>
      <c r="F73" s="184">
        <v>5.0999999999999997E-2</v>
      </c>
      <c r="G73" s="184">
        <v>0.79700000000000004</v>
      </c>
      <c r="H73" s="10"/>
      <c r="I73" s="11">
        <f t="shared" ref="I73:I93" si="25">D73+(D$4-D73)*$D$5</f>
        <v>0.34118375000000001</v>
      </c>
      <c r="J73" s="11">
        <f t="shared" ref="J73:J93" si="26">E73+(E$4-E73)*$D$5</f>
        <v>0.25300624999999999</v>
      </c>
      <c r="K73" s="11">
        <f t="shared" ref="K73:K93" si="27">F73+(F$4-F73)*$D$5</f>
        <v>0.27238899999999999</v>
      </c>
      <c r="L73" s="11">
        <f t="shared" ref="L73:L93" si="28">G73+(G$4-G73)*$D$5</f>
        <v>0.13349274999999994</v>
      </c>
      <c r="M73" s="10"/>
      <c r="N73" s="9">
        <f t="shared" ref="N73:O88" si="29">$B73*I73</f>
        <v>36.042616025442861</v>
      </c>
      <c r="O73" s="9">
        <f>$B73*J73</f>
        <v>26.727554054925541</v>
      </c>
      <c r="P73" s="9">
        <f t="shared" ref="P73:Q88" si="30">$B73*K73</f>
        <v>28.775145758126978</v>
      </c>
      <c r="Q73" s="9">
        <f t="shared" si="30"/>
        <v>14.102160288789941</v>
      </c>
      <c r="R73" s="9">
        <f t="shared" ref="R73:R93" si="31">N73+O73+P73+Q73</f>
        <v>105.64747612728533</v>
      </c>
    </row>
    <row r="74" spans="1:18" x14ac:dyDescent="0.2">
      <c r="A74" s="34" t="s">
        <v>57</v>
      </c>
      <c r="B74" s="9">
        <f>'RHNA Model'!AY77</f>
        <v>366.89548656783359</v>
      </c>
      <c r="C74" s="10"/>
      <c r="D74" s="184">
        <v>0.16600000000000001</v>
      </c>
      <c r="E74" s="184">
        <v>0.129</v>
      </c>
      <c r="F74" s="184">
        <v>0.17</v>
      </c>
      <c r="G74" s="184">
        <v>0.53500000000000003</v>
      </c>
      <c r="H74" s="10"/>
      <c r="I74" s="11">
        <f t="shared" si="25"/>
        <v>0.31493375000000001</v>
      </c>
      <c r="J74" s="11">
        <f t="shared" si="26"/>
        <v>0.17200624999999997</v>
      </c>
      <c r="K74" s="11">
        <f t="shared" si="27"/>
        <v>0.183139</v>
      </c>
      <c r="L74" s="11">
        <f t="shared" si="28"/>
        <v>0.32999274999999995</v>
      </c>
      <c r="M74" s="10"/>
      <c r="N74" s="9">
        <f t="shared" si="29"/>
        <v>115.54777144288246</v>
      </c>
      <c r="O74" s="9">
        <f t="shared" si="29"/>
        <v>63.108316786458417</v>
      </c>
      <c r="P74" s="9">
        <f t="shared" si="30"/>
        <v>67.19287251454648</v>
      </c>
      <c r="Q74" s="9">
        <f t="shared" si="30"/>
        <v>121.07285057510745</v>
      </c>
      <c r="R74" s="9">
        <f t="shared" si="31"/>
        <v>366.9218113189948</v>
      </c>
    </row>
    <row r="75" spans="1:18" x14ac:dyDescent="0.2">
      <c r="A75" s="34" t="s">
        <v>58</v>
      </c>
      <c r="B75" s="9">
        <f>'RHNA Model'!AY78</f>
        <v>82.97458206686801</v>
      </c>
      <c r="C75" s="10"/>
      <c r="D75" s="184">
        <v>0.188</v>
      </c>
      <c r="E75" s="184">
        <v>0.14499999999999999</v>
      </c>
      <c r="F75" s="184">
        <v>0.16900000000000001</v>
      </c>
      <c r="G75" s="184">
        <v>0.498</v>
      </c>
      <c r="H75" s="10"/>
      <c r="I75" s="11">
        <f t="shared" si="25"/>
        <v>0.29843375000000005</v>
      </c>
      <c r="J75" s="11">
        <f t="shared" si="26"/>
        <v>0.16000624999999999</v>
      </c>
      <c r="K75" s="11">
        <f t="shared" si="27"/>
        <v>0.183889</v>
      </c>
      <c r="L75" s="11">
        <f t="shared" si="28"/>
        <v>0.35774274999999994</v>
      </c>
      <c r="M75" s="10"/>
      <c r="N75" s="9">
        <f t="shared" si="29"/>
        <v>24.762415680898176</v>
      </c>
      <c r="O75" s="9">
        <f t="shared" si="29"/>
        <v>13.276451721836798</v>
      </c>
      <c r="P75" s="9">
        <f t="shared" si="30"/>
        <v>15.258112921694291</v>
      </c>
      <c r="Q75" s="9">
        <f t="shared" si="30"/>
        <v>29.683555168702039</v>
      </c>
      <c r="R75" s="9">
        <f t="shared" si="31"/>
        <v>82.980535493131299</v>
      </c>
    </row>
    <row r="76" spans="1:18" x14ac:dyDescent="0.2">
      <c r="A76" s="34" t="s">
        <v>59</v>
      </c>
      <c r="B76" s="9">
        <f>'RHNA Model'!AY79</f>
        <v>975</v>
      </c>
      <c r="C76" s="10"/>
      <c r="D76" s="184">
        <v>0.20300000000000001</v>
      </c>
      <c r="E76" s="184">
        <v>0.154</v>
      </c>
      <c r="F76" s="184">
        <v>0.19800000000000001</v>
      </c>
      <c r="G76" s="184">
        <v>0.44500000000000001</v>
      </c>
      <c r="H76" s="10"/>
      <c r="I76" s="11">
        <f t="shared" si="25"/>
        <v>0.28718375000000002</v>
      </c>
      <c r="J76" s="11">
        <f t="shared" si="26"/>
        <v>0.15325624999999998</v>
      </c>
      <c r="K76" s="11">
        <f t="shared" si="27"/>
        <v>0.16213899999999998</v>
      </c>
      <c r="L76" s="11">
        <f t="shared" si="28"/>
        <v>0.39749274999999995</v>
      </c>
      <c r="M76" s="10"/>
      <c r="N76" s="9">
        <f t="shared" si="29"/>
        <v>280.00415624999999</v>
      </c>
      <c r="O76" s="9">
        <f t="shared" si="29"/>
        <v>149.42484374999998</v>
      </c>
      <c r="P76" s="9">
        <f t="shared" si="30"/>
        <v>158.08552499999999</v>
      </c>
      <c r="Q76" s="9">
        <f t="shared" si="30"/>
        <v>387.55543124999997</v>
      </c>
      <c r="R76" s="9">
        <f t="shared" si="31"/>
        <v>975.0699562499999</v>
      </c>
    </row>
    <row r="77" spans="1:18" x14ac:dyDescent="0.2">
      <c r="A77" s="34" t="s">
        <v>60</v>
      </c>
      <c r="B77" s="9">
        <f>'RHNA Model'!AY80</f>
        <v>67.220895036891434</v>
      </c>
      <c r="C77" s="10"/>
      <c r="D77" s="184">
        <v>0.185</v>
      </c>
      <c r="E77" s="184">
        <v>0.19600000000000001</v>
      </c>
      <c r="F77" s="184">
        <v>0.23200000000000001</v>
      </c>
      <c r="G77" s="184">
        <v>0.38800000000000001</v>
      </c>
      <c r="H77" s="10"/>
      <c r="I77" s="11">
        <f t="shared" si="25"/>
        <v>0.30068375000000003</v>
      </c>
      <c r="J77" s="11">
        <f t="shared" si="26"/>
        <v>0.12175624999999998</v>
      </c>
      <c r="K77" s="11">
        <f t="shared" si="27"/>
        <v>0.13663899999999998</v>
      </c>
      <c r="L77" s="11">
        <f t="shared" si="28"/>
        <v>0.44024274999999996</v>
      </c>
      <c r="M77" s="10"/>
      <c r="N77" s="9">
        <f t="shared" si="29"/>
        <v>20.212230798048907</v>
      </c>
      <c r="O77" s="9">
        <f t="shared" si="29"/>
        <v>8.1845641013355124</v>
      </c>
      <c r="P77" s="9">
        <f t="shared" si="30"/>
        <v>9.1849958769458073</v>
      </c>
      <c r="Q77" s="9">
        <f t="shared" si="30"/>
        <v>29.593511688502435</v>
      </c>
      <c r="R77" s="9">
        <f t="shared" si="31"/>
        <v>67.175302464832654</v>
      </c>
    </row>
    <row r="78" spans="1:18" x14ac:dyDescent="0.2">
      <c r="A78" s="34" t="s">
        <v>61</v>
      </c>
      <c r="B78" s="9">
        <f>'RHNA Model'!AY81</f>
        <v>1508.2126756808398</v>
      </c>
      <c r="C78" s="10"/>
      <c r="D78" s="184">
        <v>0.22500000000000001</v>
      </c>
      <c r="E78" s="184">
        <v>0.187</v>
      </c>
      <c r="F78" s="184">
        <v>0.215</v>
      </c>
      <c r="G78" s="184">
        <v>0.373</v>
      </c>
      <c r="H78" s="10"/>
      <c r="I78" s="11">
        <f t="shared" si="25"/>
        <v>0.27068375000000006</v>
      </c>
      <c r="J78" s="11">
        <f t="shared" si="26"/>
        <v>0.12850624999999999</v>
      </c>
      <c r="K78" s="11">
        <f t="shared" si="27"/>
        <v>0.14938899999999999</v>
      </c>
      <c r="L78" s="11">
        <f t="shared" si="28"/>
        <v>0.45149274999999994</v>
      </c>
      <c r="M78" s="10"/>
      <c r="N78" s="9">
        <f t="shared" si="29"/>
        <v>408.24866285082362</v>
      </c>
      <c r="O78" s="9">
        <f t="shared" si="29"/>
        <v>193.8147551542109</v>
      </c>
      <c r="P78" s="9">
        <f t="shared" si="30"/>
        <v>225.31038340728497</v>
      </c>
      <c r="Q78" s="9">
        <f t="shared" si="30"/>
        <v>680.94708852800034</v>
      </c>
      <c r="R78" s="9">
        <f t="shared" si="31"/>
        <v>1508.3208899403198</v>
      </c>
    </row>
    <row r="79" spans="1:18" x14ac:dyDescent="0.2">
      <c r="A79" s="34" t="s">
        <v>62</v>
      </c>
      <c r="B79" s="9">
        <f>'RHNA Model'!AY82</f>
        <v>466.84708091521679</v>
      </c>
      <c r="C79" s="10"/>
      <c r="D79" s="184">
        <v>0.40200000000000002</v>
      </c>
      <c r="E79" s="184">
        <v>0.20499999999999999</v>
      </c>
      <c r="F79" s="184">
        <v>0.17599999999999999</v>
      </c>
      <c r="G79" s="184">
        <v>0.218</v>
      </c>
      <c r="H79" s="10"/>
      <c r="I79" s="11">
        <f t="shared" si="25"/>
        <v>0.13793375000000002</v>
      </c>
      <c r="J79" s="11">
        <f t="shared" si="26"/>
        <v>0.11500624999999999</v>
      </c>
      <c r="K79" s="11">
        <f t="shared" si="27"/>
        <v>0.17863899999999999</v>
      </c>
      <c r="L79" s="11">
        <f t="shared" si="28"/>
        <v>0.56774274999999996</v>
      </c>
      <c r="M79" s="10"/>
      <c r="N79" s="9">
        <f t="shared" si="29"/>
        <v>64.393968547189289</v>
      </c>
      <c r="O79" s="9">
        <f t="shared" si="29"/>
        <v>53.690332099505646</v>
      </c>
      <c r="P79" s="9">
        <f t="shared" si="30"/>
        <v>83.397095687613415</v>
      </c>
      <c r="Q79" s="9">
        <f t="shared" si="30"/>
        <v>265.04904554827766</v>
      </c>
      <c r="R79" s="9">
        <f t="shared" si="31"/>
        <v>466.53044188258605</v>
      </c>
    </row>
    <row r="80" spans="1:18" x14ac:dyDescent="0.2">
      <c r="A80" s="34" t="s">
        <v>63</v>
      </c>
      <c r="B80" s="9">
        <f>'RHNA Model'!AY83</f>
        <v>429.87311715256692</v>
      </c>
      <c r="C80" s="10"/>
      <c r="D80" s="184">
        <v>0.127</v>
      </c>
      <c r="E80" s="184">
        <v>0.09</v>
      </c>
      <c r="F80" s="184">
        <v>0.17799999999999999</v>
      </c>
      <c r="G80" s="184">
        <v>0.60499999999999998</v>
      </c>
      <c r="H80" s="10"/>
      <c r="I80" s="11">
        <f t="shared" si="25"/>
        <v>0.34418375000000001</v>
      </c>
      <c r="J80" s="11">
        <f t="shared" si="26"/>
        <v>0.20125624999999997</v>
      </c>
      <c r="K80" s="11">
        <f t="shared" si="27"/>
        <v>0.17713899999999999</v>
      </c>
      <c r="L80" s="11">
        <f t="shared" si="28"/>
        <v>0.27749274999999995</v>
      </c>
      <c r="M80" s="10"/>
      <c r="N80" s="9">
        <f t="shared" si="29"/>
        <v>147.95534148575982</v>
      </c>
      <c r="O80" s="9">
        <f t="shared" si="29"/>
        <v>86.514651533936288</v>
      </c>
      <c r="P80" s="9">
        <f t="shared" si="30"/>
        <v>76.147294099288544</v>
      </c>
      <c r="Q80" s="9">
        <f t="shared" si="30"/>
        <v>119.28667342973795</v>
      </c>
      <c r="R80" s="9">
        <f t="shared" si="31"/>
        <v>429.90396054872264</v>
      </c>
    </row>
    <row r="81" spans="1:18" x14ac:dyDescent="0.2">
      <c r="A81" s="34" t="s">
        <v>64</v>
      </c>
      <c r="B81" s="9">
        <f>'RHNA Model'!AY84</f>
        <v>185.6824334014396</v>
      </c>
      <c r="C81" s="10"/>
      <c r="D81" s="184">
        <v>0.21099999999999999</v>
      </c>
      <c r="E81" s="184">
        <v>0.13300000000000001</v>
      </c>
      <c r="F81" s="184">
        <v>0.159</v>
      </c>
      <c r="G81" s="184">
        <v>0.497</v>
      </c>
      <c r="H81" s="10"/>
      <c r="I81" s="11">
        <f t="shared" si="25"/>
        <v>0.28118375000000007</v>
      </c>
      <c r="J81" s="11">
        <f t="shared" si="26"/>
        <v>0.16900624999999997</v>
      </c>
      <c r="K81" s="11">
        <f t="shared" si="27"/>
        <v>0.191389</v>
      </c>
      <c r="L81" s="11">
        <f t="shared" si="28"/>
        <v>0.35849274999999997</v>
      </c>
      <c r="M81" s="10"/>
      <c r="N81" s="9">
        <f t="shared" si="29"/>
        <v>52.210882932942056</v>
      </c>
      <c r="O81" s="9">
        <f t="shared" si="29"/>
        <v>31.381491760052047</v>
      </c>
      <c r="P81" s="9">
        <f t="shared" si="30"/>
        <v>35.537575246268126</v>
      </c>
      <c r="Q81" s="9">
        <f t="shared" si="30"/>
        <v>66.565806176773933</v>
      </c>
      <c r="R81" s="9">
        <f t="shared" si="31"/>
        <v>185.69575611603614</v>
      </c>
    </row>
    <row r="82" spans="1:18" x14ac:dyDescent="0.2">
      <c r="A82" s="34" t="s">
        <v>65</v>
      </c>
      <c r="B82" s="9">
        <f>'RHNA Model'!AY85</f>
        <v>129</v>
      </c>
      <c r="C82" s="10"/>
      <c r="D82" s="184">
        <v>6.8000000000000005E-2</v>
      </c>
      <c r="E82" s="184">
        <v>6.3E-2</v>
      </c>
      <c r="F82" s="184">
        <v>6.4000000000000001E-2</v>
      </c>
      <c r="G82" s="184">
        <v>0.80500000000000005</v>
      </c>
      <c r="H82" s="10"/>
      <c r="I82" s="11">
        <f t="shared" si="25"/>
        <v>0.38843375000000002</v>
      </c>
      <c r="J82" s="11">
        <f t="shared" si="26"/>
        <v>0.22150624999999999</v>
      </c>
      <c r="K82" s="11">
        <f t="shared" si="27"/>
        <v>0.26263900000000001</v>
      </c>
      <c r="L82" s="11">
        <f t="shared" si="28"/>
        <v>0.12749274999999993</v>
      </c>
      <c r="M82" s="10"/>
      <c r="N82" s="9">
        <f t="shared" si="29"/>
        <v>50.10795375</v>
      </c>
      <c r="O82" s="9">
        <f t="shared" si="29"/>
        <v>28.574306249999999</v>
      </c>
      <c r="P82" s="9">
        <f t="shared" si="30"/>
        <v>33.880431000000002</v>
      </c>
      <c r="Q82" s="9">
        <f t="shared" si="30"/>
        <v>16.44656474999999</v>
      </c>
      <c r="R82" s="9">
        <f t="shared" si="31"/>
        <v>129.00925574999999</v>
      </c>
    </row>
    <row r="83" spans="1:18" x14ac:dyDescent="0.2">
      <c r="A83" s="34" t="s">
        <v>66</v>
      </c>
      <c r="B83" s="9">
        <f>'RHNA Model'!AY86</f>
        <v>734.26082377733144</v>
      </c>
      <c r="C83" s="10"/>
      <c r="D83" s="184">
        <v>0.155</v>
      </c>
      <c r="E83" s="184">
        <v>0.11600000000000001</v>
      </c>
      <c r="F83" s="184">
        <v>0.151</v>
      </c>
      <c r="G83" s="184">
        <v>0.57799999999999996</v>
      </c>
      <c r="H83" s="10"/>
      <c r="I83" s="11">
        <f t="shared" si="25"/>
        <v>0.32318375000000005</v>
      </c>
      <c r="J83" s="11">
        <f t="shared" si="26"/>
        <v>0.18175624999999998</v>
      </c>
      <c r="K83" s="11">
        <f t="shared" si="27"/>
        <v>0.19738900000000001</v>
      </c>
      <c r="L83" s="11">
        <f t="shared" si="28"/>
        <v>0.29774275</v>
      </c>
      <c r="M83" s="10"/>
      <c r="N83" s="9">
        <f t="shared" si="29"/>
        <v>237.30116650644717</v>
      </c>
      <c r="O83" s="9">
        <f t="shared" si="29"/>
        <v>133.45649385167857</v>
      </c>
      <c r="P83" s="9">
        <f t="shared" si="30"/>
        <v>144.93500974458368</v>
      </c>
      <c r="Q83" s="9">
        <f t="shared" si="30"/>
        <v>218.62083688872806</v>
      </c>
      <c r="R83" s="9">
        <f t="shared" si="31"/>
        <v>734.31350699143741</v>
      </c>
    </row>
    <row r="84" spans="1:18" x14ac:dyDescent="0.2">
      <c r="A84" s="34" t="s">
        <v>67</v>
      </c>
      <c r="B84" s="9">
        <f>'RHNA Model'!AY87</f>
        <v>678</v>
      </c>
      <c r="C84" s="10"/>
      <c r="D84" s="184">
        <v>0.20599999999999999</v>
      </c>
      <c r="E84" s="184">
        <v>0.159</v>
      </c>
      <c r="F84" s="184">
        <v>0.19400000000000001</v>
      </c>
      <c r="G84" s="184">
        <v>0.44</v>
      </c>
      <c r="H84" s="10"/>
      <c r="I84" s="11">
        <f t="shared" si="25"/>
        <v>0.28493375000000004</v>
      </c>
      <c r="J84" s="11">
        <f t="shared" si="26"/>
        <v>0.14950624999999998</v>
      </c>
      <c r="K84" s="11">
        <f t="shared" si="27"/>
        <v>0.16513899999999998</v>
      </c>
      <c r="L84" s="11">
        <f t="shared" si="28"/>
        <v>0.40124274999999998</v>
      </c>
      <c r="M84" s="10"/>
      <c r="N84" s="9">
        <f t="shared" si="29"/>
        <v>193.18508250000002</v>
      </c>
      <c r="O84" s="9">
        <f t="shared" si="29"/>
        <v>101.36523749999999</v>
      </c>
      <c r="P84" s="9">
        <f t="shared" si="30"/>
        <v>111.96424199999998</v>
      </c>
      <c r="Q84" s="9">
        <f t="shared" si="30"/>
        <v>272.04258449999998</v>
      </c>
      <c r="R84" s="9">
        <f t="shared" si="31"/>
        <v>678.55714649999993</v>
      </c>
    </row>
    <row r="85" spans="1:18" x14ac:dyDescent="0.2">
      <c r="A85" s="34" t="s">
        <v>68</v>
      </c>
      <c r="B85" s="9">
        <f>'RHNA Model'!AY88</f>
        <v>412.5</v>
      </c>
      <c r="C85" s="10"/>
      <c r="D85" s="184">
        <v>0.19600000000000001</v>
      </c>
      <c r="E85" s="184">
        <v>0.13800000000000001</v>
      </c>
      <c r="F85" s="184">
        <v>0.187</v>
      </c>
      <c r="G85" s="184">
        <v>0.47899999999999998</v>
      </c>
      <c r="H85" s="10"/>
      <c r="I85" s="11">
        <f t="shared" si="25"/>
        <v>0.29243375000000005</v>
      </c>
      <c r="J85" s="11">
        <f t="shared" si="26"/>
        <v>0.16525624999999997</v>
      </c>
      <c r="K85" s="11">
        <f t="shared" si="27"/>
        <v>0.17038900000000001</v>
      </c>
      <c r="L85" s="11">
        <f t="shared" si="28"/>
        <v>0.37199274999999998</v>
      </c>
      <c r="M85" s="10"/>
      <c r="N85" s="9">
        <f t="shared" si="29"/>
        <v>120.62892187500002</v>
      </c>
      <c r="O85" s="9">
        <f t="shared" si="29"/>
        <v>68.168203124999991</v>
      </c>
      <c r="P85" s="9">
        <f t="shared" si="30"/>
        <v>70.285462500000008</v>
      </c>
      <c r="Q85" s="9">
        <f t="shared" si="30"/>
        <v>153.44700937499999</v>
      </c>
      <c r="R85" s="9">
        <f t="shared" si="31"/>
        <v>412.52959687499998</v>
      </c>
    </row>
    <row r="86" spans="1:18" x14ac:dyDescent="0.2">
      <c r="A86" s="34" t="s">
        <v>69</v>
      </c>
      <c r="B86" s="9">
        <f>'RHNA Model'!AY89</f>
        <v>64.196552467018492</v>
      </c>
      <c r="C86" s="10"/>
      <c r="D86" s="184">
        <v>0.15</v>
      </c>
      <c r="E86" s="184">
        <v>5.7000000000000002E-2</v>
      </c>
      <c r="F86" s="184">
        <v>0.113</v>
      </c>
      <c r="G86" s="184">
        <v>0.68</v>
      </c>
      <c r="H86" s="10"/>
      <c r="I86" s="11">
        <f t="shared" si="25"/>
        <v>0.32693375000000002</v>
      </c>
      <c r="J86" s="11">
        <f t="shared" si="26"/>
        <v>0.22600624999999999</v>
      </c>
      <c r="K86" s="11">
        <f t="shared" si="27"/>
        <v>0.22588900000000001</v>
      </c>
      <c r="L86" s="11">
        <f t="shared" si="28"/>
        <v>0.22124274999999993</v>
      </c>
      <c r="M86" s="10"/>
      <c r="N86" s="9">
        <f t="shared" si="29"/>
        <v>20.988019635114107</v>
      </c>
      <c r="O86" s="9">
        <f t="shared" si="29"/>
        <v>14.508822085999098</v>
      </c>
      <c r="P86" s="9">
        <f t="shared" si="30"/>
        <v>14.50129504022234</v>
      </c>
      <c r="Q86" s="9">
        <f t="shared" si="30"/>
        <v>14.20302180832245</v>
      </c>
      <c r="R86" s="9">
        <f t="shared" si="31"/>
        <v>64.201158569657991</v>
      </c>
    </row>
    <row r="87" spans="1:18" x14ac:dyDescent="0.2">
      <c r="A87" s="34" t="s">
        <v>70</v>
      </c>
      <c r="B87" s="9">
        <f>'RHNA Model'!AY90</f>
        <v>2784</v>
      </c>
      <c r="C87" s="10"/>
      <c r="D87" s="184">
        <v>0.248</v>
      </c>
      <c r="E87" s="184">
        <v>0.153</v>
      </c>
      <c r="F87" s="184">
        <v>0.17399999999999999</v>
      </c>
      <c r="G87" s="184">
        <v>0.42499999999999999</v>
      </c>
      <c r="H87" s="10"/>
      <c r="I87" s="11">
        <f t="shared" si="25"/>
        <v>0.25343375000000001</v>
      </c>
      <c r="J87" s="11">
        <f t="shared" si="26"/>
        <v>0.15400624999999998</v>
      </c>
      <c r="K87" s="11">
        <f t="shared" si="27"/>
        <v>0.18013899999999999</v>
      </c>
      <c r="L87" s="11">
        <f t="shared" si="28"/>
        <v>0.41249274999999996</v>
      </c>
      <c r="M87" s="10"/>
      <c r="N87" s="9">
        <f t="shared" si="29"/>
        <v>705.55956000000003</v>
      </c>
      <c r="O87" s="9">
        <f t="shared" si="29"/>
        <v>428.75339999999994</v>
      </c>
      <c r="P87" s="9">
        <f t="shared" si="30"/>
        <v>501.50697600000001</v>
      </c>
      <c r="Q87" s="9">
        <f t="shared" si="30"/>
        <v>1148.3798159999999</v>
      </c>
      <c r="R87" s="9">
        <f t="shared" si="31"/>
        <v>2784.1997519999995</v>
      </c>
    </row>
    <row r="88" spans="1:18" x14ac:dyDescent="0.2">
      <c r="A88" s="34" t="s">
        <v>71</v>
      </c>
      <c r="B88" s="9">
        <f>'RHNA Model'!AY91</f>
        <v>1294.2235608094866</v>
      </c>
      <c r="C88" s="10"/>
      <c r="D88" s="184">
        <v>0.21</v>
      </c>
      <c r="E88" s="184">
        <v>0.187</v>
      </c>
      <c r="F88" s="184">
        <v>0.2</v>
      </c>
      <c r="G88" s="184">
        <v>0.40200000000000002</v>
      </c>
      <c r="H88" s="10"/>
      <c r="I88" s="11">
        <f t="shared" si="25"/>
        <v>0.28193375000000004</v>
      </c>
      <c r="J88" s="11">
        <f t="shared" si="26"/>
        <v>0.12850624999999999</v>
      </c>
      <c r="K88" s="11">
        <f t="shared" si="27"/>
        <v>0.16063899999999998</v>
      </c>
      <c r="L88" s="11">
        <f t="shared" si="28"/>
        <v>0.42974274999999995</v>
      </c>
      <c r="M88" s="10"/>
      <c r="N88" s="9">
        <f t="shared" si="29"/>
        <v>364.88530183737163</v>
      </c>
      <c r="O88" s="9">
        <f t="shared" si="29"/>
        <v>166.31581646127407</v>
      </c>
      <c r="P88" s="9">
        <f t="shared" si="30"/>
        <v>207.90277858487508</v>
      </c>
      <c r="Q88" s="9">
        <f t="shared" si="30"/>
        <v>556.18319213706093</v>
      </c>
      <c r="R88" s="9">
        <f t="shared" si="31"/>
        <v>1295.2870890205818</v>
      </c>
    </row>
    <row r="89" spans="1:18" x14ac:dyDescent="0.2">
      <c r="A89" s="34" t="s">
        <v>72</v>
      </c>
      <c r="B89" s="9">
        <f>'RHNA Model'!AY92</f>
        <v>596.18199761362325</v>
      </c>
      <c r="C89" s="10"/>
      <c r="D89" s="184">
        <v>0.14899999999999999</v>
      </c>
      <c r="E89" s="184">
        <v>0.11799999999999999</v>
      </c>
      <c r="F89" s="184">
        <v>0.16500000000000001</v>
      </c>
      <c r="G89" s="184">
        <v>0.56799999999999995</v>
      </c>
      <c r="H89" s="10"/>
      <c r="I89" s="11">
        <f t="shared" si="25"/>
        <v>0.32768375000000005</v>
      </c>
      <c r="J89" s="11">
        <f t="shared" si="26"/>
        <v>0.18025624999999998</v>
      </c>
      <c r="K89" s="11">
        <f t="shared" si="27"/>
        <v>0.186889</v>
      </c>
      <c r="L89" s="11">
        <f t="shared" si="28"/>
        <v>0.30524275000000001</v>
      </c>
      <c r="M89" s="10"/>
      <c r="N89" s="9">
        <f t="shared" ref="N89:Q93" si="32">$B89*I89</f>
        <v>195.35915266052314</v>
      </c>
      <c r="O89" s="9">
        <f t="shared" si="32"/>
        <v>107.46553120734066</v>
      </c>
      <c r="P89" s="9">
        <f t="shared" si="32"/>
        <v>111.41985735201244</v>
      </c>
      <c r="Q89" s="9">
        <f t="shared" si="32"/>
        <v>181.9802324520758</v>
      </c>
      <c r="R89" s="9">
        <f t="shared" si="31"/>
        <v>596.22477367195199</v>
      </c>
    </row>
    <row r="90" spans="1:18" x14ac:dyDescent="0.2">
      <c r="A90" s="34" t="s">
        <v>6</v>
      </c>
      <c r="B90" s="9">
        <f>'RHNA Model'!AY93</f>
        <v>3030.0460559972489</v>
      </c>
      <c r="C90" s="10"/>
      <c r="D90" s="184">
        <v>0.20799999999999999</v>
      </c>
      <c r="E90" s="184">
        <v>0.152</v>
      </c>
      <c r="F90" s="184">
        <v>0.18099999999999999</v>
      </c>
      <c r="G90" s="184">
        <v>0.45900000000000002</v>
      </c>
      <c r="H90" s="10"/>
      <c r="I90" s="11">
        <f t="shared" si="25"/>
        <v>0.28343375000000004</v>
      </c>
      <c r="J90" s="11">
        <f t="shared" si="26"/>
        <v>0.15475624999999998</v>
      </c>
      <c r="K90" s="11">
        <f t="shared" si="27"/>
        <v>0.17488900000000002</v>
      </c>
      <c r="L90" s="11">
        <f t="shared" si="28"/>
        <v>0.38699274999999994</v>
      </c>
      <c r="M90" s="10"/>
      <c r="N90" s="9">
        <f t="shared" si="32"/>
        <v>858.81731632401033</v>
      </c>
      <c r="O90" s="9">
        <f t="shared" si="32"/>
        <v>468.91856495342421</v>
      </c>
      <c r="P90" s="9">
        <f t="shared" si="32"/>
        <v>529.92172468730291</v>
      </c>
      <c r="Q90" s="9">
        <f t="shared" si="32"/>
        <v>1172.6058558370291</v>
      </c>
      <c r="R90" s="9">
        <f t="shared" si="31"/>
        <v>3030.2634618017664</v>
      </c>
    </row>
    <row r="91" spans="1:18" x14ac:dyDescent="0.2">
      <c r="A91" s="34" t="s">
        <v>73</v>
      </c>
      <c r="B91" s="9">
        <f>'RHNA Model'!AY94</f>
        <v>2105.6050568915734</v>
      </c>
      <c r="C91" s="10"/>
      <c r="D91" s="184">
        <v>0.221</v>
      </c>
      <c r="E91" s="184">
        <v>0.17499999999999999</v>
      </c>
      <c r="F91" s="184">
        <v>0.21299999999999999</v>
      </c>
      <c r="G91" s="184">
        <v>0.39100000000000001</v>
      </c>
      <c r="H91" s="10"/>
      <c r="I91" s="11">
        <f t="shared" si="25"/>
        <v>0.27368375000000006</v>
      </c>
      <c r="J91" s="11">
        <f t="shared" si="26"/>
        <v>0.13750625</v>
      </c>
      <c r="K91" s="11">
        <f t="shared" si="27"/>
        <v>0.150889</v>
      </c>
      <c r="L91" s="11">
        <f t="shared" si="28"/>
        <v>0.43799274999999993</v>
      </c>
      <c r="M91" s="10"/>
      <c r="N91" s="9">
        <f t="shared" si="32"/>
        <v>576.26988798904927</v>
      </c>
      <c r="O91" s="9">
        <f t="shared" si="32"/>
        <v>289.53385535419693</v>
      </c>
      <c r="P91" s="9">
        <f t="shared" si="32"/>
        <v>317.71264142931261</v>
      </c>
      <c r="Q91" s="9">
        <f t="shared" si="32"/>
        <v>922.23974928184657</v>
      </c>
      <c r="R91" s="9">
        <f t="shared" si="31"/>
        <v>2105.7561340544053</v>
      </c>
    </row>
    <row r="92" spans="1:18" x14ac:dyDescent="0.2">
      <c r="A92" s="34" t="s">
        <v>74</v>
      </c>
      <c r="B92" s="9">
        <f>'RHNA Model'!AY95</f>
        <v>61.5</v>
      </c>
      <c r="C92" s="10"/>
      <c r="D92" s="184">
        <v>9.0999999999999998E-2</v>
      </c>
      <c r="E92" s="184">
        <v>7.5999999999999998E-2</v>
      </c>
      <c r="F92" s="184">
        <v>8.8999999999999996E-2</v>
      </c>
      <c r="G92" s="184">
        <v>0.74399999999999999</v>
      </c>
      <c r="H92" s="10"/>
      <c r="I92" s="11">
        <f t="shared" si="25"/>
        <v>0.37118375000000003</v>
      </c>
      <c r="J92" s="11">
        <f t="shared" si="26"/>
        <v>0.21175624999999998</v>
      </c>
      <c r="K92" s="11">
        <f t="shared" si="27"/>
        <v>0.24388899999999999</v>
      </c>
      <c r="L92" s="11">
        <f t="shared" si="28"/>
        <v>0.17324275</v>
      </c>
      <c r="M92" s="10"/>
      <c r="N92" s="9">
        <f t="shared" si="32"/>
        <v>22.827800625000002</v>
      </c>
      <c r="O92" s="9">
        <f t="shared" si="32"/>
        <v>13.023009374999999</v>
      </c>
      <c r="P92" s="9">
        <f t="shared" si="32"/>
        <v>14.999173499999999</v>
      </c>
      <c r="Q92" s="9">
        <f t="shared" si="32"/>
        <v>10.654429125</v>
      </c>
      <c r="R92" s="9">
        <f t="shared" si="31"/>
        <v>61.504412625000001</v>
      </c>
    </row>
    <row r="93" spans="1:18" x14ac:dyDescent="0.2">
      <c r="A93" s="34" t="s">
        <v>109</v>
      </c>
      <c r="B93" s="9">
        <f>'RHNA Model'!AY96</f>
        <v>339.02839359603598</v>
      </c>
      <c r="C93" s="10"/>
      <c r="D93" s="184">
        <v>0.19400000000000001</v>
      </c>
      <c r="E93" s="184">
        <v>0.11700000000000001</v>
      </c>
      <c r="F93" s="184">
        <v>0.13200000000000001</v>
      </c>
      <c r="G93" s="184">
        <v>0.55700000000000005</v>
      </c>
      <c r="H93" s="10"/>
      <c r="I93" s="11">
        <f t="shared" si="25"/>
        <v>0.29393375000000005</v>
      </c>
      <c r="J93" s="11">
        <f t="shared" si="26"/>
        <v>0.18100624999999998</v>
      </c>
      <c r="K93" s="11">
        <f t="shared" si="27"/>
        <v>0.21163899999999999</v>
      </c>
      <c r="L93" s="11">
        <f t="shared" si="28"/>
        <v>0.31349274999999993</v>
      </c>
      <c r="M93" s="10"/>
      <c r="N93" s="9">
        <f t="shared" si="32"/>
        <v>99.651887086158865</v>
      </c>
      <c r="O93" s="9">
        <f t="shared" si="32"/>
        <v>61.366258168342483</v>
      </c>
      <c r="P93" s="9">
        <f t="shared" si="32"/>
        <v>71.751630192271463</v>
      </c>
      <c r="Q93" s="9">
        <f t="shared" si="32"/>
        <v>106.28294343650369</v>
      </c>
      <c r="R93" s="9">
        <f t="shared" si="31"/>
        <v>339.0527188832765</v>
      </c>
    </row>
    <row r="94" spans="1:18" x14ac:dyDescent="0.2">
      <c r="A94" s="20"/>
      <c r="B94" s="18">
        <f>'RHNA Model'!AY97</f>
        <v>16416.88860843869</v>
      </c>
      <c r="C94" s="13"/>
      <c r="F94" s="5"/>
      <c r="H94" s="13"/>
      <c r="K94" s="5"/>
      <c r="M94" s="13"/>
      <c r="N94" s="14">
        <f>SUM(N73:N93)</f>
        <v>4594.9600968026625</v>
      </c>
      <c r="O94" s="14">
        <f>SUM(O73:O93)</f>
        <v>2507.5724592945176</v>
      </c>
      <c r="P94" s="14">
        <f>SUM(P73:P93)</f>
        <v>2829.6702225423492</v>
      </c>
      <c r="Q94" s="14">
        <f>SUM(Q73:Q93)</f>
        <v>6486.9423582454574</v>
      </c>
      <c r="R94" s="14">
        <f>N94+O94+P94+Q94</f>
        <v>16419.145136884985</v>
      </c>
    </row>
    <row r="95" spans="1:18" x14ac:dyDescent="0.2">
      <c r="A95" s="20"/>
      <c r="B95" s="16"/>
      <c r="C95" s="8"/>
      <c r="H95" s="8"/>
      <c r="I95" s="15"/>
      <c r="J95" s="15"/>
      <c r="K95" s="15"/>
      <c r="L95" s="15"/>
      <c r="M95" s="8"/>
      <c r="N95" s="5"/>
      <c r="O95" s="5"/>
      <c r="P95" s="5"/>
      <c r="Q95" s="5"/>
      <c r="R95" s="5"/>
    </row>
    <row r="96" spans="1:18" x14ac:dyDescent="0.2">
      <c r="A96" s="34" t="s">
        <v>75</v>
      </c>
      <c r="B96" s="9">
        <f>'RHNA Model'!AY99</f>
        <v>929.25448149703186</v>
      </c>
      <c r="C96" s="10"/>
      <c r="D96" s="184">
        <v>0.224</v>
      </c>
      <c r="E96" s="184">
        <v>0.16200000000000001</v>
      </c>
      <c r="F96" s="184">
        <v>0.19900000000000001</v>
      </c>
      <c r="G96" s="184">
        <v>0.41499999999999998</v>
      </c>
      <c r="H96" s="10"/>
      <c r="I96" s="11">
        <f t="shared" ref="I96:I111" si="33">D96+(D$4-D96)*$D$5</f>
        <v>0.27143375000000003</v>
      </c>
      <c r="J96" s="11">
        <f t="shared" ref="J96:J111" si="34">E96+(E$4-E96)*$D$5</f>
        <v>0.14725624999999998</v>
      </c>
      <c r="K96" s="11">
        <f t="shared" ref="K96:K111" si="35">F96+(F$4-F96)*$D$5</f>
        <v>0.161389</v>
      </c>
      <c r="L96" s="11">
        <f t="shared" ref="L96:L111" si="36">G96+(G$4-G96)*$D$5</f>
        <v>0.41999274999999997</v>
      </c>
      <c r="M96" s="10"/>
      <c r="N96" s="9">
        <f t="shared" ref="N96:Q111" si="37">$B96*I96</f>
        <v>252.23102861704501</v>
      </c>
      <c r="O96" s="9">
        <f>$B96*J96</f>
        <v>136.83853024094728</v>
      </c>
      <c r="P96" s="9">
        <f t="shared" si="37"/>
        <v>149.97145151432449</v>
      </c>
      <c r="Q96" s="9">
        <f t="shared" si="37"/>
        <v>390.28014513376252</v>
      </c>
      <c r="R96" s="9">
        <f t="shared" ref="R96:R112" si="38">N96+O96+P96+Q96</f>
        <v>929.32115550607932</v>
      </c>
    </row>
    <row r="97" spans="1:18" x14ac:dyDescent="0.2">
      <c r="A97" s="34" t="s">
        <v>76</v>
      </c>
      <c r="B97" s="9">
        <f>'RHNA Model'!AY100</f>
        <v>1058.6137297245216</v>
      </c>
      <c r="C97" s="10"/>
      <c r="D97" s="184">
        <v>0.14000000000000001</v>
      </c>
      <c r="E97" s="184">
        <v>9.9000000000000005E-2</v>
      </c>
      <c r="F97" s="184">
        <v>0.124</v>
      </c>
      <c r="G97" s="184">
        <v>0.63700000000000001</v>
      </c>
      <c r="H97" s="10"/>
      <c r="I97" s="11">
        <f t="shared" si="33"/>
        <v>0.33443375000000003</v>
      </c>
      <c r="J97" s="11">
        <f t="shared" si="34"/>
        <v>0.19450624999999999</v>
      </c>
      <c r="K97" s="11">
        <f t="shared" si="35"/>
        <v>0.217639</v>
      </c>
      <c r="L97" s="11">
        <f t="shared" si="36"/>
        <v>0.25349274999999993</v>
      </c>
      <c r="M97" s="10"/>
      <c r="N97" s="9">
        <f t="shared" si="37"/>
        <v>354.03615943325826</v>
      </c>
      <c r="O97" s="9">
        <f t="shared" si="37"/>
        <v>205.90698676723022</v>
      </c>
      <c r="P97" s="9">
        <f t="shared" si="37"/>
        <v>230.39563352351516</v>
      </c>
      <c r="Q97" s="9">
        <f t="shared" si="37"/>
        <v>268.35090553562566</v>
      </c>
      <c r="R97" s="9">
        <f t="shared" si="38"/>
        <v>1058.6896852596292</v>
      </c>
    </row>
    <row r="98" spans="1:18" x14ac:dyDescent="0.2">
      <c r="A98" s="34" t="s">
        <v>77</v>
      </c>
      <c r="B98" s="9">
        <f>'RHNA Model'!AY101</f>
        <v>1082.8089387633183</v>
      </c>
      <c r="C98" s="10"/>
      <c r="D98" s="184">
        <v>0.29599999999999999</v>
      </c>
      <c r="E98" s="184">
        <v>0.16200000000000001</v>
      </c>
      <c r="F98" s="184">
        <v>0.14899999999999999</v>
      </c>
      <c r="G98" s="184">
        <v>0.39300000000000002</v>
      </c>
      <c r="H98" s="10"/>
      <c r="I98" s="11">
        <f t="shared" si="33"/>
        <v>0.21743375000000004</v>
      </c>
      <c r="J98" s="11">
        <f t="shared" si="34"/>
        <v>0.14725624999999998</v>
      </c>
      <c r="K98" s="11">
        <f t="shared" si="35"/>
        <v>0.19888900000000001</v>
      </c>
      <c r="L98" s="11">
        <f t="shared" si="36"/>
        <v>0.43649274999999993</v>
      </c>
      <c r="M98" s="10"/>
      <c r="N98" s="9">
        <f t="shared" si="37"/>
        <v>235.43920808882871</v>
      </c>
      <c r="O98" s="9">
        <f t="shared" si="37"/>
        <v>159.45038378876586</v>
      </c>
      <c r="P98" s="9">
        <f t="shared" si="37"/>
        <v>215.35878702169762</v>
      </c>
      <c r="Q98" s="9">
        <f t="shared" si="37"/>
        <v>472.63825140538233</v>
      </c>
      <c r="R98" s="9">
        <f t="shared" si="38"/>
        <v>1082.8866303046746</v>
      </c>
    </row>
    <row r="99" spans="1:18" x14ac:dyDescent="0.2">
      <c r="A99" s="34" t="s">
        <v>78</v>
      </c>
      <c r="B99" s="9">
        <f>'RHNA Model'!AY102</f>
        <v>475.5</v>
      </c>
      <c r="C99" s="10"/>
      <c r="D99" s="184">
        <v>0.115</v>
      </c>
      <c r="E99" s="184">
        <v>0.08</v>
      </c>
      <c r="F99" s="184">
        <v>9.9000000000000005E-2</v>
      </c>
      <c r="G99" s="184">
        <v>0.70499999999999996</v>
      </c>
      <c r="H99" s="10"/>
      <c r="I99" s="11">
        <f t="shared" si="33"/>
        <v>0.35318375000000007</v>
      </c>
      <c r="J99" s="11">
        <f t="shared" si="34"/>
        <v>0.20875624999999998</v>
      </c>
      <c r="K99" s="11">
        <f t="shared" si="35"/>
        <v>0.23638899999999999</v>
      </c>
      <c r="L99" s="11">
        <f t="shared" si="36"/>
        <v>0.20249275</v>
      </c>
      <c r="M99" s="10"/>
      <c r="N99" s="9">
        <f t="shared" si="37"/>
        <v>167.93887312500004</v>
      </c>
      <c r="O99" s="9">
        <f t="shared" si="37"/>
        <v>99.26359687499999</v>
      </c>
      <c r="P99" s="9">
        <f t="shared" si="37"/>
        <v>112.4029695</v>
      </c>
      <c r="Q99" s="9">
        <f t="shared" si="37"/>
        <v>96.285302625</v>
      </c>
      <c r="R99" s="9">
        <f t="shared" si="38"/>
        <v>475.89074212500003</v>
      </c>
    </row>
    <row r="100" spans="1:18" x14ac:dyDescent="0.2">
      <c r="A100" s="34" t="s">
        <v>79</v>
      </c>
      <c r="B100" s="9">
        <f>'RHNA Model'!AY103</f>
        <v>121.5</v>
      </c>
      <c r="C100" s="10"/>
      <c r="D100" s="184">
        <v>8.5000000000000006E-2</v>
      </c>
      <c r="E100" s="184">
        <v>5.0999999999999997E-2</v>
      </c>
      <c r="F100" s="184">
        <v>6.8000000000000005E-2</v>
      </c>
      <c r="G100" s="184">
        <v>0.79600000000000004</v>
      </c>
      <c r="H100" s="10"/>
      <c r="I100" s="11">
        <f t="shared" si="33"/>
        <v>0.37568375000000004</v>
      </c>
      <c r="J100" s="11">
        <f t="shared" si="34"/>
        <v>0.23050625</v>
      </c>
      <c r="K100" s="11">
        <f t="shared" si="35"/>
        <v>0.25963900000000001</v>
      </c>
      <c r="L100" s="11">
        <f t="shared" si="36"/>
        <v>0.13424274999999997</v>
      </c>
      <c r="M100" s="10"/>
      <c r="N100" s="9">
        <f t="shared" si="37"/>
        <v>45.645575625000006</v>
      </c>
      <c r="O100" s="9">
        <f t="shared" si="37"/>
        <v>28.006509375</v>
      </c>
      <c r="P100" s="9">
        <f t="shared" si="37"/>
        <v>31.546138500000001</v>
      </c>
      <c r="Q100" s="9">
        <f t="shared" si="37"/>
        <v>16.310494124999995</v>
      </c>
      <c r="R100" s="9">
        <f t="shared" si="38"/>
        <v>121.50871762499999</v>
      </c>
    </row>
    <row r="101" spans="1:18" x14ac:dyDescent="0.2">
      <c r="A101" s="34" t="s">
        <v>80</v>
      </c>
      <c r="B101" s="9">
        <f>'RHNA Model'!AY104</f>
        <v>617.18077973038669</v>
      </c>
      <c r="C101" s="10"/>
      <c r="D101" s="184">
        <v>0.153</v>
      </c>
      <c r="E101" s="184">
        <v>0.11700000000000001</v>
      </c>
      <c r="F101" s="184">
        <v>0.129</v>
      </c>
      <c r="G101" s="184">
        <v>0.60099999999999998</v>
      </c>
      <c r="H101" s="10"/>
      <c r="I101" s="11">
        <f t="shared" si="33"/>
        <v>0.32468375000000005</v>
      </c>
      <c r="J101" s="11">
        <f t="shared" si="34"/>
        <v>0.18100624999999998</v>
      </c>
      <c r="K101" s="11">
        <f t="shared" si="35"/>
        <v>0.213889</v>
      </c>
      <c r="L101" s="11">
        <f t="shared" si="36"/>
        <v>0.28049274999999996</v>
      </c>
      <c r="M101" s="10"/>
      <c r="N101" s="9">
        <f t="shared" si="37"/>
        <v>200.38856999078598</v>
      </c>
      <c r="O101" s="9">
        <f t="shared" si="37"/>
        <v>111.71357851107329</v>
      </c>
      <c r="P101" s="9">
        <f t="shared" si="37"/>
        <v>132.00817979575268</v>
      </c>
      <c r="Q101" s="9">
        <f t="shared" si="37"/>
        <v>173.11473415372041</v>
      </c>
      <c r="R101" s="9">
        <f t="shared" si="38"/>
        <v>617.22506245133241</v>
      </c>
    </row>
    <row r="102" spans="1:18" x14ac:dyDescent="0.2">
      <c r="A102" s="34" t="s">
        <v>81</v>
      </c>
      <c r="B102" s="9">
        <f>'RHNA Model'!AY105</f>
        <v>3276.3328474439886</v>
      </c>
      <c r="C102" s="10"/>
      <c r="D102" s="184">
        <v>0.17899999999999999</v>
      </c>
      <c r="E102" s="184">
        <v>0.127</v>
      </c>
      <c r="F102" s="184">
        <v>0.185</v>
      </c>
      <c r="G102" s="184">
        <v>0.51</v>
      </c>
      <c r="H102" s="10"/>
      <c r="I102" s="11">
        <f t="shared" si="33"/>
        <v>0.30518375000000003</v>
      </c>
      <c r="J102" s="11">
        <f t="shared" si="34"/>
        <v>0.17350624999999997</v>
      </c>
      <c r="K102" s="11">
        <f t="shared" si="35"/>
        <v>0.17188900000000001</v>
      </c>
      <c r="L102" s="11">
        <f t="shared" si="36"/>
        <v>0.34874274999999993</v>
      </c>
      <c r="M102" s="10"/>
      <c r="N102" s="9">
        <f t="shared" si="37"/>
        <v>999.88354463113444</v>
      </c>
      <c r="O102" s="9">
        <f t="shared" si="37"/>
        <v>568.46422611182845</v>
      </c>
      <c r="P102" s="9">
        <f t="shared" si="37"/>
        <v>563.16557681429981</v>
      </c>
      <c r="Q102" s="9">
        <f t="shared" si="37"/>
        <v>1142.5973271329469</v>
      </c>
      <c r="R102" s="9">
        <f t="shared" si="38"/>
        <v>3274.1106746902096</v>
      </c>
    </row>
    <row r="103" spans="1:18" x14ac:dyDescent="0.2">
      <c r="A103" s="34" t="s">
        <v>82</v>
      </c>
      <c r="B103" s="9">
        <f>'RHNA Model'!AY106</f>
        <v>61.5</v>
      </c>
      <c r="C103" s="10"/>
      <c r="D103" s="184">
        <v>8.3000000000000004E-2</v>
      </c>
      <c r="E103" s="184">
        <v>7.9000000000000001E-2</v>
      </c>
      <c r="F103" s="184">
        <v>0.13500000000000001</v>
      </c>
      <c r="G103" s="184">
        <v>0.70299999999999996</v>
      </c>
      <c r="H103" s="10"/>
      <c r="I103" s="11">
        <f t="shared" si="33"/>
        <v>0.37718375000000004</v>
      </c>
      <c r="J103" s="11">
        <f t="shared" si="34"/>
        <v>0.20950625</v>
      </c>
      <c r="K103" s="11">
        <f t="shared" si="35"/>
        <v>0.20938899999999999</v>
      </c>
      <c r="L103" s="11">
        <f t="shared" si="36"/>
        <v>0.20399275</v>
      </c>
      <c r="M103" s="10"/>
      <c r="N103" s="9">
        <f t="shared" si="37"/>
        <v>23.196800625000002</v>
      </c>
      <c r="O103" s="9">
        <f t="shared" si="37"/>
        <v>12.884634375000001</v>
      </c>
      <c r="P103" s="9">
        <f t="shared" si="37"/>
        <v>12.877423499999999</v>
      </c>
      <c r="Q103" s="9">
        <f t="shared" si="37"/>
        <v>12.545554125000001</v>
      </c>
      <c r="R103" s="9">
        <f t="shared" si="38"/>
        <v>61.504412625000001</v>
      </c>
    </row>
    <row r="104" spans="1:18" x14ac:dyDescent="0.2">
      <c r="A104" s="34" t="s">
        <v>83</v>
      </c>
      <c r="B104" s="9">
        <f>'RHNA Model'!AY107</f>
        <v>923.63025047026167</v>
      </c>
      <c r="C104" s="10"/>
      <c r="D104" s="184">
        <v>0.193</v>
      </c>
      <c r="E104" s="184">
        <v>0.13800000000000001</v>
      </c>
      <c r="F104" s="184">
        <v>0.14799999999999999</v>
      </c>
      <c r="G104" s="184">
        <v>0.52100000000000002</v>
      </c>
      <c r="H104" s="10"/>
      <c r="I104" s="11">
        <f t="shared" si="33"/>
        <v>0.29468375000000002</v>
      </c>
      <c r="J104" s="11">
        <f t="shared" si="34"/>
        <v>0.16525624999999997</v>
      </c>
      <c r="K104" s="11">
        <f t="shared" si="35"/>
        <v>0.19963900000000001</v>
      </c>
      <c r="L104" s="11">
        <f t="shared" si="36"/>
        <v>0.34049274999999996</v>
      </c>
      <c r="M104" s="10"/>
      <c r="N104" s="9">
        <f t="shared" si="37"/>
        <v>272.17882582201599</v>
      </c>
      <c r="O104" s="9">
        <f t="shared" si="37"/>
        <v>152.63567157927613</v>
      </c>
      <c r="P104" s="9">
        <f t="shared" si="37"/>
        <v>184.39261957363257</v>
      </c>
      <c r="Q104" s="9">
        <f t="shared" si="37"/>
        <v>314.48940396580815</v>
      </c>
      <c r="R104" s="9">
        <f t="shared" si="38"/>
        <v>923.69652094073285</v>
      </c>
    </row>
    <row r="105" spans="1:18" x14ac:dyDescent="0.2">
      <c r="A105" s="34" t="s">
        <v>84</v>
      </c>
      <c r="B105" s="9">
        <f>'RHNA Model'!AY108</f>
        <v>2913.2854095681218</v>
      </c>
      <c r="C105" s="10"/>
      <c r="D105" s="184">
        <v>0.215</v>
      </c>
      <c r="E105" s="184">
        <v>0.13400000000000001</v>
      </c>
      <c r="F105" s="184">
        <v>0.17399999999999999</v>
      </c>
      <c r="G105" s="184">
        <v>0.47699999999999998</v>
      </c>
      <c r="H105" s="10"/>
      <c r="I105" s="11">
        <f t="shared" si="33"/>
        <v>0.27818375000000006</v>
      </c>
      <c r="J105" s="11">
        <f t="shared" si="34"/>
        <v>0.16825624999999997</v>
      </c>
      <c r="K105" s="11">
        <f t="shared" si="35"/>
        <v>0.18013899999999999</v>
      </c>
      <c r="L105" s="11">
        <f t="shared" si="36"/>
        <v>0.37349274999999998</v>
      </c>
      <c r="M105" s="10"/>
      <c r="N105" s="9">
        <f t="shared" si="37"/>
        <v>810.42866005394615</v>
      </c>
      <c r="O105" s="9">
        <f t="shared" si="37"/>
        <v>490.17847819364619</v>
      </c>
      <c r="P105" s="9">
        <f t="shared" si="37"/>
        <v>524.79632039419187</v>
      </c>
      <c r="Q105" s="9">
        <f t="shared" si="37"/>
        <v>1088.0909791544741</v>
      </c>
      <c r="R105" s="9">
        <f t="shared" si="38"/>
        <v>2913.4944377962584</v>
      </c>
    </row>
    <row r="106" spans="1:18" x14ac:dyDescent="0.2">
      <c r="A106" s="34" t="s">
        <v>85</v>
      </c>
      <c r="B106" s="9">
        <f>'RHNA Model'!AY109</f>
        <v>2179.0897766268499</v>
      </c>
      <c r="C106" s="10"/>
      <c r="D106" s="184">
        <v>0.16500000000000001</v>
      </c>
      <c r="E106" s="184">
        <v>9.5000000000000001E-2</v>
      </c>
      <c r="F106" s="184">
        <v>0.123</v>
      </c>
      <c r="G106" s="184">
        <v>0.61599999999999999</v>
      </c>
      <c r="H106" s="10"/>
      <c r="I106" s="11">
        <f t="shared" si="33"/>
        <v>0.31568375000000004</v>
      </c>
      <c r="J106" s="11">
        <f t="shared" si="34"/>
        <v>0.19750624999999999</v>
      </c>
      <c r="K106" s="11">
        <f t="shared" si="35"/>
        <v>0.218389</v>
      </c>
      <c r="L106" s="11">
        <f t="shared" si="36"/>
        <v>0.26924274999999998</v>
      </c>
      <c r="M106" s="10"/>
      <c r="N106" s="9">
        <f t="shared" si="37"/>
        <v>687.90323227222643</v>
      </c>
      <c r="O106" s="9">
        <f t="shared" si="37"/>
        <v>430.38385019490676</v>
      </c>
      <c r="P106" s="9">
        <f t="shared" si="37"/>
        <v>475.8892372277611</v>
      </c>
      <c r="Q106" s="9">
        <f t="shared" si="37"/>
        <v>586.70412395589869</v>
      </c>
      <c r="R106" s="9">
        <f t="shared" si="38"/>
        <v>2180.8804436507926</v>
      </c>
    </row>
    <row r="107" spans="1:18" x14ac:dyDescent="0.2">
      <c r="A107" s="34" t="s">
        <v>86</v>
      </c>
      <c r="B107" s="9">
        <f>'RHNA Model'!AY110</f>
        <v>34929.089729095736</v>
      </c>
      <c r="C107" s="10"/>
      <c r="D107" s="184">
        <v>0.23499999999999999</v>
      </c>
      <c r="E107" s="184">
        <v>0.152</v>
      </c>
      <c r="F107" s="184">
        <v>0.17899999999999999</v>
      </c>
      <c r="G107" s="184">
        <v>0.434</v>
      </c>
      <c r="H107" s="10"/>
      <c r="I107" s="11">
        <f t="shared" si="33"/>
        <v>0.26318375000000005</v>
      </c>
      <c r="J107" s="11">
        <f t="shared" si="34"/>
        <v>0.15475624999999998</v>
      </c>
      <c r="K107" s="11">
        <f t="shared" si="35"/>
        <v>0.17638900000000002</v>
      </c>
      <c r="L107" s="11">
        <f t="shared" si="36"/>
        <v>0.40574274999999993</v>
      </c>
      <c r="M107" s="10"/>
      <c r="N107" s="9">
        <f t="shared" si="37"/>
        <v>9192.7688189899018</v>
      </c>
      <c r="O107" s="9">
        <f t="shared" si="37"/>
        <v>5405.4949423883718</v>
      </c>
      <c r="P107" s="9">
        <f t="shared" si="37"/>
        <v>6161.1072082254686</v>
      </c>
      <c r="Q107" s="9">
        <f t="shared" si="37"/>
        <v>14172.224921680057</v>
      </c>
      <c r="R107" s="9">
        <f t="shared" si="38"/>
        <v>34931.595891283796</v>
      </c>
    </row>
    <row r="108" spans="1:18" x14ac:dyDescent="0.2">
      <c r="A108" s="34" t="s">
        <v>7</v>
      </c>
      <c r="B108" s="9">
        <f>'RHNA Model'!AY111</f>
        <v>4075.4405972553509</v>
      </c>
      <c r="C108" s="10"/>
      <c r="D108" s="184">
        <v>0.24399999999999999</v>
      </c>
      <c r="E108" s="184">
        <v>0.13200000000000001</v>
      </c>
      <c r="F108" s="184">
        <v>0.16800000000000001</v>
      </c>
      <c r="G108" s="184">
        <v>0.45600000000000002</v>
      </c>
      <c r="H108" s="10"/>
      <c r="I108" s="11">
        <f t="shared" si="33"/>
        <v>0.25643375000000002</v>
      </c>
      <c r="J108" s="11">
        <f t="shared" si="34"/>
        <v>0.16975624999999997</v>
      </c>
      <c r="K108" s="11">
        <f t="shared" si="35"/>
        <v>0.184639</v>
      </c>
      <c r="L108" s="11">
        <f t="shared" si="36"/>
        <v>0.38924274999999997</v>
      </c>
      <c r="M108" s="10"/>
      <c r="N108" s="9">
        <f t="shared" si="37"/>
        <v>1045.0805152564294</v>
      </c>
      <c r="O108" s="9">
        <f t="shared" si="37"/>
        <v>691.83151288782858</v>
      </c>
      <c r="P108" s="9">
        <f t="shared" si="37"/>
        <v>752.48527643663067</v>
      </c>
      <c r="Q108" s="9">
        <f t="shared" si="37"/>
        <v>1586.3357055373151</v>
      </c>
      <c r="R108" s="9">
        <f t="shared" si="38"/>
        <v>4075.7330101182033</v>
      </c>
    </row>
    <row r="109" spans="1:18" x14ac:dyDescent="0.2">
      <c r="A109" s="34" t="s">
        <v>87</v>
      </c>
      <c r="B109" s="9">
        <f>'RHNA Model'!AY112</f>
        <v>438</v>
      </c>
      <c r="C109" s="10"/>
      <c r="D109" s="184">
        <v>0.13900000000000001</v>
      </c>
      <c r="E109" s="184">
        <v>6.9000000000000006E-2</v>
      </c>
      <c r="F109" s="184">
        <v>9.7000000000000003E-2</v>
      </c>
      <c r="G109" s="184">
        <v>0.69499999999999995</v>
      </c>
      <c r="H109" s="10"/>
      <c r="I109" s="11">
        <f t="shared" si="33"/>
        <v>0.33518375</v>
      </c>
      <c r="J109" s="11">
        <f t="shared" si="34"/>
        <v>0.21700624999999998</v>
      </c>
      <c r="K109" s="11">
        <f t="shared" si="35"/>
        <v>0.23788899999999999</v>
      </c>
      <c r="L109" s="11">
        <f t="shared" si="36"/>
        <v>0.20999275000000001</v>
      </c>
      <c r="M109" s="10"/>
      <c r="N109" s="9">
        <f t="shared" si="37"/>
        <v>146.81048250000001</v>
      </c>
      <c r="O109" s="9">
        <f t="shared" si="37"/>
        <v>95.048737499999987</v>
      </c>
      <c r="P109" s="9">
        <f t="shared" si="37"/>
        <v>104.195382</v>
      </c>
      <c r="Q109" s="9">
        <f t="shared" si="37"/>
        <v>91.976824500000006</v>
      </c>
      <c r="R109" s="9">
        <f t="shared" si="38"/>
        <v>438.03142650000001</v>
      </c>
    </row>
    <row r="110" spans="1:18" x14ac:dyDescent="0.2">
      <c r="A110" s="34" t="s">
        <v>88</v>
      </c>
      <c r="B110" s="9">
        <f>'RHNA Model'!AY113</f>
        <v>5978.3864098724052</v>
      </c>
      <c r="C110" s="10"/>
      <c r="D110" s="184">
        <v>0.189</v>
      </c>
      <c r="E110" s="184">
        <v>0.13700000000000001</v>
      </c>
      <c r="F110" s="184">
        <v>0.185</v>
      </c>
      <c r="G110" s="184">
        <v>0.48899999999999999</v>
      </c>
      <c r="H110" s="10"/>
      <c r="I110" s="11">
        <f t="shared" si="33"/>
        <v>0.29768375000000002</v>
      </c>
      <c r="J110" s="11">
        <f t="shared" si="34"/>
        <v>0.16600624999999997</v>
      </c>
      <c r="K110" s="11">
        <f t="shared" si="35"/>
        <v>0.17188900000000001</v>
      </c>
      <c r="L110" s="11">
        <f t="shared" si="36"/>
        <v>0.36449274999999998</v>
      </c>
      <c r="M110" s="10"/>
      <c r="N110" s="9">
        <f t="shared" si="37"/>
        <v>1779.6684854398547</v>
      </c>
      <c r="O110" s="9">
        <f t="shared" si="37"/>
        <v>992.44950895388081</v>
      </c>
      <c r="P110" s="9">
        <f t="shared" si="37"/>
        <v>1027.6188616065579</v>
      </c>
      <c r="Q110" s="9">
        <f t="shared" si="37"/>
        <v>2179.0785030970201</v>
      </c>
      <c r="R110" s="9">
        <f t="shared" si="38"/>
        <v>5978.8153590973134</v>
      </c>
    </row>
    <row r="111" spans="1:18" x14ac:dyDescent="0.2">
      <c r="A111" s="34" t="s">
        <v>110</v>
      </c>
      <c r="B111" s="9">
        <f>'RHNA Model'!AY114</f>
        <v>76.582763057973551</v>
      </c>
      <c r="C111" s="10"/>
      <c r="D111" s="184">
        <v>0.21099999999999999</v>
      </c>
      <c r="E111" s="184">
        <v>0.13900000000000001</v>
      </c>
      <c r="F111" s="184">
        <v>0.16800000000000001</v>
      </c>
      <c r="G111" s="184">
        <v>0.48199999999999998</v>
      </c>
      <c r="H111" s="10"/>
      <c r="I111" s="11">
        <f t="shared" si="33"/>
        <v>0.28118375000000007</v>
      </c>
      <c r="J111" s="11">
        <f t="shared" si="34"/>
        <v>0.16450624999999997</v>
      </c>
      <c r="K111" s="11">
        <f t="shared" si="35"/>
        <v>0.184639</v>
      </c>
      <c r="L111" s="11">
        <f t="shared" si="36"/>
        <v>0.36974274999999995</v>
      </c>
      <c r="M111" s="10"/>
      <c r="N111" s="9">
        <f t="shared" si="37"/>
        <v>21.533828502002475</v>
      </c>
      <c r="O111" s="9">
        <f t="shared" si="37"/>
        <v>12.598343165305758</v>
      </c>
      <c r="P111" s="9">
        <f t="shared" si="37"/>
        <v>14.140164788261178</v>
      </c>
      <c r="Q111" s="9">
        <f t="shared" si="37"/>
        <v>28.315921415653548</v>
      </c>
      <c r="R111" s="9">
        <f t="shared" si="38"/>
        <v>76.588257871222964</v>
      </c>
    </row>
    <row r="112" spans="1:18" x14ac:dyDescent="0.2">
      <c r="A112" s="35"/>
      <c r="B112" s="18">
        <f>'RHNA Model'!AY115</f>
        <v>59136.195713105946</v>
      </c>
      <c r="C112" s="13"/>
      <c r="F112" s="5"/>
      <c r="H112" s="13"/>
      <c r="K112" s="5"/>
      <c r="M112" s="13"/>
      <c r="N112" s="14">
        <f>SUM(N96:N111)</f>
        <v>16235.13260897243</v>
      </c>
      <c r="O112" s="14">
        <f>SUM(O96:O111)</f>
        <v>9593.1494909080611</v>
      </c>
      <c r="P112" s="14">
        <f>SUM(P96:P111)</f>
        <v>10692.351230422093</v>
      </c>
      <c r="Q112" s="14">
        <f>SUM(Q96:Q111)</f>
        <v>22619.339097542666</v>
      </c>
      <c r="R112" s="14">
        <f t="shared" si="38"/>
        <v>59139.972427845249</v>
      </c>
    </row>
    <row r="113" spans="1:18" x14ac:dyDescent="0.2">
      <c r="A113" s="35"/>
      <c r="B113" s="16"/>
      <c r="C113" s="8"/>
      <c r="H113" s="8"/>
      <c r="I113" s="15"/>
      <c r="J113" s="15"/>
      <c r="K113" s="15"/>
      <c r="L113" s="15"/>
      <c r="M113" s="8"/>
      <c r="N113" s="5"/>
      <c r="O113" s="5"/>
      <c r="P113" s="5"/>
      <c r="Q113" s="5"/>
      <c r="R113" s="5"/>
    </row>
    <row r="114" spans="1:18" x14ac:dyDescent="0.2">
      <c r="A114" s="34" t="s">
        <v>89</v>
      </c>
      <c r="B114" s="9">
        <f>'RHNA Model'!AY117</f>
        <v>326.89621440467744</v>
      </c>
      <c r="C114" s="10"/>
      <c r="D114" s="184">
        <v>0.20300000000000001</v>
      </c>
      <c r="E114" s="184">
        <v>0.13700000000000001</v>
      </c>
      <c r="F114" s="184">
        <v>0.185</v>
      </c>
      <c r="G114" s="184">
        <v>0.47599999999999998</v>
      </c>
      <c r="H114" s="10"/>
      <c r="I114" s="11">
        <f t="shared" ref="I114:I121" si="39">D114+(D$4-D114)*$D$5</f>
        <v>0.28718375000000002</v>
      </c>
      <c r="J114" s="11">
        <f t="shared" ref="J114:J121" si="40">E114+(E$4-E114)*$D$5</f>
        <v>0.16600624999999997</v>
      </c>
      <c r="K114" s="11">
        <f t="shared" ref="K114:K121" si="41">F114+(F$4-F114)*$D$5</f>
        <v>0.17188900000000001</v>
      </c>
      <c r="L114" s="11">
        <f t="shared" ref="L114:L121" si="42">G114+(G$4-G114)*$D$5</f>
        <v>0.37424274999999996</v>
      </c>
      <c r="M114" s="10"/>
      <c r="N114" s="9">
        <f t="shared" ref="N114:Q121" si="43">$B114*I114</f>
        <v>93.879280713539288</v>
      </c>
      <c r="O114" s="9">
        <f t="shared" si="43"/>
        <v>54.266814692516476</v>
      </c>
      <c r="P114" s="9">
        <f t="shared" si="43"/>
        <v>56.189863397805603</v>
      </c>
      <c r="Q114" s="9">
        <f t="shared" si="43"/>
        <v>122.33853824339609</v>
      </c>
      <c r="R114" s="9">
        <f t="shared" ref="R114:R122" si="44">N114+O114+P114+Q114</f>
        <v>326.67449704725743</v>
      </c>
    </row>
    <row r="115" spans="1:18" x14ac:dyDescent="0.2">
      <c r="A115" s="34" t="s">
        <v>90</v>
      </c>
      <c r="B115" s="9">
        <f>'RHNA Model'!AY118</f>
        <v>197.05903763610107</v>
      </c>
      <c r="C115" s="10"/>
      <c r="D115" s="184">
        <v>0.247</v>
      </c>
      <c r="E115" s="184">
        <v>0.19900000000000001</v>
      </c>
      <c r="F115" s="184">
        <v>0.21199999999999999</v>
      </c>
      <c r="G115" s="184">
        <v>0.34100000000000003</v>
      </c>
      <c r="H115" s="10"/>
      <c r="I115" s="11">
        <f t="shared" si="39"/>
        <v>0.25418375000000004</v>
      </c>
      <c r="J115" s="11">
        <f t="shared" si="40"/>
        <v>0.11950624999999998</v>
      </c>
      <c r="K115" s="11">
        <f t="shared" si="41"/>
        <v>0.151639</v>
      </c>
      <c r="L115" s="11">
        <f t="shared" si="42"/>
        <v>0.47549274999999991</v>
      </c>
      <c r="M115" s="10"/>
      <c r="N115" s="9">
        <f t="shared" si="43"/>
        <v>50.089205157735314</v>
      </c>
      <c r="O115" s="9">
        <f t="shared" si="43"/>
        <v>23.549786616499301</v>
      </c>
      <c r="P115" s="9">
        <f t="shared" si="43"/>
        <v>29.881835408100727</v>
      </c>
      <c r="Q115" s="9">
        <f t="shared" si="43"/>
        <v>93.700143717943178</v>
      </c>
      <c r="R115" s="9">
        <f t="shared" si="44"/>
        <v>197.22097090027853</v>
      </c>
    </row>
    <row r="116" spans="1:18" x14ac:dyDescent="0.2">
      <c r="A116" s="34" t="s">
        <v>91</v>
      </c>
      <c r="B116" s="9">
        <f>'RHNA Model'!AY119</f>
        <v>3490.0451407951487</v>
      </c>
      <c r="C116" s="10"/>
      <c r="D116" s="184">
        <v>0.25700000000000001</v>
      </c>
      <c r="E116" s="184">
        <v>0.186</v>
      </c>
      <c r="F116" s="184">
        <v>0.218</v>
      </c>
      <c r="G116" s="184">
        <v>0.33900000000000002</v>
      </c>
      <c r="H116" s="10"/>
      <c r="I116" s="11">
        <f t="shared" si="39"/>
        <v>0.24668375000000003</v>
      </c>
      <c r="J116" s="11">
        <f t="shared" si="40"/>
        <v>0.12925624999999999</v>
      </c>
      <c r="K116" s="11">
        <f t="shared" si="41"/>
        <v>0.14713899999999999</v>
      </c>
      <c r="L116" s="11">
        <f t="shared" si="42"/>
        <v>0.47699274999999997</v>
      </c>
      <c r="M116" s="10"/>
      <c r="N116" s="9">
        <f t="shared" si="43"/>
        <v>860.93742300062536</v>
      </c>
      <c r="O116" s="9">
        <f t="shared" si="43"/>
        <v>451.11014722990291</v>
      </c>
      <c r="P116" s="9">
        <f t="shared" si="43"/>
        <v>513.52175197145732</v>
      </c>
      <c r="Q116" s="9">
        <f t="shared" si="43"/>
        <v>1664.726229332015</v>
      </c>
      <c r="R116" s="9">
        <f t="shared" si="44"/>
        <v>3490.2955515340004</v>
      </c>
    </row>
    <row r="117" spans="1:18" x14ac:dyDescent="0.2">
      <c r="A117" s="34" t="s">
        <v>92</v>
      </c>
      <c r="B117" s="9">
        <f>'RHNA Model'!AY120</f>
        <v>99.365946282944719</v>
      </c>
      <c r="C117" s="10"/>
      <c r="D117" s="184">
        <v>0.38200000000000001</v>
      </c>
      <c r="E117" s="184">
        <v>0.20100000000000001</v>
      </c>
      <c r="F117" s="184">
        <v>0.20100000000000001</v>
      </c>
      <c r="G117" s="184">
        <v>0.216</v>
      </c>
      <c r="H117" s="10"/>
      <c r="I117" s="11">
        <f t="shared" si="39"/>
        <v>0.15293375000000003</v>
      </c>
      <c r="J117" s="11">
        <f t="shared" si="40"/>
        <v>0.11800624999999998</v>
      </c>
      <c r="K117" s="11">
        <f t="shared" si="41"/>
        <v>0.159889</v>
      </c>
      <c r="L117" s="11">
        <f t="shared" si="42"/>
        <v>0.56924274999999991</v>
      </c>
      <c r="M117" s="10"/>
      <c r="N117" s="9">
        <f t="shared" si="43"/>
        <v>15.1964067873493</v>
      </c>
      <c r="O117" s="9">
        <f t="shared" si="43"/>
        <v>11.725802698551743</v>
      </c>
      <c r="P117" s="9">
        <f t="shared" si="43"/>
        <v>15.887521785233748</v>
      </c>
      <c r="Q117" s="9">
        <f t="shared" si="43"/>
        <v>56.563344518455722</v>
      </c>
      <c r="R117" s="9">
        <f t="shared" si="44"/>
        <v>99.373075789590516</v>
      </c>
    </row>
    <row r="118" spans="1:18" x14ac:dyDescent="0.2">
      <c r="A118" s="34" t="s">
        <v>93</v>
      </c>
      <c r="B118" s="9">
        <f>'RHNA Model'!AY121</f>
        <v>355.13318417776475</v>
      </c>
      <c r="C118" s="10"/>
      <c r="D118" s="184">
        <v>0.193</v>
      </c>
      <c r="E118" s="184">
        <v>0.20899999999999999</v>
      </c>
      <c r="F118" s="184">
        <v>0.255</v>
      </c>
      <c r="G118" s="184">
        <v>0.34200000000000003</v>
      </c>
      <c r="H118" s="10"/>
      <c r="I118" s="11">
        <f t="shared" si="39"/>
        <v>0.29468375000000002</v>
      </c>
      <c r="J118" s="11">
        <f t="shared" si="40"/>
        <v>0.11200624999999999</v>
      </c>
      <c r="K118" s="11">
        <f t="shared" si="41"/>
        <v>0.119389</v>
      </c>
      <c r="L118" s="11">
        <f t="shared" si="42"/>
        <v>0.47474274999999994</v>
      </c>
      <c r="M118" s="10"/>
      <c r="N118" s="9">
        <f t="shared" si="43"/>
        <v>104.65197846294438</v>
      </c>
      <c r="O118" s="9">
        <f t="shared" si="43"/>
        <v>39.777136210310758</v>
      </c>
      <c r="P118" s="9">
        <f t="shared" si="43"/>
        <v>42.398995725799153</v>
      </c>
      <c r="Q118" s="9">
        <f t="shared" si="43"/>
        <v>168.59690447280849</v>
      </c>
      <c r="R118" s="9">
        <f t="shared" si="44"/>
        <v>355.4250148718628</v>
      </c>
    </row>
    <row r="119" spans="1:18" x14ac:dyDescent="0.2">
      <c r="A119" s="34" t="s">
        <v>94</v>
      </c>
      <c r="B119" s="9">
        <f>'RHNA Model'!AY122</f>
        <v>1084.4341679396987</v>
      </c>
      <c r="C119" s="10"/>
      <c r="D119" s="184">
        <v>0.23400000000000001</v>
      </c>
      <c r="E119" s="184">
        <v>0.193</v>
      </c>
      <c r="F119" s="184">
        <v>0.20100000000000001</v>
      </c>
      <c r="G119" s="184">
        <v>0.373</v>
      </c>
      <c r="H119" s="10"/>
      <c r="I119" s="11">
        <f t="shared" si="39"/>
        <v>0.26393375000000002</v>
      </c>
      <c r="J119" s="11">
        <f t="shared" si="40"/>
        <v>0.12400624999999998</v>
      </c>
      <c r="K119" s="11">
        <f t="shared" si="41"/>
        <v>0.159889</v>
      </c>
      <c r="L119" s="11">
        <f t="shared" si="42"/>
        <v>0.45149274999999994</v>
      </c>
      <c r="M119" s="10"/>
      <c r="N119" s="9">
        <f t="shared" si="43"/>
        <v>286.21877657245449</v>
      </c>
      <c r="O119" s="9">
        <f t="shared" si="43"/>
        <v>134.47661453807225</v>
      </c>
      <c r="P119" s="9">
        <f t="shared" si="43"/>
        <v>173.38909467771049</v>
      </c>
      <c r="Q119" s="9">
        <f t="shared" si="43"/>
        <v>489.61416467705635</v>
      </c>
      <c r="R119" s="9">
        <f t="shared" si="44"/>
        <v>1083.6986504652937</v>
      </c>
    </row>
    <row r="120" spans="1:18" x14ac:dyDescent="0.2">
      <c r="A120" s="34" t="s">
        <v>95</v>
      </c>
      <c r="B120" s="9">
        <f>'RHNA Model'!AY123</f>
        <v>1361.9420498066204</v>
      </c>
      <c r="C120" s="10"/>
      <c r="D120" s="184">
        <v>0.309</v>
      </c>
      <c r="E120" s="184">
        <v>0.184</v>
      </c>
      <c r="F120" s="184">
        <v>0.20799999999999999</v>
      </c>
      <c r="G120" s="184">
        <v>0.29899999999999999</v>
      </c>
      <c r="H120" s="10"/>
      <c r="I120" s="11">
        <f t="shared" si="39"/>
        <v>0.20768375000000006</v>
      </c>
      <c r="J120" s="11">
        <f t="shared" si="40"/>
        <v>0.13075624999999999</v>
      </c>
      <c r="K120" s="11">
        <f t="shared" si="41"/>
        <v>0.154639</v>
      </c>
      <c r="L120" s="11">
        <f t="shared" si="42"/>
        <v>0.50699274999999999</v>
      </c>
      <c r="M120" s="10"/>
      <c r="N120" s="9">
        <f t="shared" si="43"/>
        <v>282.85323218652576</v>
      </c>
      <c r="O120" s="9">
        <f t="shared" si="43"/>
        <v>178.0824351500269</v>
      </c>
      <c r="P120" s="9">
        <f t="shared" si="43"/>
        <v>210.60935664004597</v>
      </c>
      <c r="Q120" s="9">
        <f t="shared" si="43"/>
        <v>690.49474517209546</v>
      </c>
      <c r="R120" s="9">
        <f t="shared" si="44"/>
        <v>1362.0397691486942</v>
      </c>
    </row>
    <row r="121" spans="1:18" x14ac:dyDescent="0.2">
      <c r="A121" s="34" t="s">
        <v>111</v>
      </c>
      <c r="B121" s="9">
        <f>'RHNA Model'!AY124</f>
        <v>62.629133058881173</v>
      </c>
      <c r="C121" s="10"/>
      <c r="D121" s="184">
        <v>0.24399999999999999</v>
      </c>
      <c r="E121" s="184">
        <v>0.17199999999999999</v>
      </c>
      <c r="F121" s="184">
        <v>0.16900000000000001</v>
      </c>
      <c r="G121" s="184">
        <v>0.41499999999999998</v>
      </c>
      <c r="H121" s="10"/>
      <c r="I121" s="11">
        <f t="shared" si="39"/>
        <v>0.25643375000000002</v>
      </c>
      <c r="J121" s="11">
        <f t="shared" si="40"/>
        <v>0.13975625</v>
      </c>
      <c r="K121" s="11">
        <f t="shared" si="41"/>
        <v>0.183889</v>
      </c>
      <c r="L121" s="11">
        <f t="shared" si="42"/>
        <v>0.41999274999999997</v>
      </c>
      <c r="M121" s="10"/>
      <c r="N121" s="9">
        <f t="shared" si="43"/>
        <v>16.060223449537872</v>
      </c>
      <c r="O121" s="9">
        <f t="shared" si="43"/>
        <v>8.752812777060262</v>
      </c>
      <c r="P121" s="9">
        <f t="shared" si="43"/>
        <v>11.5168086490646</v>
      </c>
      <c r="Q121" s="9">
        <f t="shared" si="43"/>
        <v>26.303781823515415</v>
      </c>
      <c r="R121" s="9">
        <f t="shared" si="44"/>
        <v>62.633626699178151</v>
      </c>
    </row>
    <row r="122" spans="1:18" x14ac:dyDescent="0.2">
      <c r="A122" s="35"/>
      <c r="B122" s="18">
        <f>'RHNA Model'!AY125</f>
        <v>6977.5048741018363</v>
      </c>
      <c r="C122" s="13"/>
      <c r="F122" s="5"/>
      <c r="H122" s="13"/>
      <c r="K122" s="5"/>
      <c r="M122" s="13"/>
      <c r="N122" s="14">
        <f>SUM(N114:N121)</f>
        <v>1709.8865263307118</v>
      </c>
      <c r="O122" s="14">
        <f>SUM(O114:O121)</f>
        <v>901.74154991294063</v>
      </c>
      <c r="P122" s="14">
        <f>SUM(P114:P121)</f>
        <v>1053.3952282552175</v>
      </c>
      <c r="Q122" s="14">
        <f>SUM(Q114:Q121)</f>
        <v>3312.3378519572852</v>
      </c>
      <c r="R122" s="14">
        <f t="shared" si="44"/>
        <v>6977.3611564561552</v>
      </c>
    </row>
    <row r="123" spans="1:18" x14ac:dyDescent="0.2">
      <c r="A123" s="35"/>
      <c r="B123" s="16"/>
      <c r="C123" s="8"/>
      <c r="H123" s="8"/>
      <c r="I123" s="15"/>
      <c r="J123" s="15"/>
      <c r="K123" s="15"/>
      <c r="L123" s="15"/>
      <c r="M123" s="8"/>
      <c r="N123" s="5"/>
      <c r="O123" s="5"/>
      <c r="P123" s="5"/>
      <c r="Q123" s="5"/>
      <c r="R123" s="5"/>
    </row>
    <row r="124" spans="1:18" x14ac:dyDescent="0.2">
      <c r="A124" s="34" t="s">
        <v>96</v>
      </c>
      <c r="B124" s="9">
        <f>'RHNA Model'!AY127</f>
        <v>210.41065829255007</v>
      </c>
      <c r="C124" s="10"/>
      <c r="D124" s="184">
        <v>0.33700000000000002</v>
      </c>
      <c r="E124" s="184">
        <v>0.17499999999999999</v>
      </c>
      <c r="F124" s="184">
        <v>0.215</v>
      </c>
      <c r="G124" s="184">
        <v>0.27400000000000002</v>
      </c>
      <c r="H124" s="10"/>
      <c r="I124" s="11">
        <f t="shared" ref="I124:I133" si="45">D124+(D$4-D124)*$D$5</f>
        <v>0.18668375000000004</v>
      </c>
      <c r="J124" s="11">
        <f t="shared" ref="J124:J133" si="46">E124+(E$4-E124)*$D$5</f>
        <v>0.13750625</v>
      </c>
      <c r="K124" s="11">
        <f t="shared" ref="K124:K133" si="47">F124+(F$4-F124)*$D$5</f>
        <v>0.14938899999999999</v>
      </c>
      <c r="L124" s="11">
        <f t="shared" ref="L124:L133" si="48">G124+(G$4-G124)*$D$5</f>
        <v>0.52574274999999993</v>
      </c>
      <c r="M124" s="10"/>
      <c r="N124" s="9">
        <f t="shared" ref="N124:Q133" si="49">$B124*I124</f>
        <v>39.280250730021848</v>
      </c>
      <c r="O124" s="9">
        <f t="shared" si="49"/>
        <v>28.93278058183996</v>
      </c>
      <c r="P124" s="9">
        <f t="shared" si="49"/>
        <v>31.433037831665761</v>
      </c>
      <c r="Q124" s="9">
        <f t="shared" si="49"/>
        <v>110.62187812003556</v>
      </c>
      <c r="R124" s="9">
        <f t="shared" ref="R124:R134" si="50">N124+O124+P124+Q124</f>
        <v>210.26794726356314</v>
      </c>
    </row>
    <row r="125" spans="1:18" x14ac:dyDescent="0.2">
      <c r="A125" s="34" t="s">
        <v>97</v>
      </c>
      <c r="B125" s="9">
        <f>'RHNA Model'!AY128</f>
        <v>136.79764874605635</v>
      </c>
      <c r="C125" s="10"/>
      <c r="D125" s="184">
        <v>0.249</v>
      </c>
      <c r="E125" s="184">
        <v>0.18099999999999999</v>
      </c>
      <c r="F125" s="184">
        <v>0.23599999999999999</v>
      </c>
      <c r="G125" s="184">
        <v>0.33400000000000002</v>
      </c>
      <c r="H125" s="10"/>
      <c r="I125" s="11">
        <f t="shared" si="45"/>
        <v>0.25268375000000004</v>
      </c>
      <c r="J125" s="11">
        <f t="shared" si="46"/>
        <v>0.13300624999999999</v>
      </c>
      <c r="K125" s="11">
        <f t="shared" si="47"/>
        <v>0.13363900000000001</v>
      </c>
      <c r="L125" s="11">
        <f t="shared" si="48"/>
        <v>0.48074274999999994</v>
      </c>
      <c r="M125" s="10"/>
      <c r="N125" s="9">
        <f t="shared" si="49"/>
        <v>34.566542876336321</v>
      </c>
      <c r="O125" s="9">
        <f t="shared" si="49"/>
        <v>18.194942268530156</v>
      </c>
      <c r="P125" s="9">
        <f t="shared" si="49"/>
        <v>18.281500980774226</v>
      </c>
      <c r="Q125" s="9">
        <f t="shared" si="49"/>
        <v>65.764477851713181</v>
      </c>
      <c r="R125" s="9">
        <f t="shared" si="50"/>
        <v>136.8074639773539</v>
      </c>
    </row>
    <row r="126" spans="1:18" x14ac:dyDescent="0.2">
      <c r="A126" s="34" t="s">
        <v>98</v>
      </c>
      <c r="B126" s="9">
        <f>'RHNA Model'!AY129</f>
        <v>156.02200093250067</v>
      </c>
      <c r="C126" s="10"/>
      <c r="D126" s="184">
        <v>0.32</v>
      </c>
      <c r="E126" s="184">
        <v>0.153</v>
      </c>
      <c r="F126" s="184">
        <v>0.19400000000000001</v>
      </c>
      <c r="G126" s="184">
        <v>0.33300000000000002</v>
      </c>
      <c r="H126" s="10"/>
      <c r="I126" s="11">
        <f t="shared" si="45"/>
        <v>0.19943375000000002</v>
      </c>
      <c r="J126" s="11">
        <f t="shared" si="46"/>
        <v>0.15400624999999998</v>
      </c>
      <c r="K126" s="11">
        <f t="shared" si="47"/>
        <v>0.16513899999999998</v>
      </c>
      <c r="L126" s="11">
        <f t="shared" si="48"/>
        <v>0.48149274999999991</v>
      </c>
      <c r="M126" s="10"/>
      <c r="N126" s="9">
        <f t="shared" si="49"/>
        <v>31.116052728472109</v>
      </c>
      <c r="O126" s="9">
        <f t="shared" si="49"/>
        <v>24.028363281110931</v>
      </c>
      <c r="P126" s="9">
        <f t="shared" si="49"/>
        <v>25.765317211992226</v>
      </c>
      <c r="Q126" s="9">
        <f t="shared" si="49"/>
        <v>75.123462289492295</v>
      </c>
      <c r="R126" s="9">
        <f t="shared" si="50"/>
        <v>156.03319551106756</v>
      </c>
    </row>
    <row r="127" spans="1:18" x14ac:dyDescent="0.2">
      <c r="A127" s="34" t="s">
        <v>99</v>
      </c>
      <c r="B127" s="9">
        <f>'RHNA Model'!AY130</f>
        <v>741.10450442937815</v>
      </c>
      <c r="C127" s="10"/>
      <c r="D127" s="184">
        <v>0.22900000000000001</v>
      </c>
      <c r="E127" s="184">
        <v>0.17499999999999999</v>
      </c>
      <c r="F127" s="184">
        <v>0.19800000000000001</v>
      </c>
      <c r="G127" s="184">
        <v>0.39800000000000002</v>
      </c>
      <c r="H127" s="10"/>
      <c r="I127" s="11">
        <f t="shared" si="45"/>
        <v>0.26768375000000005</v>
      </c>
      <c r="J127" s="11">
        <f t="shared" si="46"/>
        <v>0.13750625</v>
      </c>
      <c r="K127" s="11">
        <f t="shared" si="47"/>
        <v>0.16213899999999998</v>
      </c>
      <c r="L127" s="11">
        <f t="shared" si="48"/>
        <v>0.43274274999999995</v>
      </c>
      <c r="M127" s="10"/>
      <c r="N127" s="9">
        <f t="shared" si="49"/>
        <v>198.3816328875476</v>
      </c>
      <c r="O127" s="9">
        <f t="shared" si="49"/>
        <v>101.90650126219218</v>
      </c>
      <c r="P127" s="9">
        <f t="shared" si="49"/>
        <v>120.16194324367493</v>
      </c>
      <c r="Q127" s="9">
        <f t="shared" si="49"/>
        <v>320.70760128415623</v>
      </c>
      <c r="R127" s="9">
        <f t="shared" si="50"/>
        <v>741.15767867757097</v>
      </c>
    </row>
    <row r="128" spans="1:18" x14ac:dyDescent="0.2">
      <c r="A128" s="34" t="s">
        <v>100</v>
      </c>
      <c r="B128" s="9">
        <f>'RHNA Model'!AY131</f>
        <v>895.18165368006169</v>
      </c>
      <c r="C128" s="10"/>
      <c r="D128" s="184">
        <v>0.318</v>
      </c>
      <c r="E128" s="184">
        <v>0.19900000000000001</v>
      </c>
      <c r="F128" s="184">
        <v>0.22700000000000001</v>
      </c>
      <c r="G128" s="184">
        <v>0.25600000000000001</v>
      </c>
      <c r="H128" s="10"/>
      <c r="I128" s="11">
        <f t="shared" si="45"/>
        <v>0.20093375000000002</v>
      </c>
      <c r="J128" s="11">
        <f t="shared" si="46"/>
        <v>0.11950624999999998</v>
      </c>
      <c r="K128" s="11">
        <f t="shared" si="47"/>
        <v>0.14038899999999999</v>
      </c>
      <c r="L128" s="11">
        <f t="shared" si="48"/>
        <v>0.53924274999999988</v>
      </c>
      <c r="M128" s="10"/>
      <c r="N128" s="9">
        <f t="shared" si="49"/>
        <v>179.87220660513611</v>
      </c>
      <c r="O128" s="9">
        <f t="shared" si="49"/>
        <v>106.97980250010285</v>
      </c>
      <c r="P128" s="9">
        <f t="shared" si="49"/>
        <v>125.67365717849017</v>
      </c>
      <c r="Q128" s="9">
        <f t="shared" si="49"/>
        <v>482.72021667998399</v>
      </c>
      <c r="R128" s="9">
        <f t="shared" si="50"/>
        <v>895.24588296371314</v>
      </c>
    </row>
    <row r="129" spans="1:18" x14ac:dyDescent="0.2">
      <c r="A129" s="34" t="s">
        <v>101</v>
      </c>
      <c r="B129" s="9">
        <f>'RHNA Model'!AY132</f>
        <v>4641.9212616828108</v>
      </c>
      <c r="C129" s="10"/>
      <c r="D129" s="184">
        <v>0.315</v>
      </c>
      <c r="E129" s="184">
        <v>0.192</v>
      </c>
      <c r="F129" s="184">
        <v>0.19700000000000001</v>
      </c>
      <c r="G129" s="184">
        <v>0.29699999999999999</v>
      </c>
      <c r="H129" s="10"/>
      <c r="I129" s="11">
        <f t="shared" si="45"/>
        <v>0.20318375000000005</v>
      </c>
      <c r="J129" s="11">
        <f t="shared" si="46"/>
        <v>0.12475624999999999</v>
      </c>
      <c r="K129" s="11">
        <f t="shared" si="47"/>
        <v>0.16288900000000001</v>
      </c>
      <c r="L129" s="11">
        <f t="shared" si="48"/>
        <v>0.50849274999999994</v>
      </c>
      <c r="M129" s="10"/>
      <c r="N129" s="9">
        <f t="shared" si="49"/>
        <v>943.16296915344503</v>
      </c>
      <c r="O129" s="9">
        <f t="shared" si="49"/>
        <v>579.10868940281614</v>
      </c>
      <c r="P129" s="9">
        <f t="shared" si="49"/>
        <v>756.11791239425145</v>
      </c>
      <c r="Q129" s="9">
        <f t="shared" si="49"/>
        <v>2360.3833076365618</v>
      </c>
      <c r="R129" s="9">
        <f t="shared" si="50"/>
        <v>4638.772878587075</v>
      </c>
    </row>
    <row r="130" spans="1:18" x14ac:dyDescent="0.2">
      <c r="A130" s="34" t="s">
        <v>102</v>
      </c>
      <c r="B130" s="9">
        <f>'RHNA Model'!AY133</f>
        <v>119.65495267538667</v>
      </c>
      <c r="C130" s="10"/>
      <c r="D130" s="184">
        <v>0.34</v>
      </c>
      <c r="E130" s="184">
        <v>0.17199999999999999</v>
      </c>
      <c r="F130" s="184">
        <v>0.20799999999999999</v>
      </c>
      <c r="G130" s="184">
        <v>0.28000000000000003</v>
      </c>
      <c r="H130" s="10"/>
      <c r="I130" s="11">
        <f t="shared" si="45"/>
        <v>0.18443375000000001</v>
      </c>
      <c r="J130" s="11">
        <f t="shared" si="46"/>
        <v>0.13975625</v>
      </c>
      <c r="K130" s="11">
        <f t="shared" si="47"/>
        <v>0.154639</v>
      </c>
      <c r="L130" s="11">
        <f t="shared" si="48"/>
        <v>0.52124274999999987</v>
      </c>
      <c r="M130" s="10"/>
      <c r="N130" s="9">
        <f t="shared" si="49"/>
        <v>22.068411627994095</v>
      </c>
      <c r="O130" s="9">
        <f t="shared" si="49"/>
        <v>16.722527479839506</v>
      </c>
      <c r="P130" s="9">
        <f t="shared" si="49"/>
        <v>18.503322226769118</v>
      </c>
      <c r="Q130" s="9">
        <f t="shared" si="49"/>
        <v>62.369276583638388</v>
      </c>
      <c r="R130" s="9">
        <f t="shared" si="50"/>
        <v>119.6635379182411</v>
      </c>
    </row>
    <row r="131" spans="1:18" x14ac:dyDescent="0.2">
      <c r="A131" s="34" t="s">
        <v>9</v>
      </c>
      <c r="B131" s="9">
        <f>'RHNA Model'!AY134</f>
        <v>137.33186540412819</v>
      </c>
      <c r="C131" s="10"/>
      <c r="D131" s="184">
        <v>0.35299999999999998</v>
      </c>
      <c r="E131" s="184">
        <v>0.13700000000000001</v>
      </c>
      <c r="F131" s="184">
        <v>0.14899999999999999</v>
      </c>
      <c r="G131" s="184">
        <v>0.36199999999999999</v>
      </c>
      <c r="H131" s="10"/>
      <c r="I131" s="11">
        <f t="shared" si="45"/>
        <v>0.17468375000000005</v>
      </c>
      <c r="J131" s="11">
        <f t="shared" si="46"/>
        <v>0.16600624999999997</v>
      </c>
      <c r="K131" s="11">
        <f t="shared" si="47"/>
        <v>0.19888900000000001</v>
      </c>
      <c r="L131" s="11">
        <f t="shared" si="48"/>
        <v>0.45974274999999998</v>
      </c>
      <c r="M131" s="10"/>
      <c r="N131" s="9">
        <f t="shared" si="49"/>
        <v>23.989645243288386</v>
      </c>
      <c r="O131" s="9">
        <f t="shared" si="49"/>
        <v>22.79794798124405</v>
      </c>
      <c r="P131" s="9">
        <f t="shared" si="49"/>
        <v>27.313797378361652</v>
      </c>
      <c r="Q131" s="9">
        <f t="shared" si="49"/>
        <v>63.137329463523756</v>
      </c>
      <c r="R131" s="9">
        <f t="shared" si="50"/>
        <v>137.23872006641784</v>
      </c>
    </row>
    <row r="132" spans="1:18" x14ac:dyDescent="0.2">
      <c r="A132" s="34" t="s">
        <v>103</v>
      </c>
      <c r="B132" s="9">
        <f>'RHNA Model'!AY135</f>
        <v>439.20108270721153</v>
      </c>
      <c r="C132" s="10"/>
      <c r="D132" s="184">
        <v>0.223</v>
      </c>
      <c r="E132" s="184">
        <v>0.16200000000000001</v>
      </c>
      <c r="F132" s="184">
        <v>0.21099999999999999</v>
      </c>
      <c r="G132" s="184">
        <v>0.40300000000000002</v>
      </c>
      <c r="H132" s="10"/>
      <c r="I132" s="11">
        <f t="shared" si="45"/>
        <v>0.27218375000000006</v>
      </c>
      <c r="J132" s="11">
        <f t="shared" si="46"/>
        <v>0.14725624999999998</v>
      </c>
      <c r="K132" s="11">
        <f t="shared" si="47"/>
        <v>0.152389</v>
      </c>
      <c r="L132" s="11">
        <f t="shared" si="48"/>
        <v>0.42899274999999992</v>
      </c>
      <c r="M132" s="10"/>
      <c r="N132" s="9">
        <f t="shared" si="49"/>
        <v>119.54339769530901</v>
      </c>
      <c r="O132" s="9">
        <f t="shared" si="49"/>
        <v>64.67510443540381</v>
      </c>
      <c r="P132" s="9">
        <f t="shared" si="49"/>
        <v>66.929413792669251</v>
      </c>
      <c r="Q132" s="9">
        <f t="shared" si="49"/>
        <v>188.41408027354407</v>
      </c>
      <c r="R132" s="9">
        <f t="shared" si="50"/>
        <v>439.56199619692615</v>
      </c>
    </row>
    <row r="133" spans="1:18" x14ac:dyDescent="0.2">
      <c r="A133" s="34" t="s">
        <v>112</v>
      </c>
      <c r="B133" s="9">
        <f>'RHNA Model'!AY136</f>
        <v>931.78015088399661</v>
      </c>
      <c r="C133" s="10"/>
      <c r="D133" s="184">
        <v>0.27200000000000002</v>
      </c>
      <c r="E133" s="184">
        <v>0.17799999999999999</v>
      </c>
      <c r="F133" s="184">
        <v>0.187</v>
      </c>
      <c r="G133" s="184">
        <v>0.36299999999999999</v>
      </c>
      <c r="H133" s="10"/>
      <c r="I133" s="11">
        <f t="shared" si="45"/>
        <v>0.23543375000000002</v>
      </c>
      <c r="J133" s="11">
        <f t="shared" si="46"/>
        <v>0.13525624999999999</v>
      </c>
      <c r="K133" s="11">
        <f t="shared" si="47"/>
        <v>0.17038900000000001</v>
      </c>
      <c r="L133" s="11">
        <f t="shared" si="48"/>
        <v>0.45899274999999995</v>
      </c>
      <c r="M133" s="10"/>
      <c r="N133" s="9">
        <f t="shared" si="49"/>
        <v>219.37249509818517</v>
      </c>
      <c r="O133" s="9">
        <f t="shared" si="49"/>
        <v>126.02908903300356</v>
      </c>
      <c r="P133" s="9">
        <f t="shared" si="49"/>
        <v>158.7650881289733</v>
      </c>
      <c r="Q133" s="9">
        <f t="shared" si="49"/>
        <v>427.68033384966049</v>
      </c>
      <c r="R133" s="9">
        <f t="shared" si="50"/>
        <v>931.84700610982259</v>
      </c>
    </row>
    <row r="134" spans="1:18" x14ac:dyDescent="0.2">
      <c r="A134" s="20"/>
      <c r="B134" s="18">
        <f>'RHNA Model'!AY137</f>
        <v>8409.4057794340806</v>
      </c>
      <c r="C134" s="13"/>
      <c r="F134" s="5"/>
      <c r="H134" s="13"/>
      <c r="K134" s="5"/>
      <c r="M134" s="13"/>
      <c r="N134" s="14">
        <f>SUM(N124:N133)</f>
        <v>1811.3536046457357</v>
      </c>
      <c r="O134" s="14">
        <f>SUM(O124:O133)</f>
        <v>1089.3757482260833</v>
      </c>
      <c r="P134" s="14">
        <f>SUM(P124:P133)</f>
        <v>1348.944990367622</v>
      </c>
      <c r="Q134" s="14">
        <f>SUM(Q124:Q133)</f>
        <v>4156.9219640323099</v>
      </c>
      <c r="R134" s="14">
        <f t="shared" si="50"/>
        <v>8406.5963072717514</v>
      </c>
    </row>
    <row r="135" spans="1:18" x14ac:dyDescent="0.2">
      <c r="A135" s="20"/>
      <c r="B135" s="5"/>
      <c r="C135" s="8"/>
      <c r="H135" s="8"/>
      <c r="M135" s="8"/>
      <c r="N135" s="5"/>
      <c r="O135" s="5"/>
      <c r="P135" s="5"/>
      <c r="Q135" s="5"/>
      <c r="R135" s="5"/>
    </row>
    <row r="136" spans="1:18" x14ac:dyDescent="0.2">
      <c r="A136" s="20" t="s">
        <v>207</v>
      </c>
      <c r="B136" s="14">
        <f>B25+B47+B61+B69+B71+B94+B112+B122+B134</f>
        <v>187990</v>
      </c>
      <c r="C136" s="13"/>
      <c r="D136" s="21">
        <f>D2</f>
        <v>0.24831</v>
      </c>
      <c r="E136" s="21">
        <f>E2</f>
        <v>0.153945</v>
      </c>
      <c r="F136" s="21">
        <f>F2</f>
        <v>0.17777499999999999</v>
      </c>
      <c r="G136" s="21">
        <f>G2</f>
        <v>0.41997000000000001</v>
      </c>
      <c r="H136" s="13"/>
      <c r="I136" s="22">
        <f>D136+(D$2-D136)*$D$5</f>
        <v>0.24831</v>
      </c>
      <c r="J136" s="22">
        <f>E136+(E$2-E136)*$D$5</f>
        <v>0.153945</v>
      </c>
      <c r="K136" s="22">
        <f>F136+(F$2-F136)*$D$5</f>
        <v>0.17777499999999999</v>
      </c>
      <c r="L136" s="22">
        <f>G136+(G$2-G136)*$D$5</f>
        <v>0.41997000000000001</v>
      </c>
      <c r="M136" s="13"/>
      <c r="N136" s="14">
        <f>N25+N47+N61+N69+N71+N94+N112+N122+N134</f>
        <v>46680.029074175174</v>
      </c>
      <c r="O136" s="14">
        <f>O25+O47+O61+O69+O71+O94+O112+O122+O134</f>
        <v>28939.752625595065</v>
      </c>
      <c r="P136" s="14">
        <f>P25+P47+P61+P69+P71+P94+P112+P122+P134</f>
        <v>33420.069947406861</v>
      </c>
      <c r="Q136" s="14">
        <f>Q25+Q47+Q61+Q69+Q71+Q94+Q112+Q122+Q134</f>
        <v>78949.765958090036</v>
      </c>
      <c r="R136" s="14">
        <f>N136+O136+P136+Q136</f>
        <v>187989.61760526715</v>
      </c>
    </row>
    <row r="137" spans="1:18" x14ac:dyDescent="0.2">
      <c r="A137" s="20"/>
      <c r="B137" s="5"/>
      <c r="N137" s="23"/>
      <c r="O137" s="23"/>
      <c r="P137" s="23"/>
      <c r="Q137" s="23"/>
      <c r="R137" s="23"/>
    </row>
    <row r="138" spans="1:18" s="24" customFormat="1" x14ac:dyDescent="0.2">
      <c r="A138" s="24" t="s">
        <v>276</v>
      </c>
      <c r="C138" s="25"/>
      <c r="D138" s="25"/>
      <c r="E138" s="26"/>
      <c r="F138" s="25"/>
      <c r="G138" s="25"/>
      <c r="H138" s="26"/>
      <c r="I138" s="26"/>
      <c r="J138" s="26"/>
      <c r="K138" s="25"/>
      <c r="L138" s="26"/>
    </row>
    <row r="139" spans="1:18" s="24" customFormat="1" x14ac:dyDescent="0.2">
      <c r="A139" s="24" t="s">
        <v>266</v>
      </c>
      <c r="C139" s="25"/>
      <c r="D139" s="25"/>
      <c r="E139" s="26"/>
      <c r="F139" s="25"/>
      <c r="G139" s="25"/>
      <c r="H139" s="26"/>
      <c r="I139" s="26"/>
      <c r="J139" s="26"/>
      <c r="K139" s="25"/>
      <c r="L139" s="26"/>
    </row>
    <row r="140" spans="1:18" s="24" customFormat="1" x14ac:dyDescent="0.2">
      <c r="C140" s="25"/>
      <c r="D140" s="25"/>
      <c r="E140" s="26"/>
      <c r="F140" s="25"/>
      <c r="G140" s="25"/>
      <c r="H140" s="26"/>
      <c r="I140" s="26"/>
      <c r="J140" s="26"/>
      <c r="K140" s="25"/>
      <c r="L140" s="26"/>
    </row>
    <row r="141" spans="1:18" s="24" customFormat="1" x14ac:dyDescent="0.2">
      <c r="C141" s="25"/>
      <c r="D141" s="25"/>
      <c r="E141" s="26"/>
      <c r="F141" s="25"/>
      <c r="G141" s="25"/>
      <c r="H141" s="26"/>
      <c r="I141" s="26"/>
      <c r="J141" s="26"/>
      <c r="K141" s="25"/>
      <c r="L141" s="26"/>
    </row>
    <row r="142" spans="1:18" s="24" customFormat="1" x14ac:dyDescent="0.2">
      <c r="C142" s="25"/>
      <c r="D142" s="25"/>
      <c r="E142" s="26"/>
      <c r="F142" s="25"/>
      <c r="G142" s="25"/>
      <c r="H142" s="26"/>
      <c r="I142" s="26"/>
      <c r="J142" s="26"/>
      <c r="K142" s="25"/>
      <c r="L142" s="26"/>
    </row>
  </sheetData>
  <sheetProtection password="CC47" sheet="1" objects="1" scenarios="1"/>
  <mergeCells count="5">
    <mergeCell ref="A1:B2"/>
    <mergeCell ref="D7:G7"/>
    <mergeCell ref="I7:L7"/>
    <mergeCell ref="N7:R7"/>
    <mergeCell ref="I1:R3"/>
  </mergeCells>
  <phoneticPr fontId="5" type="noConversion"/>
  <pageMargins left="0.5" right="0.25" top="0.5" bottom="0.5" header="0.5" footer="0.5"/>
  <pageSetup paperSize="17" scale="82" orientation="portrait" r:id="rId1"/>
  <headerFooter alignWithMargins="0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/>
  </sheetViews>
  <sheetFormatPr defaultRowHeight="12.75" x14ac:dyDescent="0.2"/>
  <cols>
    <col min="1" max="1" width="30.7109375" style="46" customWidth="1"/>
    <col min="2" max="8" width="9.7109375" style="46" customWidth="1"/>
    <col min="9" max="16384" width="9.140625" style="46"/>
  </cols>
  <sheetData>
    <row r="1" spans="1:8" ht="23.25" x14ac:dyDescent="0.35">
      <c r="A1" s="167" t="s">
        <v>241</v>
      </c>
      <c r="B1" s="166" t="s">
        <v>242</v>
      </c>
    </row>
    <row r="2" spans="1:8" x14ac:dyDescent="0.2">
      <c r="A2" s="471"/>
      <c r="B2" s="471"/>
      <c r="C2" s="471"/>
      <c r="D2" s="471"/>
      <c r="E2" s="471"/>
      <c r="F2" s="471"/>
      <c r="G2" s="471"/>
      <c r="H2" s="471"/>
    </row>
    <row r="3" spans="1:8" x14ac:dyDescent="0.2">
      <c r="A3" s="472" t="s">
        <v>267</v>
      </c>
      <c r="B3" s="473"/>
      <c r="C3" s="473"/>
      <c r="D3" s="473"/>
      <c r="E3" s="473"/>
      <c r="F3" s="473"/>
      <c r="G3" s="473"/>
      <c r="H3" s="473"/>
    </row>
    <row r="4" spans="1:8" ht="18.75" x14ac:dyDescent="0.3">
      <c r="A4" s="175" t="s">
        <v>246</v>
      </c>
      <c r="B4" s="468" t="s">
        <v>243</v>
      </c>
      <c r="C4" s="468"/>
      <c r="D4" s="468"/>
      <c r="E4" s="468"/>
      <c r="F4" s="468"/>
      <c r="G4" s="469" t="s">
        <v>244</v>
      </c>
      <c r="H4" s="470" t="s">
        <v>245</v>
      </c>
    </row>
    <row r="5" spans="1:8" ht="38.25" x14ac:dyDescent="0.2">
      <c r="A5" s="176" t="s">
        <v>249</v>
      </c>
      <c r="B5" s="174" t="s">
        <v>218</v>
      </c>
      <c r="C5" s="174" t="s">
        <v>219</v>
      </c>
      <c r="D5" s="174" t="s">
        <v>220</v>
      </c>
      <c r="E5" s="174" t="s">
        <v>221</v>
      </c>
      <c r="F5" s="180" t="s">
        <v>206</v>
      </c>
      <c r="G5" s="469"/>
      <c r="H5" s="470"/>
    </row>
    <row r="6" spans="1:8" x14ac:dyDescent="0.2">
      <c r="F6" s="181"/>
      <c r="G6" s="168"/>
      <c r="H6" s="168"/>
    </row>
    <row r="7" spans="1:8" ht="15.75" x14ac:dyDescent="0.25">
      <c r="A7" s="169" t="s">
        <v>116</v>
      </c>
      <c r="F7" s="181"/>
      <c r="G7" s="168"/>
      <c r="H7" s="168"/>
    </row>
    <row r="8" spans="1:8" x14ac:dyDescent="0.2">
      <c r="A8" s="46" t="str">
        <f>'Income Distribution'!A10</f>
        <v>Alameda</v>
      </c>
      <c r="B8" s="170">
        <f>'Income Distribution'!N10</f>
        <v>442.49118541270735</v>
      </c>
      <c r="C8" s="170">
        <f>'Income Distribution'!O10</f>
        <v>247.47486153204781</v>
      </c>
      <c r="D8" s="170">
        <f>'Income Distribution'!P10</f>
        <v>282.01304978045539</v>
      </c>
      <c r="E8" s="170">
        <f>'Income Distribution'!Q10</f>
        <v>743.6666229809565</v>
      </c>
      <c r="F8" s="182">
        <f>'Income Distribution'!R10</f>
        <v>1715.645719706167</v>
      </c>
      <c r="G8" s="171">
        <f>'RHNA Model'!AN12</f>
        <v>2046</v>
      </c>
      <c r="H8" s="171">
        <v>2162</v>
      </c>
    </row>
    <row r="9" spans="1:8" x14ac:dyDescent="0.2">
      <c r="A9" s="46" t="str">
        <f>'Income Distribution'!A11</f>
        <v>Albany</v>
      </c>
      <c r="B9" s="170">
        <f>'Income Distribution'!N11</f>
        <v>80.230281870727424</v>
      </c>
      <c r="C9" s="170">
        <f>'Income Distribution'!O11</f>
        <v>52.751346587834938</v>
      </c>
      <c r="D9" s="170">
        <f>'Income Distribution'!P11</f>
        <v>56.724761673871754</v>
      </c>
      <c r="E9" s="170">
        <f>'Income Distribution'!Q11</f>
        <v>144.70274736261041</v>
      </c>
      <c r="F9" s="182">
        <f>'Income Distribution'!R11</f>
        <v>334.40913749504455</v>
      </c>
      <c r="G9" s="171">
        <f>'RHNA Model'!AN13</f>
        <v>276</v>
      </c>
      <c r="H9" s="171">
        <v>277</v>
      </c>
    </row>
    <row r="10" spans="1:8" x14ac:dyDescent="0.2">
      <c r="A10" s="46" t="str">
        <f>'Income Distribution'!A12</f>
        <v>Berkeley</v>
      </c>
      <c r="B10" s="170">
        <f>'Income Distribution'!N12</f>
        <v>530.06807290159406</v>
      </c>
      <c r="C10" s="170">
        <f>'Income Distribution'!O12</f>
        <v>440.43149116963275</v>
      </c>
      <c r="D10" s="170">
        <f>'Income Distribution'!P12</f>
        <v>581.48961404946385</v>
      </c>
      <c r="E10" s="170">
        <f>'Income Distribution'!Q12</f>
        <v>1396.3385054878638</v>
      </c>
      <c r="F10" s="182">
        <f>'Income Distribution'!R12</f>
        <v>2948.3276836085543</v>
      </c>
      <c r="G10" s="171">
        <f>'RHNA Model'!AN14</f>
        <v>2431</v>
      </c>
      <c r="H10" s="171">
        <v>1269</v>
      </c>
    </row>
    <row r="11" spans="1:8" x14ac:dyDescent="0.2">
      <c r="A11" s="46" t="str">
        <f>'Income Distribution'!A13</f>
        <v>Dublin</v>
      </c>
      <c r="B11" s="170">
        <f>'Income Distribution'!N13</f>
        <v>793.29833770971402</v>
      </c>
      <c r="C11" s="170">
        <f>'Income Distribution'!O13</f>
        <v>444.23193955104676</v>
      </c>
      <c r="D11" s="170">
        <f>'Income Distribution'!P13</f>
        <v>423.48907651402862</v>
      </c>
      <c r="E11" s="170">
        <f>'Income Distribution'!Q13</f>
        <v>612.56031006719434</v>
      </c>
      <c r="F11" s="182">
        <f>'Income Distribution'!R13</f>
        <v>2273.5796638419838</v>
      </c>
      <c r="G11" s="171">
        <f>'RHNA Model'!AN15</f>
        <v>3330</v>
      </c>
      <c r="H11" s="171">
        <v>5436</v>
      </c>
    </row>
    <row r="12" spans="1:8" x14ac:dyDescent="0.2">
      <c r="A12" s="46" t="str">
        <f>'Income Distribution'!A14</f>
        <v>Emeryville</v>
      </c>
      <c r="B12" s="170">
        <f>'Income Distribution'!N14</f>
        <v>275.22828038421693</v>
      </c>
      <c r="C12" s="170">
        <f>'Income Distribution'!O14</f>
        <v>209.67579724825237</v>
      </c>
      <c r="D12" s="170">
        <f>'Income Distribution'!P14</f>
        <v>257.6271159549205</v>
      </c>
      <c r="E12" s="170">
        <f>'Income Distribution'!Q14</f>
        <v>749.86392397289637</v>
      </c>
      <c r="F12" s="182">
        <f>'Income Distribution'!R14</f>
        <v>1492.3951175602861</v>
      </c>
      <c r="G12" s="171">
        <f>'RHNA Model'!AN16</f>
        <v>1137</v>
      </c>
      <c r="H12" s="171">
        <v>777</v>
      </c>
    </row>
    <row r="13" spans="1:8" x14ac:dyDescent="0.2">
      <c r="A13" s="46" t="str">
        <f>'Income Distribution'!A15</f>
        <v>Fremont</v>
      </c>
      <c r="B13" s="170">
        <f>'Income Distribution'!N15</f>
        <v>1706.5115348798602</v>
      </c>
      <c r="C13" s="170">
        <f>'Income Distribution'!O15</f>
        <v>922.04322706998425</v>
      </c>
      <c r="D13" s="170">
        <f>'Income Distribution'!P15</f>
        <v>974.36419843662577</v>
      </c>
      <c r="E13" s="170">
        <f>'Income Distribution'!Q15</f>
        <v>1824.9686799874437</v>
      </c>
      <c r="F13" s="182">
        <f>'Income Distribution'!R15</f>
        <v>5427.8876403739141</v>
      </c>
      <c r="G13" s="171">
        <f>'RHNA Model'!AN17</f>
        <v>4380</v>
      </c>
      <c r="H13" s="171">
        <v>6708</v>
      </c>
    </row>
    <row r="14" spans="1:8" x14ac:dyDescent="0.2">
      <c r="A14" s="46" t="str">
        <f>'Income Distribution'!A16</f>
        <v>Hayward</v>
      </c>
      <c r="B14" s="170">
        <f>'Income Distribution'!N16</f>
        <v>862.26337886713998</v>
      </c>
      <c r="C14" s="170">
        <f>'Income Distribution'!O16</f>
        <v>489.59622971287024</v>
      </c>
      <c r="D14" s="170">
        <f>'Income Distribution'!P16</f>
        <v>624.8374809412511</v>
      </c>
      <c r="E14" s="170">
        <f>'Income Distribution'!Q16</f>
        <v>2041.6934331013356</v>
      </c>
      <c r="F14" s="182">
        <f>'Income Distribution'!R16</f>
        <v>4018.390522622597</v>
      </c>
      <c r="G14" s="171">
        <f>'RHNA Model'!AN18</f>
        <v>3393</v>
      </c>
      <c r="H14" s="171">
        <v>2835</v>
      </c>
    </row>
    <row r="15" spans="1:8" x14ac:dyDescent="0.2">
      <c r="A15" s="46" t="str">
        <f>'Income Distribution'!A17</f>
        <v>Livermore</v>
      </c>
      <c r="B15" s="170">
        <f>'Income Distribution'!N17</f>
        <v>835.45054794587782</v>
      </c>
      <c r="C15" s="170">
        <f>'Income Distribution'!O17</f>
        <v>471.50285755722791</v>
      </c>
      <c r="D15" s="170">
        <f>'Income Distribution'!P17</f>
        <v>493.60358801966692</v>
      </c>
      <c r="E15" s="170">
        <f>'Income Distribution'!Q17</f>
        <v>919.17393853544206</v>
      </c>
      <c r="F15" s="182">
        <f>'Income Distribution'!R17</f>
        <v>2719.7309320582149</v>
      </c>
      <c r="G15" s="171">
        <f>'RHNA Model'!AN19</f>
        <v>3394</v>
      </c>
      <c r="H15" s="171">
        <v>5107</v>
      </c>
    </row>
    <row r="16" spans="1:8" x14ac:dyDescent="0.2">
      <c r="A16" s="46" t="str">
        <f>'Income Distribution'!A18</f>
        <v>Newark</v>
      </c>
      <c r="B16" s="170">
        <f>'Income Distribution'!N18</f>
        <v>328.34082131780355</v>
      </c>
      <c r="C16" s="170">
        <f>'Income Distribution'!O18</f>
        <v>166.09084231165514</v>
      </c>
      <c r="D16" s="170">
        <f>'Income Distribution'!P18</f>
        <v>157.11076169887085</v>
      </c>
      <c r="E16" s="170">
        <f>'Income Distribution'!Q18</f>
        <v>420.97122887211316</v>
      </c>
      <c r="F16" s="182">
        <f>'Income Distribution'!R18</f>
        <v>1072.5136542004427</v>
      </c>
      <c r="G16" s="171">
        <f>'RHNA Model'!AN20</f>
        <v>863</v>
      </c>
      <c r="H16" s="171">
        <v>1250</v>
      </c>
    </row>
    <row r="17" spans="1:8" x14ac:dyDescent="0.2">
      <c r="A17" s="46" t="str">
        <f>'Income Distribution'!A19</f>
        <v>Oakland</v>
      </c>
      <c r="B17" s="170">
        <f>'Income Distribution'!N19</f>
        <v>2049.8110224197994</v>
      </c>
      <c r="C17" s="170">
        <f>'Income Distribution'!O19</f>
        <v>2065.5778100271405</v>
      </c>
      <c r="D17" s="170">
        <f>'Income Distribution'!P19</f>
        <v>2802.5777367609207</v>
      </c>
      <c r="E17" s="170">
        <f>'Income Distribution'!Q19</f>
        <v>7784.0556912610537</v>
      </c>
      <c r="F17" s="182">
        <f>'Income Distribution'!R19</f>
        <v>14702.022260468915</v>
      </c>
      <c r="G17" s="171">
        <f>'RHNA Model'!AN21</f>
        <v>14629</v>
      </c>
      <c r="H17" s="171">
        <v>7733</v>
      </c>
    </row>
    <row r="18" spans="1:8" x14ac:dyDescent="0.2">
      <c r="A18" s="46" t="str">
        <f>'Income Distribution'!A20</f>
        <v>Piedmont</v>
      </c>
      <c r="B18" s="170">
        <f>'Income Distribution'!N20</f>
        <v>23.711025000000003</v>
      </c>
      <c r="C18" s="170">
        <f>'Income Distribution'!O20</f>
        <v>13.515374999999999</v>
      </c>
      <c r="D18" s="170">
        <f>'Income Distribution'!P20</f>
        <v>14.85834</v>
      </c>
      <c r="E18" s="170">
        <f>'Income Distribution'!Q20</f>
        <v>7.8745649999999978</v>
      </c>
      <c r="F18" s="182">
        <f>'Income Distribution'!R20</f>
        <v>59.959304999999993</v>
      </c>
      <c r="G18" s="171">
        <f>'RHNA Model'!AN22</f>
        <v>40</v>
      </c>
      <c r="H18" s="171">
        <v>49</v>
      </c>
    </row>
    <row r="19" spans="1:8" x14ac:dyDescent="0.2">
      <c r="A19" s="46" t="str">
        <f>'Income Distribution'!A21</f>
        <v>Pleasanton</v>
      </c>
      <c r="B19" s="170">
        <f>'Income Distribution'!N21</f>
        <v>712.90382481916117</v>
      </c>
      <c r="C19" s="170">
        <f>'Income Distribution'!O21</f>
        <v>389.45831488973391</v>
      </c>
      <c r="D19" s="170">
        <f>'Income Distribution'!P21</f>
        <v>404.6508032448196</v>
      </c>
      <c r="E19" s="170">
        <f>'Income Distribution'!Q21</f>
        <v>550.97065612862616</v>
      </c>
      <c r="F19" s="182">
        <f>'Income Distribution'!R21</f>
        <v>2057.9835990823408</v>
      </c>
      <c r="G19" s="171">
        <f>'RHNA Model'!AN23</f>
        <v>3277</v>
      </c>
      <c r="H19" s="171">
        <v>5059</v>
      </c>
    </row>
    <row r="20" spans="1:8" x14ac:dyDescent="0.2">
      <c r="A20" s="46" t="str">
        <f>'Income Distribution'!A22</f>
        <v>San Leandro</v>
      </c>
      <c r="B20" s="170">
        <f>'Income Distribution'!N22</f>
        <v>501.89999250607792</v>
      </c>
      <c r="C20" s="170">
        <f>'Income Distribution'!O22</f>
        <v>268.68542585094315</v>
      </c>
      <c r="D20" s="170">
        <f>'Income Distribution'!P22</f>
        <v>350.38594564928377</v>
      </c>
      <c r="E20" s="170">
        <f>'Income Distribution'!Q22</f>
        <v>1156.0665389034816</v>
      </c>
      <c r="F20" s="182">
        <f>'Income Distribution'!R22</f>
        <v>2277.0379029097867</v>
      </c>
      <c r="G20" s="171">
        <f>'RHNA Model'!AN24</f>
        <v>1630</v>
      </c>
      <c r="H20" s="171">
        <v>870</v>
      </c>
    </row>
    <row r="21" spans="1:8" x14ac:dyDescent="0.2">
      <c r="A21" s="46" t="str">
        <f>'Income Distribution'!A23</f>
        <v>Union City</v>
      </c>
      <c r="B21" s="170">
        <f>'Income Distribution'!N23</f>
        <v>315.50651047089769</v>
      </c>
      <c r="C21" s="170">
        <f>'Income Distribution'!O23</f>
        <v>178.72510917304118</v>
      </c>
      <c r="D21" s="170">
        <f>'Income Distribution'!P23</f>
        <v>190.98782299236203</v>
      </c>
      <c r="E21" s="170">
        <f>'Income Distribution'!Q23</f>
        <v>415.53253990825175</v>
      </c>
      <c r="F21" s="182">
        <f>'Income Distribution'!R23</f>
        <v>1100.7519825445527</v>
      </c>
      <c r="G21" s="171">
        <f>'RHNA Model'!AN25</f>
        <v>1944</v>
      </c>
      <c r="H21" s="171">
        <v>1951</v>
      </c>
    </row>
    <row r="22" spans="1:8" x14ac:dyDescent="0.2">
      <c r="A22" s="46" t="str">
        <f>'Income Distribution'!A24</f>
        <v>Alameda County Unincorporated</v>
      </c>
      <c r="B22" s="170">
        <f>'Income Distribution'!N24</f>
        <v>427.94366956563778</v>
      </c>
      <c r="C22" s="170">
        <f>'Income Distribution'!O24</f>
        <v>226.37215367201645</v>
      </c>
      <c r="D22" s="170">
        <f>'Income Distribution'!P24</f>
        <v>293.54548370799978</v>
      </c>
      <c r="E22" s="170">
        <f>'Income Distribution'!Q24</f>
        <v>813.8304074576721</v>
      </c>
      <c r="F22" s="182">
        <f>'Income Distribution'!R24</f>
        <v>1761.6917144033262</v>
      </c>
      <c r="G22" s="171">
        <f>'RHNA Model'!AN26</f>
        <v>2167</v>
      </c>
      <c r="H22" s="171">
        <v>5310</v>
      </c>
    </row>
    <row r="23" spans="1:8" x14ac:dyDescent="0.2">
      <c r="B23" s="172">
        <f t="shared" ref="B23:H23" si="0">SUM(B8:B22)</f>
        <v>9885.6584860712155</v>
      </c>
      <c r="C23" s="172">
        <f t="shared" si="0"/>
        <v>6586.1327813534272</v>
      </c>
      <c r="D23" s="172">
        <f t="shared" si="0"/>
        <v>7908.2657794245406</v>
      </c>
      <c r="E23" s="172">
        <f t="shared" si="0"/>
        <v>19582.269789026937</v>
      </c>
      <c r="F23" s="183">
        <f t="shared" si="0"/>
        <v>43962.326835876127</v>
      </c>
      <c r="G23" s="173">
        <f t="shared" si="0"/>
        <v>44937</v>
      </c>
      <c r="H23" s="173">
        <f t="shared" si="0"/>
        <v>46793</v>
      </c>
    </row>
    <row r="24" spans="1:8" x14ac:dyDescent="0.2">
      <c r="B24" s="170"/>
      <c r="C24" s="170"/>
      <c r="D24" s="170"/>
      <c r="E24" s="170"/>
      <c r="F24" s="182"/>
      <c r="G24" s="171"/>
      <c r="H24" s="171"/>
    </row>
    <row r="25" spans="1:8" ht="15.75" x14ac:dyDescent="0.25">
      <c r="A25" s="169" t="s">
        <v>113</v>
      </c>
      <c r="B25" s="170"/>
      <c r="C25" s="170"/>
      <c r="D25" s="170"/>
      <c r="E25" s="170"/>
      <c r="F25" s="182"/>
      <c r="G25" s="171"/>
      <c r="H25" s="171"/>
    </row>
    <row r="26" spans="1:8" x14ac:dyDescent="0.2">
      <c r="A26" s="46" t="str">
        <f>'Income Distribution'!A27</f>
        <v>Antioch</v>
      </c>
      <c r="B26" s="170">
        <f>'Income Distribution'!N27</f>
        <v>348.23940074945057</v>
      </c>
      <c r="C26" s="170">
        <f>'Income Distribution'!O27</f>
        <v>203.74530011696609</v>
      </c>
      <c r="D26" s="170">
        <f>'Income Distribution'!P27</f>
        <v>213.31225123842663</v>
      </c>
      <c r="E26" s="170">
        <f>'Income Distribution'!Q27</f>
        <v>676.10553357038725</v>
      </c>
      <c r="F26" s="182">
        <f>'Income Distribution'!R27</f>
        <v>1441.4024856752305</v>
      </c>
      <c r="G26" s="171">
        <f>'RHNA Model'!AN29</f>
        <v>2282</v>
      </c>
      <c r="H26" s="171">
        <v>4459</v>
      </c>
    </row>
    <row r="27" spans="1:8" x14ac:dyDescent="0.2">
      <c r="A27" s="46" t="str">
        <f>'Income Distribution'!A28</f>
        <v>Brentwood</v>
      </c>
      <c r="B27" s="170">
        <f>'Income Distribution'!N28</f>
        <v>233.02940562216037</v>
      </c>
      <c r="C27" s="170">
        <f>'Income Distribution'!O28</f>
        <v>122.68809596865718</v>
      </c>
      <c r="D27" s="170">
        <f>'Income Distribution'!P28</f>
        <v>122.03233539716106</v>
      </c>
      <c r="E27" s="170">
        <f>'Income Distribution'!Q28</f>
        <v>277.87518680966519</v>
      </c>
      <c r="F27" s="182">
        <f>'Income Distribution'!R28</f>
        <v>755.62502379764373</v>
      </c>
      <c r="G27" s="171">
        <f>'RHNA Model'!AN30</f>
        <v>2705</v>
      </c>
      <c r="H27" s="171">
        <v>4073</v>
      </c>
    </row>
    <row r="28" spans="1:8" x14ac:dyDescent="0.2">
      <c r="A28" s="46" t="str">
        <f>'Income Distribution'!A29</f>
        <v>Clayton</v>
      </c>
      <c r="B28" s="170">
        <f>'Income Distribution'!N29</f>
        <v>51.022069944801672</v>
      </c>
      <c r="C28" s="170">
        <f>'Income Distribution'!O29</f>
        <v>25.340842496702649</v>
      </c>
      <c r="D28" s="170">
        <f>'Income Distribution'!P29</f>
        <v>30.912506588578477</v>
      </c>
      <c r="E28" s="170">
        <f>'Income Distribution'!Q29</f>
        <v>33.316991508535352</v>
      </c>
      <c r="F28" s="182">
        <f>'Income Distribution'!R29</f>
        <v>140.59241053861814</v>
      </c>
      <c r="G28" s="171">
        <f>'RHNA Model'!AN31</f>
        <v>151</v>
      </c>
      <c r="H28" s="171">
        <v>446</v>
      </c>
    </row>
    <row r="29" spans="1:8" x14ac:dyDescent="0.2">
      <c r="A29" s="46" t="str">
        <f>'Income Distribution'!A30</f>
        <v>Concord</v>
      </c>
      <c r="B29" s="170">
        <f>'Income Distribution'!N30</f>
        <v>794.25777859261257</v>
      </c>
      <c r="C29" s="170">
        <f>'Income Distribution'!O30</f>
        <v>442.26882630093627</v>
      </c>
      <c r="D29" s="170">
        <f>'Income Distribution'!P30</f>
        <v>556.10290681008644</v>
      </c>
      <c r="E29" s="170">
        <f>'Income Distribution'!Q30</f>
        <v>1669.4364074918906</v>
      </c>
      <c r="F29" s="182">
        <f>'Income Distribution'!R30</f>
        <v>3462.0659191955256</v>
      </c>
      <c r="G29" s="171">
        <f>'RHNA Model'!AN32</f>
        <v>3043</v>
      </c>
      <c r="H29" s="171">
        <v>2319</v>
      </c>
    </row>
    <row r="30" spans="1:8" x14ac:dyDescent="0.2">
      <c r="A30" s="46" t="str">
        <f>'Income Distribution'!A31</f>
        <v>Danville</v>
      </c>
      <c r="B30" s="170">
        <f>'Income Distribution'!N31</f>
        <v>195.04713342619243</v>
      </c>
      <c r="C30" s="170">
        <f>'Income Distribution'!O31</f>
        <v>110.78670523294248</v>
      </c>
      <c r="D30" s="170">
        <f>'Income Distribution'!P31</f>
        <v>124.44826132105871</v>
      </c>
      <c r="E30" s="170">
        <f>'Income Distribution'!Q31</f>
        <v>124.36714968805437</v>
      </c>
      <c r="F30" s="182">
        <f>'Income Distribution'!R31</f>
        <v>554.64924966824799</v>
      </c>
      <c r="G30" s="171">
        <f>'RHNA Model'!AN33</f>
        <v>583</v>
      </c>
      <c r="H30" s="171">
        <v>1110</v>
      </c>
    </row>
    <row r="31" spans="1:8" x14ac:dyDescent="0.2">
      <c r="A31" s="46" t="str">
        <f>'Income Distribution'!A32</f>
        <v>El Cerrito</v>
      </c>
      <c r="B31" s="170">
        <f>'Income Distribution'!N32</f>
        <v>99.650279147363477</v>
      </c>
      <c r="C31" s="170">
        <f>'Income Distribution'!O32</f>
        <v>62.883017150200914</v>
      </c>
      <c r="D31" s="170">
        <f>'Income Distribution'!P32</f>
        <v>69.084882921139311</v>
      </c>
      <c r="E31" s="170">
        <f>'Income Distribution'!Q32</f>
        <v>165.13292054349148</v>
      </c>
      <c r="F31" s="182">
        <f>'Income Distribution'!R32</f>
        <v>396.75109976219517</v>
      </c>
      <c r="G31" s="171">
        <f>'RHNA Model'!AN34</f>
        <v>431</v>
      </c>
      <c r="H31" s="171">
        <v>185</v>
      </c>
    </row>
    <row r="32" spans="1:8" x14ac:dyDescent="0.2">
      <c r="A32" s="46" t="str">
        <f>'Income Distribution'!A33</f>
        <v>Hercules</v>
      </c>
      <c r="B32" s="170">
        <f>'Income Distribution'!N33</f>
        <v>218.58410812500003</v>
      </c>
      <c r="C32" s="170">
        <f>'Income Distribution'!O33</f>
        <v>116.87824687499997</v>
      </c>
      <c r="D32" s="170">
        <f>'Income Distribution'!P33</f>
        <v>99.980950499999992</v>
      </c>
      <c r="E32" s="170">
        <f>'Income Distribution'!Q33</f>
        <v>244.10544862499995</v>
      </c>
      <c r="F32" s="182">
        <f>'Income Distribution'!R33</f>
        <v>679.54875412499996</v>
      </c>
      <c r="G32" s="171">
        <f>'RHNA Model'!AN35</f>
        <v>453</v>
      </c>
      <c r="H32" s="171">
        <v>792</v>
      </c>
    </row>
    <row r="33" spans="1:8" x14ac:dyDescent="0.2">
      <c r="A33" s="46" t="str">
        <f>'Income Distribution'!A34</f>
        <v>Lafayette</v>
      </c>
      <c r="B33" s="170">
        <f>'Income Distribution'!N34</f>
        <v>146.26472079038902</v>
      </c>
      <c r="C33" s="170">
        <f>'Income Distribution'!O34</f>
        <v>83.476942581855113</v>
      </c>
      <c r="D33" s="170">
        <f>'Income Distribution'!P34</f>
        <v>90.134761779694443</v>
      </c>
      <c r="E33" s="170">
        <f>'Income Distribution'!Q34</f>
        <v>106.04332002192888</v>
      </c>
      <c r="F33" s="182">
        <f>'Income Distribution'!R34</f>
        <v>425.91974517386745</v>
      </c>
      <c r="G33" s="171">
        <f>'RHNA Model'!AN36</f>
        <v>361</v>
      </c>
      <c r="H33" s="171">
        <v>194</v>
      </c>
    </row>
    <row r="34" spans="1:8" x14ac:dyDescent="0.2">
      <c r="A34" s="46" t="str">
        <f>'Income Distribution'!A35</f>
        <v>Martinez</v>
      </c>
      <c r="B34" s="170">
        <f>'Income Distribution'!N35</f>
        <v>123.32393895028946</v>
      </c>
      <c r="C34" s="170">
        <f>'Income Distribution'!O35</f>
        <v>71.959942117910316</v>
      </c>
      <c r="D34" s="170">
        <f>'Income Distribution'!P35</f>
        <v>78.213077398968508</v>
      </c>
      <c r="E34" s="170">
        <f>'Income Distribution'!Q35</f>
        <v>193.43951513159055</v>
      </c>
      <c r="F34" s="182">
        <f>'Income Distribution'!R35</f>
        <v>466.93647359875882</v>
      </c>
      <c r="G34" s="171">
        <f>'RHNA Model'!AN37</f>
        <v>1060</v>
      </c>
      <c r="H34" s="171">
        <v>1341</v>
      </c>
    </row>
    <row r="35" spans="1:8" x14ac:dyDescent="0.2">
      <c r="A35" s="46" t="str">
        <f>'Income Distribution'!A36</f>
        <v>Moraga</v>
      </c>
      <c r="B35" s="170">
        <f>'Income Distribution'!N36</f>
        <v>74.721158028267851</v>
      </c>
      <c r="C35" s="170">
        <f>'Income Distribution'!O36</f>
        <v>42.642711329212275</v>
      </c>
      <c r="D35" s="170">
        <f>'Income Distribution'!P36</f>
        <v>49.6278442617743</v>
      </c>
      <c r="E35" s="170">
        <f>'Income Distribution'!Q36</f>
        <v>61.052915604368565</v>
      </c>
      <c r="F35" s="182">
        <f>'Income Distribution'!R36</f>
        <v>228.04462922362299</v>
      </c>
      <c r="G35" s="171">
        <f>'RHNA Model'!AN38</f>
        <v>234</v>
      </c>
      <c r="H35" s="171">
        <v>214</v>
      </c>
    </row>
    <row r="36" spans="1:8" x14ac:dyDescent="0.2">
      <c r="A36" s="46" t="str">
        <f>'Income Distribution'!A37</f>
        <v>Oakley</v>
      </c>
      <c r="B36" s="170">
        <f>'Income Distribution'!N37</f>
        <v>315.54173437500003</v>
      </c>
      <c r="C36" s="170">
        <f>'Income Distribution'!O37</f>
        <v>172.92914062499997</v>
      </c>
      <c r="D36" s="170">
        <f>'Income Distribution'!P37</f>
        <v>173.66471249999998</v>
      </c>
      <c r="E36" s="170">
        <f>'Income Distribution'!Q37</f>
        <v>500.44782187499993</v>
      </c>
      <c r="F36" s="182">
        <f>'Income Distribution'!R37</f>
        <v>1162.583409375</v>
      </c>
      <c r="G36" s="171">
        <f>'RHNA Model'!AN39</f>
        <v>775</v>
      </c>
      <c r="H36" s="171">
        <v>1208</v>
      </c>
    </row>
    <row r="37" spans="1:8" x14ac:dyDescent="0.2">
      <c r="A37" s="46" t="str">
        <f>'Income Distribution'!A38</f>
        <v>Orinda</v>
      </c>
      <c r="B37" s="170">
        <f>'Income Distribution'!N38</f>
        <v>84.378640761046256</v>
      </c>
      <c r="C37" s="170">
        <f>'Income Distribution'!O38</f>
        <v>47.412899642260591</v>
      </c>
      <c r="D37" s="170">
        <f>'Income Distribution'!P38</f>
        <v>53.30584909382879</v>
      </c>
      <c r="E37" s="170">
        <f>'Income Distribution'!Q38</f>
        <v>40.419338389954191</v>
      </c>
      <c r="F37" s="182">
        <f>'Income Distribution'!R38</f>
        <v>225.51672788708981</v>
      </c>
      <c r="G37" s="171">
        <f>'RHNA Model'!AN40</f>
        <v>218</v>
      </c>
      <c r="H37" s="171">
        <v>221</v>
      </c>
    </row>
    <row r="38" spans="1:8" x14ac:dyDescent="0.2">
      <c r="A38" s="46" t="str">
        <f>'Income Distribution'!A39</f>
        <v>Pinole</v>
      </c>
      <c r="B38" s="170">
        <f>'Income Distribution'!N39</f>
        <v>80.366472314241875</v>
      </c>
      <c r="C38" s="170">
        <f>'Income Distribution'!O39</f>
        <v>47.59692821900866</v>
      </c>
      <c r="D38" s="170">
        <f>'Income Distribution'!P39</f>
        <v>42.010687286291635</v>
      </c>
      <c r="E38" s="170">
        <f>'Income Distribution'!Q39</f>
        <v>126.12851036005196</v>
      </c>
      <c r="F38" s="182">
        <f>'Income Distribution'!R39</f>
        <v>296.10259817959411</v>
      </c>
      <c r="G38" s="171">
        <f>'RHNA Model'!AN41</f>
        <v>323</v>
      </c>
      <c r="H38" s="171">
        <v>288</v>
      </c>
    </row>
    <row r="39" spans="1:8" x14ac:dyDescent="0.2">
      <c r="A39" s="46" t="str">
        <f>'Income Distribution'!A40</f>
        <v>Pittsburg</v>
      </c>
      <c r="B39" s="170">
        <f>'Income Distribution'!N40</f>
        <v>390.04595074295639</v>
      </c>
      <c r="C39" s="170">
        <f>'Income Distribution'!O40</f>
        <v>253.07478454733553</v>
      </c>
      <c r="D39" s="170">
        <f>'Income Distribution'!P40</f>
        <v>314.84363355957515</v>
      </c>
      <c r="E39" s="170">
        <f>'Income Distribution'!Q40</f>
        <v>1058.6120380073758</v>
      </c>
      <c r="F39" s="182">
        <f>'Income Distribution'!R40</f>
        <v>2016.5764068572428</v>
      </c>
      <c r="G39" s="171">
        <f>'RHNA Model'!AN42</f>
        <v>1772</v>
      </c>
      <c r="H39" s="171">
        <v>2513</v>
      </c>
    </row>
    <row r="40" spans="1:8" x14ac:dyDescent="0.2">
      <c r="A40" s="46" t="str">
        <f>'Income Distribution'!A41</f>
        <v>Pleasant Hill</v>
      </c>
      <c r="B40" s="170">
        <f>'Income Distribution'!N41</f>
        <v>116.63744595914777</v>
      </c>
      <c r="C40" s="170">
        <f>'Income Distribution'!O41</f>
        <v>68.643527394215326</v>
      </c>
      <c r="D40" s="170">
        <f>'Income Distribution'!P41</f>
        <v>83.634286509301873</v>
      </c>
      <c r="E40" s="170">
        <f>'Income Distribution'!Q41</f>
        <v>176.83582210515041</v>
      </c>
      <c r="F40" s="182">
        <f>'Income Distribution'!R41</f>
        <v>445.75108196781537</v>
      </c>
      <c r="G40" s="171">
        <f>'RHNA Model'!AN43</f>
        <v>628</v>
      </c>
      <c r="H40" s="171">
        <v>714</v>
      </c>
    </row>
    <row r="41" spans="1:8" x14ac:dyDescent="0.2">
      <c r="A41" s="46" t="str">
        <f>'Income Distribution'!A42</f>
        <v>Richmond</v>
      </c>
      <c r="B41" s="170">
        <f>'Income Distribution'!N42</f>
        <v>436.107640677196</v>
      </c>
      <c r="C41" s="170">
        <f>'Income Distribution'!O42</f>
        <v>304.19104018974929</v>
      </c>
      <c r="D41" s="170">
        <f>'Income Distribution'!P42</f>
        <v>407.52056018297304</v>
      </c>
      <c r="E41" s="170">
        <f>'Income Distribution'!Q42</f>
        <v>1274.2491628482194</v>
      </c>
      <c r="F41" s="182">
        <f>'Income Distribution'!R42</f>
        <v>2422.0684038981376</v>
      </c>
      <c r="G41" s="171">
        <f>'RHNA Model'!AN44</f>
        <v>2826</v>
      </c>
      <c r="H41" s="171">
        <v>2603</v>
      </c>
    </row>
    <row r="42" spans="1:8" x14ac:dyDescent="0.2">
      <c r="A42" s="46" t="str">
        <f>'Income Distribution'!A43</f>
        <v>San Pablo</v>
      </c>
      <c r="B42" s="170">
        <f>'Income Distribution'!N43</f>
        <v>54.616136250000018</v>
      </c>
      <c r="C42" s="170">
        <f>'Income Distribution'!O43</f>
        <v>52.74879374999999</v>
      </c>
      <c r="D42" s="170">
        <f>'Income Distribution'!P43</f>
        <v>75.158132999999992</v>
      </c>
      <c r="E42" s="170">
        <f>'Income Distribution'!Q43</f>
        <v>264.17375924999999</v>
      </c>
      <c r="F42" s="182">
        <f>'Income Distribution'!R43</f>
        <v>446.69682224999997</v>
      </c>
      <c r="G42" s="171">
        <f>'RHNA Model'!AN45</f>
        <v>298</v>
      </c>
      <c r="H42" s="171">
        <v>494</v>
      </c>
    </row>
    <row r="43" spans="1:8" x14ac:dyDescent="0.2">
      <c r="A43" s="46" t="str">
        <f>'Income Distribution'!A44</f>
        <v>San Ramon</v>
      </c>
      <c r="B43" s="170">
        <f>'Income Distribution'!N44</f>
        <v>514.29872335018092</v>
      </c>
      <c r="C43" s="170">
        <f>'Income Distribution'!O44</f>
        <v>277.66771926631111</v>
      </c>
      <c r="D43" s="170">
        <f>'Income Distribution'!P44</f>
        <v>280.6775135079946</v>
      </c>
      <c r="E43" s="170">
        <f>'Income Distribution'!Q44</f>
        <v>338.6842325616085</v>
      </c>
      <c r="F43" s="182">
        <f>'Income Distribution'!R44</f>
        <v>1411.328188686095</v>
      </c>
      <c r="G43" s="171">
        <f>'RHNA Model'!AN46</f>
        <v>3463</v>
      </c>
      <c r="H43" s="171">
        <v>4447</v>
      </c>
    </row>
    <row r="44" spans="1:8" x14ac:dyDescent="0.2">
      <c r="A44" s="46" t="str">
        <f>'Income Distribution'!A45</f>
        <v>Walnut Creek</v>
      </c>
      <c r="B44" s="170">
        <f>'Income Distribution'!N45</f>
        <v>600.61553771582112</v>
      </c>
      <c r="C44" s="170">
        <f>'Income Distribution'!O45</f>
        <v>352.68400700197128</v>
      </c>
      <c r="D44" s="170">
        <f>'Income Distribution'!P45</f>
        <v>379.12369555811767</v>
      </c>
      <c r="E44" s="170">
        <f>'Income Distribution'!Q45</f>
        <v>892.78435929491877</v>
      </c>
      <c r="F44" s="182">
        <f>'Income Distribution'!R45</f>
        <v>2225.2075995708287</v>
      </c>
      <c r="G44" s="171">
        <f>'RHNA Model'!AN47</f>
        <v>1958</v>
      </c>
      <c r="H44" s="171">
        <v>1653</v>
      </c>
    </row>
    <row r="45" spans="1:8" x14ac:dyDescent="0.2">
      <c r="A45" s="46" t="str">
        <f>'Income Distribution'!A46</f>
        <v>Contra Costa County Unincorporated</v>
      </c>
      <c r="B45" s="170">
        <f>'Income Distribution'!N46</f>
        <v>372.36411877894591</v>
      </c>
      <c r="C45" s="170">
        <f>'Income Distribution'!O46</f>
        <v>216.67823972482651</v>
      </c>
      <c r="D45" s="170">
        <f>'Income Distribution'!P46</f>
        <v>242.02927914232359</v>
      </c>
      <c r="E45" s="170">
        <f>'Income Distribution'!Q46</f>
        <v>529.58947542498788</v>
      </c>
      <c r="F45" s="182">
        <f>'Income Distribution'!R46</f>
        <v>1360.6611130710839</v>
      </c>
      <c r="G45" s="171">
        <f>'RHNA Model'!AN48</f>
        <v>3508</v>
      </c>
      <c r="H45" s="171">
        <v>5436</v>
      </c>
    </row>
    <row r="46" spans="1:8" x14ac:dyDescent="0.2">
      <c r="B46" s="172">
        <f t="shared" ref="B46:H46" si="1">SUM(B26:B45)</f>
        <v>5249.1123943010653</v>
      </c>
      <c r="C46" s="172">
        <f t="shared" si="1"/>
        <v>3076.2977105310615</v>
      </c>
      <c r="D46" s="172">
        <f t="shared" si="1"/>
        <v>3485.8181285572941</v>
      </c>
      <c r="E46" s="172">
        <f t="shared" si="1"/>
        <v>8752.7999091121783</v>
      </c>
      <c r="F46" s="183">
        <f t="shared" si="1"/>
        <v>20564.028142501596</v>
      </c>
      <c r="G46" s="173">
        <f t="shared" si="1"/>
        <v>27072</v>
      </c>
      <c r="H46" s="173">
        <f t="shared" si="1"/>
        <v>34710</v>
      </c>
    </row>
    <row r="47" spans="1:8" x14ac:dyDescent="0.2">
      <c r="B47" s="170"/>
      <c r="C47" s="170"/>
      <c r="D47" s="170"/>
      <c r="E47" s="170"/>
      <c r="F47" s="182"/>
      <c r="G47" s="171"/>
      <c r="H47" s="171"/>
    </row>
    <row r="48" spans="1:8" ht="15.75" x14ac:dyDescent="0.25">
      <c r="A48" s="169" t="s">
        <v>115</v>
      </c>
      <c r="B48" s="170"/>
      <c r="C48" s="170"/>
      <c r="D48" s="170"/>
      <c r="E48" s="170"/>
      <c r="F48" s="182"/>
      <c r="G48" s="171"/>
      <c r="H48" s="171"/>
    </row>
    <row r="49" spans="1:8" x14ac:dyDescent="0.2">
      <c r="A49" s="46" t="str">
        <f>'Income Distribution'!A49</f>
        <v>Belvedere</v>
      </c>
      <c r="B49" s="170">
        <f>'Income Distribution'!N49</f>
        <v>4.4675178239862845</v>
      </c>
      <c r="C49" s="170">
        <f>'Income Distribution'!O49</f>
        <v>3.0583740400564055</v>
      </c>
      <c r="D49" s="170">
        <f>'Income Distribution'!P49</f>
        <v>3.7458164228095909</v>
      </c>
      <c r="E49" s="170">
        <f>'Income Distribution'!Q49</f>
        <v>4.5754131322405192</v>
      </c>
      <c r="F49" s="182">
        <f>'Income Distribution'!R49</f>
        <v>15.847121419092801</v>
      </c>
      <c r="G49" s="171">
        <f>'RHNA Model'!AN51</f>
        <v>17</v>
      </c>
      <c r="H49" s="171">
        <v>10</v>
      </c>
    </row>
    <row r="50" spans="1:8" x14ac:dyDescent="0.2">
      <c r="A50" s="46" t="str">
        <f>'Income Distribution'!A50</f>
        <v>Corte Madera</v>
      </c>
      <c r="B50" s="170">
        <f>'Income Distribution'!N50</f>
        <v>21.839839321995566</v>
      </c>
      <c r="C50" s="170">
        <f>'Income Distribution'!O50</f>
        <v>12.6397552053295</v>
      </c>
      <c r="D50" s="170">
        <f>'Income Distribution'!P50</f>
        <v>12.847072181642796</v>
      </c>
      <c r="E50" s="170">
        <f>'Income Distribution'!Q50</f>
        <v>24.594884346914835</v>
      </c>
      <c r="F50" s="182">
        <f>'Income Distribution'!R50</f>
        <v>71.921551055882688</v>
      </c>
      <c r="G50" s="171">
        <f>'RHNA Model'!AN52</f>
        <v>244</v>
      </c>
      <c r="H50" s="171">
        <v>179</v>
      </c>
    </row>
    <row r="51" spans="1:8" x14ac:dyDescent="0.2">
      <c r="A51" s="46" t="str">
        <f>'Income Distribution'!A51</f>
        <v>Fairfax</v>
      </c>
      <c r="B51" s="170">
        <f>'Income Distribution'!N51</f>
        <v>16.377026579436983</v>
      </c>
      <c r="C51" s="170">
        <f>'Income Distribution'!O51</f>
        <v>11.105168107420717</v>
      </c>
      <c r="D51" s="170">
        <f>'Income Distribution'!P51</f>
        <v>11.190003140468118</v>
      </c>
      <c r="E51" s="170">
        <f>'Income Distribution'!Q51</f>
        <v>22.730619916884621</v>
      </c>
      <c r="F51" s="182">
        <f>'Income Distribution'!R51</f>
        <v>61.402817744210438</v>
      </c>
      <c r="G51" s="171">
        <f>'RHNA Model'!AN53</f>
        <v>108</v>
      </c>
      <c r="H51" s="171">
        <v>64</v>
      </c>
    </row>
    <row r="52" spans="1:8" x14ac:dyDescent="0.2">
      <c r="A52" s="46" t="str">
        <f>'Income Distribution'!A52</f>
        <v>Larkspur</v>
      </c>
      <c r="B52" s="170">
        <f>'Income Distribution'!N52</f>
        <v>39.97801096229697</v>
      </c>
      <c r="C52" s="170">
        <f>'Income Distribution'!O52</f>
        <v>19.977733501042049</v>
      </c>
      <c r="D52" s="170">
        <f>'Income Distribution'!P52</f>
        <v>20.752159672967458</v>
      </c>
      <c r="E52" s="170">
        <f>'Income Distribution'!Q52</f>
        <v>50.846371903691669</v>
      </c>
      <c r="F52" s="182">
        <f>'Income Distribution'!R52</f>
        <v>131.55427603999814</v>
      </c>
      <c r="G52" s="171">
        <f>'RHNA Model'!AN54</f>
        <v>382</v>
      </c>
      <c r="H52" s="171">
        <v>303</v>
      </c>
    </row>
    <row r="53" spans="1:8" x14ac:dyDescent="0.2">
      <c r="A53" s="46" t="str">
        <f>'Income Distribution'!A53</f>
        <v>Mill Valley</v>
      </c>
      <c r="B53" s="170">
        <f>'Income Distribution'!N53</f>
        <v>40.853080568314788</v>
      </c>
      <c r="C53" s="170">
        <f>'Income Distribution'!O53</f>
        <v>24.279494201329321</v>
      </c>
      <c r="D53" s="170">
        <f>'Income Distribution'!P53</f>
        <v>26.003184535325357</v>
      </c>
      <c r="E53" s="170">
        <f>'Income Distribution'!Q53</f>
        <v>37.672894280989972</v>
      </c>
      <c r="F53" s="182">
        <f>'Income Distribution'!R53</f>
        <v>128.80865358595943</v>
      </c>
      <c r="G53" s="171">
        <f>'RHNA Model'!AN55</f>
        <v>292</v>
      </c>
      <c r="H53" s="171">
        <v>225</v>
      </c>
    </row>
    <row r="54" spans="1:8" x14ac:dyDescent="0.2">
      <c r="A54" s="46" t="str">
        <f>'Income Distribution'!A54</f>
        <v>Novato</v>
      </c>
      <c r="B54" s="170">
        <f>'Income Distribution'!N54</f>
        <v>110.71957361815979</v>
      </c>
      <c r="C54" s="170">
        <f>'Income Distribution'!O54</f>
        <v>65.251270335236313</v>
      </c>
      <c r="D54" s="170">
        <f>'Income Distribution'!P54</f>
        <v>72.027516912374111</v>
      </c>
      <c r="E54" s="170">
        <f>'Income Distribution'!Q54</f>
        <v>165.6521418172162</v>
      </c>
      <c r="F54" s="182">
        <f>'Income Distribution'!R54</f>
        <v>413.65050268298643</v>
      </c>
      <c r="G54" s="171">
        <f>'RHNA Model'!AN56</f>
        <v>1241</v>
      </c>
      <c r="H54" s="171">
        <v>2582</v>
      </c>
    </row>
    <row r="55" spans="1:8" x14ac:dyDescent="0.2">
      <c r="A55" s="46" t="str">
        <f>'Income Distribution'!A55</f>
        <v>Ross</v>
      </c>
      <c r="B55" s="170">
        <f>'Income Distribution'!N55</f>
        <v>6.1832935966238161</v>
      </c>
      <c r="C55" s="170">
        <f>'Income Distribution'!O55</f>
        <v>3.8717149025347073</v>
      </c>
      <c r="D55" s="170">
        <f>'Income Distribution'!P55</f>
        <v>4.2123929030669407</v>
      </c>
      <c r="E55" s="170">
        <f>'Income Distribution'!Q55</f>
        <v>4.0314515679034706</v>
      </c>
      <c r="F55" s="182">
        <f>'Income Distribution'!R55</f>
        <v>18.298852970128934</v>
      </c>
      <c r="G55" s="171">
        <f>'RHNA Model'!AN57</f>
        <v>27</v>
      </c>
      <c r="H55" s="171">
        <v>21</v>
      </c>
    </row>
    <row r="56" spans="1:8" x14ac:dyDescent="0.2">
      <c r="A56" s="46" t="str">
        <f>'Income Distribution'!A56</f>
        <v>San Anselmo</v>
      </c>
      <c r="B56" s="170">
        <f>'Income Distribution'!N56</f>
        <v>32.840786053292085</v>
      </c>
      <c r="C56" s="170">
        <f>'Income Distribution'!O56</f>
        <v>17.286194001459364</v>
      </c>
      <c r="D56" s="170">
        <f>'Income Distribution'!P56</f>
        <v>18.625849181993459</v>
      </c>
      <c r="E56" s="170">
        <f>'Income Distribution'!Q56</f>
        <v>37.300983337183823</v>
      </c>
      <c r="F56" s="182">
        <f>'Income Distribution'!R56</f>
        <v>106.05381257392872</v>
      </c>
      <c r="G56" s="171">
        <f>'RHNA Model'!AN58</f>
        <v>113</v>
      </c>
      <c r="H56" s="171">
        <v>149</v>
      </c>
    </row>
    <row r="57" spans="1:8" x14ac:dyDescent="0.2">
      <c r="A57" s="46" t="str">
        <f>'Income Distribution'!A57</f>
        <v>San Rafael</v>
      </c>
      <c r="B57" s="170">
        <f>'Income Distribution'!N57</f>
        <v>239.1159425231717</v>
      </c>
      <c r="C57" s="170">
        <f>'Income Distribution'!O57</f>
        <v>146.92542500499789</v>
      </c>
      <c r="D57" s="170">
        <f>'Income Distribution'!P57</f>
        <v>179.90225718166681</v>
      </c>
      <c r="E57" s="170">
        <f>'Income Distribution'!Q57</f>
        <v>436.98947134744452</v>
      </c>
      <c r="F57" s="182">
        <f>'Income Distribution'!R57</f>
        <v>1002.9330960572809</v>
      </c>
      <c r="G57" s="171">
        <f>'RHNA Model'!AN59</f>
        <v>1403</v>
      </c>
      <c r="H57" s="171">
        <v>2090</v>
      </c>
    </row>
    <row r="58" spans="1:8" x14ac:dyDescent="0.2">
      <c r="A58" s="46" t="str">
        <f>'Income Distribution'!A58</f>
        <v>Sausalito</v>
      </c>
      <c r="B58" s="170">
        <f>'Income Distribution'!N58</f>
        <v>25.657424783394127</v>
      </c>
      <c r="C58" s="170">
        <f>'Income Distribution'!O58</f>
        <v>13.948021215025262</v>
      </c>
      <c r="D58" s="170">
        <f>'Income Distribution'!P58</f>
        <v>15.538967847888406</v>
      </c>
      <c r="E58" s="170">
        <f>'Income Distribution'!Q58</f>
        <v>23.884073731596345</v>
      </c>
      <c r="F58" s="182">
        <f>'Income Distribution'!R58</f>
        <v>79.028487577904144</v>
      </c>
      <c r="G58" s="171">
        <f>'RHNA Model'!AN60</f>
        <v>165</v>
      </c>
      <c r="H58" s="171">
        <v>207</v>
      </c>
    </row>
    <row r="59" spans="1:8" x14ac:dyDescent="0.2">
      <c r="A59" s="46" t="str">
        <f>'Income Distribution'!A59</f>
        <v>Tiburon</v>
      </c>
      <c r="B59" s="170">
        <f>'Income Distribution'!N59</f>
        <v>24.334263916689217</v>
      </c>
      <c r="C59" s="170">
        <f>'Income Distribution'!O59</f>
        <v>15.641693162236107</v>
      </c>
      <c r="D59" s="170">
        <f>'Income Distribution'!P59</f>
        <v>19.084533143063016</v>
      </c>
      <c r="E59" s="170">
        <f>'Income Distribution'!Q59</f>
        <v>18.956107533545445</v>
      </c>
      <c r="F59" s="182">
        <f>'Income Distribution'!R59</f>
        <v>78.016597755533795</v>
      </c>
      <c r="G59" s="171">
        <f>'RHNA Model'!AN61</f>
        <v>117</v>
      </c>
      <c r="H59" s="171">
        <v>164</v>
      </c>
    </row>
    <row r="60" spans="1:8" x14ac:dyDescent="0.2">
      <c r="A60" s="46" t="str">
        <f>'Income Distribution'!A60</f>
        <v>Marin County Unincorporated</v>
      </c>
      <c r="B60" s="170">
        <f>'Income Distribution'!N60</f>
        <v>54.643691310188551</v>
      </c>
      <c r="C60" s="170">
        <f>'Income Distribution'!O60</f>
        <v>32.343814978379264</v>
      </c>
      <c r="D60" s="170">
        <f>'Income Distribution'!P60</f>
        <v>36.738874881938244</v>
      </c>
      <c r="E60" s="170">
        <f>'Income Distribution'!Q60</f>
        <v>60.313365052481537</v>
      </c>
      <c r="F60" s="182">
        <f>'Income Distribution'!R60</f>
        <v>184.03974622298759</v>
      </c>
      <c r="G60" s="171">
        <f>'RHNA Model'!AN62</f>
        <v>773</v>
      </c>
      <c r="H60" s="171">
        <v>521</v>
      </c>
    </row>
    <row r="61" spans="1:8" x14ac:dyDescent="0.2">
      <c r="B61" s="172">
        <f t="shared" ref="B61:H61" si="2">SUM(B49:B60)</f>
        <v>617.01045105754986</v>
      </c>
      <c r="C61" s="172">
        <f t="shared" si="2"/>
        <v>366.32865865504692</v>
      </c>
      <c r="D61" s="172">
        <f t="shared" si="2"/>
        <v>420.66862800520425</v>
      </c>
      <c r="E61" s="172">
        <f t="shared" si="2"/>
        <v>887.54777796809299</v>
      </c>
      <c r="F61" s="183">
        <f t="shared" si="2"/>
        <v>2291.5555156858936</v>
      </c>
      <c r="G61" s="173">
        <f t="shared" si="2"/>
        <v>4882</v>
      </c>
      <c r="H61" s="173">
        <f t="shared" si="2"/>
        <v>6515</v>
      </c>
    </row>
    <row r="62" spans="1:8" x14ac:dyDescent="0.2">
      <c r="B62" s="170"/>
      <c r="C62" s="170"/>
      <c r="D62" s="170"/>
      <c r="E62" s="170"/>
      <c r="F62" s="182"/>
      <c r="G62" s="171"/>
      <c r="H62" s="171"/>
    </row>
    <row r="63" spans="1:8" ht="15.75" x14ac:dyDescent="0.25">
      <c r="A63" s="169" t="s">
        <v>119</v>
      </c>
      <c r="B63" s="170"/>
      <c r="C63" s="170"/>
      <c r="D63" s="170"/>
      <c r="E63" s="170"/>
      <c r="F63" s="182"/>
      <c r="G63" s="171"/>
      <c r="H63" s="171"/>
    </row>
    <row r="64" spans="1:8" x14ac:dyDescent="0.2">
      <c r="A64" s="46" t="str">
        <f>'Income Distribution'!A63</f>
        <v>American Canyon</v>
      </c>
      <c r="B64" s="170">
        <f>'Income Distribution'!N63</f>
        <v>116.05515227734929</v>
      </c>
      <c r="C64" s="170">
        <f>'Income Distribution'!O63</f>
        <v>53.58588180016374</v>
      </c>
      <c r="D64" s="170">
        <f>'Income Distribution'!P63</f>
        <v>58.241958849372793</v>
      </c>
      <c r="E64" s="170">
        <f>'Income Distribution'!Q63</f>
        <v>163.98009623491046</v>
      </c>
      <c r="F64" s="182">
        <f>'Income Distribution'!R63</f>
        <v>391.86308916179632</v>
      </c>
      <c r="G64" s="171">
        <f>'RHNA Model'!AN65</f>
        <v>728</v>
      </c>
      <c r="H64" s="171">
        <v>1323</v>
      </c>
    </row>
    <row r="65" spans="1:8" x14ac:dyDescent="0.2">
      <c r="A65" s="46" t="str">
        <f>'Income Distribution'!A64</f>
        <v>Calistoga</v>
      </c>
      <c r="B65" s="170">
        <f>'Income Distribution'!N64</f>
        <v>5.8508768391487731</v>
      </c>
      <c r="C65" s="170">
        <f>'Income Distribution'!O64</f>
        <v>2.0180927778818982</v>
      </c>
      <c r="D65" s="170">
        <f>'Income Distribution'!P64</f>
        <v>4.046281885714766</v>
      </c>
      <c r="E65" s="170">
        <f>'Income Distribution'!Q64</f>
        <v>14.882841764661597</v>
      </c>
      <c r="F65" s="182">
        <f>'Income Distribution'!R64</f>
        <v>26.798093267407033</v>
      </c>
      <c r="G65" s="171">
        <f>'RHNA Model'!AN66</f>
        <v>94</v>
      </c>
      <c r="H65" s="171">
        <v>173</v>
      </c>
    </row>
    <row r="66" spans="1:8" x14ac:dyDescent="0.2">
      <c r="A66" s="46" t="str">
        <f>'Income Distribution'!A65</f>
        <v>Napa</v>
      </c>
      <c r="B66" s="170">
        <f>'Income Distribution'!N65</f>
        <v>184.65197663242427</v>
      </c>
      <c r="C66" s="170">
        <f>'Income Distribution'!O65</f>
        <v>106.02928608983176</v>
      </c>
      <c r="D66" s="170">
        <f>'Income Distribution'!P65</f>
        <v>140.99447939314481</v>
      </c>
      <c r="E66" s="170">
        <f>'Income Distribution'!Q65</f>
        <v>403.21934132426236</v>
      </c>
      <c r="F66" s="182">
        <f>'Income Distribution'!R65</f>
        <v>834.89508343966315</v>
      </c>
      <c r="G66" s="171">
        <f>'RHNA Model'!AN67</f>
        <v>2024</v>
      </c>
      <c r="H66" s="171">
        <v>3369</v>
      </c>
    </row>
    <row r="67" spans="1:8" x14ac:dyDescent="0.2">
      <c r="A67" s="46" t="str">
        <f>'Income Distribution'!A66</f>
        <v>St. Helena</v>
      </c>
      <c r="B67" s="170">
        <f>'Income Distribution'!N66</f>
        <v>7.6637539604656126</v>
      </c>
      <c r="C67" s="170">
        <f>'Income Distribution'!O66</f>
        <v>4.6166564714726954</v>
      </c>
      <c r="D67" s="170">
        <f>'Income Distribution'!P66</f>
        <v>5.4236189188946469</v>
      </c>
      <c r="E67" s="170">
        <f>'Income Distribution'!Q66</f>
        <v>13.200700109829249</v>
      </c>
      <c r="F67" s="182">
        <f>'Income Distribution'!R66</f>
        <v>30.904729460662203</v>
      </c>
      <c r="G67" s="171">
        <f>'RHNA Model'!AN68</f>
        <v>121</v>
      </c>
      <c r="H67" s="171">
        <v>142</v>
      </c>
    </row>
    <row r="68" spans="1:8" x14ac:dyDescent="0.2">
      <c r="A68" s="46" t="str">
        <f>'Income Distribution'!A67</f>
        <v>Yountville</v>
      </c>
      <c r="B68" s="170">
        <f>'Income Distribution'!N67</f>
        <v>4.4802088323173423</v>
      </c>
      <c r="C68" s="170">
        <f>'Income Distribution'!O67</f>
        <v>2.0092987643853286</v>
      </c>
      <c r="D68" s="170">
        <f>'Income Distribution'!P67</f>
        <v>3.225867416399915</v>
      </c>
      <c r="E68" s="170">
        <f>'Income Distribution'!Q67</f>
        <v>7.7439887823292652</v>
      </c>
      <c r="F68" s="182">
        <f>'Income Distribution'!R67</f>
        <v>17.459363795431852</v>
      </c>
      <c r="G68" s="171">
        <f>'RHNA Model'!AN69</f>
        <v>87</v>
      </c>
      <c r="H68" s="171">
        <v>87</v>
      </c>
    </row>
    <row r="69" spans="1:8" x14ac:dyDescent="0.2">
      <c r="A69" s="46" t="str">
        <f>'Income Distribution'!A68</f>
        <v>Napa County Unincorporated</v>
      </c>
      <c r="B69" s="170">
        <f>'Income Distribution'!N68</f>
        <v>51.237432464930606</v>
      </c>
      <c r="C69" s="170">
        <f>'Income Distribution'!O68</f>
        <v>29.986486674464086</v>
      </c>
      <c r="D69" s="170">
        <f>'Income Distribution'!P68</f>
        <v>32.258136399957657</v>
      </c>
      <c r="E69" s="170">
        <f>'Income Distribution'!Q68</f>
        <v>66.353112287238758</v>
      </c>
      <c r="F69" s="182">
        <f>'Income Distribution'!R68</f>
        <v>179.83516782659112</v>
      </c>
      <c r="G69" s="171">
        <f>'RHNA Model'!AN70</f>
        <v>651</v>
      </c>
      <c r="H69" s="171">
        <v>1969</v>
      </c>
    </row>
    <row r="70" spans="1:8" x14ac:dyDescent="0.2">
      <c r="B70" s="172">
        <f t="shared" ref="B70:H70" si="3">SUM(B64:B69)</f>
        <v>369.93940100663588</v>
      </c>
      <c r="C70" s="172">
        <f t="shared" si="3"/>
        <v>198.24570257819951</v>
      </c>
      <c r="D70" s="172">
        <f t="shared" si="3"/>
        <v>244.1903428634846</v>
      </c>
      <c r="E70" s="172">
        <f t="shared" si="3"/>
        <v>669.38008050323162</v>
      </c>
      <c r="F70" s="183">
        <f t="shared" si="3"/>
        <v>1481.7555269515515</v>
      </c>
      <c r="G70" s="173">
        <f t="shared" si="3"/>
        <v>3705</v>
      </c>
      <c r="H70" s="173">
        <f t="shared" si="3"/>
        <v>7063</v>
      </c>
    </row>
    <row r="71" spans="1:8" x14ac:dyDescent="0.2">
      <c r="B71" s="170"/>
      <c r="C71" s="170"/>
      <c r="D71" s="170"/>
      <c r="E71" s="170"/>
      <c r="F71" s="182"/>
      <c r="G71" s="171"/>
      <c r="H71" s="171"/>
    </row>
    <row r="72" spans="1:8" ht="15.75" x14ac:dyDescent="0.25">
      <c r="A72" s="169" t="s">
        <v>120</v>
      </c>
      <c r="B72" s="170"/>
      <c r="C72" s="170"/>
      <c r="D72" s="170"/>
      <c r="E72" s="170"/>
      <c r="F72" s="182"/>
      <c r="G72" s="171"/>
      <c r="H72" s="171"/>
    </row>
    <row r="73" spans="1:8" x14ac:dyDescent="0.2">
      <c r="A73" s="46" t="str">
        <f>'Income Distribution'!A71</f>
        <v>San Francisco</v>
      </c>
      <c r="B73" s="170">
        <f>'Income Distribution'!N71</f>
        <v>6206.9755049871637</v>
      </c>
      <c r="C73" s="170">
        <f>'Income Distribution'!O71</f>
        <v>4620.9085241357243</v>
      </c>
      <c r="D73" s="170">
        <f>'Income Distribution'!P71</f>
        <v>5436.7653969690564</v>
      </c>
      <c r="E73" s="170">
        <f>'Income Distribution'!Q71</f>
        <v>12482.227129701883</v>
      </c>
      <c r="F73" s="182">
        <f>'Income Distribution'!R71-1</f>
        <v>28745.876555793828</v>
      </c>
      <c r="G73" s="171">
        <f>'RHNA Model'!AN73</f>
        <v>31193</v>
      </c>
      <c r="H73" s="171">
        <v>20372</v>
      </c>
    </row>
    <row r="74" spans="1:8" x14ac:dyDescent="0.2">
      <c r="B74" s="172">
        <f t="shared" ref="B74:H74" si="4">B73</f>
        <v>6206.9755049871637</v>
      </c>
      <c r="C74" s="172">
        <f t="shared" si="4"/>
        <v>4620.9085241357243</v>
      </c>
      <c r="D74" s="172">
        <f t="shared" si="4"/>
        <v>5436.7653969690564</v>
      </c>
      <c r="E74" s="172">
        <f t="shared" si="4"/>
        <v>12482.227129701883</v>
      </c>
      <c r="F74" s="183">
        <f t="shared" si="4"/>
        <v>28745.876555793828</v>
      </c>
      <c r="G74" s="173">
        <f t="shared" si="4"/>
        <v>31193</v>
      </c>
      <c r="H74" s="173">
        <f t="shared" si="4"/>
        <v>20372</v>
      </c>
    </row>
    <row r="75" spans="1:8" x14ac:dyDescent="0.2">
      <c r="B75" s="170"/>
      <c r="C75" s="170"/>
      <c r="D75" s="170"/>
      <c r="E75" s="170"/>
      <c r="F75" s="182"/>
      <c r="G75" s="171"/>
      <c r="H75" s="171"/>
    </row>
    <row r="76" spans="1:8" ht="15.75" x14ac:dyDescent="0.25">
      <c r="A76" s="169" t="s">
        <v>114</v>
      </c>
      <c r="B76" s="170"/>
      <c r="C76" s="170"/>
      <c r="D76" s="170"/>
      <c r="E76" s="170"/>
      <c r="F76" s="182"/>
      <c r="G76" s="171"/>
      <c r="H76" s="171"/>
    </row>
    <row r="77" spans="1:8" x14ac:dyDescent="0.2">
      <c r="A77" s="46" t="str">
        <f>'Income Distribution'!A73</f>
        <v>Atherton</v>
      </c>
      <c r="B77" s="170">
        <f>'Income Distribution'!N73</f>
        <v>36.042616025442861</v>
      </c>
      <c r="C77" s="170">
        <f>'Income Distribution'!O73</f>
        <v>26.727554054925541</v>
      </c>
      <c r="D77" s="170">
        <f>'Income Distribution'!P73</f>
        <v>28.775145758126978</v>
      </c>
      <c r="E77" s="170">
        <f>'Income Distribution'!Q73</f>
        <v>14.102160288789941</v>
      </c>
      <c r="F77" s="182">
        <f>'Income Distribution'!R73</f>
        <v>105.64747612728533</v>
      </c>
      <c r="G77" s="171">
        <f>'RHNA Model'!AN76</f>
        <v>83</v>
      </c>
      <c r="H77" s="171">
        <v>166</v>
      </c>
    </row>
    <row r="78" spans="1:8" x14ac:dyDescent="0.2">
      <c r="A78" s="46" t="str">
        <f>'Income Distribution'!A74</f>
        <v>Belmont</v>
      </c>
      <c r="B78" s="170">
        <f>'Income Distribution'!N74</f>
        <v>115.54777144288246</v>
      </c>
      <c r="C78" s="170">
        <f>'Income Distribution'!O74</f>
        <v>63.108316786458417</v>
      </c>
      <c r="D78" s="170">
        <f>'Income Distribution'!P74</f>
        <v>67.19287251454648</v>
      </c>
      <c r="E78" s="170">
        <f>'Income Distribution'!Q74</f>
        <v>121.07285057510745</v>
      </c>
      <c r="F78" s="182">
        <f>'Income Distribution'!R74</f>
        <v>366.9218113189948</v>
      </c>
      <c r="G78" s="171">
        <f>'RHNA Model'!AN77</f>
        <v>399</v>
      </c>
      <c r="H78" s="171">
        <v>317</v>
      </c>
    </row>
    <row r="79" spans="1:8" x14ac:dyDescent="0.2">
      <c r="A79" s="46" t="str">
        <f>'Income Distribution'!A75</f>
        <v>Brisbane</v>
      </c>
      <c r="B79" s="170">
        <f>'Income Distribution'!N75</f>
        <v>24.762415680898176</v>
      </c>
      <c r="C79" s="170">
        <f>'Income Distribution'!O75</f>
        <v>13.276451721836798</v>
      </c>
      <c r="D79" s="170">
        <f>'Income Distribution'!P75</f>
        <v>15.258112921694291</v>
      </c>
      <c r="E79" s="170">
        <f>'Income Distribution'!Q75</f>
        <v>29.683555168702039</v>
      </c>
      <c r="F79" s="182">
        <f>'Income Distribution'!R75</f>
        <v>82.980535493131299</v>
      </c>
      <c r="G79" s="171">
        <f>'RHNA Model'!AN78</f>
        <v>401</v>
      </c>
      <c r="H79" s="171">
        <v>426</v>
      </c>
    </row>
    <row r="80" spans="1:8" x14ac:dyDescent="0.2">
      <c r="A80" s="46" t="str">
        <f>'Income Distribution'!A76</f>
        <v>Burlingame</v>
      </c>
      <c r="B80" s="170">
        <f>'Income Distribution'!N76</f>
        <v>280.00415624999999</v>
      </c>
      <c r="C80" s="170">
        <f>'Income Distribution'!O76</f>
        <v>149.42484374999998</v>
      </c>
      <c r="D80" s="170">
        <f>'Income Distribution'!P76</f>
        <v>158.08552499999999</v>
      </c>
      <c r="E80" s="170">
        <f>'Income Distribution'!Q76</f>
        <v>387.55543124999997</v>
      </c>
      <c r="F80" s="182">
        <f>'Income Distribution'!R76</f>
        <v>975.0699562499999</v>
      </c>
      <c r="G80" s="171">
        <f>'RHNA Model'!AN79</f>
        <v>650</v>
      </c>
      <c r="H80" s="171">
        <v>565</v>
      </c>
    </row>
    <row r="81" spans="1:8" x14ac:dyDescent="0.2">
      <c r="A81" s="46" t="str">
        <f>'Income Distribution'!A77</f>
        <v>Colma</v>
      </c>
      <c r="B81" s="170">
        <f>'Income Distribution'!N77</f>
        <v>20.212230798048907</v>
      </c>
      <c r="C81" s="170">
        <f>'Income Distribution'!O77</f>
        <v>8.1845641013355124</v>
      </c>
      <c r="D81" s="170">
        <f>'Income Distribution'!P77</f>
        <v>9.1849958769458073</v>
      </c>
      <c r="E81" s="170">
        <f>'Income Distribution'!Q77</f>
        <v>29.593511688502435</v>
      </c>
      <c r="F81" s="182">
        <f>'Income Distribution'!R77</f>
        <v>67.175302464832654</v>
      </c>
      <c r="G81" s="171">
        <f>'RHNA Model'!AN80</f>
        <v>65</v>
      </c>
      <c r="H81" s="171">
        <v>74</v>
      </c>
    </row>
    <row r="82" spans="1:8" x14ac:dyDescent="0.2">
      <c r="A82" s="46" t="str">
        <f>'Income Distribution'!A78</f>
        <v>Daly City</v>
      </c>
      <c r="B82" s="170">
        <f>'Income Distribution'!N78</f>
        <v>408.24866285082362</v>
      </c>
      <c r="C82" s="170">
        <f>'Income Distribution'!O78</f>
        <v>193.8147551542109</v>
      </c>
      <c r="D82" s="170">
        <f>'Income Distribution'!P78</f>
        <v>225.31038340728497</v>
      </c>
      <c r="E82" s="170">
        <f>'Income Distribution'!Q78</f>
        <v>680.94708852800034</v>
      </c>
      <c r="F82" s="182">
        <f>'Income Distribution'!R78</f>
        <v>1508.3208899403198</v>
      </c>
      <c r="G82" s="171">
        <f>'RHNA Model'!AN81</f>
        <v>1207</v>
      </c>
      <c r="H82" s="171">
        <v>1391</v>
      </c>
    </row>
    <row r="83" spans="1:8" x14ac:dyDescent="0.2">
      <c r="A83" s="46" t="str">
        <f>'Income Distribution'!A79</f>
        <v>East Palo Alto</v>
      </c>
      <c r="B83" s="170">
        <f>'Income Distribution'!N79</f>
        <v>64.393968547189289</v>
      </c>
      <c r="C83" s="170">
        <f>'Income Distribution'!O79</f>
        <v>53.690332099505646</v>
      </c>
      <c r="D83" s="170">
        <f>'Income Distribution'!P79</f>
        <v>83.397095687613415</v>
      </c>
      <c r="E83" s="170">
        <f>'Income Distribution'!Q79</f>
        <v>265.04904554827766</v>
      </c>
      <c r="F83" s="182">
        <f>'Income Distribution'!R79</f>
        <v>466.53044188258605</v>
      </c>
      <c r="G83" s="171">
        <f>'RHNA Model'!AN82</f>
        <v>630</v>
      </c>
      <c r="H83" s="171">
        <v>1282</v>
      </c>
    </row>
    <row r="84" spans="1:8" x14ac:dyDescent="0.2">
      <c r="A84" s="46" t="str">
        <f>'Income Distribution'!A80</f>
        <v>Foster City</v>
      </c>
      <c r="B84" s="170">
        <f>'Income Distribution'!N80</f>
        <v>147.95534148575982</v>
      </c>
      <c r="C84" s="170">
        <f>'Income Distribution'!O80</f>
        <v>86.514651533936288</v>
      </c>
      <c r="D84" s="170">
        <f>'Income Distribution'!P80</f>
        <v>76.147294099288544</v>
      </c>
      <c r="E84" s="170">
        <f>'Income Distribution'!Q80</f>
        <v>119.28667342973795</v>
      </c>
      <c r="F84" s="182">
        <f>'Income Distribution'!R80</f>
        <v>429.90396054872264</v>
      </c>
      <c r="G84" s="171">
        <f>'RHNA Model'!AN83</f>
        <v>486</v>
      </c>
      <c r="H84" s="171">
        <v>690</v>
      </c>
    </row>
    <row r="85" spans="1:8" x14ac:dyDescent="0.2">
      <c r="A85" s="46" t="str">
        <f>'Income Distribution'!A81</f>
        <v>Half Moon Bay</v>
      </c>
      <c r="B85" s="170">
        <f>'Income Distribution'!N81</f>
        <v>52.210882932942056</v>
      </c>
      <c r="C85" s="170">
        <f>'Income Distribution'!O81</f>
        <v>31.381491760052047</v>
      </c>
      <c r="D85" s="170">
        <f>'Income Distribution'!P81</f>
        <v>35.537575246268126</v>
      </c>
      <c r="E85" s="170">
        <f>'Income Distribution'!Q81</f>
        <v>66.565806176773933</v>
      </c>
      <c r="F85" s="182">
        <f>'Income Distribution'!R81</f>
        <v>185.69575611603614</v>
      </c>
      <c r="G85" s="171">
        <f>'RHNA Model'!AN84</f>
        <v>276</v>
      </c>
      <c r="H85" s="171">
        <v>458</v>
      </c>
    </row>
    <row r="86" spans="1:8" x14ac:dyDescent="0.2">
      <c r="A86" s="46" t="str">
        <f>'Income Distribution'!A82</f>
        <v>Hillsborough</v>
      </c>
      <c r="B86" s="170">
        <f>'Income Distribution'!N82</f>
        <v>50.10795375</v>
      </c>
      <c r="C86" s="170">
        <f>'Income Distribution'!O82</f>
        <v>28.574306249999999</v>
      </c>
      <c r="D86" s="170">
        <f>'Income Distribution'!P82</f>
        <v>33.880431000000002</v>
      </c>
      <c r="E86" s="170">
        <f>'Income Distribution'!Q82</f>
        <v>16.44656474999999</v>
      </c>
      <c r="F86" s="182">
        <f>'Income Distribution'!R82</f>
        <v>129.00925574999999</v>
      </c>
      <c r="G86" s="171">
        <f>'RHNA Model'!AN85</f>
        <v>86</v>
      </c>
      <c r="H86" s="171">
        <v>84</v>
      </c>
    </row>
    <row r="87" spans="1:8" x14ac:dyDescent="0.2">
      <c r="A87" s="46" t="str">
        <f>'Income Distribution'!A83</f>
        <v>Menlo Park</v>
      </c>
      <c r="B87" s="170">
        <f>'Income Distribution'!N83</f>
        <v>237.30116650644717</v>
      </c>
      <c r="C87" s="170">
        <f>'Income Distribution'!O83</f>
        <v>133.45649385167857</v>
      </c>
      <c r="D87" s="170">
        <f>'Income Distribution'!P83</f>
        <v>144.93500974458368</v>
      </c>
      <c r="E87" s="170">
        <f>'Income Distribution'!Q83</f>
        <v>218.62083688872806</v>
      </c>
      <c r="F87" s="182">
        <f>'Income Distribution'!R83</f>
        <v>734.31350699143741</v>
      </c>
      <c r="G87" s="171">
        <f>'RHNA Model'!AN86</f>
        <v>993</v>
      </c>
      <c r="H87" s="171">
        <v>982</v>
      </c>
    </row>
    <row r="88" spans="1:8" x14ac:dyDescent="0.2">
      <c r="A88" s="46" t="str">
        <f>'Income Distribution'!A84</f>
        <v>Millbrae</v>
      </c>
      <c r="B88" s="170">
        <f>'Income Distribution'!N84</f>
        <v>193.18508250000002</v>
      </c>
      <c r="C88" s="170">
        <f>'Income Distribution'!O84</f>
        <v>101.36523749999999</v>
      </c>
      <c r="D88" s="170">
        <f>'Income Distribution'!P84</f>
        <v>111.96424199999998</v>
      </c>
      <c r="E88" s="170">
        <f>'Income Distribution'!Q84</f>
        <v>272.04258449999998</v>
      </c>
      <c r="F88" s="182">
        <f>'Income Distribution'!R84</f>
        <v>678.55714649999993</v>
      </c>
      <c r="G88" s="171">
        <f>'RHNA Model'!AN87</f>
        <v>452</v>
      </c>
      <c r="H88" s="171">
        <v>343</v>
      </c>
    </row>
    <row r="89" spans="1:8" x14ac:dyDescent="0.2">
      <c r="A89" s="46" t="str">
        <f>'Income Distribution'!A85</f>
        <v>Pacifica</v>
      </c>
      <c r="B89" s="170">
        <f>'Income Distribution'!N85</f>
        <v>120.62892187500002</v>
      </c>
      <c r="C89" s="170">
        <f>'Income Distribution'!O85</f>
        <v>68.168203124999991</v>
      </c>
      <c r="D89" s="170">
        <f>'Income Distribution'!P85</f>
        <v>70.285462500000008</v>
      </c>
      <c r="E89" s="170">
        <f>'Income Distribution'!Q85</f>
        <v>153.44700937499999</v>
      </c>
      <c r="F89" s="182">
        <f>'Income Distribution'!R85</f>
        <v>412.52959687499998</v>
      </c>
      <c r="G89" s="171">
        <f>'RHNA Model'!AN88</f>
        <v>275</v>
      </c>
      <c r="H89" s="171">
        <v>666</v>
      </c>
    </row>
    <row r="90" spans="1:8" x14ac:dyDescent="0.2">
      <c r="A90" s="46" t="str">
        <f>'Income Distribution'!A86</f>
        <v>Portola Valley</v>
      </c>
      <c r="B90" s="170">
        <f>'Income Distribution'!N86</f>
        <v>20.988019635114107</v>
      </c>
      <c r="C90" s="170">
        <f>'Income Distribution'!O86</f>
        <v>14.508822085999098</v>
      </c>
      <c r="D90" s="170">
        <f>'Income Distribution'!P86</f>
        <v>14.50129504022234</v>
      </c>
      <c r="E90" s="170">
        <f>'Income Distribution'!Q86</f>
        <v>14.20302180832245</v>
      </c>
      <c r="F90" s="182">
        <f>'Income Distribution'!R86</f>
        <v>64.201158569657991</v>
      </c>
      <c r="G90" s="171">
        <f>'RHNA Model'!AN89</f>
        <v>74</v>
      </c>
      <c r="H90" s="171">
        <v>82</v>
      </c>
    </row>
    <row r="91" spans="1:8" x14ac:dyDescent="0.2">
      <c r="A91" s="46" t="str">
        <f>'Income Distribution'!A87</f>
        <v>Redwood City</v>
      </c>
      <c r="B91" s="170">
        <f>'Income Distribution'!N87</f>
        <v>705.55956000000003</v>
      </c>
      <c r="C91" s="170">
        <f>'Income Distribution'!O87</f>
        <v>428.75339999999994</v>
      </c>
      <c r="D91" s="170">
        <f>'Income Distribution'!P87</f>
        <v>501.50697600000001</v>
      </c>
      <c r="E91" s="170">
        <f>'Income Distribution'!Q87</f>
        <v>1148.3798159999999</v>
      </c>
      <c r="F91" s="182">
        <f>'Income Distribution'!R87</f>
        <v>2784.1997519999995</v>
      </c>
      <c r="G91" s="171">
        <f>'RHNA Model'!AN90</f>
        <v>1856</v>
      </c>
      <c r="H91" s="171">
        <v>2544</v>
      </c>
    </row>
    <row r="92" spans="1:8" x14ac:dyDescent="0.2">
      <c r="A92" s="46" t="str">
        <f>'Income Distribution'!A88</f>
        <v>San Bruno</v>
      </c>
      <c r="B92" s="170">
        <f>'Income Distribution'!N88</f>
        <v>364.88530183737163</v>
      </c>
      <c r="C92" s="170">
        <f>'Income Distribution'!O88</f>
        <v>166.31581646127407</v>
      </c>
      <c r="D92" s="170">
        <f>'Income Distribution'!P88</f>
        <v>207.90277858487508</v>
      </c>
      <c r="E92" s="170">
        <f>'Income Distribution'!Q88</f>
        <v>556.18319213706093</v>
      </c>
      <c r="F92" s="182">
        <f>'Income Distribution'!R88</f>
        <v>1295.2870890205818</v>
      </c>
      <c r="G92" s="171">
        <f>'RHNA Model'!AN91</f>
        <v>973</v>
      </c>
      <c r="H92" s="171">
        <v>378</v>
      </c>
    </row>
    <row r="93" spans="1:8" x14ac:dyDescent="0.2">
      <c r="A93" s="46" t="str">
        <f>'Income Distribution'!A89</f>
        <v>San Carlos</v>
      </c>
      <c r="B93" s="170">
        <f>'Income Distribution'!N89</f>
        <v>195.35915266052314</v>
      </c>
      <c r="C93" s="170">
        <f>'Income Distribution'!O89</f>
        <v>107.46553120734066</v>
      </c>
      <c r="D93" s="170">
        <f>'Income Distribution'!P89</f>
        <v>111.41985735201244</v>
      </c>
      <c r="E93" s="170">
        <f>'Income Distribution'!Q89</f>
        <v>181.9802324520758</v>
      </c>
      <c r="F93" s="182">
        <f>'Income Distribution'!R89</f>
        <v>596.22477367195199</v>
      </c>
      <c r="G93" s="171">
        <f>'RHNA Model'!AN92</f>
        <v>599</v>
      </c>
      <c r="H93" s="171">
        <v>368</v>
      </c>
    </row>
    <row r="94" spans="1:8" x14ac:dyDescent="0.2">
      <c r="A94" s="46" t="str">
        <f>'Income Distribution'!A90</f>
        <v>San Mateo</v>
      </c>
      <c r="B94" s="170">
        <f>'Income Distribution'!N90</f>
        <v>858.81731632401033</v>
      </c>
      <c r="C94" s="170">
        <f>'Income Distribution'!O90</f>
        <v>468.91856495342421</v>
      </c>
      <c r="D94" s="170">
        <f>'Income Distribution'!P90</f>
        <v>529.92172468730291</v>
      </c>
      <c r="E94" s="170">
        <f>'Income Distribution'!Q90</f>
        <v>1172.6058558370291</v>
      </c>
      <c r="F94" s="182">
        <f>'Income Distribution'!R90</f>
        <v>3030.2634618017664</v>
      </c>
      <c r="G94" s="171">
        <f>'RHNA Model'!AN93</f>
        <v>3051</v>
      </c>
      <c r="H94" s="171">
        <v>2437</v>
      </c>
    </row>
    <row r="95" spans="1:8" x14ac:dyDescent="0.2">
      <c r="A95" s="46" t="str">
        <f>'Income Distribution'!A91</f>
        <v>South San Francisco</v>
      </c>
      <c r="B95" s="170">
        <f>'Income Distribution'!N91</f>
        <v>576.26988798904927</v>
      </c>
      <c r="C95" s="170">
        <f>'Income Distribution'!O91</f>
        <v>289.53385535419693</v>
      </c>
      <c r="D95" s="170">
        <f>'Income Distribution'!P91</f>
        <v>317.71264142931261</v>
      </c>
      <c r="E95" s="170">
        <f>'Income Distribution'!Q91</f>
        <v>922.23974928184657</v>
      </c>
      <c r="F95" s="182">
        <f>'Income Distribution'!R91</f>
        <v>2105.7561340544053</v>
      </c>
      <c r="G95" s="171">
        <f>'RHNA Model'!AN94</f>
        <v>1635</v>
      </c>
      <c r="H95" s="171">
        <v>1331</v>
      </c>
    </row>
    <row r="96" spans="1:8" x14ac:dyDescent="0.2">
      <c r="A96" s="46" t="str">
        <f>'Income Distribution'!A92</f>
        <v>Woodside</v>
      </c>
      <c r="B96" s="170">
        <f>'Income Distribution'!N92</f>
        <v>22.827800625000002</v>
      </c>
      <c r="C96" s="170">
        <f>'Income Distribution'!O92</f>
        <v>13.023009374999999</v>
      </c>
      <c r="D96" s="170">
        <f>'Income Distribution'!P92</f>
        <v>14.999173499999999</v>
      </c>
      <c r="E96" s="170">
        <f>'Income Distribution'!Q92</f>
        <v>10.654429125</v>
      </c>
      <c r="F96" s="182">
        <f>'Income Distribution'!R92</f>
        <v>61.504412625000001</v>
      </c>
      <c r="G96" s="171">
        <f>'RHNA Model'!AN95</f>
        <v>41</v>
      </c>
      <c r="H96" s="171">
        <v>41</v>
      </c>
    </row>
    <row r="97" spans="1:8" x14ac:dyDescent="0.2">
      <c r="A97" s="46" t="str">
        <f>'Income Distribution'!A93</f>
        <v>San Mateo County Unincorporated</v>
      </c>
      <c r="B97" s="170">
        <f>'Income Distribution'!N93</f>
        <v>99.651887086158865</v>
      </c>
      <c r="C97" s="170">
        <f>'Income Distribution'!O93</f>
        <v>61.366258168342483</v>
      </c>
      <c r="D97" s="170">
        <f>'Income Distribution'!P93</f>
        <v>71.751630192271463</v>
      </c>
      <c r="E97" s="170">
        <f>'Income Distribution'!Q93</f>
        <v>106.28294343650369</v>
      </c>
      <c r="F97" s="182">
        <f>'Income Distribution'!R93</f>
        <v>339.0527188832765</v>
      </c>
      <c r="G97" s="171">
        <f>'RHNA Model'!AN96</f>
        <v>1506</v>
      </c>
      <c r="H97" s="171">
        <v>1680</v>
      </c>
    </row>
    <row r="98" spans="1:8" x14ac:dyDescent="0.2">
      <c r="B98" s="172">
        <f t="shared" ref="B98:H98" si="5">SUM(B77:B97)</f>
        <v>4594.9600968026625</v>
      </c>
      <c r="C98" s="172">
        <f t="shared" si="5"/>
        <v>2507.5724592945176</v>
      </c>
      <c r="D98" s="172">
        <f t="shared" si="5"/>
        <v>2829.6702225423492</v>
      </c>
      <c r="E98" s="172">
        <f t="shared" si="5"/>
        <v>6486.9423582454574</v>
      </c>
      <c r="F98" s="183">
        <f t="shared" si="5"/>
        <v>16419.145136884985</v>
      </c>
      <c r="G98" s="173">
        <f t="shared" si="5"/>
        <v>15738</v>
      </c>
      <c r="H98" s="173">
        <f t="shared" si="5"/>
        <v>16305</v>
      </c>
    </row>
    <row r="99" spans="1:8" x14ac:dyDescent="0.2">
      <c r="B99" s="172"/>
      <c r="C99" s="172"/>
      <c r="D99" s="172"/>
      <c r="E99" s="172"/>
      <c r="F99" s="183"/>
      <c r="G99" s="173"/>
      <c r="H99" s="173"/>
    </row>
    <row r="100" spans="1:8" ht="15.75" x14ac:dyDescent="0.25">
      <c r="A100" s="169" t="s">
        <v>164</v>
      </c>
      <c r="B100" s="170"/>
      <c r="C100" s="170"/>
      <c r="D100" s="170"/>
      <c r="E100" s="170"/>
      <c r="F100" s="182"/>
      <c r="G100" s="171"/>
      <c r="H100" s="171"/>
    </row>
    <row r="101" spans="1:8" x14ac:dyDescent="0.2">
      <c r="A101" s="46" t="str">
        <f>'Income Distribution'!A96</f>
        <v>Campbell</v>
      </c>
      <c r="B101" s="170">
        <f>'Income Distribution'!N96</f>
        <v>252.23102861704501</v>
      </c>
      <c r="C101" s="170">
        <f>'Income Distribution'!O96</f>
        <v>136.83853024094728</v>
      </c>
      <c r="D101" s="170">
        <f>'Income Distribution'!P96</f>
        <v>149.97145151432449</v>
      </c>
      <c r="E101" s="170">
        <f>'Income Distribution'!Q96</f>
        <v>390.28014513376252</v>
      </c>
      <c r="F101" s="182">
        <f>'Income Distribution'!R96</f>
        <v>929.32115550607932</v>
      </c>
      <c r="G101" s="171">
        <f>'RHNA Model'!AN99</f>
        <v>892</v>
      </c>
      <c r="H101" s="171">
        <v>777</v>
      </c>
    </row>
    <row r="102" spans="1:8" x14ac:dyDescent="0.2">
      <c r="A102" s="46" t="str">
        <f>'Income Distribution'!A97</f>
        <v>Cupertino</v>
      </c>
      <c r="B102" s="170">
        <f>'Income Distribution'!N97</f>
        <v>354.03615943325826</v>
      </c>
      <c r="C102" s="170">
        <f>'Income Distribution'!O97</f>
        <v>205.90698676723022</v>
      </c>
      <c r="D102" s="170">
        <f>'Income Distribution'!P97</f>
        <v>230.39563352351516</v>
      </c>
      <c r="E102" s="170">
        <f>'Income Distribution'!Q97</f>
        <v>268.35090553562566</v>
      </c>
      <c r="F102" s="182">
        <f>'Income Distribution'!R97</f>
        <v>1058.6896852596292</v>
      </c>
      <c r="G102" s="171">
        <f>'RHNA Model'!AN100</f>
        <v>1170</v>
      </c>
      <c r="H102" s="171">
        <v>2720</v>
      </c>
    </row>
    <row r="103" spans="1:8" x14ac:dyDescent="0.2">
      <c r="A103" s="46" t="str">
        <f>'Income Distribution'!A98</f>
        <v>Gilroy</v>
      </c>
      <c r="B103" s="170">
        <f>'Income Distribution'!N98</f>
        <v>235.43920808882871</v>
      </c>
      <c r="C103" s="170">
        <f>'Income Distribution'!O98</f>
        <v>159.45038378876586</v>
      </c>
      <c r="D103" s="170">
        <f>'Income Distribution'!P98</f>
        <v>215.35878702169762</v>
      </c>
      <c r="E103" s="170">
        <f>'Income Distribution'!Q98</f>
        <v>472.63825140538233</v>
      </c>
      <c r="F103" s="182">
        <f>'Income Distribution'!R98</f>
        <v>1082.8866303046746</v>
      </c>
      <c r="G103" s="171">
        <f>'RHNA Model'!AN101</f>
        <v>1615</v>
      </c>
      <c r="H103" s="171">
        <v>3746</v>
      </c>
    </row>
    <row r="104" spans="1:8" x14ac:dyDescent="0.2">
      <c r="A104" s="46" t="str">
        <f>'Income Distribution'!A99</f>
        <v>Los Altos</v>
      </c>
      <c r="B104" s="170">
        <f>'Income Distribution'!N99</f>
        <v>167.93887312500004</v>
      </c>
      <c r="C104" s="170">
        <f>'Income Distribution'!O99</f>
        <v>99.26359687499999</v>
      </c>
      <c r="D104" s="170">
        <f>'Income Distribution'!P99</f>
        <v>112.4029695</v>
      </c>
      <c r="E104" s="170">
        <f>'Income Distribution'!Q99</f>
        <v>96.285302625</v>
      </c>
      <c r="F104" s="182">
        <f>'Income Distribution'!R99</f>
        <v>475.89074212500003</v>
      </c>
      <c r="G104" s="171">
        <f>'RHNA Model'!AN102</f>
        <v>317</v>
      </c>
      <c r="H104" s="171">
        <v>261</v>
      </c>
    </row>
    <row r="105" spans="1:8" x14ac:dyDescent="0.2">
      <c r="A105" s="46" t="str">
        <f>'Income Distribution'!A100</f>
        <v>Los Altos Hills</v>
      </c>
      <c r="B105" s="170">
        <f>'Income Distribution'!N100</f>
        <v>45.645575625000006</v>
      </c>
      <c r="C105" s="170">
        <f>'Income Distribution'!O100</f>
        <v>28.006509375</v>
      </c>
      <c r="D105" s="170">
        <f>'Income Distribution'!P100</f>
        <v>31.546138500000001</v>
      </c>
      <c r="E105" s="170">
        <f>'Income Distribution'!Q100</f>
        <v>16.310494124999995</v>
      </c>
      <c r="F105" s="182">
        <f>'Income Distribution'!R100</f>
        <v>121.50871762499999</v>
      </c>
      <c r="G105" s="171">
        <f>'RHNA Model'!AN103</f>
        <v>81</v>
      </c>
      <c r="H105" s="171">
        <v>83</v>
      </c>
    </row>
    <row r="106" spans="1:8" x14ac:dyDescent="0.2">
      <c r="A106" s="46" t="str">
        <f>'Income Distribution'!A101</f>
        <v>Los Gatos</v>
      </c>
      <c r="B106" s="170">
        <f>'Income Distribution'!N101</f>
        <v>200.38856999078598</v>
      </c>
      <c r="C106" s="170">
        <f>'Income Distribution'!O101</f>
        <v>111.71357851107329</v>
      </c>
      <c r="D106" s="170">
        <f>'Income Distribution'!P101</f>
        <v>132.00817979575268</v>
      </c>
      <c r="E106" s="170">
        <f>'Income Distribution'!Q101</f>
        <v>173.11473415372041</v>
      </c>
      <c r="F106" s="182">
        <f>'Income Distribution'!R101</f>
        <v>617.22506245133241</v>
      </c>
      <c r="G106" s="171">
        <f>'RHNA Model'!AN104</f>
        <v>562</v>
      </c>
      <c r="H106" s="171">
        <v>402</v>
      </c>
    </row>
    <row r="107" spans="1:8" x14ac:dyDescent="0.2">
      <c r="A107" s="46" t="str">
        <f>'Income Distribution'!A102</f>
        <v>Milpitas</v>
      </c>
      <c r="B107" s="170">
        <f>'Income Distribution'!N102</f>
        <v>999.88354463113444</v>
      </c>
      <c r="C107" s="170">
        <f>'Income Distribution'!O102</f>
        <v>568.46422611182845</v>
      </c>
      <c r="D107" s="170">
        <f>'Income Distribution'!P102</f>
        <v>563.16557681429981</v>
      </c>
      <c r="E107" s="170">
        <f>'Income Distribution'!Q102</f>
        <v>1142.5973271329469</v>
      </c>
      <c r="F107" s="182">
        <f>'Income Distribution'!R102</f>
        <v>3274.1106746902096</v>
      </c>
      <c r="G107" s="171">
        <f>'RHNA Model'!AN105</f>
        <v>2487</v>
      </c>
      <c r="H107" s="171">
        <v>4348</v>
      </c>
    </row>
    <row r="108" spans="1:8" x14ac:dyDescent="0.2">
      <c r="A108" s="46" t="str">
        <f>'Income Distribution'!A103</f>
        <v>Monte Sereno</v>
      </c>
      <c r="B108" s="170">
        <f>'Income Distribution'!N103</f>
        <v>23.196800625000002</v>
      </c>
      <c r="C108" s="170">
        <f>'Income Distribution'!O103</f>
        <v>12.884634375000001</v>
      </c>
      <c r="D108" s="170">
        <f>'Income Distribution'!P103</f>
        <v>12.877423499999999</v>
      </c>
      <c r="E108" s="170">
        <f>'Income Distribution'!Q103</f>
        <v>12.545554125000001</v>
      </c>
      <c r="F108" s="182">
        <f>'Income Distribution'!R103</f>
        <v>61.504412625000001</v>
      </c>
      <c r="G108" s="171">
        <f>'RHNA Model'!AN106</f>
        <v>41</v>
      </c>
      <c r="H108" s="171">
        <v>76</v>
      </c>
    </row>
    <row r="109" spans="1:8" x14ac:dyDescent="0.2">
      <c r="A109" s="46" t="str">
        <f>'Income Distribution'!A104</f>
        <v>Morgan Hill</v>
      </c>
      <c r="B109" s="170">
        <f>'Income Distribution'!N104</f>
        <v>272.17882582201599</v>
      </c>
      <c r="C109" s="170">
        <f>'Income Distribution'!O104</f>
        <v>152.63567157927613</v>
      </c>
      <c r="D109" s="170">
        <f>'Income Distribution'!P104</f>
        <v>184.39261957363257</v>
      </c>
      <c r="E109" s="170">
        <f>'Income Distribution'!Q104</f>
        <v>314.48940396580815</v>
      </c>
      <c r="F109" s="182">
        <f>'Income Distribution'!R104</f>
        <v>923.69652094073285</v>
      </c>
      <c r="G109" s="171">
        <f>'RHNA Model'!AN107</f>
        <v>1312</v>
      </c>
      <c r="H109" s="171">
        <v>2484</v>
      </c>
    </row>
    <row r="110" spans="1:8" x14ac:dyDescent="0.2">
      <c r="A110" s="46" t="str">
        <f>'Income Distribution'!A105</f>
        <v>Mountain View</v>
      </c>
      <c r="B110" s="170">
        <f>'Income Distribution'!N105</f>
        <v>810.42866005394615</v>
      </c>
      <c r="C110" s="170">
        <f>'Income Distribution'!O105</f>
        <v>490.17847819364619</v>
      </c>
      <c r="D110" s="170">
        <f>'Income Distribution'!P105</f>
        <v>524.79632039419187</v>
      </c>
      <c r="E110" s="170">
        <f>'Income Distribution'!Q105</f>
        <v>1088.0909791544741</v>
      </c>
      <c r="F110" s="182">
        <f>'Income Distribution'!R105</f>
        <v>2913.4944377962584</v>
      </c>
      <c r="G110" s="171">
        <f>'RHNA Model'!AN108</f>
        <v>2599</v>
      </c>
      <c r="H110" s="171">
        <v>3423</v>
      </c>
    </row>
    <row r="111" spans="1:8" x14ac:dyDescent="0.2">
      <c r="A111" s="46" t="str">
        <f>'Income Distribution'!A106</f>
        <v>Palo Alto</v>
      </c>
      <c r="B111" s="170">
        <f>'Income Distribution'!N106</f>
        <v>687.90323227222643</v>
      </c>
      <c r="C111" s="170">
        <f>'Income Distribution'!O106</f>
        <v>430.38385019490676</v>
      </c>
      <c r="D111" s="170">
        <f>'Income Distribution'!P106</f>
        <v>475.8892372277611</v>
      </c>
      <c r="E111" s="170">
        <f>'Income Distribution'!Q106</f>
        <v>586.70412395589869</v>
      </c>
      <c r="F111" s="182">
        <f>'Income Distribution'!R106</f>
        <v>2180.8804436507926</v>
      </c>
      <c r="G111" s="171">
        <f>'RHNA Model'!AN109</f>
        <v>2860</v>
      </c>
      <c r="H111" s="171">
        <v>1397</v>
      </c>
    </row>
    <row r="112" spans="1:8" x14ac:dyDescent="0.2">
      <c r="A112" s="46" t="str">
        <f>'Income Distribution'!A107</f>
        <v>San Jose</v>
      </c>
      <c r="B112" s="170">
        <f>'Income Distribution'!N107</f>
        <v>9192.7688189899018</v>
      </c>
      <c r="C112" s="170">
        <f>'Income Distribution'!O107</f>
        <v>5405.4949423883718</v>
      </c>
      <c r="D112" s="170">
        <f>'Income Distribution'!P107</f>
        <v>6161.1072082254686</v>
      </c>
      <c r="E112" s="170">
        <f>'Income Distribution'!Q107</f>
        <v>14172.224921680057</v>
      </c>
      <c r="F112" s="182">
        <f>'Income Distribution'!R107</f>
        <v>34931.595891283796</v>
      </c>
      <c r="G112" s="171">
        <f>'RHNA Model'!AN110</f>
        <v>34721</v>
      </c>
      <c r="H112" s="171">
        <v>26114</v>
      </c>
    </row>
    <row r="113" spans="1:8" x14ac:dyDescent="0.2">
      <c r="A113" s="46" t="str">
        <f>'Income Distribution'!A108</f>
        <v>Santa Clara</v>
      </c>
      <c r="B113" s="170">
        <f>'Income Distribution'!N108</f>
        <v>1045.0805152564294</v>
      </c>
      <c r="C113" s="170">
        <f>'Income Distribution'!O108</f>
        <v>691.83151288782858</v>
      </c>
      <c r="D113" s="170">
        <f>'Income Distribution'!P108</f>
        <v>752.48527643663067</v>
      </c>
      <c r="E113" s="170">
        <f>'Income Distribution'!Q108</f>
        <v>1586.3357055373151</v>
      </c>
      <c r="F113" s="182">
        <f>'Income Distribution'!R108</f>
        <v>4075.7330101182033</v>
      </c>
      <c r="G113" s="171">
        <f>'RHNA Model'!AN111</f>
        <v>5873</v>
      </c>
      <c r="H113" s="171">
        <v>6339</v>
      </c>
    </row>
    <row r="114" spans="1:8" x14ac:dyDescent="0.2">
      <c r="A114" s="46" t="str">
        <f>'Income Distribution'!A109</f>
        <v>Saratoga</v>
      </c>
      <c r="B114" s="170">
        <f>'Income Distribution'!N109</f>
        <v>146.81048250000001</v>
      </c>
      <c r="C114" s="170">
        <f>'Income Distribution'!O109</f>
        <v>95.048737499999987</v>
      </c>
      <c r="D114" s="170">
        <f>'Income Distribution'!P109</f>
        <v>104.195382</v>
      </c>
      <c r="E114" s="170">
        <f>'Income Distribution'!Q109</f>
        <v>91.976824500000006</v>
      </c>
      <c r="F114" s="182">
        <f>'Income Distribution'!R109</f>
        <v>438.03142650000001</v>
      </c>
      <c r="G114" s="171">
        <f>'RHNA Model'!AN112</f>
        <v>292</v>
      </c>
      <c r="H114" s="171">
        <v>539</v>
      </c>
    </row>
    <row r="115" spans="1:8" x14ac:dyDescent="0.2">
      <c r="A115" s="46" t="str">
        <f>'Income Distribution'!A110</f>
        <v>Sunnyvale</v>
      </c>
      <c r="B115" s="170">
        <f>'Income Distribution'!N110</f>
        <v>1779.6684854398547</v>
      </c>
      <c r="C115" s="170">
        <f>'Income Distribution'!O110</f>
        <v>992.44950895388081</v>
      </c>
      <c r="D115" s="170">
        <f>'Income Distribution'!P110</f>
        <v>1027.6188616065579</v>
      </c>
      <c r="E115" s="170">
        <f>'Income Distribution'!Q110</f>
        <v>2179.0785030970201</v>
      </c>
      <c r="F115" s="182">
        <f>'Income Distribution'!R110</f>
        <v>5978.8153590973134</v>
      </c>
      <c r="G115" s="171">
        <f>'RHNA Model'!AN113</f>
        <v>4426</v>
      </c>
      <c r="H115" s="171">
        <v>3836</v>
      </c>
    </row>
    <row r="116" spans="1:8" x14ac:dyDescent="0.2">
      <c r="A116" s="46" t="str">
        <f>'Income Distribution'!A111</f>
        <v>Santa Clara County Unincorporated</v>
      </c>
      <c r="B116" s="170">
        <f>'Income Distribution'!N111</f>
        <v>21.533828502002475</v>
      </c>
      <c r="C116" s="170">
        <f>'Income Distribution'!O111</f>
        <v>12.598343165305758</v>
      </c>
      <c r="D116" s="170">
        <f>'Income Distribution'!P111</f>
        <v>14.140164788261178</v>
      </c>
      <c r="E116" s="170">
        <f>'Income Distribution'!Q111</f>
        <v>28.315921415653548</v>
      </c>
      <c r="F116" s="182">
        <f>'Income Distribution'!R111</f>
        <v>76.588257871222964</v>
      </c>
      <c r="G116" s="171">
        <f>'RHNA Model'!AN114</f>
        <v>1090</v>
      </c>
      <c r="H116" s="171">
        <v>1446</v>
      </c>
    </row>
    <row r="117" spans="1:8" x14ac:dyDescent="0.2">
      <c r="B117" s="172">
        <f t="shared" ref="B117:H117" si="6">SUM(B101:B116)</f>
        <v>16235.13260897243</v>
      </c>
      <c r="C117" s="172">
        <f t="shared" si="6"/>
        <v>9593.1494909080611</v>
      </c>
      <c r="D117" s="172">
        <f t="shared" si="6"/>
        <v>10692.351230422093</v>
      </c>
      <c r="E117" s="172">
        <f t="shared" si="6"/>
        <v>22619.339097542666</v>
      </c>
      <c r="F117" s="183">
        <f t="shared" si="6"/>
        <v>59139.972427845249</v>
      </c>
      <c r="G117" s="173">
        <f t="shared" si="6"/>
        <v>60338</v>
      </c>
      <c r="H117" s="173">
        <f t="shared" si="6"/>
        <v>57991</v>
      </c>
    </row>
    <row r="118" spans="1:8" x14ac:dyDescent="0.2">
      <c r="B118" s="172"/>
      <c r="C118" s="172"/>
      <c r="D118" s="172"/>
      <c r="E118" s="172"/>
      <c r="F118" s="183"/>
      <c r="G118" s="173"/>
      <c r="H118" s="173"/>
    </row>
    <row r="119" spans="1:8" ht="15.75" x14ac:dyDescent="0.25">
      <c r="A119" s="169" t="s">
        <v>121</v>
      </c>
      <c r="B119" s="170"/>
      <c r="C119" s="170"/>
      <c r="D119" s="170"/>
      <c r="E119" s="170"/>
      <c r="F119" s="182"/>
      <c r="G119" s="171"/>
      <c r="H119" s="171"/>
    </row>
    <row r="120" spans="1:8" x14ac:dyDescent="0.2">
      <c r="A120" s="46" t="str">
        <f>'Income Distribution'!A114</f>
        <v>Benicia</v>
      </c>
      <c r="B120" s="170">
        <f>'Income Distribution'!N114</f>
        <v>93.879280713539288</v>
      </c>
      <c r="C120" s="170">
        <f>'Income Distribution'!O114</f>
        <v>54.266814692516476</v>
      </c>
      <c r="D120" s="170">
        <f>'Income Distribution'!P114</f>
        <v>56.189863397805603</v>
      </c>
      <c r="E120" s="170">
        <f>'Income Distribution'!Q114</f>
        <v>122.33853824339609</v>
      </c>
      <c r="F120" s="182">
        <f>'Income Distribution'!R114</f>
        <v>326.67449704725743</v>
      </c>
      <c r="G120" s="171">
        <f>'RHNA Model'!AN117</f>
        <v>532</v>
      </c>
      <c r="H120" s="171">
        <v>413</v>
      </c>
    </row>
    <row r="121" spans="1:8" x14ac:dyDescent="0.2">
      <c r="A121" s="46" t="str">
        <f>'Income Distribution'!A115</f>
        <v>Dixon</v>
      </c>
      <c r="B121" s="170">
        <f>'Income Distribution'!N115</f>
        <v>50.089205157735314</v>
      </c>
      <c r="C121" s="170">
        <f>'Income Distribution'!O115</f>
        <v>23.549786616499301</v>
      </c>
      <c r="D121" s="170">
        <f>'Income Distribution'!P115</f>
        <v>29.881835408100727</v>
      </c>
      <c r="E121" s="170">
        <f>'Income Distribution'!Q115</f>
        <v>93.700143717943178</v>
      </c>
      <c r="F121" s="182">
        <f>'Income Distribution'!R115</f>
        <v>197.22097090027853</v>
      </c>
      <c r="G121" s="171">
        <f>'RHNA Model'!AN118</f>
        <v>728</v>
      </c>
      <c r="H121" s="171">
        <v>1464</v>
      </c>
    </row>
    <row r="122" spans="1:8" x14ac:dyDescent="0.2">
      <c r="A122" s="46" t="str">
        <f>'Income Distribution'!A116</f>
        <v>Fairfield</v>
      </c>
      <c r="B122" s="170">
        <f>'Income Distribution'!N116</f>
        <v>860.93742300062536</v>
      </c>
      <c r="C122" s="170">
        <f>'Income Distribution'!O116</f>
        <v>451.11014722990291</v>
      </c>
      <c r="D122" s="170">
        <f>'Income Distribution'!P116</f>
        <v>513.52175197145732</v>
      </c>
      <c r="E122" s="170">
        <f>'Income Distribution'!Q116</f>
        <v>1664.726229332015</v>
      </c>
      <c r="F122" s="182">
        <f>'Income Distribution'!R116</f>
        <v>3490.2955515340004</v>
      </c>
      <c r="G122" s="171">
        <f>'RHNA Model'!AN119</f>
        <v>3796</v>
      </c>
      <c r="H122" s="171">
        <v>3812</v>
      </c>
    </row>
    <row r="123" spans="1:8" x14ac:dyDescent="0.2">
      <c r="A123" s="46" t="str">
        <f>'Income Distribution'!A117</f>
        <v>Rio Vista</v>
      </c>
      <c r="B123" s="170">
        <f>'Income Distribution'!N117</f>
        <v>15.1964067873493</v>
      </c>
      <c r="C123" s="170">
        <f>'Income Distribution'!O117</f>
        <v>11.725802698551743</v>
      </c>
      <c r="D123" s="170">
        <f>'Income Distribution'!P117</f>
        <v>15.887521785233748</v>
      </c>
      <c r="E123" s="170">
        <f>'Income Distribution'!Q117</f>
        <v>56.563344518455722</v>
      </c>
      <c r="F123" s="182">
        <f>'Income Distribution'!R117</f>
        <v>99.373075789590516</v>
      </c>
      <c r="G123" s="171">
        <f>'RHNA Model'!AN120</f>
        <v>1219</v>
      </c>
      <c r="H123" s="171">
        <v>1391</v>
      </c>
    </row>
    <row r="124" spans="1:8" x14ac:dyDescent="0.2">
      <c r="A124" s="46" t="str">
        <f>'Income Distribution'!A118</f>
        <v>Suisun City</v>
      </c>
      <c r="B124" s="170">
        <f>'Income Distribution'!N118</f>
        <v>104.65197846294438</v>
      </c>
      <c r="C124" s="170">
        <f>'Income Distribution'!O118</f>
        <v>39.777136210310758</v>
      </c>
      <c r="D124" s="170">
        <f>'Income Distribution'!P118</f>
        <v>42.398995725799153</v>
      </c>
      <c r="E124" s="170">
        <f>'Income Distribution'!Q118</f>
        <v>168.59690447280849</v>
      </c>
      <c r="F124" s="182">
        <f>'Income Distribution'!R118</f>
        <v>355.4250148718628</v>
      </c>
      <c r="G124" s="171">
        <f>'RHNA Model'!AN121</f>
        <v>610</v>
      </c>
      <c r="H124" s="171">
        <v>1004</v>
      </c>
    </row>
    <row r="125" spans="1:8" x14ac:dyDescent="0.2">
      <c r="A125" s="46" t="str">
        <f>'Income Distribution'!A119</f>
        <v>Vacaville</v>
      </c>
      <c r="B125" s="170">
        <f>'Income Distribution'!N119</f>
        <v>286.21877657245449</v>
      </c>
      <c r="C125" s="170">
        <f>'Income Distribution'!O119</f>
        <v>134.47661453807225</v>
      </c>
      <c r="D125" s="170">
        <f>'Income Distribution'!P119</f>
        <v>173.38909467771049</v>
      </c>
      <c r="E125" s="170">
        <f>'Income Distribution'!Q119</f>
        <v>489.61416467705635</v>
      </c>
      <c r="F125" s="182">
        <f>'Income Distribution'!R119</f>
        <v>1083.6986504652937</v>
      </c>
      <c r="G125" s="171">
        <f>'RHNA Model'!AN122</f>
        <v>2901</v>
      </c>
      <c r="H125" s="171">
        <v>4636</v>
      </c>
    </row>
    <row r="126" spans="1:8" x14ac:dyDescent="0.2">
      <c r="A126" s="46" t="str">
        <f>'Income Distribution'!A120</f>
        <v>Vallejo</v>
      </c>
      <c r="B126" s="170">
        <f>'Income Distribution'!N120</f>
        <v>282.85323218652576</v>
      </c>
      <c r="C126" s="170">
        <f>'Income Distribution'!O120</f>
        <v>178.0824351500269</v>
      </c>
      <c r="D126" s="170">
        <f>'Income Distribution'!P120</f>
        <v>210.60935664004597</v>
      </c>
      <c r="E126" s="170">
        <f>'Income Distribution'!Q120</f>
        <v>690.49474517209546</v>
      </c>
      <c r="F126" s="182">
        <f>'Income Distribution'!R120</f>
        <v>1362.0397691486942</v>
      </c>
      <c r="G126" s="171">
        <f>'RHNA Model'!AN123</f>
        <v>3100</v>
      </c>
      <c r="H126" s="171">
        <v>3242</v>
      </c>
    </row>
    <row r="127" spans="1:8" x14ac:dyDescent="0.2">
      <c r="A127" s="46" t="str">
        <f>'Income Distribution'!A121</f>
        <v>Solano County Unincorporated</v>
      </c>
      <c r="B127" s="170">
        <f>'Income Distribution'!N121</f>
        <v>16.060223449537872</v>
      </c>
      <c r="C127" s="170">
        <f>'Income Distribution'!O121</f>
        <v>8.752812777060262</v>
      </c>
      <c r="D127" s="170">
        <f>'Income Distribution'!P121</f>
        <v>11.5168086490646</v>
      </c>
      <c r="E127" s="170">
        <f>'Income Distribution'!Q121</f>
        <v>26.303781823515415</v>
      </c>
      <c r="F127" s="182">
        <f>'Income Distribution'!R121</f>
        <v>62.633626699178151</v>
      </c>
      <c r="G127" s="171">
        <f>'RHNA Model'!AN124</f>
        <v>99</v>
      </c>
      <c r="H127" s="171">
        <v>2719</v>
      </c>
    </row>
    <row r="128" spans="1:8" x14ac:dyDescent="0.2">
      <c r="B128" s="172">
        <f t="shared" ref="B128:H128" si="7">SUM(B120:B127)</f>
        <v>1709.8865263307118</v>
      </c>
      <c r="C128" s="172">
        <f t="shared" si="7"/>
        <v>901.74154991294063</v>
      </c>
      <c r="D128" s="172">
        <f t="shared" si="7"/>
        <v>1053.3952282552175</v>
      </c>
      <c r="E128" s="172">
        <f t="shared" si="7"/>
        <v>3312.3378519572852</v>
      </c>
      <c r="F128" s="183">
        <f t="shared" si="7"/>
        <v>6977.3611564561561</v>
      </c>
      <c r="G128" s="173">
        <f t="shared" si="7"/>
        <v>12985</v>
      </c>
      <c r="H128" s="173">
        <f t="shared" si="7"/>
        <v>18681</v>
      </c>
    </row>
    <row r="129" spans="1:8" x14ac:dyDescent="0.2">
      <c r="B129" s="170"/>
      <c r="C129" s="170"/>
      <c r="D129" s="170"/>
      <c r="E129" s="170"/>
      <c r="F129" s="182"/>
      <c r="G129" s="171"/>
      <c r="H129" s="171"/>
    </row>
    <row r="130" spans="1:8" ht="15.75" x14ac:dyDescent="0.25">
      <c r="A130" s="169" t="s">
        <v>117</v>
      </c>
      <c r="B130" s="170"/>
      <c r="C130" s="170"/>
      <c r="D130" s="170"/>
      <c r="E130" s="170"/>
      <c r="F130" s="182"/>
      <c r="G130" s="171"/>
      <c r="H130" s="171"/>
    </row>
    <row r="131" spans="1:8" x14ac:dyDescent="0.2">
      <c r="A131" s="46" t="str">
        <f>'Income Distribution'!A124</f>
        <v>Cloverdale</v>
      </c>
      <c r="B131" s="170">
        <f>'Income Distribution'!N124</f>
        <v>39.280250730021848</v>
      </c>
      <c r="C131" s="170">
        <f>'Income Distribution'!O124</f>
        <v>28.93278058183996</v>
      </c>
      <c r="D131" s="170">
        <f>'Income Distribution'!P124</f>
        <v>31.433037831665761</v>
      </c>
      <c r="E131" s="170">
        <f>'Income Distribution'!Q124</f>
        <v>110.62187812003556</v>
      </c>
      <c r="F131" s="182">
        <f>'Income Distribution'!R124</f>
        <v>210.26794726356314</v>
      </c>
      <c r="G131" s="171">
        <f>'RHNA Model'!AN127</f>
        <v>417</v>
      </c>
      <c r="H131" s="171">
        <v>423</v>
      </c>
    </row>
    <row r="132" spans="1:8" x14ac:dyDescent="0.2">
      <c r="A132" s="46" t="str">
        <f>'Income Distribution'!A125</f>
        <v>Cotati</v>
      </c>
      <c r="B132" s="170">
        <f>'Income Distribution'!N125</f>
        <v>34.566542876336321</v>
      </c>
      <c r="C132" s="170">
        <f>'Income Distribution'!O125</f>
        <v>18.194942268530156</v>
      </c>
      <c r="D132" s="170">
        <f>'Income Distribution'!P125</f>
        <v>18.281500980774226</v>
      </c>
      <c r="E132" s="170">
        <f>'Income Distribution'!Q125</f>
        <v>65.764477851713181</v>
      </c>
      <c r="F132" s="182">
        <f>'Income Distribution'!R125</f>
        <v>136.8074639773539</v>
      </c>
      <c r="G132" s="171">
        <f>'RHNA Model'!AN128</f>
        <v>257</v>
      </c>
      <c r="H132" s="171">
        <v>567</v>
      </c>
    </row>
    <row r="133" spans="1:8" x14ac:dyDescent="0.2">
      <c r="A133" s="46" t="str">
        <f>'Income Distribution'!A126</f>
        <v>Healdsburg</v>
      </c>
      <c r="B133" s="170">
        <f>'Income Distribution'!N126</f>
        <v>31.116052728472109</v>
      </c>
      <c r="C133" s="170">
        <f>'Income Distribution'!O126</f>
        <v>24.028363281110931</v>
      </c>
      <c r="D133" s="170">
        <f>'Income Distribution'!P126</f>
        <v>25.765317211992226</v>
      </c>
      <c r="E133" s="170">
        <f>'Income Distribution'!Q126</f>
        <v>75.123462289492295</v>
      </c>
      <c r="F133" s="182">
        <f>'Income Distribution'!R126</f>
        <v>156.03319551106756</v>
      </c>
      <c r="G133" s="171">
        <f>'RHNA Model'!AN129</f>
        <v>331</v>
      </c>
      <c r="H133" s="171">
        <v>573</v>
      </c>
    </row>
    <row r="134" spans="1:8" x14ac:dyDescent="0.2">
      <c r="A134" s="46" t="str">
        <f>'Income Distribution'!A127</f>
        <v>Petaluma</v>
      </c>
      <c r="B134" s="170">
        <f>'Income Distribution'!N127</f>
        <v>198.3816328875476</v>
      </c>
      <c r="C134" s="170">
        <f>'Income Distribution'!O127</f>
        <v>101.90650126219218</v>
      </c>
      <c r="D134" s="170">
        <f>'Income Distribution'!P127</f>
        <v>120.16194324367493</v>
      </c>
      <c r="E134" s="170">
        <f>'Income Distribution'!Q127</f>
        <v>320.70760128415623</v>
      </c>
      <c r="F134" s="182">
        <f>'Income Distribution'!R127</f>
        <v>741.15767867757097</v>
      </c>
      <c r="G134" s="171">
        <f>'RHNA Model'!AN130</f>
        <v>1945</v>
      </c>
      <c r="H134" s="171">
        <v>1144</v>
      </c>
    </row>
    <row r="135" spans="1:8" x14ac:dyDescent="0.2">
      <c r="A135" s="46" t="str">
        <f>'Income Distribution'!A128</f>
        <v>Rohnert Park</v>
      </c>
      <c r="B135" s="170">
        <f>'Income Distribution'!N128</f>
        <v>179.87220660513611</v>
      </c>
      <c r="C135" s="170">
        <f>'Income Distribution'!O128</f>
        <v>106.97980250010285</v>
      </c>
      <c r="D135" s="170">
        <f>'Income Distribution'!P128</f>
        <v>125.67365717849017</v>
      </c>
      <c r="E135" s="170">
        <f>'Income Distribution'!Q128</f>
        <v>482.72021667998399</v>
      </c>
      <c r="F135" s="182">
        <f>'Income Distribution'!R128</f>
        <v>895.24588296371314</v>
      </c>
      <c r="G135" s="171">
        <f>'RHNA Model'!AN131</f>
        <v>1554</v>
      </c>
      <c r="H135" s="171">
        <v>2124</v>
      </c>
    </row>
    <row r="136" spans="1:8" x14ac:dyDescent="0.2">
      <c r="A136" s="46" t="str">
        <f>'Income Distribution'!A129</f>
        <v>Santa Rosa</v>
      </c>
      <c r="B136" s="170">
        <f>'Income Distribution'!N129</f>
        <v>943.16296915344503</v>
      </c>
      <c r="C136" s="170">
        <f>'Income Distribution'!O129</f>
        <v>579.10868940281614</v>
      </c>
      <c r="D136" s="170">
        <f>'Income Distribution'!P129</f>
        <v>756.11791239425145</v>
      </c>
      <c r="E136" s="170">
        <f>'Income Distribution'!Q129</f>
        <v>2360.3833076365618</v>
      </c>
      <c r="F136" s="182">
        <f>'Income Distribution'!R129</f>
        <v>4638.772878587075</v>
      </c>
      <c r="G136" s="171">
        <f>'RHNA Model'!AN132</f>
        <v>6534</v>
      </c>
      <c r="H136" s="171">
        <v>7654</v>
      </c>
    </row>
    <row r="137" spans="1:8" x14ac:dyDescent="0.2">
      <c r="A137" s="46" t="str">
        <f>'Income Distribution'!A130</f>
        <v>Sebastopol</v>
      </c>
      <c r="B137" s="170">
        <f>'Income Distribution'!N130</f>
        <v>22.068411627994095</v>
      </c>
      <c r="C137" s="170">
        <f>'Income Distribution'!O130</f>
        <v>16.722527479839506</v>
      </c>
      <c r="D137" s="170">
        <f>'Income Distribution'!P130</f>
        <v>18.503322226769118</v>
      </c>
      <c r="E137" s="170">
        <f>'Income Distribution'!Q130</f>
        <v>62.369276583638388</v>
      </c>
      <c r="F137" s="182">
        <f>'Income Distribution'!R130</f>
        <v>119.6635379182411</v>
      </c>
      <c r="G137" s="171">
        <f>'RHNA Model'!AN133</f>
        <v>176</v>
      </c>
      <c r="H137" s="171">
        <v>274</v>
      </c>
    </row>
    <row r="138" spans="1:8" x14ac:dyDescent="0.2">
      <c r="A138" s="46" t="str">
        <f>'Income Distribution'!A131</f>
        <v>Sonoma</v>
      </c>
      <c r="B138" s="170">
        <f>'Income Distribution'!N131</f>
        <v>23.989645243288386</v>
      </c>
      <c r="C138" s="170">
        <f>'Income Distribution'!O131</f>
        <v>22.79794798124405</v>
      </c>
      <c r="D138" s="170">
        <f>'Income Distribution'!P131</f>
        <v>27.313797378361652</v>
      </c>
      <c r="E138" s="170">
        <f>'Income Distribution'!Q131</f>
        <v>63.137329463523756</v>
      </c>
      <c r="F138" s="182">
        <f>'Income Distribution'!R131</f>
        <v>137.23872006641784</v>
      </c>
      <c r="G138" s="171">
        <f>'RHNA Model'!AN134</f>
        <v>353</v>
      </c>
      <c r="H138" s="171">
        <v>684</v>
      </c>
    </row>
    <row r="139" spans="1:8" x14ac:dyDescent="0.2">
      <c r="A139" s="46" t="str">
        <f>'Income Distribution'!A132</f>
        <v>Windsor</v>
      </c>
      <c r="B139" s="170">
        <f>'Income Distribution'!N132</f>
        <v>119.54339769530901</v>
      </c>
      <c r="C139" s="170">
        <f>'Income Distribution'!O132</f>
        <v>64.67510443540381</v>
      </c>
      <c r="D139" s="170">
        <f>'Income Distribution'!P132</f>
        <v>66.929413792669251</v>
      </c>
      <c r="E139" s="170">
        <f>'Income Distribution'!Q132</f>
        <v>188.41408027354407</v>
      </c>
      <c r="F139" s="182">
        <f>'Income Distribution'!R132</f>
        <v>439.56199619692615</v>
      </c>
      <c r="G139" s="171">
        <f>'RHNA Model'!AN135</f>
        <v>719</v>
      </c>
      <c r="H139" s="171">
        <v>2071</v>
      </c>
    </row>
    <row r="140" spans="1:8" x14ac:dyDescent="0.2">
      <c r="A140" s="46" t="str">
        <f>'Income Distribution'!A133</f>
        <v>Sonoma County Unincorporated</v>
      </c>
      <c r="B140" s="170">
        <f>'Income Distribution'!N133</f>
        <v>219.37249509818517</v>
      </c>
      <c r="C140" s="170">
        <f>'Income Distribution'!O133</f>
        <v>126.02908903300356</v>
      </c>
      <c r="D140" s="170">
        <f>'Income Distribution'!P133</f>
        <v>158.7650881289733</v>
      </c>
      <c r="E140" s="170">
        <f>'Income Distribution'!Q133</f>
        <v>427.68033384966049</v>
      </c>
      <c r="F140" s="182">
        <f>'Income Distribution'!R133</f>
        <v>931.84700610982259</v>
      </c>
      <c r="G140" s="171">
        <f>'RHNA Model'!AN136</f>
        <v>1364</v>
      </c>
      <c r="H140" s="171">
        <v>6799</v>
      </c>
    </row>
    <row r="141" spans="1:8" x14ac:dyDescent="0.2">
      <c r="B141" s="172">
        <f t="shared" ref="B141:H141" si="8">SUM(B131:B140)</f>
        <v>1811.3536046457357</v>
      </c>
      <c r="C141" s="172">
        <f t="shared" si="8"/>
        <v>1089.3757482260833</v>
      </c>
      <c r="D141" s="172">
        <f t="shared" si="8"/>
        <v>1348.944990367622</v>
      </c>
      <c r="E141" s="172">
        <f t="shared" si="8"/>
        <v>4156.9219640323099</v>
      </c>
      <c r="F141" s="183">
        <f t="shared" si="8"/>
        <v>8406.5963072717514</v>
      </c>
      <c r="G141" s="173">
        <f t="shared" si="8"/>
        <v>13650</v>
      </c>
      <c r="H141" s="173">
        <f t="shared" si="8"/>
        <v>22313</v>
      </c>
    </row>
    <row r="142" spans="1:8" x14ac:dyDescent="0.2">
      <c r="B142" s="170"/>
      <c r="C142" s="170"/>
      <c r="D142" s="170"/>
      <c r="E142" s="170"/>
      <c r="F142" s="182"/>
      <c r="G142" s="171"/>
      <c r="H142" s="171"/>
    </row>
    <row r="143" spans="1:8" ht="15.75" x14ac:dyDescent="0.25">
      <c r="A143" s="169" t="s">
        <v>207</v>
      </c>
      <c r="B143" s="172">
        <f>'Income Distribution'!N136</f>
        <v>46680.029074175174</v>
      </c>
      <c r="C143" s="172">
        <f>'Income Distribution'!O136</f>
        <v>28939.752625595065</v>
      </c>
      <c r="D143" s="172">
        <f>'Income Distribution'!P136</f>
        <v>33420.069947406861</v>
      </c>
      <c r="E143" s="172">
        <f>'Income Distribution'!Q136</f>
        <v>78949.765958090036</v>
      </c>
      <c r="F143" s="183">
        <f>'Income Distribution'!R136-1</f>
        <v>187988.61760526715</v>
      </c>
      <c r="G143" s="173">
        <f>G23+G46+G61+G70+G74+G98+G117+G128+G141</f>
        <v>214500</v>
      </c>
      <c r="H143" s="173">
        <f>H23+H46+H61+H70+H74+H98+H117+H128+H141</f>
        <v>230743</v>
      </c>
    </row>
    <row r="145" spans="1:5" x14ac:dyDescent="0.2">
      <c r="A145" s="177" t="s">
        <v>247</v>
      </c>
      <c r="B145" s="178">
        <v>46680</v>
      </c>
      <c r="C145" s="178">
        <v>28940</v>
      </c>
      <c r="D145" s="178">
        <v>33420</v>
      </c>
      <c r="E145" s="178">
        <v>78950</v>
      </c>
    </row>
    <row r="146" spans="1:5" x14ac:dyDescent="0.2">
      <c r="A146" s="177" t="s">
        <v>248</v>
      </c>
      <c r="B146" s="179">
        <f>B145-B143</f>
        <v>-2.9074175174173433E-2</v>
      </c>
      <c r="C146" s="179">
        <f>C145-C143</f>
        <v>0.24737440493481699</v>
      </c>
      <c r="D146" s="179">
        <f>D145-D143</f>
        <v>-6.9947406860592309E-2</v>
      </c>
      <c r="E146" s="179">
        <f>E145-E143</f>
        <v>0.23404190996370744</v>
      </c>
    </row>
  </sheetData>
  <sheetProtection password="C0C1" sheet="1" objects="1" scenarios="1"/>
  <mergeCells count="5">
    <mergeCell ref="B4:F4"/>
    <mergeCell ref="G4:G5"/>
    <mergeCell ref="H4:H5"/>
    <mergeCell ref="A2:H2"/>
    <mergeCell ref="A3:H3"/>
  </mergeCells>
  <phoneticPr fontId="3" type="noConversion"/>
  <pageMargins left="0.5" right="0.25" top="0.5" bottom="0.25" header="0.5" footer="0.5"/>
  <pageSetup orientation="portrait" r:id="rId1"/>
  <headerFooter alignWithMargins="0">
    <oddFooter>&amp;L&amp;"Calibri,Regular"Note: This draft 2014-2022 RHNA by income category for each jurisdiction is based on the Jobs-Housing Connection Strategy, May 11, 2012. Totals may not add up due to rounding.</oddFooter>
  </headerFooter>
  <rowBreaks count="3" manualBreakCount="3">
    <brk id="46" max="16383" man="1"/>
    <brk id="74" max="16383" man="1"/>
    <brk id="11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/>
  </sheetViews>
  <sheetFormatPr defaultRowHeight="12.75" x14ac:dyDescent="0.2"/>
  <cols>
    <col min="1" max="1" width="30.7109375" style="46" customWidth="1"/>
    <col min="2" max="5" width="12.7109375" style="46" customWidth="1"/>
    <col min="6" max="6" width="15.7109375" style="46" customWidth="1"/>
    <col min="249" max="249" width="30.7109375" customWidth="1"/>
    <col min="250" max="253" width="12.7109375" customWidth="1"/>
    <col min="254" max="254" width="15.7109375" customWidth="1"/>
    <col min="255" max="255" width="30.7109375" customWidth="1"/>
    <col min="256" max="259" width="12.7109375" customWidth="1"/>
    <col min="260" max="260" width="15.7109375" customWidth="1"/>
    <col min="505" max="505" width="30.7109375" customWidth="1"/>
    <col min="506" max="509" width="12.7109375" customWidth="1"/>
    <col min="510" max="510" width="15.7109375" customWidth="1"/>
    <col min="511" max="511" width="30.7109375" customWidth="1"/>
    <col min="512" max="515" width="12.7109375" customWidth="1"/>
    <col min="516" max="516" width="15.7109375" customWidth="1"/>
    <col min="761" max="761" width="30.7109375" customWidth="1"/>
    <col min="762" max="765" width="12.7109375" customWidth="1"/>
    <col min="766" max="766" width="15.7109375" customWidth="1"/>
    <col min="767" max="767" width="30.7109375" customWidth="1"/>
    <col min="768" max="771" width="12.7109375" customWidth="1"/>
    <col min="772" max="772" width="15.7109375" customWidth="1"/>
    <col min="1017" max="1017" width="30.7109375" customWidth="1"/>
    <col min="1018" max="1021" width="12.7109375" customWidth="1"/>
    <col min="1022" max="1022" width="15.7109375" customWidth="1"/>
    <col min="1023" max="1023" width="30.7109375" customWidth="1"/>
    <col min="1024" max="1027" width="12.7109375" customWidth="1"/>
    <col min="1028" max="1028" width="15.7109375" customWidth="1"/>
    <col min="1273" max="1273" width="30.7109375" customWidth="1"/>
    <col min="1274" max="1277" width="12.7109375" customWidth="1"/>
    <col min="1278" max="1278" width="15.7109375" customWidth="1"/>
    <col min="1279" max="1279" width="30.7109375" customWidth="1"/>
    <col min="1280" max="1283" width="12.7109375" customWidth="1"/>
    <col min="1284" max="1284" width="15.7109375" customWidth="1"/>
    <col min="1529" max="1529" width="30.7109375" customWidth="1"/>
    <col min="1530" max="1533" width="12.7109375" customWidth="1"/>
    <col min="1534" max="1534" width="15.7109375" customWidth="1"/>
    <col min="1535" max="1535" width="30.7109375" customWidth="1"/>
    <col min="1536" max="1539" width="12.7109375" customWidth="1"/>
    <col min="1540" max="1540" width="15.7109375" customWidth="1"/>
    <col min="1785" max="1785" width="30.7109375" customWidth="1"/>
    <col min="1786" max="1789" width="12.7109375" customWidth="1"/>
    <col min="1790" max="1790" width="15.7109375" customWidth="1"/>
    <col min="1791" max="1791" width="30.7109375" customWidth="1"/>
    <col min="1792" max="1795" width="12.7109375" customWidth="1"/>
    <col min="1796" max="1796" width="15.7109375" customWidth="1"/>
    <col min="2041" max="2041" width="30.7109375" customWidth="1"/>
    <col min="2042" max="2045" width="12.7109375" customWidth="1"/>
    <col min="2046" max="2046" width="15.7109375" customWidth="1"/>
    <col min="2047" max="2047" width="30.7109375" customWidth="1"/>
    <col min="2048" max="2051" width="12.7109375" customWidth="1"/>
    <col min="2052" max="2052" width="15.7109375" customWidth="1"/>
    <col min="2297" max="2297" width="30.7109375" customWidth="1"/>
    <col min="2298" max="2301" width="12.7109375" customWidth="1"/>
    <col min="2302" max="2302" width="15.7109375" customWidth="1"/>
    <col min="2303" max="2303" width="30.7109375" customWidth="1"/>
    <col min="2304" max="2307" width="12.7109375" customWidth="1"/>
    <col min="2308" max="2308" width="15.7109375" customWidth="1"/>
    <col min="2553" max="2553" width="30.7109375" customWidth="1"/>
    <col min="2554" max="2557" width="12.7109375" customWidth="1"/>
    <col min="2558" max="2558" width="15.7109375" customWidth="1"/>
    <col min="2559" max="2559" width="30.7109375" customWidth="1"/>
    <col min="2560" max="2563" width="12.7109375" customWidth="1"/>
    <col min="2564" max="2564" width="15.7109375" customWidth="1"/>
    <col min="2809" max="2809" width="30.7109375" customWidth="1"/>
    <col min="2810" max="2813" width="12.7109375" customWidth="1"/>
    <col min="2814" max="2814" width="15.7109375" customWidth="1"/>
    <col min="2815" max="2815" width="30.7109375" customWidth="1"/>
    <col min="2816" max="2819" width="12.7109375" customWidth="1"/>
    <col min="2820" max="2820" width="15.7109375" customWidth="1"/>
    <col min="3065" max="3065" width="30.7109375" customWidth="1"/>
    <col min="3066" max="3069" width="12.7109375" customWidth="1"/>
    <col min="3070" max="3070" width="15.7109375" customWidth="1"/>
    <col min="3071" max="3071" width="30.7109375" customWidth="1"/>
    <col min="3072" max="3075" width="12.7109375" customWidth="1"/>
    <col min="3076" max="3076" width="15.7109375" customWidth="1"/>
    <col min="3321" max="3321" width="30.7109375" customWidth="1"/>
    <col min="3322" max="3325" width="12.7109375" customWidth="1"/>
    <col min="3326" max="3326" width="15.7109375" customWidth="1"/>
    <col min="3327" max="3327" width="30.7109375" customWidth="1"/>
    <col min="3328" max="3331" width="12.7109375" customWidth="1"/>
    <col min="3332" max="3332" width="15.7109375" customWidth="1"/>
    <col min="3577" max="3577" width="30.7109375" customWidth="1"/>
    <col min="3578" max="3581" width="12.7109375" customWidth="1"/>
    <col min="3582" max="3582" width="15.7109375" customWidth="1"/>
    <col min="3583" max="3583" width="30.7109375" customWidth="1"/>
    <col min="3584" max="3587" width="12.7109375" customWidth="1"/>
    <col min="3588" max="3588" width="15.7109375" customWidth="1"/>
    <col min="3833" max="3833" width="30.7109375" customWidth="1"/>
    <col min="3834" max="3837" width="12.7109375" customWidth="1"/>
    <col min="3838" max="3838" width="15.7109375" customWidth="1"/>
    <col min="3839" max="3839" width="30.7109375" customWidth="1"/>
    <col min="3840" max="3843" width="12.7109375" customWidth="1"/>
    <col min="3844" max="3844" width="15.7109375" customWidth="1"/>
    <col min="4089" max="4089" width="30.7109375" customWidth="1"/>
    <col min="4090" max="4093" width="12.7109375" customWidth="1"/>
    <col min="4094" max="4094" width="15.7109375" customWidth="1"/>
    <col min="4095" max="4095" width="30.7109375" customWidth="1"/>
    <col min="4096" max="4099" width="12.7109375" customWidth="1"/>
    <col min="4100" max="4100" width="15.7109375" customWidth="1"/>
    <col min="4345" max="4345" width="30.7109375" customWidth="1"/>
    <col min="4346" max="4349" width="12.7109375" customWidth="1"/>
    <col min="4350" max="4350" width="15.7109375" customWidth="1"/>
    <col min="4351" max="4351" width="30.7109375" customWidth="1"/>
    <col min="4352" max="4355" width="12.7109375" customWidth="1"/>
    <col min="4356" max="4356" width="15.7109375" customWidth="1"/>
    <col min="4601" max="4601" width="30.7109375" customWidth="1"/>
    <col min="4602" max="4605" width="12.7109375" customWidth="1"/>
    <col min="4606" max="4606" width="15.7109375" customWidth="1"/>
    <col min="4607" max="4607" width="30.7109375" customWidth="1"/>
    <col min="4608" max="4611" width="12.7109375" customWidth="1"/>
    <col min="4612" max="4612" width="15.7109375" customWidth="1"/>
    <col min="4857" max="4857" width="30.7109375" customWidth="1"/>
    <col min="4858" max="4861" width="12.7109375" customWidth="1"/>
    <col min="4862" max="4862" width="15.7109375" customWidth="1"/>
    <col min="4863" max="4863" width="30.7109375" customWidth="1"/>
    <col min="4864" max="4867" width="12.7109375" customWidth="1"/>
    <col min="4868" max="4868" width="15.7109375" customWidth="1"/>
    <col min="5113" max="5113" width="30.7109375" customWidth="1"/>
    <col min="5114" max="5117" width="12.7109375" customWidth="1"/>
    <col min="5118" max="5118" width="15.7109375" customWidth="1"/>
    <col min="5119" max="5119" width="30.7109375" customWidth="1"/>
    <col min="5120" max="5123" width="12.7109375" customWidth="1"/>
    <col min="5124" max="5124" width="15.7109375" customWidth="1"/>
    <col min="5369" max="5369" width="30.7109375" customWidth="1"/>
    <col min="5370" max="5373" width="12.7109375" customWidth="1"/>
    <col min="5374" max="5374" width="15.7109375" customWidth="1"/>
    <col min="5375" max="5375" width="30.7109375" customWidth="1"/>
    <col min="5376" max="5379" width="12.7109375" customWidth="1"/>
    <col min="5380" max="5380" width="15.7109375" customWidth="1"/>
    <col min="5625" max="5625" width="30.7109375" customWidth="1"/>
    <col min="5626" max="5629" width="12.7109375" customWidth="1"/>
    <col min="5630" max="5630" width="15.7109375" customWidth="1"/>
    <col min="5631" max="5631" width="30.7109375" customWidth="1"/>
    <col min="5632" max="5635" width="12.7109375" customWidth="1"/>
    <col min="5636" max="5636" width="15.7109375" customWidth="1"/>
    <col min="5881" max="5881" width="30.7109375" customWidth="1"/>
    <col min="5882" max="5885" width="12.7109375" customWidth="1"/>
    <col min="5886" max="5886" width="15.7109375" customWidth="1"/>
    <col min="5887" max="5887" width="30.7109375" customWidth="1"/>
    <col min="5888" max="5891" width="12.7109375" customWidth="1"/>
    <col min="5892" max="5892" width="15.7109375" customWidth="1"/>
    <col min="6137" max="6137" width="30.7109375" customWidth="1"/>
    <col min="6138" max="6141" width="12.7109375" customWidth="1"/>
    <col min="6142" max="6142" width="15.7109375" customWidth="1"/>
    <col min="6143" max="6143" width="30.7109375" customWidth="1"/>
    <col min="6144" max="6147" width="12.7109375" customWidth="1"/>
    <col min="6148" max="6148" width="15.7109375" customWidth="1"/>
    <col min="6393" max="6393" width="30.7109375" customWidth="1"/>
    <col min="6394" max="6397" width="12.7109375" customWidth="1"/>
    <col min="6398" max="6398" width="15.7109375" customWidth="1"/>
    <col min="6399" max="6399" width="30.7109375" customWidth="1"/>
    <col min="6400" max="6403" width="12.7109375" customWidth="1"/>
    <col min="6404" max="6404" width="15.7109375" customWidth="1"/>
    <col min="6649" max="6649" width="30.7109375" customWidth="1"/>
    <col min="6650" max="6653" width="12.7109375" customWidth="1"/>
    <col min="6654" max="6654" width="15.7109375" customWidth="1"/>
    <col min="6655" max="6655" width="30.7109375" customWidth="1"/>
    <col min="6656" max="6659" width="12.7109375" customWidth="1"/>
    <col min="6660" max="6660" width="15.7109375" customWidth="1"/>
    <col min="6905" max="6905" width="30.7109375" customWidth="1"/>
    <col min="6906" max="6909" width="12.7109375" customWidth="1"/>
    <col min="6910" max="6910" width="15.7109375" customWidth="1"/>
    <col min="6911" max="6911" width="30.7109375" customWidth="1"/>
    <col min="6912" max="6915" width="12.7109375" customWidth="1"/>
    <col min="6916" max="6916" width="15.7109375" customWidth="1"/>
    <col min="7161" max="7161" width="30.7109375" customWidth="1"/>
    <col min="7162" max="7165" width="12.7109375" customWidth="1"/>
    <col min="7166" max="7166" width="15.7109375" customWidth="1"/>
    <col min="7167" max="7167" width="30.7109375" customWidth="1"/>
    <col min="7168" max="7171" width="12.7109375" customWidth="1"/>
    <col min="7172" max="7172" width="15.7109375" customWidth="1"/>
    <col min="7417" max="7417" width="30.7109375" customWidth="1"/>
    <col min="7418" max="7421" width="12.7109375" customWidth="1"/>
    <col min="7422" max="7422" width="15.7109375" customWidth="1"/>
    <col min="7423" max="7423" width="30.7109375" customWidth="1"/>
    <col min="7424" max="7427" width="12.7109375" customWidth="1"/>
    <col min="7428" max="7428" width="15.7109375" customWidth="1"/>
    <col min="7673" max="7673" width="30.7109375" customWidth="1"/>
    <col min="7674" max="7677" width="12.7109375" customWidth="1"/>
    <col min="7678" max="7678" width="15.7109375" customWidth="1"/>
    <col min="7679" max="7679" width="30.7109375" customWidth="1"/>
    <col min="7680" max="7683" width="12.7109375" customWidth="1"/>
    <col min="7684" max="7684" width="15.7109375" customWidth="1"/>
    <col min="7929" max="7929" width="30.7109375" customWidth="1"/>
    <col min="7930" max="7933" width="12.7109375" customWidth="1"/>
    <col min="7934" max="7934" width="15.7109375" customWidth="1"/>
    <col min="7935" max="7935" width="30.7109375" customWidth="1"/>
    <col min="7936" max="7939" width="12.7109375" customWidth="1"/>
    <col min="7940" max="7940" width="15.7109375" customWidth="1"/>
    <col min="8185" max="8185" width="30.7109375" customWidth="1"/>
    <col min="8186" max="8189" width="12.7109375" customWidth="1"/>
    <col min="8190" max="8190" width="15.7109375" customWidth="1"/>
    <col min="8191" max="8191" width="30.7109375" customWidth="1"/>
    <col min="8192" max="8195" width="12.7109375" customWidth="1"/>
    <col min="8196" max="8196" width="15.7109375" customWidth="1"/>
    <col min="8441" max="8441" width="30.7109375" customWidth="1"/>
    <col min="8442" max="8445" width="12.7109375" customWidth="1"/>
    <col min="8446" max="8446" width="15.7109375" customWidth="1"/>
    <col min="8447" max="8447" width="30.7109375" customWidth="1"/>
    <col min="8448" max="8451" width="12.7109375" customWidth="1"/>
    <col min="8452" max="8452" width="15.7109375" customWidth="1"/>
    <col min="8697" max="8697" width="30.7109375" customWidth="1"/>
    <col min="8698" max="8701" width="12.7109375" customWidth="1"/>
    <col min="8702" max="8702" width="15.7109375" customWidth="1"/>
    <col min="8703" max="8703" width="30.7109375" customWidth="1"/>
    <col min="8704" max="8707" width="12.7109375" customWidth="1"/>
    <col min="8708" max="8708" width="15.7109375" customWidth="1"/>
    <col min="8953" max="8953" width="30.7109375" customWidth="1"/>
    <col min="8954" max="8957" width="12.7109375" customWidth="1"/>
    <col min="8958" max="8958" width="15.7109375" customWidth="1"/>
    <col min="8959" max="8959" width="30.7109375" customWidth="1"/>
    <col min="8960" max="8963" width="12.7109375" customWidth="1"/>
    <col min="8964" max="8964" width="15.7109375" customWidth="1"/>
    <col min="9209" max="9209" width="30.7109375" customWidth="1"/>
    <col min="9210" max="9213" width="12.7109375" customWidth="1"/>
    <col min="9214" max="9214" width="15.7109375" customWidth="1"/>
    <col min="9215" max="9215" width="30.7109375" customWidth="1"/>
    <col min="9216" max="9219" width="12.7109375" customWidth="1"/>
    <col min="9220" max="9220" width="15.7109375" customWidth="1"/>
    <col min="9465" max="9465" width="30.7109375" customWidth="1"/>
    <col min="9466" max="9469" width="12.7109375" customWidth="1"/>
    <col min="9470" max="9470" width="15.7109375" customWidth="1"/>
    <col min="9471" max="9471" width="30.7109375" customWidth="1"/>
    <col min="9472" max="9475" width="12.7109375" customWidth="1"/>
    <col min="9476" max="9476" width="15.7109375" customWidth="1"/>
    <col min="9721" max="9721" width="30.7109375" customWidth="1"/>
    <col min="9722" max="9725" width="12.7109375" customWidth="1"/>
    <col min="9726" max="9726" width="15.7109375" customWidth="1"/>
    <col min="9727" max="9727" width="30.7109375" customWidth="1"/>
    <col min="9728" max="9731" width="12.7109375" customWidth="1"/>
    <col min="9732" max="9732" width="15.7109375" customWidth="1"/>
    <col min="9977" max="9977" width="30.7109375" customWidth="1"/>
    <col min="9978" max="9981" width="12.7109375" customWidth="1"/>
    <col min="9982" max="9982" width="15.7109375" customWidth="1"/>
    <col min="9983" max="9983" width="30.7109375" customWidth="1"/>
    <col min="9984" max="9987" width="12.7109375" customWidth="1"/>
    <col min="9988" max="9988" width="15.7109375" customWidth="1"/>
    <col min="10233" max="10233" width="30.7109375" customWidth="1"/>
    <col min="10234" max="10237" width="12.7109375" customWidth="1"/>
    <col min="10238" max="10238" width="15.7109375" customWidth="1"/>
    <col min="10239" max="10239" width="30.7109375" customWidth="1"/>
    <col min="10240" max="10243" width="12.7109375" customWidth="1"/>
    <col min="10244" max="10244" width="15.7109375" customWidth="1"/>
    <col min="10489" max="10489" width="30.7109375" customWidth="1"/>
    <col min="10490" max="10493" width="12.7109375" customWidth="1"/>
    <col min="10494" max="10494" width="15.7109375" customWidth="1"/>
    <col min="10495" max="10495" width="30.7109375" customWidth="1"/>
    <col min="10496" max="10499" width="12.7109375" customWidth="1"/>
    <col min="10500" max="10500" width="15.7109375" customWidth="1"/>
    <col min="10745" max="10745" width="30.7109375" customWidth="1"/>
    <col min="10746" max="10749" width="12.7109375" customWidth="1"/>
    <col min="10750" max="10750" width="15.7109375" customWidth="1"/>
    <col min="10751" max="10751" width="30.7109375" customWidth="1"/>
    <col min="10752" max="10755" width="12.7109375" customWidth="1"/>
    <col min="10756" max="10756" width="15.7109375" customWidth="1"/>
    <col min="11001" max="11001" width="30.7109375" customWidth="1"/>
    <col min="11002" max="11005" width="12.7109375" customWidth="1"/>
    <col min="11006" max="11006" width="15.7109375" customWidth="1"/>
    <col min="11007" max="11007" width="30.7109375" customWidth="1"/>
    <col min="11008" max="11011" width="12.7109375" customWidth="1"/>
    <col min="11012" max="11012" width="15.7109375" customWidth="1"/>
    <col min="11257" max="11257" width="30.7109375" customWidth="1"/>
    <col min="11258" max="11261" width="12.7109375" customWidth="1"/>
    <col min="11262" max="11262" width="15.7109375" customWidth="1"/>
    <col min="11263" max="11263" width="30.7109375" customWidth="1"/>
    <col min="11264" max="11267" width="12.7109375" customWidth="1"/>
    <col min="11268" max="11268" width="15.7109375" customWidth="1"/>
    <col min="11513" max="11513" width="30.7109375" customWidth="1"/>
    <col min="11514" max="11517" width="12.7109375" customWidth="1"/>
    <col min="11518" max="11518" width="15.7109375" customWidth="1"/>
    <col min="11519" max="11519" width="30.7109375" customWidth="1"/>
    <col min="11520" max="11523" width="12.7109375" customWidth="1"/>
    <col min="11524" max="11524" width="15.7109375" customWidth="1"/>
    <col min="11769" max="11769" width="30.7109375" customWidth="1"/>
    <col min="11770" max="11773" width="12.7109375" customWidth="1"/>
    <col min="11774" max="11774" width="15.7109375" customWidth="1"/>
    <col min="11775" max="11775" width="30.7109375" customWidth="1"/>
    <col min="11776" max="11779" width="12.7109375" customWidth="1"/>
    <col min="11780" max="11780" width="15.7109375" customWidth="1"/>
    <col min="12025" max="12025" width="30.7109375" customWidth="1"/>
    <col min="12026" max="12029" width="12.7109375" customWidth="1"/>
    <col min="12030" max="12030" width="15.7109375" customWidth="1"/>
    <col min="12031" max="12031" width="30.7109375" customWidth="1"/>
    <col min="12032" max="12035" width="12.7109375" customWidth="1"/>
    <col min="12036" max="12036" width="15.7109375" customWidth="1"/>
    <col min="12281" max="12281" width="30.7109375" customWidth="1"/>
    <col min="12282" max="12285" width="12.7109375" customWidth="1"/>
    <col min="12286" max="12286" width="15.7109375" customWidth="1"/>
    <col min="12287" max="12287" width="30.7109375" customWidth="1"/>
    <col min="12288" max="12291" width="12.7109375" customWidth="1"/>
    <col min="12292" max="12292" width="15.7109375" customWidth="1"/>
    <col min="12537" max="12537" width="30.7109375" customWidth="1"/>
    <col min="12538" max="12541" width="12.7109375" customWidth="1"/>
    <col min="12542" max="12542" width="15.7109375" customWidth="1"/>
    <col min="12543" max="12543" width="30.7109375" customWidth="1"/>
    <col min="12544" max="12547" width="12.7109375" customWidth="1"/>
    <col min="12548" max="12548" width="15.7109375" customWidth="1"/>
    <col min="12793" max="12793" width="30.7109375" customWidth="1"/>
    <col min="12794" max="12797" width="12.7109375" customWidth="1"/>
    <col min="12798" max="12798" width="15.7109375" customWidth="1"/>
    <col min="12799" max="12799" width="30.7109375" customWidth="1"/>
    <col min="12800" max="12803" width="12.7109375" customWidth="1"/>
    <col min="12804" max="12804" width="15.7109375" customWidth="1"/>
    <col min="13049" max="13049" width="30.7109375" customWidth="1"/>
    <col min="13050" max="13053" width="12.7109375" customWidth="1"/>
    <col min="13054" max="13054" width="15.7109375" customWidth="1"/>
    <col min="13055" max="13055" width="30.7109375" customWidth="1"/>
    <col min="13056" max="13059" width="12.7109375" customWidth="1"/>
    <col min="13060" max="13060" width="15.7109375" customWidth="1"/>
    <col min="13305" max="13305" width="30.7109375" customWidth="1"/>
    <col min="13306" max="13309" width="12.7109375" customWidth="1"/>
    <col min="13310" max="13310" width="15.7109375" customWidth="1"/>
    <col min="13311" max="13311" width="30.7109375" customWidth="1"/>
    <col min="13312" max="13315" width="12.7109375" customWidth="1"/>
    <col min="13316" max="13316" width="15.7109375" customWidth="1"/>
    <col min="13561" max="13561" width="30.7109375" customWidth="1"/>
    <col min="13562" max="13565" width="12.7109375" customWidth="1"/>
    <col min="13566" max="13566" width="15.7109375" customWidth="1"/>
    <col min="13567" max="13567" width="30.7109375" customWidth="1"/>
    <col min="13568" max="13571" width="12.7109375" customWidth="1"/>
    <col min="13572" max="13572" width="15.7109375" customWidth="1"/>
    <col min="13817" max="13817" width="30.7109375" customWidth="1"/>
    <col min="13818" max="13821" width="12.7109375" customWidth="1"/>
    <col min="13822" max="13822" width="15.7109375" customWidth="1"/>
    <col min="13823" max="13823" width="30.7109375" customWidth="1"/>
    <col min="13824" max="13827" width="12.7109375" customWidth="1"/>
    <col min="13828" max="13828" width="15.7109375" customWidth="1"/>
    <col min="14073" max="14073" width="30.7109375" customWidth="1"/>
    <col min="14074" max="14077" width="12.7109375" customWidth="1"/>
    <col min="14078" max="14078" width="15.7109375" customWidth="1"/>
    <col min="14079" max="14079" width="30.7109375" customWidth="1"/>
    <col min="14080" max="14083" width="12.7109375" customWidth="1"/>
    <col min="14084" max="14084" width="15.7109375" customWidth="1"/>
    <col min="14329" max="14329" width="30.7109375" customWidth="1"/>
    <col min="14330" max="14333" width="12.7109375" customWidth="1"/>
    <col min="14334" max="14334" width="15.7109375" customWidth="1"/>
    <col min="14335" max="14335" width="30.7109375" customWidth="1"/>
    <col min="14336" max="14339" width="12.7109375" customWidth="1"/>
    <col min="14340" max="14340" width="15.7109375" customWidth="1"/>
    <col min="14585" max="14585" width="30.7109375" customWidth="1"/>
    <col min="14586" max="14589" width="12.7109375" customWidth="1"/>
    <col min="14590" max="14590" width="15.7109375" customWidth="1"/>
    <col min="14591" max="14591" width="30.7109375" customWidth="1"/>
    <col min="14592" max="14595" width="12.7109375" customWidth="1"/>
    <col min="14596" max="14596" width="15.7109375" customWidth="1"/>
    <col min="14841" max="14841" width="30.7109375" customWidth="1"/>
    <col min="14842" max="14845" width="12.7109375" customWidth="1"/>
    <col min="14846" max="14846" width="15.7109375" customWidth="1"/>
    <col min="14847" max="14847" width="30.7109375" customWidth="1"/>
    <col min="14848" max="14851" width="12.7109375" customWidth="1"/>
    <col min="14852" max="14852" width="15.7109375" customWidth="1"/>
    <col min="15097" max="15097" width="30.7109375" customWidth="1"/>
    <col min="15098" max="15101" width="12.7109375" customWidth="1"/>
    <col min="15102" max="15102" width="15.7109375" customWidth="1"/>
    <col min="15103" max="15103" width="30.7109375" customWidth="1"/>
    <col min="15104" max="15107" width="12.7109375" customWidth="1"/>
    <col min="15108" max="15108" width="15.7109375" customWidth="1"/>
    <col min="15353" max="15353" width="30.7109375" customWidth="1"/>
    <col min="15354" max="15357" width="12.7109375" customWidth="1"/>
    <col min="15358" max="15358" width="15.7109375" customWidth="1"/>
    <col min="15359" max="15359" width="30.7109375" customWidth="1"/>
    <col min="15360" max="15363" width="12.7109375" customWidth="1"/>
    <col min="15364" max="15364" width="15.7109375" customWidth="1"/>
    <col min="15609" max="15609" width="30.7109375" customWidth="1"/>
    <col min="15610" max="15613" width="12.7109375" customWidth="1"/>
    <col min="15614" max="15614" width="15.7109375" customWidth="1"/>
    <col min="15615" max="15615" width="30.7109375" customWidth="1"/>
    <col min="15616" max="15619" width="12.7109375" customWidth="1"/>
    <col min="15620" max="15620" width="15.7109375" customWidth="1"/>
    <col min="15865" max="15865" width="30.7109375" customWidth="1"/>
    <col min="15866" max="15869" width="12.7109375" customWidth="1"/>
    <col min="15870" max="15870" width="15.7109375" customWidth="1"/>
    <col min="15871" max="15871" width="30.7109375" customWidth="1"/>
    <col min="15872" max="15875" width="12.7109375" customWidth="1"/>
    <col min="15876" max="15876" width="15.7109375" customWidth="1"/>
    <col min="16121" max="16121" width="30.7109375" customWidth="1"/>
    <col min="16122" max="16125" width="12.7109375" customWidth="1"/>
    <col min="16126" max="16126" width="15.7109375" customWidth="1"/>
    <col min="16127" max="16127" width="30.7109375" customWidth="1"/>
    <col min="16128" max="16131" width="12.7109375" customWidth="1"/>
    <col min="16132" max="16132" width="15.7109375" customWidth="1"/>
  </cols>
  <sheetData>
    <row r="1" spans="1:6" ht="21" x14ac:dyDescent="0.35">
      <c r="A1" s="410" t="s">
        <v>241</v>
      </c>
      <c r="B1" s="400" t="s">
        <v>269</v>
      </c>
    </row>
    <row r="2" spans="1:6" x14ac:dyDescent="0.2">
      <c r="A2" s="401"/>
      <c r="B2" s="402"/>
      <c r="C2" s="402"/>
      <c r="D2" s="402"/>
      <c r="E2" s="402"/>
      <c r="F2" s="402"/>
    </row>
    <row r="3" spans="1:6" ht="38.25" x14ac:dyDescent="0.2">
      <c r="A3" s="176"/>
      <c r="B3" s="403" t="s">
        <v>218</v>
      </c>
      <c r="C3" s="403" t="s">
        <v>219</v>
      </c>
      <c r="D3" s="403" t="s">
        <v>220</v>
      </c>
      <c r="E3" s="403" t="s">
        <v>221</v>
      </c>
      <c r="F3" s="404" t="s">
        <v>206</v>
      </c>
    </row>
    <row r="4" spans="1:6" x14ac:dyDescent="0.2">
      <c r="F4" s="405"/>
    </row>
    <row r="5" spans="1:6" x14ac:dyDescent="0.2">
      <c r="B5" s="411"/>
      <c r="C5" s="411"/>
      <c r="D5" s="411"/>
      <c r="E5" s="411"/>
      <c r="F5" s="412"/>
    </row>
    <row r="6" spans="1:6" ht="15.75" x14ac:dyDescent="0.25">
      <c r="A6" s="169" t="s">
        <v>207</v>
      </c>
      <c r="B6" s="413">
        <f>B25+B48+B63+B72+B76+B100+B119+B130+B143</f>
        <v>46680</v>
      </c>
      <c r="C6" s="413">
        <f>C25+C48+C63+C72+C76+C100+C119+C130+C143</f>
        <v>28940</v>
      </c>
      <c r="D6" s="413">
        <f>D25+D48+D63+D72+D76+D100+D119+D130+D143</f>
        <v>33420</v>
      </c>
      <c r="E6" s="413">
        <f>E25+E48+E63+E72+E76+E100+E119+E130+E143</f>
        <v>78950</v>
      </c>
      <c r="F6" s="414">
        <f>F25+F48+F63+F72+F76+F100+F119+F130+F143</f>
        <v>187990</v>
      </c>
    </row>
    <row r="7" spans="1:6" x14ac:dyDescent="0.2">
      <c r="B7" s="411"/>
      <c r="C7" s="411"/>
      <c r="D7" s="411"/>
      <c r="E7" s="411"/>
      <c r="F7" s="412"/>
    </row>
    <row r="8" spans="1:6" x14ac:dyDescent="0.2">
      <c r="B8" s="411"/>
      <c r="C8" s="411"/>
      <c r="D8" s="411"/>
      <c r="E8" s="411"/>
      <c r="F8" s="412"/>
    </row>
    <row r="9" spans="1:6" ht="15.75" x14ac:dyDescent="0.25">
      <c r="A9" s="169" t="s">
        <v>116</v>
      </c>
      <c r="B9" s="411"/>
      <c r="C9" s="411"/>
      <c r="D9" s="411"/>
      <c r="E9" s="411"/>
      <c r="F9" s="412"/>
    </row>
    <row r="10" spans="1:6" x14ac:dyDescent="0.2">
      <c r="A10" s="46" t="s">
        <v>1</v>
      </c>
      <c r="B10" s="411">
        <v>442</v>
      </c>
      <c r="C10" s="411">
        <v>247</v>
      </c>
      <c r="D10" s="411">
        <v>282</v>
      </c>
      <c r="E10" s="411">
        <v>745</v>
      </c>
      <c r="F10" s="412">
        <f>SUM(B10:E10)</f>
        <v>1716</v>
      </c>
    </row>
    <row r="11" spans="1:6" x14ac:dyDescent="0.2">
      <c r="A11" s="46" t="s">
        <v>10</v>
      </c>
      <c r="B11" s="411">
        <v>80</v>
      </c>
      <c r="C11" s="411">
        <v>53</v>
      </c>
      <c r="D11" s="411">
        <v>57</v>
      </c>
      <c r="E11" s="411">
        <v>144</v>
      </c>
      <c r="F11" s="412">
        <f t="shared" ref="F11:F24" si="0">SUM(B11:E11)</f>
        <v>334</v>
      </c>
    </row>
    <row r="12" spans="1:6" x14ac:dyDescent="0.2">
      <c r="A12" s="46" t="s">
        <v>11</v>
      </c>
      <c r="B12" s="411">
        <v>530</v>
      </c>
      <c r="C12" s="411">
        <v>440</v>
      </c>
      <c r="D12" s="411">
        <v>581</v>
      </c>
      <c r="E12" s="411">
        <v>1395</v>
      </c>
      <c r="F12" s="412">
        <f t="shared" si="0"/>
        <v>2946</v>
      </c>
    </row>
    <row r="13" spans="1:6" x14ac:dyDescent="0.2">
      <c r="A13" s="46" t="s">
        <v>12</v>
      </c>
      <c r="B13" s="411">
        <v>793</v>
      </c>
      <c r="C13" s="411">
        <v>444</v>
      </c>
      <c r="D13" s="411">
        <v>423</v>
      </c>
      <c r="E13" s="411">
        <v>615</v>
      </c>
      <c r="F13" s="412">
        <f t="shared" si="0"/>
        <v>2275</v>
      </c>
    </row>
    <row r="14" spans="1:6" x14ac:dyDescent="0.2">
      <c r="A14" s="46" t="s">
        <v>13</v>
      </c>
      <c r="B14" s="411">
        <v>275</v>
      </c>
      <c r="C14" s="411">
        <v>210</v>
      </c>
      <c r="D14" s="411">
        <v>258</v>
      </c>
      <c r="E14" s="411">
        <v>749</v>
      </c>
      <c r="F14" s="412">
        <f t="shared" si="0"/>
        <v>1492</v>
      </c>
    </row>
    <row r="15" spans="1:6" x14ac:dyDescent="0.2">
      <c r="A15" s="46" t="s">
        <v>14</v>
      </c>
      <c r="B15" s="411">
        <v>1707</v>
      </c>
      <c r="C15" s="411">
        <v>922</v>
      </c>
      <c r="D15" s="411">
        <v>974</v>
      </c>
      <c r="E15" s="411">
        <v>1829</v>
      </c>
      <c r="F15" s="412">
        <f t="shared" si="0"/>
        <v>5432</v>
      </c>
    </row>
    <row r="16" spans="1:6" x14ac:dyDescent="0.2">
      <c r="A16" s="46" t="s">
        <v>15</v>
      </c>
      <c r="B16" s="411">
        <v>862</v>
      </c>
      <c r="C16" s="411">
        <v>490</v>
      </c>
      <c r="D16" s="411">
        <v>625</v>
      </c>
      <c r="E16" s="411">
        <v>2044</v>
      </c>
      <c r="F16" s="412">
        <f t="shared" si="0"/>
        <v>4021</v>
      </c>
    </row>
    <row r="17" spans="1:6" x14ac:dyDescent="0.2">
      <c r="A17" s="46" t="s">
        <v>16</v>
      </c>
      <c r="B17" s="411">
        <v>835</v>
      </c>
      <c r="C17" s="411">
        <v>472</v>
      </c>
      <c r="D17" s="411">
        <v>494</v>
      </c>
      <c r="E17" s="411">
        <v>916</v>
      </c>
      <c r="F17" s="412">
        <f t="shared" si="0"/>
        <v>2717</v>
      </c>
    </row>
    <row r="18" spans="1:6" x14ac:dyDescent="0.2">
      <c r="A18" s="46" t="s">
        <v>17</v>
      </c>
      <c r="B18" s="411">
        <v>328</v>
      </c>
      <c r="C18" s="411">
        <v>166</v>
      </c>
      <c r="D18" s="411">
        <v>157</v>
      </c>
      <c r="E18" s="411">
        <v>422</v>
      </c>
      <c r="F18" s="412">
        <f t="shared" si="0"/>
        <v>1073</v>
      </c>
    </row>
    <row r="19" spans="1:6" x14ac:dyDescent="0.2">
      <c r="A19" s="46" t="s">
        <v>18</v>
      </c>
      <c r="B19" s="411">
        <v>2050</v>
      </c>
      <c r="C19" s="411">
        <v>2066</v>
      </c>
      <c r="D19" s="411">
        <v>2803</v>
      </c>
      <c r="E19" s="411">
        <v>7782</v>
      </c>
      <c r="F19" s="412">
        <f t="shared" si="0"/>
        <v>14701</v>
      </c>
    </row>
    <row r="20" spans="1:6" x14ac:dyDescent="0.2">
      <c r="A20" s="46" t="s">
        <v>19</v>
      </c>
      <c r="B20" s="411">
        <v>24</v>
      </c>
      <c r="C20" s="411">
        <v>14</v>
      </c>
      <c r="D20" s="411">
        <v>15</v>
      </c>
      <c r="E20" s="411">
        <v>7</v>
      </c>
      <c r="F20" s="412">
        <f t="shared" si="0"/>
        <v>60</v>
      </c>
    </row>
    <row r="21" spans="1:6" x14ac:dyDescent="0.2">
      <c r="A21" s="46" t="s">
        <v>20</v>
      </c>
      <c r="B21" s="411">
        <v>713</v>
      </c>
      <c r="C21" s="411">
        <v>389</v>
      </c>
      <c r="D21" s="411">
        <v>405</v>
      </c>
      <c r="E21" s="411">
        <v>551</v>
      </c>
      <c r="F21" s="412">
        <f t="shared" si="0"/>
        <v>2058</v>
      </c>
    </row>
    <row r="22" spans="1:6" x14ac:dyDescent="0.2">
      <c r="A22" s="46" t="s">
        <v>21</v>
      </c>
      <c r="B22" s="411">
        <v>502</v>
      </c>
      <c r="C22" s="411">
        <v>269</v>
      </c>
      <c r="D22" s="411">
        <v>350</v>
      </c>
      <c r="E22" s="411">
        <v>1156</v>
      </c>
      <c r="F22" s="412">
        <f t="shared" si="0"/>
        <v>2277</v>
      </c>
    </row>
    <row r="23" spans="1:6" x14ac:dyDescent="0.2">
      <c r="A23" s="46" t="s">
        <v>22</v>
      </c>
      <c r="B23" s="411">
        <v>316</v>
      </c>
      <c r="C23" s="411">
        <v>179</v>
      </c>
      <c r="D23" s="411">
        <v>191</v>
      </c>
      <c r="E23" s="411">
        <v>415</v>
      </c>
      <c r="F23" s="412">
        <f t="shared" si="0"/>
        <v>1101</v>
      </c>
    </row>
    <row r="24" spans="1:6" x14ac:dyDescent="0.2">
      <c r="A24" s="46" t="s">
        <v>105</v>
      </c>
      <c r="B24" s="411">
        <v>428</v>
      </c>
      <c r="C24" s="411">
        <v>226</v>
      </c>
      <c r="D24" s="411">
        <v>294</v>
      </c>
      <c r="E24" s="411">
        <v>814</v>
      </c>
      <c r="F24" s="412">
        <f t="shared" si="0"/>
        <v>1762</v>
      </c>
    </row>
    <row r="25" spans="1:6" x14ac:dyDescent="0.2">
      <c r="B25" s="413">
        <f>SUM(B10:B24)</f>
        <v>9885</v>
      </c>
      <c r="C25" s="413">
        <f>SUM(C10:C24)</f>
        <v>6587</v>
      </c>
      <c r="D25" s="413">
        <f>SUM(D10:D24)</f>
        <v>7909</v>
      </c>
      <c r="E25" s="413">
        <f>SUM(E10:E24)</f>
        <v>19584</v>
      </c>
      <c r="F25" s="414">
        <f>SUM(F10:F24)</f>
        <v>43965</v>
      </c>
    </row>
    <row r="26" spans="1:6" x14ac:dyDescent="0.2">
      <c r="B26" s="411"/>
      <c r="C26" s="411"/>
      <c r="D26" s="411"/>
      <c r="E26" s="411"/>
      <c r="F26" s="412"/>
    </row>
    <row r="27" spans="1:6" ht="15.75" x14ac:dyDescent="0.25">
      <c r="A27" s="169" t="s">
        <v>113</v>
      </c>
      <c r="B27" s="411"/>
      <c r="C27" s="411"/>
      <c r="D27" s="411"/>
      <c r="E27" s="411"/>
      <c r="F27" s="412"/>
    </row>
    <row r="28" spans="1:6" x14ac:dyDescent="0.2">
      <c r="A28" s="46" t="s">
        <v>23</v>
      </c>
      <c r="B28" s="411">
        <v>348</v>
      </c>
      <c r="C28" s="411">
        <v>204</v>
      </c>
      <c r="D28" s="411">
        <v>213</v>
      </c>
      <c r="E28" s="411">
        <v>677</v>
      </c>
      <c r="F28" s="412">
        <f t="shared" ref="F28:F47" si="1">SUM(B28:E28)</f>
        <v>1442</v>
      </c>
    </row>
    <row r="29" spans="1:6" x14ac:dyDescent="0.2">
      <c r="A29" s="46" t="s">
        <v>24</v>
      </c>
      <c r="B29" s="411">
        <v>233</v>
      </c>
      <c r="C29" s="411">
        <v>123</v>
      </c>
      <c r="D29" s="411">
        <v>122</v>
      </c>
      <c r="E29" s="411">
        <v>278</v>
      </c>
      <c r="F29" s="412">
        <f t="shared" si="1"/>
        <v>756</v>
      </c>
    </row>
    <row r="30" spans="1:6" x14ac:dyDescent="0.2">
      <c r="A30" s="46" t="s">
        <v>25</v>
      </c>
      <c r="B30" s="411">
        <v>51</v>
      </c>
      <c r="C30" s="411">
        <v>25</v>
      </c>
      <c r="D30" s="411">
        <v>31</v>
      </c>
      <c r="E30" s="411">
        <v>34</v>
      </c>
      <c r="F30" s="412">
        <f t="shared" si="1"/>
        <v>141</v>
      </c>
    </row>
    <row r="31" spans="1:6" x14ac:dyDescent="0.2">
      <c r="A31" s="46" t="s">
        <v>26</v>
      </c>
      <c r="B31" s="411">
        <v>794</v>
      </c>
      <c r="C31" s="411">
        <v>442</v>
      </c>
      <c r="D31" s="411">
        <v>556</v>
      </c>
      <c r="E31" s="411">
        <v>1670</v>
      </c>
      <c r="F31" s="412">
        <f t="shared" si="1"/>
        <v>3462</v>
      </c>
    </row>
    <row r="32" spans="1:6" x14ac:dyDescent="0.2">
      <c r="A32" s="46" t="s">
        <v>27</v>
      </c>
      <c r="B32" s="411">
        <v>195</v>
      </c>
      <c r="C32" s="411">
        <v>111</v>
      </c>
      <c r="D32" s="411">
        <v>124</v>
      </c>
      <c r="E32" s="411">
        <v>125</v>
      </c>
      <c r="F32" s="412">
        <f t="shared" si="1"/>
        <v>555</v>
      </c>
    </row>
    <row r="33" spans="1:6" x14ac:dyDescent="0.2">
      <c r="A33" s="46" t="s">
        <v>28</v>
      </c>
      <c r="B33" s="411">
        <v>100</v>
      </c>
      <c r="C33" s="411">
        <v>63</v>
      </c>
      <c r="D33" s="411">
        <v>69</v>
      </c>
      <c r="E33" s="411">
        <v>165</v>
      </c>
      <c r="F33" s="412">
        <f t="shared" si="1"/>
        <v>397</v>
      </c>
    </row>
    <row r="34" spans="1:6" x14ac:dyDescent="0.2">
      <c r="A34" s="46" t="s">
        <v>29</v>
      </c>
      <c r="B34" s="411">
        <v>219</v>
      </c>
      <c r="C34" s="411">
        <v>117</v>
      </c>
      <c r="D34" s="411">
        <v>100</v>
      </c>
      <c r="E34" s="411">
        <v>243</v>
      </c>
      <c r="F34" s="412">
        <f t="shared" si="1"/>
        <v>679</v>
      </c>
    </row>
    <row r="35" spans="1:6" x14ac:dyDescent="0.2">
      <c r="A35" s="46" t="s">
        <v>30</v>
      </c>
      <c r="B35" s="411">
        <v>146</v>
      </c>
      <c r="C35" s="411">
        <v>83</v>
      </c>
      <c r="D35" s="411">
        <v>90</v>
      </c>
      <c r="E35" s="411">
        <v>107</v>
      </c>
      <c r="F35" s="412">
        <f t="shared" si="1"/>
        <v>426</v>
      </c>
    </row>
    <row r="36" spans="1:6" x14ac:dyDescent="0.2">
      <c r="A36" s="46" t="s">
        <v>31</v>
      </c>
      <c r="B36" s="411">
        <v>123</v>
      </c>
      <c r="C36" s="411">
        <v>72</v>
      </c>
      <c r="D36" s="411">
        <v>78</v>
      </c>
      <c r="E36" s="411">
        <v>194</v>
      </c>
      <c r="F36" s="412">
        <f t="shared" si="1"/>
        <v>467</v>
      </c>
    </row>
    <row r="37" spans="1:6" x14ac:dyDescent="0.2">
      <c r="A37" s="46" t="s">
        <v>32</v>
      </c>
      <c r="B37" s="411">
        <v>75</v>
      </c>
      <c r="C37" s="411">
        <v>43</v>
      </c>
      <c r="D37" s="411">
        <v>50</v>
      </c>
      <c r="E37" s="411">
        <v>60</v>
      </c>
      <c r="F37" s="412">
        <f t="shared" si="1"/>
        <v>228</v>
      </c>
    </row>
    <row r="38" spans="1:6" x14ac:dyDescent="0.2">
      <c r="A38" s="46" t="s">
        <v>33</v>
      </c>
      <c r="B38" s="411">
        <v>316</v>
      </c>
      <c r="C38" s="411">
        <v>173</v>
      </c>
      <c r="D38" s="411">
        <v>174</v>
      </c>
      <c r="E38" s="411">
        <v>500</v>
      </c>
      <c r="F38" s="412">
        <f t="shared" si="1"/>
        <v>1163</v>
      </c>
    </row>
    <row r="39" spans="1:6" x14ac:dyDescent="0.2">
      <c r="A39" s="46" t="s">
        <v>34</v>
      </c>
      <c r="B39" s="411">
        <v>84</v>
      </c>
      <c r="C39" s="411">
        <v>47</v>
      </c>
      <c r="D39" s="411">
        <v>53</v>
      </c>
      <c r="E39" s="411">
        <v>42</v>
      </c>
      <c r="F39" s="412">
        <f t="shared" si="1"/>
        <v>226</v>
      </c>
    </row>
    <row r="40" spans="1:6" x14ac:dyDescent="0.2">
      <c r="A40" s="46" t="s">
        <v>35</v>
      </c>
      <c r="B40" s="411">
        <v>80</v>
      </c>
      <c r="C40" s="411">
        <v>48</v>
      </c>
      <c r="D40" s="411">
        <v>42</v>
      </c>
      <c r="E40" s="411">
        <v>126</v>
      </c>
      <c r="F40" s="412">
        <f t="shared" si="1"/>
        <v>296</v>
      </c>
    </row>
    <row r="41" spans="1:6" x14ac:dyDescent="0.2">
      <c r="A41" s="46" t="s">
        <v>36</v>
      </c>
      <c r="B41" s="411">
        <v>390</v>
      </c>
      <c r="C41" s="411">
        <v>253</v>
      </c>
      <c r="D41" s="411">
        <v>315</v>
      </c>
      <c r="E41" s="411">
        <v>1058</v>
      </c>
      <c r="F41" s="412">
        <f t="shared" si="1"/>
        <v>2016</v>
      </c>
    </row>
    <row r="42" spans="1:6" x14ac:dyDescent="0.2">
      <c r="A42" s="46" t="s">
        <v>37</v>
      </c>
      <c r="B42" s="411">
        <v>117</v>
      </c>
      <c r="C42" s="411">
        <v>69</v>
      </c>
      <c r="D42" s="411">
        <v>84</v>
      </c>
      <c r="E42" s="411">
        <v>176</v>
      </c>
      <c r="F42" s="412">
        <f t="shared" si="1"/>
        <v>446</v>
      </c>
    </row>
    <row r="43" spans="1:6" x14ac:dyDescent="0.2">
      <c r="A43" s="46" t="s">
        <v>38</v>
      </c>
      <c r="B43" s="411">
        <v>436</v>
      </c>
      <c r="C43" s="411">
        <v>304</v>
      </c>
      <c r="D43" s="411">
        <v>408</v>
      </c>
      <c r="E43" s="411">
        <v>1276</v>
      </c>
      <c r="F43" s="412">
        <f t="shared" si="1"/>
        <v>2424</v>
      </c>
    </row>
    <row r="44" spans="1:6" x14ac:dyDescent="0.2">
      <c r="A44" s="46" t="s">
        <v>39</v>
      </c>
      <c r="B44" s="411">
        <v>55</v>
      </c>
      <c r="C44" s="411">
        <v>53</v>
      </c>
      <c r="D44" s="411">
        <v>75</v>
      </c>
      <c r="E44" s="411">
        <v>264</v>
      </c>
      <c r="F44" s="412">
        <f t="shared" si="1"/>
        <v>447</v>
      </c>
    </row>
    <row r="45" spans="1:6" x14ac:dyDescent="0.2">
      <c r="A45" s="46" t="s">
        <v>40</v>
      </c>
      <c r="B45" s="411">
        <v>514</v>
      </c>
      <c r="C45" s="411">
        <v>278</v>
      </c>
      <c r="D45" s="411">
        <v>281</v>
      </c>
      <c r="E45" s="411">
        <v>338</v>
      </c>
      <c r="F45" s="412">
        <f t="shared" si="1"/>
        <v>1411</v>
      </c>
    </row>
    <row r="46" spans="1:6" x14ac:dyDescent="0.2">
      <c r="A46" s="46" t="s">
        <v>41</v>
      </c>
      <c r="B46" s="411">
        <v>601</v>
      </c>
      <c r="C46" s="411">
        <v>353</v>
      </c>
      <c r="D46" s="411">
        <v>379</v>
      </c>
      <c r="E46" s="411">
        <v>892</v>
      </c>
      <c r="F46" s="412">
        <f t="shared" si="1"/>
        <v>2225</v>
      </c>
    </row>
    <row r="47" spans="1:6" x14ac:dyDescent="0.2">
      <c r="A47" s="46" t="s">
        <v>106</v>
      </c>
      <c r="B47" s="411">
        <v>372</v>
      </c>
      <c r="C47" s="411">
        <v>217</v>
      </c>
      <c r="D47" s="411">
        <v>242</v>
      </c>
      <c r="E47" s="411">
        <v>530</v>
      </c>
      <c r="F47" s="412">
        <f t="shared" si="1"/>
        <v>1361</v>
      </c>
    </row>
    <row r="48" spans="1:6" x14ac:dyDescent="0.2">
      <c r="B48" s="413">
        <f>SUM(B28:B47)</f>
        <v>5249</v>
      </c>
      <c r="C48" s="413">
        <f>SUM(C28:C47)</f>
        <v>3078</v>
      </c>
      <c r="D48" s="413">
        <f>SUM(D28:D47)</f>
        <v>3486</v>
      </c>
      <c r="E48" s="413">
        <f>SUM(E28:E47)</f>
        <v>8755</v>
      </c>
      <c r="F48" s="414">
        <f>SUM(F28:F47)</f>
        <v>20568</v>
      </c>
    </row>
    <row r="49" spans="1:6" x14ac:dyDescent="0.2">
      <c r="B49" s="411"/>
      <c r="C49" s="411"/>
      <c r="D49" s="411"/>
      <c r="E49" s="411"/>
      <c r="F49" s="412"/>
    </row>
    <row r="50" spans="1:6" ht="15.75" x14ac:dyDescent="0.25">
      <c r="A50" s="169" t="s">
        <v>115</v>
      </c>
      <c r="B50" s="411"/>
      <c r="C50" s="411"/>
      <c r="D50" s="411"/>
      <c r="E50" s="411"/>
      <c r="F50" s="412"/>
    </row>
    <row r="51" spans="1:6" x14ac:dyDescent="0.2">
      <c r="A51" s="46" t="s">
        <v>42</v>
      </c>
      <c r="B51" s="411">
        <v>4</v>
      </c>
      <c r="C51" s="411">
        <v>3</v>
      </c>
      <c r="D51" s="411">
        <v>4</v>
      </c>
      <c r="E51" s="411">
        <v>5</v>
      </c>
      <c r="F51" s="412">
        <f t="shared" ref="F51:F62" si="2">SUM(B51:E51)</f>
        <v>16</v>
      </c>
    </row>
    <row r="52" spans="1:6" x14ac:dyDescent="0.2">
      <c r="A52" s="46" t="s">
        <v>43</v>
      </c>
      <c r="B52" s="411">
        <v>22</v>
      </c>
      <c r="C52" s="411">
        <v>13</v>
      </c>
      <c r="D52" s="411">
        <v>13</v>
      </c>
      <c r="E52" s="411">
        <v>24</v>
      </c>
      <c r="F52" s="412">
        <f t="shared" si="2"/>
        <v>72</v>
      </c>
    </row>
    <row r="53" spans="1:6" x14ac:dyDescent="0.2">
      <c r="A53" s="46" t="s">
        <v>44</v>
      </c>
      <c r="B53" s="411">
        <v>16</v>
      </c>
      <c r="C53" s="411">
        <v>11</v>
      </c>
      <c r="D53" s="411">
        <v>11</v>
      </c>
      <c r="E53" s="411">
        <v>23</v>
      </c>
      <c r="F53" s="412">
        <f t="shared" si="2"/>
        <v>61</v>
      </c>
    </row>
    <row r="54" spans="1:6" x14ac:dyDescent="0.2">
      <c r="A54" s="46" t="s">
        <v>45</v>
      </c>
      <c r="B54" s="411">
        <v>40</v>
      </c>
      <c r="C54" s="411">
        <v>20</v>
      </c>
      <c r="D54" s="411">
        <v>21</v>
      </c>
      <c r="E54" s="411">
        <v>51</v>
      </c>
      <c r="F54" s="412">
        <f t="shared" si="2"/>
        <v>132</v>
      </c>
    </row>
    <row r="55" spans="1:6" x14ac:dyDescent="0.2">
      <c r="A55" s="46" t="s">
        <v>46</v>
      </c>
      <c r="B55" s="411">
        <v>41</v>
      </c>
      <c r="C55" s="411">
        <v>24</v>
      </c>
      <c r="D55" s="411">
        <v>26</v>
      </c>
      <c r="E55" s="411">
        <v>38</v>
      </c>
      <c r="F55" s="412">
        <f t="shared" si="2"/>
        <v>129</v>
      </c>
    </row>
    <row r="56" spans="1:6" x14ac:dyDescent="0.2">
      <c r="A56" s="46" t="s">
        <v>47</v>
      </c>
      <c r="B56" s="411">
        <v>111</v>
      </c>
      <c r="C56" s="411">
        <v>65</v>
      </c>
      <c r="D56" s="411">
        <v>72</v>
      </c>
      <c r="E56" s="411">
        <v>166</v>
      </c>
      <c r="F56" s="412">
        <f t="shared" si="2"/>
        <v>414</v>
      </c>
    </row>
    <row r="57" spans="1:6" x14ac:dyDescent="0.2">
      <c r="A57" s="46" t="s">
        <v>48</v>
      </c>
      <c r="B57" s="411">
        <v>6</v>
      </c>
      <c r="C57" s="411">
        <v>4</v>
      </c>
      <c r="D57" s="411">
        <v>4</v>
      </c>
      <c r="E57" s="411">
        <v>4</v>
      </c>
      <c r="F57" s="412">
        <f t="shared" si="2"/>
        <v>18</v>
      </c>
    </row>
    <row r="58" spans="1:6" x14ac:dyDescent="0.2">
      <c r="A58" s="46" t="s">
        <v>49</v>
      </c>
      <c r="B58" s="411">
        <v>33</v>
      </c>
      <c r="C58" s="411">
        <v>17</v>
      </c>
      <c r="D58" s="411">
        <v>19</v>
      </c>
      <c r="E58" s="411">
        <v>37</v>
      </c>
      <c r="F58" s="412">
        <f t="shared" si="2"/>
        <v>106</v>
      </c>
    </row>
    <row r="59" spans="1:6" x14ac:dyDescent="0.2">
      <c r="A59" s="46" t="s">
        <v>50</v>
      </c>
      <c r="B59" s="411">
        <v>239</v>
      </c>
      <c r="C59" s="411">
        <v>147</v>
      </c>
      <c r="D59" s="411">
        <v>180</v>
      </c>
      <c r="E59" s="411">
        <v>437</v>
      </c>
      <c r="F59" s="412">
        <f t="shared" si="2"/>
        <v>1003</v>
      </c>
    </row>
    <row r="60" spans="1:6" x14ac:dyDescent="0.2">
      <c r="A60" s="46" t="s">
        <v>118</v>
      </c>
      <c r="B60" s="411">
        <v>26</v>
      </c>
      <c r="C60" s="411">
        <v>14</v>
      </c>
      <c r="D60" s="411">
        <v>16</v>
      </c>
      <c r="E60" s="411">
        <v>23</v>
      </c>
      <c r="F60" s="412">
        <f t="shared" si="2"/>
        <v>79</v>
      </c>
    </row>
    <row r="61" spans="1:6" x14ac:dyDescent="0.2">
      <c r="A61" s="46" t="s">
        <v>51</v>
      </c>
      <c r="B61" s="411">
        <v>24</v>
      </c>
      <c r="C61" s="411">
        <v>16</v>
      </c>
      <c r="D61" s="411">
        <v>19</v>
      </c>
      <c r="E61" s="411">
        <v>19</v>
      </c>
      <c r="F61" s="412">
        <f t="shared" si="2"/>
        <v>78</v>
      </c>
    </row>
    <row r="62" spans="1:6" x14ac:dyDescent="0.2">
      <c r="A62" s="46" t="s">
        <v>107</v>
      </c>
      <c r="B62" s="411">
        <v>55</v>
      </c>
      <c r="C62" s="411">
        <v>32</v>
      </c>
      <c r="D62" s="411">
        <v>37</v>
      </c>
      <c r="E62" s="411">
        <v>60</v>
      </c>
      <c r="F62" s="412">
        <f t="shared" si="2"/>
        <v>184</v>
      </c>
    </row>
    <row r="63" spans="1:6" x14ac:dyDescent="0.2">
      <c r="B63" s="413">
        <f>SUM(B51:B62)</f>
        <v>617</v>
      </c>
      <c r="C63" s="413">
        <f>SUM(C51:C62)</f>
        <v>366</v>
      </c>
      <c r="D63" s="413">
        <f>SUM(D51:D62)</f>
        <v>422</v>
      </c>
      <c r="E63" s="413">
        <f>SUM(E51:E62)</f>
        <v>887</v>
      </c>
      <c r="F63" s="414">
        <f>SUM(F51:F62)</f>
        <v>2292</v>
      </c>
    </row>
    <row r="64" spans="1:6" x14ac:dyDescent="0.2">
      <c r="B64" s="411"/>
      <c r="C64" s="411"/>
      <c r="D64" s="411"/>
      <c r="E64" s="411"/>
      <c r="F64" s="412"/>
    </row>
    <row r="65" spans="1:6" ht="15.75" x14ac:dyDescent="0.25">
      <c r="A65" s="169" t="s">
        <v>119</v>
      </c>
      <c r="B65" s="411"/>
      <c r="C65" s="411"/>
      <c r="D65" s="411"/>
      <c r="E65" s="411"/>
      <c r="F65" s="412"/>
    </row>
    <row r="66" spans="1:6" x14ac:dyDescent="0.2">
      <c r="A66" s="46" t="s">
        <v>52</v>
      </c>
      <c r="B66" s="411">
        <v>116</v>
      </c>
      <c r="C66" s="411">
        <v>54</v>
      </c>
      <c r="D66" s="411">
        <v>58</v>
      </c>
      <c r="E66" s="411">
        <v>164</v>
      </c>
      <c r="F66" s="412">
        <f t="shared" ref="F66:F71" si="3">SUM(B66:E66)</f>
        <v>392</v>
      </c>
    </row>
    <row r="67" spans="1:6" x14ac:dyDescent="0.2">
      <c r="A67" s="46" t="s">
        <v>53</v>
      </c>
      <c r="B67" s="411">
        <v>6</v>
      </c>
      <c r="C67" s="411">
        <v>2</v>
      </c>
      <c r="D67" s="411">
        <v>4</v>
      </c>
      <c r="E67" s="411">
        <v>15</v>
      </c>
      <c r="F67" s="412">
        <f t="shared" si="3"/>
        <v>27</v>
      </c>
    </row>
    <row r="68" spans="1:6" x14ac:dyDescent="0.2">
      <c r="A68" s="46" t="s">
        <v>4</v>
      </c>
      <c r="B68" s="411">
        <v>185</v>
      </c>
      <c r="C68" s="411">
        <v>106</v>
      </c>
      <c r="D68" s="411">
        <v>141</v>
      </c>
      <c r="E68" s="411">
        <v>403</v>
      </c>
      <c r="F68" s="412">
        <f t="shared" si="3"/>
        <v>835</v>
      </c>
    </row>
    <row r="69" spans="1:6" x14ac:dyDescent="0.2">
      <c r="A69" s="46" t="s">
        <v>54</v>
      </c>
      <c r="B69" s="411">
        <v>8</v>
      </c>
      <c r="C69" s="411">
        <v>5</v>
      </c>
      <c r="D69" s="411">
        <v>5</v>
      </c>
      <c r="E69" s="411">
        <v>13</v>
      </c>
      <c r="F69" s="412">
        <f t="shared" si="3"/>
        <v>31</v>
      </c>
    </row>
    <row r="70" spans="1:6" x14ac:dyDescent="0.2">
      <c r="A70" s="46" t="s">
        <v>55</v>
      </c>
      <c r="B70" s="411">
        <v>4</v>
      </c>
      <c r="C70" s="411">
        <v>2</v>
      </c>
      <c r="D70" s="411">
        <v>3</v>
      </c>
      <c r="E70" s="411">
        <v>8</v>
      </c>
      <c r="F70" s="412">
        <f t="shared" si="3"/>
        <v>17</v>
      </c>
    </row>
    <row r="71" spans="1:6" x14ac:dyDescent="0.2">
      <c r="A71" s="46" t="s">
        <v>108</v>
      </c>
      <c r="B71" s="411">
        <v>51</v>
      </c>
      <c r="C71" s="411">
        <v>30</v>
      </c>
      <c r="D71" s="411">
        <v>32</v>
      </c>
      <c r="E71" s="411">
        <v>67</v>
      </c>
      <c r="F71" s="412">
        <f t="shared" si="3"/>
        <v>180</v>
      </c>
    </row>
    <row r="72" spans="1:6" x14ac:dyDescent="0.2">
      <c r="B72" s="413">
        <f>SUM(B66:B71)</f>
        <v>370</v>
      </c>
      <c r="C72" s="413">
        <f>SUM(C66:C71)</f>
        <v>199</v>
      </c>
      <c r="D72" s="413">
        <f>SUM(D66:D71)</f>
        <v>243</v>
      </c>
      <c r="E72" s="413">
        <f>SUM(E66:E71)</f>
        <v>670</v>
      </c>
      <c r="F72" s="414">
        <f>SUM(F66:F71)</f>
        <v>1482</v>
      </c>
    </row>
    <row r="73" spans="1:6" x14ac:dyDescent="0.2">
      <c r="B73" s="411"/>
      <c r="C73" s="411"/>
      <c r="D73" s="411"/>
      <c r="E73" s="411"/>
      <c r="F73" s="412"/>
    </row>
    <row r="74" spans="1:6" ht="15.75" x14ac:dyDescent="0.25">
      <c r="A74" s="169" t="s">
        <v>120</v>
      </c>
      <c r="B74" s="411"/>
      <c r="C74" s="411"/>
      <c r="D74" s="411"/>
      <c r="E74" s="411"/>
      <c r="F74" s="412"/>
    </row>
    <row r="75" spans="1:6" x14ac:dyDescent="0.2">
      <c r="A75" s="46" t="s">
        <v>5</v>
      </c>
      <c r="B75" s="411">
        <v>6207</v>
      </c>
      <c r="C75" s="411">
        <v>4619</v>
      </c>
      <c r="D75" s="411">
        <v>5437</v>
      </c>
      <c r="E75" s="411">
        <v>12482</v>
      </c>
      <c r="F75" s="412">
        <f>SUM(B75:E75)</f>
        <v>28745</v>
      </c>
    </row>
    <row r="76" spans="1:6" x14ac:dyDescent="0.2">
      <c r="B76" s="413">
        <f>SUM(B75)</f>
        <v>6207</v>
      </c>
      <c r="C76" s="413">
        <f>SUM(C75)</f>
        <v>4619</v>
      </c>
      <c r="D76" s="413">
        <f>SUM(D75)</f>
        <v>5437</v>
      </c>
      <c r="E76" s="413">
        <f>SUM(E75)</f>
        <v>12482</v>
      </c>
      <c r="F76" s="414">
        <f>SUM(F75)</f>
        <v>28745</v>
      </c>
    </row>
    <row r="77" spans="1:6" x14ac:dyDescent="0.2">
      <c r="B77" s="411"/>
      <c r="C77" s="411"/>
      <c r="D77" s="411"/>
      <c r="E77" s="411"/>
      <c r="F77" s="412"/>
    </row>
    <row r="78" spans="1:6" ht="15.75" x14ac:dyDescent="0.25">
      <c r="A78" s="169" t="s">
        <v>114</v>
      </c>
      <c r="B78" s="411"/>
      <c r="C78" s="411"/>
      <c r="D78" s="411"/>
      <c r="E78" s="411"/>
      <c r="F78" s="412"/>
    </row>
    <row r="79" spans="1:6" x14ac:dyDescent="0.2">
      <c r="A79" s="46" t="s">
        <v>56</v>
      </c>
      <c r="B79" s="411">
        <v>36</v>
      </c>
      <c r="C79" s="411">
        <v>27</v>
      </c>
      <c r="D79" s="411">
        <v>29</v>
      </c>
      <c r="E79" s="411">
        <v>14</v>
      </c>
      <c r="F79" s="412">
        <f t="shared" ref="F79:F99" si="4">SUM(B79:E79)</f>
        <v>106</v>
      </c>
    </row>
    <row r="80" spans="1:6" x14ac:dyDescent="0.2">
      <c r="A80" s="46" t="s">
        <v>57</v>
      </c>
      <c r="B80" s="411">
        <v>116</v>
      </c>
      <c r="C80" s="411">
        <v>63</v>
      </c>
      <c r="D80" s="411">
        <v>67</v>
      </c>
      <c r="E80" s="411">
        <v>121</v>
      </c>
      <c r="F80" s="412">
        <f t="shared" si="4"/>
        <v>367</v>
      </c>
    </row>
    <row r="81" spans="1:6" x14ac:dyDescent="0.2">
      <c r="A81" s="46" t="s">
        <v>58</v>
      </c>
      <c r="B81" s="411">
        <v>25</v>
      </c>
      <c r="C81" s="411">
        <v>13</v>
      </c>
      <c r="D81" s="411">
        <v>15</v>
      </c>
      <c r="E81" s="411">
        <v>30</v>
      </c>
      <c r="F81" s="412">
        <f t="shared" si="4"/>
        <v>83</v>
      </c>
    </row>
    <row r="82" spans="1:6" x14ac:dyDescent="0.2">
      <c r="A82" s="46" t="s">
        <v>59</v>
      </c>
      <c r="B82" s="411">
        <v>280</v>
      </c>
      <c r="C82" s="411">
        <v>149</v>
      </c>
      <c r="D82" s="411">
        <v>158</v>
      </c>
      <c r="E82" s="411">
        <v>388</v>
      </c>
      <c r="F82" s="412">
        <f t="shared" si="4"/>
        <v>975</v>
      </c>
    </row>
    <row r="83" spans="1:6" x14ac:dyDescent="0.2">
      <c r="A83" s="46" t="s">
        <v>60</v>
      </c>
      <c r="B83" s="411">
        <v>20</v>
      </c>
      <c r="C83" s="411">
        <v>8</v>
      </c>
      <c r="D83" s="411">
        <v>9</v>
      </c>
      <c r="E83" s="411">
        <v>30</v>
      </c>
      <c r="F83" s="412">
        <f t="shared" si="4"/>
        <v>67</v>
      </c>
    </row>
    <row r="84" spans="1:6" x14ac:dyDescent="0.2">
      <c r="A84" s="46" t="s">
        <v>61</v>
      </c>
      <c r="B84" s="411">
        <v>408</v>
      </c>
      <c r="C84" s="411">
        <v>194</v>
      </c>
      <c r="D84" s="411">
        <v>225</v>
      </c>
      <c r="E84" s="411">
        <v>681</v>
      </c>
      <c r="F84" s="412">
        <f t="shared" si="4"/>
        <v>1508</v>
      </c>
    </row>
    <row r="85" spans="1:6" x14ac:dyDescent="0.2">
      <c r="A85" s="46" t="s">
        <v>62</v>
      </c>
      <c r="B85" s="411">
        <v>64</v>
      </c>
      <c r="C85" s="411">
        <v>54</v>
      </c>
      <c r="D85" s="411">
        <v>83</v>
      </c>
      <c r="E85" s="411">
        <v>266</v>
      </c>
      <c r="F85" s="412">
        <f t="shared" si="4"/>
        <v>467</v>
      </c>
    </row>
    <row r="86" spans="1:6" x14ac:dyDescent="0.2">
      <c r="A86" s="46" t="s">
        <v>63</v>
      </c>
      <c r="B86" s="411">
        <v>148</v>
      </c>
      <c r="C86" s="411">
        <v>87</v>
      </c>
      <c r="D86" s="411">
        <v>76</v>
      </c>
      <c r="E86" s="411">
        <v>119</v>
      </c>
      <c r="F86" s="412">
        <f t="shared" si="4"/>
        <v>430</v>
      </c>
    </row>
    <row r="87" spans="1:6" x14ac:dyDescent="0.2">
      <c r="A87" s="46" t="s">
        <v>64</v>
      </c>
      <c r="B87" s="411">
        <v>52</v>
      </c>
      <c r="C87" s="411">
        <v>31</v>
      </c>
      <c r="D87" s="411">
        <v>36</v>
      </c>
      <c r="E87" s="411">
        <v>67</v>
      </c>
      <c r="F87" s="412">
        <f t="shared" si="4"/>
        <v>186</v>
      </c>
    </row>
    <row r="88" spans="1:6" x14ac:dyDescent="0.2">
      <c r="A88" s="46" t="s">
        <v>65</v>
      </c>
      <c r="B88" s="411">
        <v>50</v>
      </c>
      <c r="C88" s="411">
        <v>29</v>
      </c>
      <c r="D88" s="411">
        <v>34</v>
      </c>
      <c r="E88" s="411">
        <v>16</v>
      </c>
      <c r="F88" s="412">
        <f t="shared" si="4"/>
        <v>129</v>
      </c>
    </row>
    <row r="89" spans="1:6" x14ac:dyDescent="0.2">
      <c r="A89" s="46" t="s">
        <v>66</v>
      </c>
      <c r="B89" s="411">
        <v>237</v>
      </c>
      <c r="C89" s="411">
        <v>133</v>
      </c>
      <c r="D89" s="411">
        <v>145</v>
      </c>
      <c r="E89" s="411">
        <v>219</v>
      </c>
      <c r="F89" s="412">
        <f t="shared" si="4"/>
        <v>734</v>
      </c>
    </row>
    <row r="90" spans="1:6" x14ac:dyDescent="0.2">
      <c r="A90" s="46" t="s">
        <v>67</v>
      </c>
      <c r="B90" s="411">
        <v>193</v>
      </c>
      <c r="C90" s="411">
        <v>101</v>
      </c>
      <c r="D90" s="411">
        <v>112</v>
      </c>
      <c r="E90" s="411">
        <v>272</v>
      </c>
      <c r="F90" s="412">
        <f t="shared" si="4"/>
        <v>678</v>
      </c>
    </row>
    <row r="91" spans="1:6" x14ac:dyDescent="0.2">
      <c r="A91" s="46" t="s">
        <v>68</v>
      </c>
      <c r="B91" s="411">
        <v>121</v>
      </c>
      <c r="C91" s="411">
        <v>68</v>
      </c>
      <c r="D91" s="411">
        <v>70</v>
      </c>
      <c r="E91" s="411">
        <v>154</v>
      </c>
      <c r="F91" s="412">
        <f t="shared" si="4"/>
        <v>413</v>
      </c>
    </row>
    <row r="92" spans="1:6" x14ac:dyDescent="0.2">
      <c r="A92" s="46" t="s">
        <v>69</v>
      </c>
      <c r="B92" s="411">
        <v>21</v>
      </c>
      <c r="C92" s="411">
        <v>15</v>
      </c>
      <c r="D92" s="411">
        <v>15</v>
      </c>
      <c r="E92" s="411">
        <v>13</v>
      </c>
      <c r="F92" s="412">
        <f t="shared" si="4"/>
        <v>64</v>
      </c>
    </row>
    <row r="93" spans="1:6" x14ac:dyDescent="0.2">
      <c r="A93" s="46" t="s">
        <v>70</v>
      </c>
      <c r="B93" s="411">
        <v>706</v>
      </c>
      <c r="C93" s="411">
        <v>429</v>
      </c>
      <c r="D93" s="411">
        <v>502</v>
      </c>
      <c r="E93" s="411">
        <v>1147</v>
      </c>
      <c r="F93" s="412">
        <f t="shared" si="4"/>
        <v>2784</v>
      </c>
    </row>
    <row r="94" spans="1:6" x14ac:dyDescent="0.2">
      <c r="A94" s="46" t="s">
        <v>71</v>
      </c>
      <c r="B94" s="411">
        <v>365</v>
      </c>
      <c r="C94" s="411">
        <v>166</v>
      </c>
      <c r="D94" s="411">
        <v>208</v>
      </c>
      <c r="E94" s="411">
        <v>555</v>
      </c>
      <c r="F94" s="412">
        <f t="shared" si="4"/>
        <v>1294</v>
      </c>
    </row>
    <row r="95" spans="1:6" x14ac:dyDescent="0.2">
      <c r="A95" s="46" t="s">
        <v>72</v>
      </c>
      <c r="B95" s="411">
        <v>195</v>
      </c>
      <c r="C95" s="411">
        <v>107</v>
      </c>
      <c r="D95" s="411">
        <v>111</v>
      </c>
      <c r="E95" s="411">
        <v>183</v>
      </c>
      <c r="F95" s="412">
        <f t="shared" si="4"/>
        <v>596</v>
      </c>
    </row>
    <row r="96" spans="1:6" x14ac:dyDescent="0.2">
      <c r="A96" s="46" t="s">
        <v>6</v>
      </c>
      <c r="B96" s="411">
        <v>859</v>
      </c>
      <c r="C96" s="411">
        <v>469</v>
      </c>
      <c r="D96" s="411">
        <v>530</v>
      </c>
      <c r="E96" s="411">
        <v>1172</v>
      </c>
      <c r="F96" s="412">
        <f t="shared" si="4"/>
        <v>3030</v>
      </c>
    </row>
    <row r="97" spans="1:6" x14ac:dyDescent="0.2">
      <c r="A97" s="46" t="s">
        <v>73</v>
      </c>
      <c r="B97" s="411">
        <v>576</v>
      </c>
      <c r="C97" s="411">
        <v>290</v>
      </c>
      <c r="D97" s="411">
        <v>318</v>
      </c>
      <c r="E97" s="411">
        <v>922</v>
      </c>
      <c r="F97" s="412">
        <f t="shared" si="4"/>
        <v>2106</v>
      </c>
    </row>
    <row r="98" spans="1:6" x14ac:dyDescent="0.2">
      <c r="A98" s="46" t="s">
        <v>74</v>
      </c>
      <c r="B98" s="411">
        <v>23</v>
      </c>
      <c r="C98" s="411">
        <v>13</v>
      </c>
      <c r="D98" s="411">
        <v>15</v>
      </c>
      <c r="E98" s="411">
        <v>11</v>
      </c>
      <c r="F98" s="412">
        <f t="shared" si="4"/>
        <v>62</v>
      </c>
    </row>
    <row r="99" spans="1:6" x14ac:dyDescent="0.2">
      <c r="A99" s="46" t="s">
        <v>109</v>
      </c>
      <c r="B99" s="411">
        <v>100</v>
      </c>
      <c r="C99" s="411">
        <v>61</v>
      </c>
      <c r="D99" s="411">
        <v>72</v>
      </c>
      <c r="E99" s="411">
        <v>106</v>
      </c>
      <c r="F99" s="412">
        <f t="shared" si="4"/>
        <v>339</v>
      </c>
    </row>
    <row r="100" spans="1:6" x14ac:dyDescent="0.2">
      <c r="B100" s="413">
        <f>SUM(B79:B99)</f>
        <v>4595</v>
      </c>
      <c r="C100" s="413">
        <f>SUM(C79:C99)</f>
        <v>2507</v>
      </c>
      <c r="D100" s="413">
        <f>SUM(D79:D99)</f>
        <v>2830</v>
      </c>
      <c r="E100" s="413">
        <f>SUM(E79:E99)</f>
        <v>6486</v>
      </c>
      <c r="F100" s="414">
        <f>SUM(F79:F99)</f>
        <v>16418</v>
      </c>
    </row>
    <row r="101" spans="1:6" x14ac:dyDescent="0.2">
      <c r="B101" s="413"/>
      <c r="C101" s="413"/>
      <c r="D101" s="413"/>
      <c r="E101" s="413"/>
      <c r="F101" s="414"/>
    </row>
    <row r="102" spans="1:6" ht="15.75" x14ac:dyDescent="0.25">
      <c r="A102" s="169" t="s">
        <v>164</v>
      </c>
      <c r="B102" s="411"/>
      <c r="C102" s="411"/>
      <c r="D102" s="411"/>
      <c r="E102" s="411"/>
      <c r="F102" s="412"/>
    </row>
    <row r="103" spans="1:6" x14ac:dyDescent="0.2">
      <c r="A103" s="46" t="s">
        <v>75</v>
      </c>
      <c r="B103" s="411">
        <v>252</v>
      </c>
      <c r="C103" s="411">
        <v>137</v>
      </c>
      <c r="D103" s="411">
        <v>150</v>
      </c>
      <c r="E103" s="411">
        <v>390</v>
      </c>
      <c r="F103" s="412">
        <f t="shared" ref="F103:F118" si="5">SUM(B103:E103)</f>
        <v>929</v>
      </c>
    </row>
    <row r="104" spans="1:6" x14ac:dyDescent="0.2">
      <c r="A104" s="46" t="s">
        <v>76</v>
      </c>
      <c r="B104" s="411">
        <v>354</v>
      </c>
      <c r="C104" s="411">
        <v>206</v>
      </c>
      <c r="D104" s="411">
        <v>230</v>
      </c>
      <c r="E104" s="411">
        <v>269</v>
      </c>
      <c r="F104" s="412">
        <f t="shared" si="5"/>
        <v>1059</v>
      </c>
    </row>
    <row r="105" spans="1:6" x14ac:dyDescent="0.2">
      <c r="A105" s="46" t="s">
        <v>77</v>
      </c>
      <c r="B105" s="411">
        <v>235</v>
      </c>
      <c r="C105" s="411">
        <v>159</v>
      </c>
      <c r="D105" s="411">
        <v>216</v>
      </c>
      <c r="E105" s="411">
        <v>473</v>
      </c>
      <c r="F105" s="412">
        <f t="shared" si="5"/>
        <v>1083</v>
      </c>
    </row>
    <row r="106" spans="1:6" x14ac:dyDescent="0.2">
      <c r="A106" s="46" t="s">
        <v>78</v>
      </c>
      <c r="B106" s="411">
        <v>168</v>
      </c>
      <c r="C106" s="411">
        <v>99</v>
      </c>
      <c r="D106" s="411">
        <v>112</v>
      </c>
      <c r="E106" s="411">
        <v>96</v>
      </c>
      <c r="F106" s="412">
        <f t="shared" si="5"/>
        <v>475</v>
      </c>
    </row>
    <row r="107" spans="1:6" x14ac:dyDescent="0.2">
      <c r="A107" s="46" t="s">
        <v>79</v>
      </c>
      <c r="B107" s="411">
        <v>46</v>
      </c>
      <c r="C107" s="411">
        <v>28</v>
      </c>
      <c r="D107" s="411">
        <v>32</v>
      </c>
      <c r="E107" s="411">
        <v>15</v>
      </c>
      <c r="F107" s="412">
        <f t="shared" si="5"/>
        <v>121</v>
      </c>
    </row>
    <row r="108" spans="1:6" x14ac:dyDescent="0.2">
      <c r="A108" s="46" t="s">
        <v>80</v>
      </c>
      <c r="B108" s="411">
        <v>200</v>
      </c>
      <c r="C108" s="411">
        <v>112</v>
      </c>
      <c r="D108" s="411">
        <v>132</v>
      </c>
      <c r="E108" s="411">
        <v>173</v>
      </c>
      <c r="F108" s="412">
        <f t="shared" si="5"/>
        <v>617</v>
      </c>
    </row>
    <row r="109" spans="1:6" x14ac:dyDescent="0.2">
      <c r="A109" s="46" t="s">
        <v>81</v>
      </c>
      <c r="B109" s="411">
        <v>1000</v>
      </c>
      <c r="C109" s="411">
        <v>568</v>
      </c>
      <c r="D109" s="411">
        <v>563</v>
      </c>
      <c r="E109" s="411">
        <v>1145</v>
      </c>
      <c r="F109" s="412">
        <f t="shared" si="5"/>
        <v>3276</v>
      </c>
    </row>
    <row r="110" spans="1:6" x14ac:dyDescent="0.2">
      <c r="A110" s="46" t="s">
        <v>82</v>
      </c>
      <c r="B110" s="411">
        <v>23</v>
      </c>
      <c r="C110" s="411">
        <v>13</v>
      </c>
      <c r="D110" s="411">
        <v>13</v>
      </c>
      <c r="E110" s="411">
        <v>12</v>
      </c>
      <c r="F110" s="412">
        <f t="shared" si="5"/>
        <v>61</v>
      </c>
    </row>
    <row r="111" spans="1:6" x14ac:dyDescent="0.2">
      <c r="A111" s="46" t="s">
        <v>83</v>
      </c>
      <c r="B111" s="411">
        <v>272</v>
      </c>
      <c r="C111" s="411">
        <v>153</v>
      </c>
      <c r="D111" s="411">
        <v>184</v>
      </c>
      <c r="E111" s="411">
        <v>315</v>
      </c>
      <c r="F111" s="412">
        <f t="shared" si="5"/>
        <v>924</v>
      </c>
    </row>
    <row r="112" spans="1:6" x14ac:dyDescent="0.2">
      <c r="A112" s="46" t="s">
        <v>84</v>
      </c>
      <c r="B112" s="411">
        <v>810</v>
      </c>
      <c r="C112" s="411">
        <v>490</v>
      </c>
      <c r="D112" s="411">
        <v>525</v>
      </c>
      <c r="E112" s="411">
        <v>1088</v>
      </c>
      <c r="F112" s="412">
        <f t="shared" si="5"/>
        <v>2913</v>
      </c>
    </row>
    <row r="113" spans="1:6" x14ac:dyDescent="0.2">
      <c r="A113" s="46" t="s">
        <v>85</v>
      </c>
      <c r="B113" s="411">
        <v>688</v>
      </c>
      <c r="C113" s="411">
        <v>430</v>
      </c>
      <c r="D113" s="411">
        <v>476</v>
      </c>
      <c r="E113" s="411">
        <v>585</v>
      </c>
      <c r="F113" s="412">
        <f t="shared" si="5"/>
        <v>2179</v>
      </c>
    </row>
    <row r="114" spans="1:6" x14ac:dyDescent="0.2">
      <c r="A114" s="46" t="s">
        <v>86</v>
      </c>
      <c r="B114" s="411">
        <v>9193</v>
      </c>
      <c r="C114" s="411">
        <v>5405</v>
      </c>
      <c r="D114" s="411">
        <v>6161</v>
      </c>
      <c r="E114" s="411">
        <v>14170</v>
      </c>
      <c r="F114" s="412">
        <f t="shared" si="5"/>
        <v>34929</v>
      </c>
    </row>
    <row r="115" spans="1:6" x14ac:dyDescent="0.2">
      <c r="A115" s="46" t="s">
        <v>7</v>
      </c>
      <c r="B115" s="411">
        <v>1045</v>
      </c>
      <c r="C115" s="411">
        <v>692</v>
      </c>
      <c r="D115" s="411">
        <v>752</v>
      </c>
      <c r="E115" s="411">
        <v>1586</v>
      </c>
      <c r="F115" s="412">
        <f t="shared" si="5"/>
        <v>4075</v>
      </c>
    </row>
    <row r="116" spans="1:6" x14ac:dyDescent="0.2">
      <c r="A116" s="46" t="s">
        <v>87</v>
      </c>
      <c r="B116" s="411">
        <v>147</v>
      </c>
      <c r="C116" s="411">
        <v>95</v>
      </c>
      <c r="D116" s="411">
        <v>104</v>
      </c>
      <c r="E116" s="411">
        <v>92</v>
      </c>
      <c r="F116" s="412">
        <f t="shared" si="5"/>
        <v>438</v>
      </c>
    </row>
    <row r="117" spans="1:6" x14ac:dyDescent="0.2">
      <c r="A117" s="46" t="s">
        <v>88</v>
      </c>
      <c r="B117" s="411">
        <v>1780</v>
      </c>
      <c r="C117" s="411">
        <v>992</v>
      </c>
      <c r="D117" s="411">
        <v>1027</v>
      </c>
      <c r="E117" s="411">
        <v>2179</v>
      </c>
      <c r="F117" s="412">
        <f t="shared" si="5"/>
        <v>5978</v>
      </c>
    </row>
    <row r="118" spans="1:6" x14ac:dyDescent="0.2">
      <c r="A118" s="46" t="s">
        <v>110</v>
      </c>
      <c r="B118" s="411">
        <v>22</v>
      </c>
      <c r="C118" s="411">
        <v>13</v>
      </c>
      <c r="D118" s="411">
        <v>14</v>
      </c>
      <c r="E118" s="411">
        <v>28</v>
      </c>
      <c r="F118" s="412">
        <f t="shared" si="5"/>
        <v>77</v>
      </c>
    </row>
    <row r="119" spans="1:6" x14ac:dyDescent="0.2">
      <c r="B119" s="413">
        <f>SUM(B103:B118)</f>
        <v>16235</v>
      </c>
      <c r="C119" s="413">
        <f>SUM(C103:C118)</f>
        <v>9592</v>
      </c>
      <c r="D119" s="413">
        <f>SUM(D103:D118)</f>
        <v>10691</v>
      </c>
      <c r="E119" s="413">
        <f>SUM(E103:E118)</f>
        <v>22616</v>
      </c>
      <c r="F119" s="414">
        <f>SUM(F103:F118)</f>
        <v>59134</v>
      </c>
    </row>
    <row r="120" spans="1:6" x14ac:dyDescent="0.2">
      <c r="B120" s="413"/>
      <c r="C120" s="413"/>
      <c r="D120" s="413"/>
      <c r="E120" s="413"/>
      <c r="F120" s="414"/>
    </row>
    <row r="121" spans="1:6" ht="15.75" x14ac:dyDescent="0.25">
      <c r="A121" s="169" t="s">
        <v>121</v>
      </c>
      <c r="B121" s="411"/>
      <c r="C121" s="411"/>
      <c r="D121" s="411"/>
      <c r="E121" s="411"/>
      <c r="F121" s="412"/>
    </row>
    <row r="122" spans="1:6" x14ac:dyDescent="0.2">
      <c r="A122" s="46" t="s">
        <v>89</v>
      </c>
      <c r="B122" s="411">
        <v>94</v>
      </c>
      <c r="C122" s="411">
        <v>54</v>
      </c>
      <c r="D122" s="411">
        <v>56</v>
      </c>
      <c r="E122" s="411">
        <v>123</v>
      </c>
      <c r="F122" s="412">
        <f t="shared" ref="F122:F129" si="6">SUM(B122:E122)</f>
        <v>327</v>
      </c>
    </row>
    <row r="123" spans="1:6" x14ac:dyDescent="0.2">
      <c r="A123" s="46" t="s">
        <v>90</v>
      </c>
      <c r="B123" s="411">
        <v>50</v>
      </c>
      <c r="C123" s="411">
        <v>24</v>
      </c>
      <c r="D123" s="411">
        <v>30</v>
      </c>
      <c r="E123" s="411">
        <v>93</v>
      </c>
      <c r="F123" s="412">
        <f t="shared" si="6"/>
        <v>197</v>
      </c>
    </row>
    <row r="124" spans="1:6" x14ac:dyDescent="0.2">
      <c r="A124" s="46" t="s">
        <v>91</v>
      </c>
      <c r="B124" s="411">
        <v>861</v>
      </c>
      <c r="C124" s="411">
        <v>451</v>
      </c>
      <c r="D124" s="411">
        <v>514</v>
      </c>
      <c r="E124" s="411">
        <v>1664</v>
      </c>
      <c r="F124" s="412">
        <f t="shared" si="6"/>
        <v>3490</v>
      </c>
    </row>
    <row r="125" spans="1:6" x14ac:dyDescent="0.2">
      <c r="A125" s="46" t="s">
        <v>92</v>
      </c>
      <c r="B125" s="411">
        <v>15</v>
      </c>
      <c r="C125" s="411">
        <v>12</v>
      </c>
      <c r="D125" s="411">
        <v>16</v>
      </c>
      <c r="E125" s="411">
        <v>56</v>
      </c>
      <c r="F125" s="412">
        <f t="shared" si="6"/>
        <v>99</v>
      </c>
    </row>
    <row r="126" spans="1:6" x14ac:dyDescent="0.2">
      <c r="A126" s="46" t="s">
        <v>93</v>
      </c>
      <c r="B126" s="411">
        <v>105</v>
      </c>
      <c r="C126" s="411">
        <v>40</v>
      </c>
      <c r="D126" s="411">
        <v>41</v>
      </c>
      <c r="E126" s="411">
        <v>169</v>
      </c>
      <c r="F126" s="412">
        <f t="shared" si="6"/>
        <v>355</v>
      </c>
    </row>
    <row r="127" spans="1:6" x14ac:dyDescent="0.2">
      <c r="A127" s="46" t="s">
        <v>94</v>
      </c>
      <c r="B127" s="411">
        <v>287</v>
      </c>
      <c r="C127" s="411">
        <v>134</v>
      </c>
      <c r="D127" s="411">
        <v>173</v>
      </c>
      <c r="E127" s="411">
        <v>490</v>
      </c>
      <c r="F127" s="412">
        <f t="shared" si="6"/>
        <v>1084</v>
      </c>
    </row>
    <row r="128" spans="1:6" x14ac:dyDescent="0.2">
      <c r="A128" s="46" t="s">
        <v>95</v>
      </c>
      <c r="B128" s="411">
        <v>283</v>
      </c>
      <c r="C128" s="411">
        <v>178</v>
      </c>
      <c r="D128" s="411">
        <v>211</v>
      </c>
      <c r="E128" s="411">
        <v>690</v>
      </c>
      <c r="F128" s="412">
        <f t="shared" si="6"/>
        <v>1362</v>
      </c>
    </row>
    <row r="129" spans="1:6" x14ac:dyDescent="0.2">
      <c r="A129" s="46" t="s">
        <v>111</v>
      </c>
      <c r="B129" s="411">
        <v>16</v>
      </c>
      <c r="C129" s="411">
        <v>9</v>
      </c>
      <c r="D129" s="411">
        <v>12</v>
      </c>
      <c r="E129" s="411">
        <v>26</v>
      </c>
      <c r="F129" s="412">
        <f t="shared" si="6"/>
        <v>63</v>
      </c>
    </row>
    <row r="130" spans="1:6" x14ac:dyDescent="0.2">
      <c r="B130" s="413">
        <f>SUM(B122:B129)</f>
        <v>1711</v>
      </c>
      <c r="C130" s="413">
        <f>SUM(C122:C129)</f>
        <v>902</v>
      </c>
      <c r="D130" s="413">
        <f>SUM(D122:D129)</f>
        <v>1053</v>
      </c>
      <c r="E130" s="413">
        <f>SUM(E122:E129)</f>
        <v>3311</v>
      </c>
      <c r="F130" s="414">
        <f>SUM(F122:F129)</f>
        <v>6977</v>
      </c>
    </row>
    <row r="131" spans="1:6" x14ac:dyDescent="0.2">
      <c r="B131" s="411"/>
      <c r="C131" s="411"/>
      <c r="D131" s="411"/>
      <c r="E131" s="411"/>
      <c r="F131" s="412"/>
    </row>
    <row r="132" spans="1:6" ht="15.75" x14ac:dyDescent="0.25">
      <c r="A132" s="169" t="s">
        <v>117</v>
      </c>
      <c r="B132" s="411"/>
      <c r="C132" s="411"/>
      <c r="D132" s="411"/>
      <c r="E132" s="411"/>
      <c r="F132" s="412"/>
    </row>
    <row r="133" spans="1:6" x14ac:dyDescent="0.2">
      <c r="A133" s="46" t="s">
        <v>96</v>
      </c>
      <c r="B133" s="411">
        <v>39</v>
      </c>
      <c r="C133" s="411">
        <v>29</v>
      </c>
      <c r="D133" s="411">
        <v>31</v>
      </c>
      <c r="E133" s="411">
        <v>111</v>
      </c>
      <c r="F133" s="412">
        <f t="shared" ref="F133:F142" si="7">SUM(B133:E133)</f>
        <v>210</v>
      </c>
    </row>
    <row r="134" spans="1:6" x14ac:dyDescent="0.2">
      <c r="A134" s="46" t="s">
        <v>97</v>
      </c>
      <c r="B134" s="411">
        <v>35</v>
      </c>
      <c r="C134" s="411">
        <v>18</v>
      </c>
      <c r="D134" s="411">
        <v>18</v>
      </c>
      <c r="E134" s="411">
        <v>66</v>
      </c>
      <c r="F134" s="412">
        <f t="shared" si="7"/>
        <v>137</v>
      </c>
    </row>
    <row r="135" spans="1:6" x14ac:dyDescent="0.2">
      <c r="A135" s="46" t="s">
        <v>98</v>
      </c>
      <c r="B135" s="411">
        <v>31</v>
      </c>
      <c r="C135" s="411">
        <v>24</v>
      </c>
      <c r="D135" s="411">
        <v>26</v>
      </c>
      <c r="E135" s="411">
        <v>75</v>
      </c>
      <c r="F135" s="412">
        <f t="shared" si="7"/>
        <v>156</v>
      </c>
    </row>
    <row r="136" spans="1:6" x14ac:dyDescent="0.2">
      <c r="A136" s="46" t="s">
        <v>99</v>
      </c>
      <c r="B136" s="411">
        <v>198</v>
      </c>
      <c r="C136" s="411">
        <v>102</v>
      </c>
      <c r="D136" s="411">
        <v>120</v>
      </c>
      <c r="E136" s="411">
        <v>321</v>
      </c>
      <c r="F136" s="412">
        <f t="shared" si="7"/>
        <v>741</v>
      </c>
    </row>
    <row r="137" spans="1:6" x14ac:dyDescent="0.2">
      <c r="A137" s="46" t="s">
        <v>100</v>
      </c>
      <c r="B137" s="411">
        <v>180</v>
      </c>
      <c r="C137" s="411">
        <v>107</v>
      </c>
      <c r="D137" s="411">
        <v>126</v>
      </c>
      <c r="E137" s="411">
        <v>482</v>
      </c>
      <c r="F137" s="412">
        <f t="shared" si="7"/>
        <v>895</v>
      </c>
    </row>
    <row r="138" spans="1:6" x14ac:dyDescent="0.2">
      <c r="A138" s="46" t="s">
        <v>101</v>
      </c>
      <c r="B138" s="411">
        <v>943</v>
      </c>
      <c r="C138" s="411">
        <v>579</v>
      </c>
      <c r="D138" s="411">
        <v>756</v>
      </c>
      <c r="E138" s="411">
        <v>2364</v>
      </c>
      <c r="F138" s="412">
        <f t="shared" si="7"/>
        <v>4642</v>
      </c>
    </row>
    <row r="139" spans="1:6" x14ac:dyDescent="0.2">
      <c r="A139" s="46" t="s">
        <v>102</v>
      </c>
      <c r="B139" s="411">
        <v>22</v>
      </c>
      <c r="C139" s="411">
        <v>17</v>
      </c>
      <c r="D139" s="411">
        <v>19</v>
      </c>
      <c r="E139" s="411">
        <v>62</v>
      </c>
      <c r="F139" s="412">
        <f t="shared" si="7"/>
        <v>120</v>
      </c>
    </row>
    <row r="140" spans="1:6" x14ac:dyDescent="0.2">
      <c r="A140" s="46" t="s">
        <v>9</v>
      </c>
      <c r="B140" s="411">
        <v>24</v>
      </c>
      <c r="C140" s="411">
        <v>23</v>
      </c>
      <c r="D140" s="411">
        <v>27</v>
      </c>
      <c r="E140" s="411">
        <v>63</v>
      </c>
      <c r="F140" s="412">
        <f t="shared" si="7"/>
        <v>137</v>
      </c>
    </row>
    <row r="141" spans="1:6" x14ac:dyDescent="0.2">
      <c r="A141" s="46" t="s">
        <v>103</v>
      </c>
      <c r="B141" s="411">
        <v>120</v>
      </c>
      <c r="C141" s="411">
        <v>65</v>
      </c>
      <c r="D141" s="411">
        <v>67</v>
      </c>
      <c r="E141" s="411">
        <v>187</v>
      </c>
      <c r="F141" s="412">
        <f t="shared" si="7"/>
        <v>439</v>
      </c>
    </row>
    <row r="142" spans="1:6" x14ac:dyDescent="0.2">
      <c r="A142" s="46" t="s">
        <v>112</v>
      </c>
      <c r="B142" s="411">
        <v>219</v>
      </c>
      <c r="C142" s="411">
        <v>126</v>
      </c>
      <c r="D142" s="411">
        <v>159</v>
      </c>
      <c r="E142" s="411">
        <v>428</v>
      </c>
      <c r="F142" s="412">
        <f t="shared" si="7"/>
        <v>932</v>
      </c>
    </row>
    <row r="143" spans="1:6" x14ac:dyDescent="0.2">
      <c r="B143" s="413">
        <f>SUM(B133:B142)</f>
        <v>1811</v>
      </c>
      <c r="C143" s="413">
        <f>SUM(C133:C142)</f>
        <v>1090</v>
      </c>
      <c r="D143" s="413">
        <f>SUM(D133:D142)</f>
        <v>1349</v>
      </c>
      <c r="E143" s="413">
        <f>SUM(E133:E142)</f>
        <v>4159</v>
      </c>
      <c r="F143" s="414">
        <f>SUM(F133:F142)</f>
        <v>8409</v>
      </c>
    </row>
    <row r="144" spans="1:6" x14ac:dyDescent="0.2">
      <c r="B144" s="411"/>
      <c r="C144" s="411"/>
      <c r="D144" s="411"/>
      <c r="E144" s="411"/>
      <c r="F144" s="412"/>
    </row>
    <row r="145" spans="1:6" ht="15.75" x14ac:dyDescent="0.25">
      <c r="A145" s="169" t="s">
        <v>207</v>
      </c>
      <c r="B145" s="413">
        <f>B25+B48+B63+B72+B76+B100+B119+B130+B143</f>
        <v>46680</v>
      </c>
      <c r="C145" s="413">
        <f>C25+C48+C63+C72+C76+C100+C119+C130+C143</f>
        <v>28940</v>
      </c>
      <c r="D145" s="413">
        <f>D25+D48+D63+D72+D76+D100+D119+D130+D143</f>
        <v>33420</v>
      </c>
      <c r="E145" s="413">
        <f>E25+E48+E63+E72+E76+E100+E119+E130+E143</f>
        <v>78950</v>
      </c>
      <c r="F145" s="414">
        <f>F25+F48+F63+F72+F76+F100+F119+F130+F143</f>
        <v>187990</v>
      </c>
    </row>
    <row r="146" spans="1:6" x14ac:dyDescent="0.2">
      <c r="B146" s="411"/>
      <c r="C146" s="411"/>
      <c r="D146" s="411"/>
      <c r="E146" s="411"/>
      <c r="F146" s="412"/>
    </row>
  </sheetData>
  <sheetProtection password="E4E7" sheet="1" objects="1" scenarios="1"/>
  <pageMargins left="0.5" right="0.5" top="0.5" bottom="0.5" header="0.5" footer="0.5"/>
  <pageSetup orientation="portrait" r:id="rId1"/>
  <rowBreaks count="3" manualBreakCount="3">
    <brk id="49" max="16383" man="1"/>
    <brk id="77" max="16383" man="1"/>
    <brk id="1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SCS Input</vt:lpstr>
      <vt:lpstr>Past RHNA Performance</vt:lpstr>
      <vt:lpstr>Jobs</vt:lpstr>
      <vt:lpstr>Transit</vt:lpstr>
      <vt:lpstr>Scoring Summary</vt:lpstr>
      <vt:lpstr>RHNA Model</vt:lpstr>
      <vt:lpstr>Income Distribution</vt:lpstr>
      <vt:lpstr>Draft Summary</vt:lpstr>
      <vt:lpstr>Draft RHNA</vt:lpstr>
      <vt:lpstr>Final RHNA</vt:lpstr>
      <vt:lpstr>Jobs!Print_Area</vt:lpstr>
      <vt:lpstr>'RHNA Model'!Print_Area</vt:lpstr>
      <vt:lpstr>'Scoring Summary'!Print_Area</vt:lpstr>
      <vt:lpstr>'Draft RHNA'!Print_Titles</vt:lpstr>
      <vt:lpstr>'Draft Summary'!Print_Titles</vt:lpstr>
      <vt:lpstr>'Final RHNA'!Print_Titles</vt:lpstr>
      <vt:lpstr>'Income Distribution'!Print_Titles</vt:lpstr>
      <vt:lpstr>Jobs!Print_Titles</vt:lpstr>
      <vt:lpstr>'Past RHNA Performance'!Print_Titles</vt:lpstr>
      <vt:lpstr>'RHNA Model'!Print_Titles</vt:lpstr>
      <vt:lpstr>'Scoring Summary'!Print_Titles</vt:lpstr>
      <vt:lpstr>'SCS Input'!Print_Titles</vt:lpstr>
      <vt:lpstr>Transit!Print_Titles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JasonM</dc:creator>
  <cp:lastModifiedBy>HingW</cp:lastModifiedBy>
  <cp:lastPrinted>2013-07-12T23:18:27Z</cp:lastPrinted>
  <dcterms:created xsi:type="dcterms:W3CDTF">2011-05-02T16:16:35Z</dcterms:created>
  <dcterms:modified xsi:type="dcterms:W3CDTF">2013-07-12T23:20:09Z</dcterms:modified>
</cp:coreProperties>
</file>