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500" tabRatio="926" firstSheet="4" activeTab="5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externalReferences>
    <externalReference r:id="rId22"/>
  </externalReferences>
  <definedNames>
    <definedName name="_xlnm._FilterDatabase" localSheetId="5" hidden="1">configs_projects!$A$1:$P$145</definedName>
    <definedName name="_xlnm._FilterDatabase" localSheetId="14" hidden="1">'PPA IDs'!$A$1:$K$1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2" i="7" l="1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C31" i="7"/>
  <c r="C32" i="7"/>
  <c r="A31" i="7"/>
  <c r="A32" i="7"/>
  <c r="N177" i="20"/>
  <c r="M177" i="20"/>
  <c r="G177" i="20"/>
  <c r="L177" i="20" s="1"/>
  <c r="F177" i="20"/>
  <c r="P177" i="20" s="1"/>
  <c r="N176" i="20"/>
  <c r="M176" i="20"/>
  <c r="G176" i="20"/>
  <c r="O176" i="20" s="1"/>
  <c r="F176" i="20"/>
  <c r="P176" i="20" s="1"/>
  <c r="N175" i="20"/>
  <c r="M175" i="20"/>
  <c r="G175" i="20"/>
  <c r="J175" i="20" s="1"/>
  <c r="F175" i="20"/>
  <c r="P175" i="20" s="1"/>
  <c r="N174" i="20"/>
  <c r="M174" i="20"/>
  <c r="J174" i="20"/>
  <c r="G174" i="20"/>
  <c r="O174" i="20" s="1"/>
  <c r="F174" i="20"/>
  <c r="P174" i="20" s="1"/>
  <c r="N173" i="20"/>
  <c r="M173" i="20"/>
  <c r="G173" i="20"/>
  <c r="L173" i="20" s="1"/>
  <c r="F173" i="20"/>
  <c r="P173" i="20" s="1"/>
  <c r="N172" i="20"/>
  <c r="M172" i="20"/>
  <c r="G172" i="20"/>
  <c r="O172" i="20" s="1"/>
  <c r="F172" i="20"/>
  <c r="P172" i="20" s="1"/>
  <c r="N171" i="20"/>
  <c r="M171" i="20"/>
  <c r="G171" i="20"/>
  <c r="J171" i="20" s="1"/>
  <c r="F171" i="20"/>
  <c r="P171" i="20" s="1"/>
  <c r="N170" i="20"/>
  <c r="M170" i="20"/>
  <c r="L170" i="20"/>
  <c r="G170" i="20"/>
  <c r="O170" i="20" s="1"/>
  <c r="F170" i="20"/>
  <c r="P170" i="20" s="1"/>
  <c r="N169" i="20"/>
  <c r="M169" i="20"/>
  <c r="G169" i="20"/>
  <c r="J169" i="20" s="1"/>
  <c r="F169" i="20"/>
  <c r="P169" i="20" s="1"/>
  <c r="N168" i="20"/>
  <c r="M168" i="20"/>
  <c r="G168" i="20"/>
  <c r="O168" i="20" s="1"/>
  <c r="F168" i="20"/>
  <c r="P168" i="20" s="1"/>
  <c r="N167" i="20"/>
  <c r="M167" i="20"/>
  <c r="G167" i="20"/>
  <c r="L167" i="20" s="1"/>
  <c r="F167" i="20"/>
  <c r="P167" i="20" s="1"/>
  <c r="N166" i="20"/>
  <c r="M166" i="20"/>
  <c r="G166" i="20"/>
  <c r="O166" i="20" s="1"/>
  <c r="F166" i="20"/>
  <c r="P166" i="20" s="1"/>
  <c r="N165" i="20"/>
  <c r="M165" i="20"/>
  <c r="G165" i="20"/>
  <c r="J165" i="20" s="1"/>
  <c r="F165" i="20"/>
  <c r="P165" i="20" s="1"/>
  <c r="N164" i="20"/>
  <c r="M164" i="20"/>
  <c r="G164" i="20"/>
  <c r="O164" i="20" s="1"/>
  <c r="F164" i="20"/>
  <c r="P164" i="20" s="1"/>
  <c r="N163" i="20"/>
  <c r="M163" i="20"/>
  <c r="G163" i="20"/>
  <c r="L163" i="20" s="1"/>
  <c r="F163" i="20"/>
  <c r="P163" i="20" s="1"/>
  <c r="N162" i="20"/>
  <c r="M162" i="20"/>
  <c r="G162" i="20"/>
  <c r="O162" i="20" s="1"/>
  <c r="F162" i="20"/>
  <c r="P162" i="20" s="1"/>
  <c r="F147" i="20"/>
  <c r="P147" i="20" s="1"/>
  <c r="G147" i="20"/>
  <c r="J147" i="20" s="1"/>
  <c r="M147" i="20"/>
  <c r="N147" i="20"/>
  <c r="F148" i="20"/>
  <c r="P148" i="20" s="1"/>
  <c r="G148" i="20"/>
  <c r="I148" i="20" s="1"/>
  <c r="H148" i="20"/>
  <c r="M148" i="20"/>
  <c r="N148" i="20"/>
  <c r="F149" i="20"/>
  <c r="P149" i="20" s="1"/>
  <c r="G149" i="20"/>
  <c r="H149" i="20" s="1"/>
  <c r="K149" i="20"/>
  <c r="M149" i="20"/>
  <c r="N149" i="20"/>
  <c r="F150" i="20"/>
  <c r="G150" i="20"/>
  <c r="J150" i="20" s="1"/>
  <c r="M150" i="20"/>
  <c r="N150" i="20"/>
  <c r="P150" i="20"/>
  <c r="F151" i="20"/>
  <c r="P151" i="20" s="1"/>
  <c r="G151" i="20"/>
  <c r="J151" i="20" s="1"/>
  <c r="I151" i="20"/>
  <c r="K151" i="20"/>
  <c r="M151" i="20"/>
  <c r="N151" i="20"/>
  <c r="O151" i="20"/>
  <c r="F152" i="20"/>
  <c r="P152" i="20" s="1"/>
  <c r="G152" i="20"/>
  <c r="I152" i="20" s="1"/>
  <c r="M152" i="20"/>
  <c r="N152" i="20"/>
  <c r="F153" i="20"/>
  <c r="P153" i="20" s="1"/>
  <c r="G153" i="20"/>
  <c r="H153" i="20" s="1"/>
  <c r="M153" i="20"/>
  <c r="N153" i="20"/>
  <c r="F154" i="20"/>
  <c r="P154" i="20" s="1"/>
  <c r="G154" i="20"/>
  <c r="J154" i="20" s="1"/>
  <c r="H154" i="20"/>
  <c r="I154" i="20"/>
  <c r="K154" i="20"/>
  <c r="L154" i="20"/>
  <c r="M154" i="20"/>
  <c r="N154" i="20"/>
  <c r="O154" i="20"/>
  <c r="F155" i="20"/>
  <c r="P155" i="20" s="1"/>
  <c r="G155" i="20"/>
  <c r="H155" i="20" s="1"/>
  <c r="M155" i="20"/>
  <c r="N155" i="20"/>
  <c r="F156" i="20"/>
  <c r="G156" i="20"/>
  <c r="J156" i="20" s="1"/>
  <c r="M156" i="20"/>
  <c r="N156" i="20"/>
  <c r="P156" i="20"/>
  <c r="F157" i="20"/>
  <c r="P157" i="20" s="1"/>
  <c r="G157" i="20"/>
  <c r="J157" i="20" s="1"/>
  <c r="I157" i="20"/>
  <c r="K157" i="20"/>
  <c r="M157" i="20"/>
  <c r="N157" i="20"/>
  <c r="O157" i="20"/>
  <c r="F158" i="20"/>
  <c r="P158" i="20" s="1"/>
  <c r="G158" i="20"/>
  <c r="I158" i="20" s="1"/>
  <c r="M158" i="20"/>
  <c r="N158" i="20"/>
  <c r="F159" i="20"/>
  <c r="P159" i="20" s="1"/>
  <c r="G159" i="20"/>
  <c r="H159" i="20" s="1"/>
  <c r="M159" i="20"/>
  <c r="N159" i="20"/>
  <c r="F160" i="20"/>
  <c r="P160" i="20" s="1"/>
  <c r="G160" i="20"/>
  <c r="J160" i="20" s="1"/>
  <c r="H160" i="20"/>
  <c r="I160" i="20"/>
  <c r="K160" i="20"/>
  <c r="L160" i="20"/>
  <c r="M160" i="20"/>
  <c r="N160" i="20"/>
  <c r="O160" i="20"/>
  <c r="F161" i="20"/>
  <c r="P161" i="20" s="1"/>
  <c r="G161" i="20"/>
  <c r="J161" i="20" s="1"/>
  <c r="M161" i="20"/>
  <c r="N161" i="20"/>
  <c r="N146" i="20"/>
  <c r="M146" i="20"/>
  <c r="G146" i="20"/>
  <c r="L146" i="20" s="1"/>
  <c r="F146" i="20"/>
  <c r="P146" i="20" s="1"/>
  <c r="L150" i="20" l="1"/>
  <c r="O156" i="20"/>
  <c r="O150" i="20"/>
  <c r="K150" i="20"/>
  <c r="L162" i="20"/>
  <c r="L176" i="20"/>
  <c r="K156" i="20"/>
  <c r="K161" i="20"/>
  <c r="L158" i="20"/>
  <c r="I156" i="20"/>
  <c r="I150" i="20"/>
  <c r="L148" i="20"/>
  <c r="J168" i="20"/>
  <c r="L156" i="20"/>
  <c r="O161" i="20"/>
  <c r="I161" i="20"/>
  <c r="H156" i="20"/>
  <c r="H150" i="20"/>
  <c r="J148" i="20"/>
  <c r="O149" i="20"/>
  <c r="H164" i="20"/>
  <c r="H166" i="20"/>
  <c r="I167" i="20"/>
  <c r="J158" i="20"/>
  <c r="J152" i="20"/>
  <c r="H162" i="20"/>
  <c r="I164" i="20"/>
  <c r="J166" i="20"/>
  <c r="H168" i="20"/>
  <c r="H170" i="20"/>
  <c r="J172" i="20"/>
  <c r="H174" i="20"/>
  <c r="H176" i="20"/>
  <c r="L152" i="20"/>
  <c r="L164" i="20"/>
  <c r="O158" i="20"/>
  <c r="K158" i="20"/>
  <c r="O152" i="20"/>
  <c r="K152" i="20"/>
  <c r="L168" i="20"/>
  <c r="H172" i="20"/>
  <c r="I173" i="20"/>
  <c r="L174" i="20"/>
  <c r="I177" i="20"/>
  <c r="I146" i="20"/>
  <c r="H158" i="20"/>
  <c r="H152" i="20"/>
  <c r="O148" i="20"/>
  <c r="K148" i="20"/>
  <c r="J162" i="20"/>
  <c r="J164" i="20"/>
  <c r="L166" i="20"/>
  <c r="I168" i="20"/>
  <c r="J170" i="20"/>
  <c r="L172" i="20"/>
  <c r="I174" i="20"/>
  <c r="J176" i="20"/>
  <c r="K147" i="20"/>
  <c r="O147" i="20"/>
  <c r="I147" i="20"/>
  <c r="I163" i="20"/>
  <c r="K165" i="20"/>
  <c r="O165" i="20"/>
  <c r="K175" i="20"/>
  <c r="O175" i="20"/>
  <c r="I162" i="20"/>
  <c r="J163" i="20"/>
  <c r="K164" i="20"/>
  <c r="H165" i="20"/>
  <c r="L165" i="20"/>
  <c r="I166" i="20"/>
  <c r="J167" i="20"/>
  <c r="K168" i="20"/>
  <c r="H169" i="20"/>
  <c r="L169" i="20"/>
  <c r="I170" i="20"/>
  <c r="H171" i="20"/>
  <c r="L171" i="20"/>
  <c r="I172" i="20"/>
  <c r="J173" i="20"/>
  <c r="K174" i="20"/>
  <c r="H175" i="20"/>
  <c r="L175" i="20"/>
  <c r="I176" i="20"/>
  <c r="J177" i="20"/>
  <c r="I165" i="20"/>
  <c r="K167" i="20"/>
  <c r="O167" i="20"/>
  <c r="I169" i="20"/>
  <c r="I171" i="20"/>
  <c r="K173" i="20"/>
  <c r="O173" i="20"/>
  <c r="I175" i="20"/>
  <c r="K177" i="20"/>
  <c r="O177" i="20"/>
  <c r="K169" i="20"/>
  <c r="O169" i="20"/>
  <c r="K171" i="20"/>
  <c r="O171" i="20"/>
  <c r="K163" i="20"/>
  <c r="O163" i="20"/>
  <c r="K162" i="20"/>
  <c r="H163" i="20"/>
  <c r="K166" i="20"/>
  <c r="H167" i="20"/>
  <c r="K170" i="20"/>
  <c r="K172" i="20"/>
  <c r="H173" i="20"/>
  <c r="K176" i="20"/>
  <c r="H177" i="20"/>
  <c r="K155" i="20"/>
  <c r="O153" i="20"/>
  <c r="K153" i="20"/>
  <c r="L161" i="20"/>
  <c r="H161" i="20"/>
  <c r="J159" i="20"/>
  <c r="L157" i="20"/>
  <c r="H157" i="20"/>
  <c r="J155" i="20"/>
  <c r="J153" i="20"/>
  <c r="L151" i="20"/>
  <c r="H151" i="20"/>
  <c r="J149" i="20"/>
  <c r="L147" i="20"/>
  <c r="H147" i="20"/>
  <c r="O155" i="20"/>
  <c r="I159" i="20"/>
  <c r="I155" i="20"/>
  <c r="I153" i="20"/>
  <c r="I149" i="20"/>
  <c r="O159" i="20"/>
  <c r="K159" i="20"/>
  <c r="L159" i="20"/>
  <c r="L155" i="20"/>
  <c r="L153" i="20"/>
  <c r="L149" i="20"/>
  <c r="K146" i="20"/>
  <c r="O146" i="20"/>
  <c r="J146" i="20"/>
  <c r="H146" i="20"/>
  <c r="F80" i="20"/>
  <c r="P80" i="20" s="1"/>
  <c r="F79" i="20"/>
  <c r="P79" i="20" s="1"/>
  <c r="F78" i="20"/>
  <c r="P78" i="20" s="1"/>
  <c r="O80" i="20"/>
  <c r="N80" i="20"/>
  <c r="M80" i="20"/>
  <c r="L80" i="20"/>
  <c r="K80" i="20"/>
  <c r="J80" i="20"/>
  <c r="I80" i="20"/>
  <c r="H80" i="20"/>
  <c r="O79" i="20"/>
  <c r="N79" i="20"/>
  <c r="M79" i="20"/>
  <c r="L79" i="20"/>
  <c r="K79" i="20"/>
  <c r="J79" i="20"/>
  <c r="I79" i="20"/>
  <c r="H79" i="20"/>
  <c r="O78" i="20"/>
  <c r="N78" i="20"/>
  <c r="M78" i="20"/>
  <c r="L78" i="20"/>
  <c r="K78" i="20"/>
  <c r="J78" i="20"/>
  <c r="I78" i="20"/>
  <c r="H78" i="20"/>
  <c r="A19" i="7" l="1"/>
  <c r="A18" i="7"/>
  <c r="N145" i="20"/>
  <c r="M145" i="20"/>
  <c r="G145" i="20"/>
  <c r="L145" i="20" s="1"/>
  <c r="F145" i="20"/>
  <c r="P145" i="20" s="1"/>
  <c r="N144" i="20"/>
  <c r="M144" i="20"/>
  <c r="G144" i="20"/>
  <c r="O144" i="20" s="1"/>
  <c r="F144" i="20"/>
  <c r="P144" i="20" s="1"/>
  <c r="N143" i="20"/>
  <c r="M143" i="20"/>
  <c r="G143" i="20"/>
  <c r="J143" i="20" s="1"/>
  <c r="F143" i="20"/>
  <c r="P143" i="20" s="1"/>
  <c r="N142" i="20"/>
  <c r="M142" i="20"/>
  <c r="G142" i="20"/>
  <c r="L142" i="20" s="1"/>
  <c r="F142" i="20"/>
  <c r="P142" i="20" s="1"/>
  <c r="N141" i="20"/>
  <c r="M141" i="20"/>
  <c r="G141" i="20"/>
  <c r="O141" i="20" s="1"/>
  <c r="F141" i="20"/>
  <c r="P141" i="20" s="1"/>
  <c r="N140" i="20"/>
  <c r="M140" i="20"/>
  <c r="G140" i="20"/>
  <c r="I140" i="20" s="1"/>
  <c r="F140" i="20"/>
  <c r="P140" i="20" s="1"/>
  <c r="N139" i="20"/>
  <c r="M139" i="20"/>
  <c r="G139" i="20"/>
  <c r="L139" i="20" s="1"/>
  <c r="F139" i="20"/>
  <c r="P139" i="20" s="1"/>
  <c r="N138" i="20"/>
  <c r="M138" i="20"/>
  <c r="G138" i="20"/>
  <c r="O138" i="20" s="1"/>
  <c r="F138" i="20"/>
  <c r="P138" i="20" s="1"/>
  <c r="N137" i="20"/>
  <c r="M137" i="20"/>
  <c r="G137" i="20"/>
  <c r="J137" i="20" s="1"/>
  <c r="F137" i="20"/>
  <c r="P137" i="20" s="1"/>
  <c r="N136" i="20"/>
  <c r="M136" i="20"/>
  <c r="G136" i="20"/>
  <c r="L136" i="20" s="1"/>
  <c r="F136" i="20"/>
  <c r="P136" i="20" s="1"/>
  <c r="N135" i="20"/>
  <c r="M135" i="20"/>
  <c r="G135" i="20"/>
  <c r="O135" i="20" s="1"/>
  <c r="F135" i="20"/>
  <c r="P135" i="20" s="1"/>
  <c r="N134" i="20"/>
  <c r="M134" i="20"/>
  <c r="G134" i="20"/>
  <c r="J134" i="20" s="1"/>
  <c r="F134" i="20"/>
  <c r="P134" i="20" s="1"/>
  <c r="H138" i="20" l="1"/>
  <c r="I135" i="20"/>
  <c r="I136" i="20"/>
  <c r="J136" i="20"/>
  <c r="H135" i="20"/>
  <c r="J135" i="20"/>
  <c r="I144" i="20"/>
  <c r="L135" i="20"/>
  <c r="H144" i="20"/>
  <c r="I145" i="20"/>
  <c r="I138" i="20"/>
  <c r="I139" i="20"/>
  <c r="J138" i="20"/>
  <c r="J139" i="20"/>
  <c r="L138" i="20"/>
  <c r="J144" i="20"/>
  <c r="J145" i="20"/>
  <c r="L144" i="20"/>
  <c r="H141" i="20"/>
  <c r="I141" i="20"/>
  <c r="I142" i="20"/>
  <c r="L141" i="20"/>
  <c r="J141" i="20"/>
  <c r="J140" i="20"/>
  <c r="K143" i="20"/>
  <c r="O143" i="20"/>
  <c r="L143" i="20"/>
  <c r="I143" i="20"/>
  <c r="K145" i="20"/>
  <c r="O145" i="20"/>
  <c r="H143" i="20"/>
  <c r="K144" i="20"/>
  <c r="H145" i="20"/>
  <c r="H140" i="20"/>
  <c r="L140" i="20"/>
  <c r="J142" i="20"/>
  <c r="K140" i="20"/>
  <c r="O140" i="20"/>
  <c r="K142" i="20"/>
  <c r="O142" i="20"/>
  <c r="K141" i="20"/>
  <c r="H142" i="20"/>
  <c r="H137" i="20"/>
  <c r="K139" i="20"/>
  <c r="O139" i="20"/>
  <c r="K137" i="20"/>
  <c r="O137" i="20"/>
  <c r="L137" i="20"/>
  <c r="I137" i="20"/>
  <c r="K138" i="20"/>
  <c r="H139" i="20"/>
  <c r="K134" i="20"/>
  <c r="O134" i="20"/>
  <c r="H134" i="20"/>
  <c r="L134" i="20"/>
  <c r="I134" i="20"/>
  <c r="K136" i="20"/>
  <c r="O136" i="20"/>
  <c r="K135" i="20"/>
  <c r="H136" i="20"/>
  <c r="O69" i="20"/>
  <c r="N69" i="20"/>
  <c r="M69" i="20"/>
  <c r="L69" i="20"/>
  <c r="K69" i="20"/>
  <c r="J69" i="20"/>
  <c r="I69" i="20"/>
  <c r="H69" i="20"/>
  <c r="F69" i="20"/>
  <c r="P69" i="20" s="1"/>
  <c r="O68" i="20"/>
  <c r="N68" i="20"/>
  <c r="M68" i="20"/>
  <c r="L68" i="20"/>
  <c r="K68" i="20"/>
  <c r="J68" i="20"/>
  <c r="I68" i="20"/>
  <c r="H68" i="20"/>
  <c r="F68" i="20"/>
  <c r="P68" i="20" s="1"/>
  <c r="O67" i="20"/>
  <c r="N67" i="20"/>
  <c r="M67" i="20"/>
  <c r="L67" i="20"/>
  <c r="K67" i="20"/>
  <c r="J67" i="20"/>
  <c r="I67" i="20"/>
  <c r="H67" i="20"/>
  <c r="F67" i="20"/>
  <c r="P67" i="20" s="1"/>
  <c r="O66" i="20"/>
  <c r="N66" i="20"/>
  <c r="M66" i="20"/>
  <c r="L66" i="20"/>
  <c r="K66" i="20"/>
  <c r="J66" i="20"/>
  <c r="H66" i="20"/>
  <c r="F66" i="20"/>
  <c r="P66" i="20" s="1"/>
  <c r="O65" i="20"/>
  <c r="N65" i="20"/>
  <c r="M65" i="20"/>
  <c r="L65" i="20"/>
  <c r="K65" i="20"/>
  <c r="J65" i="20"/>
  <c r="I65" i="20"/>
  <c r="H65" i="20"/>
  <c r="F65" i="20"/>
  <c r="P65" i="20" s="1"/>
  <c r="O64" i="20"/>
  <c r="N64" i="20"/>
  <c r="M64" i="20"/>
  <c r="L64" i="20"/>
  <c r="K64" i="20"/>
  <c r="J64" i="20"/>
  <c r="I64" i="20"/>
  <c r="H64" i="20"/>
  <c r="F64" i="20"/>
  <c r="P64" i="20" s="1"/>
  <c r="O63" i="20"/>
  <c r="N63" i="20"/>
  <c r="M63" i="20"/>
  <c r="L63" i="20"/>
  <c r="K63" i="20"/>
  <c r="J63" i="20"/>
  <c r="I63" i="20"/>
  <c r="H63" i="20"/>
  <c r="F63" i="20"/>
  <c r="P63" i="20" s="1"/>
  <c r="O62" i="20"/>
  <c r="N62" i="20"/>
  <c r="M62" i="20"/>
  <c r="L62" i="20"/>
  <c r="K62" i="20"/>
  <c r="J62" i="20"/>
  <c r="I62" i="20"/>
  <c r="H62" i="20"/>
  <c r="F62" i="20"/>
  <c r="P62" i="20" s="1"/>
  <c r="O77" i="20"/>
  <c r="N77" i="20"/>
  <c r="M77" i="20"/>
  <c r="L77" i="20"/>
  <c r="K77" i="20"/>
  <c r="J77" i="20"/>
  <c r="I77" i="20"/>
  <c r="H77" i="20"/>
  <c r="F77" i="20"/>
  <c r="P77" i="20" s="1"/>
  <c r="O76" i="20"/>
  <c r="N76" i="20"/>
  <c r="M76" i="20"/>
  <c r="L76" i="20"/>
  <c r="K76" i="20"/>
  <c r="J76" i="20"/>
  <c r="I76" i="20"/>
  <c r="H76" i="20"/>
  <c r="F76" i="20"/>
  <c r="P76" i="20" s="1"/>
  <c r="O75" i="20"/>
  <c r="N75" i="20"/>
  <c r="M75" i="20"/>
  <c r="L75" i="20"/>
  <c r="K75" i="20"/>
  <c r="J75" i="20"/>
  <c r="I75" i="20"/>
  <c r="H75" i="20"/>
  <c r="F75" i="20"/>
  <c r="P75" i="20" s="1"/>
  <c r="O74" i="20"/>
  <c r="N74" i="20"/>
  <c r="M74" i="20"/>
  <c r="L74" i="20"/>
  <c r="K74" i="20"/>
  <c r="J74" i="20"/>
  <c r="H74" i="20"/>
  <c r="F74" i="20"/>
  <c r="P74" i="20" s="1"/>
  <c r="O73" i="20"/>
  <c r="N73" i="20"/>
  <c r="M73" i="20"/>
  <c r="L73" i="20"/>
  <c r="K73" i="20"/>
  <c r="J73" i="20"/>
  <c r="I73" i="20"/>
  <c r="H73" i="20"/>
  <c r="F73" i="20"/>
  <c r="P73" i="20" s="1"/>
  <c r="O72" i="20"/>
  <c r="N72" i="20"/>
  <c r="M72" i="20"/>
  <c r="L72" i="20"/>
  <c r="K72" i="20"/>
  <c r="J72" i="20"/>
  <c r="I72" i="20"/>
  <c r="H72" i="20"/>
  <c r="F72" i="20"/>
  <c r="P72" i="20" s="1"/>
  <c r="O71" i="20"/>
  <c r="N71" i="20"/>
  <c r="M71" i="20"/>
  <c r="L71" i="20"/>
  <c r="K71" i="20"/>
  <c r="J71" i="20"/>
  <c r="I71" i="20"/>
  <c r="H71" i="20"/>
  <c r="F71" i="20"/>
  <c r="P71" i="20" s="1"/>
  <c r="O70" i="20"/>
  <c r="N70" i="20"/>
  <c r="M70" i="20"/>
  <c r="L70" i="20"/>
  <c r="K70" i="20"/>
  <c r="J70" i="20"/>
  <c r="I70" i="20"/>
  <c r="H70" i="20"/>
  <c r="F70" i="20"/>
  <c r="P70" i="20" s="1"/>
  <c r="F58" i="20" l="1"/>
  <c r="P58" i="20" s="1"/>
  <c r="O61" i="20"/>
  <c r="N61" i="20"/>
  <c r="M61" i="20"/>
  <c r="L61" i="20"/>
  <c r="K61" i="20"/>
  <c r="J61" i="20"/>
  <c r="I61" i="20"/>
  <c r="H61" i="20"/>
  <c r="F61" i="20"/>
  <c r="P61" i="20" s="1"/>
  <c r="O60" i="20"/>
  <c r="N60" i="20"/>
  <c r="M60" i="20"/>
  <c r="L60" i="20"/>
  <c r="K60" i="20"/>
  <c r="J60" i="20"/>
  <c r="I60" i="20"/>
  <c r="H60" i="20"/>
  <c r="F60" i="20"/>
  <c r="P60" i="20" s="1"/>
  <c r="O59" i="20"/>
  <c r="N59" i="20"/>
  <c r="M59" i="20"/>
  <c r="L59" i="20"/>
  <c r="K59" i="20"/>
  <c r="J59" i="20"/>
  <c r="I59" i="20"/>
  <c r="H59" i="20"/>
  <c r="F59" i="20"/>
  <c r="P59" i="20" s="1"/>
  <c r="O58" i="20"/>
  <c r="N58" i="20"/>
  <c r="M58" i="20"/>
  <c r="L58" i="20"/>
  <c r="K58" i="20"/>
  <c r="J58" i="20"/>
  <c r="H58" i="20"/>
  <c r="O57" i="20"/>
  <c r="N57" i="20"/>
  <c r="M57" i="20"/>
  <c r="L57" i="20"/>
  <c r="K57" i="20"/>
  <c r="J57" i="20"/>
  <c r="I57" i="20"/>
  <c r="H57" i="20"/>
  <c r="F57" i="20"/>
  <c r="P57" i="20" s="1"/>
  <c r="O56" i="20"/>
  <c r="N56" i="20"/>
  <c r="M56" i="20"/>
  <c r="L56" i="20"/>
  <c r="K56" i="20"/>
  <c r="J56" i="20"/>
  <c r="I56" i="20"/>
  <c r="H56" i="20"/>
  <c r="F56" i="20"/>
  <c r="P56" i="20" s="1"/>
  <c r="O55" i="20"/>
  <c r="N55" i="20"/>
  <c r="M55" i="20"/>
  <c r="L55" i="20"/>
  <c r="K55" i="20"/>
  <c r="J55" i="20"/>
  <c r="I55" i="20"/>
  <c r="H55" i="20"/>
  <c r="F55" i="20"/>
  <c r="P55" i="20" s="1"/>
  <c r="O54" i="20"/>
  <c r="N54" i="20"/>
  <c r="M54" i="20"/>
  <c r="L54" i="20"/>
  <c r="K54" i="20"/>
  <c r="J54" i="20"/>
  <c r="I54" i="20"/>
  <c r="H54" i="20"/>
  <c r="F54" i="20"/>
  <c r="P54" i="20" s="1"/>
  <c r="O51" i="20"/>
  <c r="N51" i="20"/>
  <c r="M51" i="20"/>
  <c r="L51" i="20"/>
  <c r="K51" i="20"/>
  <c r="J51" i="20"/>
  <c r="I51" i="20"/>
  <c r="H51" i="20"/>
  <c r="F51" i="20"/>
  <c r="P51" i="20" s="1"/>
  <c r="O50" i="20"/>
  <c r="N50" i="20"/>
  <c r="M50" i="20"/>
  <c r="L50" i="20"/>
  <c r="K50" i="20"/>
  <c r="J50" i="20"/>
  <c r="I50" i="20"/>
  <c r="H50" i="20"/>
  <c r="F50" i="20"/>
  <c r="P50" i="20" s="1"/>
  <c r="O49" i="20"/>
  <c r="N49" i="20"/>
  <c r="M49" i="20"/>
  <c r="L49" i="20"/>
  <c r="K49" i="20"/>
  <c r="J49" i="20"/>
  <c r="I49" i="20"/>
  <c r="H49" i="20"/>
  <c r="F49" i="20"/>
  <c r="P49" i="20" s="1"/>
  <c r="N93" i="20" l="1"/>
  <c r="M93" i="20"/>
  <c r="G93" i="20"/>
  <c r="O93" i="20" s="1"/>
  <c r="F93" i="20"/>
  <c r="P93" i="20" s="1"/>
  <c r="N92" i="20"/>
  <c r="M92" i="20"/>
  <c r="G92" i="20"/>
  <c r="J92" i="20" s="1"/>
  <c r="F92" i="20"/>
  <c r="P92" i="20" s="1"/>
  <c r="N91" i="20"/>
  <c r="M91" i="20"/>
  <c r="G91" i="20"/>
  <c r="I91" i="20" s="1"/>
  <c r="F91" i="20"/>
  <c r="P91" i="20" s="1"/>
  <c r="I93" i="20" l="1"/>
  <c r="L93" i="20"/>
  <c r="H93" i="20"/>
  <c r="J91" i="20"/>
  <c r="J93" i="20"/>
  <c r="K92" i="20"/>
  <c r="O92" i="20"/>
  <c r="K91" i="20"/>
  <c r="O91" i="20"/>
  <c r="H92" i="20"/>
  <c r="L92" i="20"/>
  <c r="H91" i="20"/>
  <c r="L91" i="20"/>
  <c r="I92" i="20"/>
  <c r="K93" i="20"/>
  <c r="D24" i="7"/>
  <c r="C24" i="7" l="1"/>
  <c r="A24" i="7"/>
  <c r="C35" i="7"/>
  <c r="D35" i="7"/>
  <c r="A35" i="7" l="1"/>
  <c r="N124" i="20" l="1"/>
  <c r="M124" i="20"/>
  <c r="G124" i="20"/>
  <c r="L124" i="20" s="1"/>
  <c r="F124" i="20"/>
  <c r="P124" i="20" s="1"/>
  <c r="N133" i="20"/>
  <c r="M133" i="20"/>
  <c r="G133" i="20"/>
  <c r="L133" i="20" s="1"/>
  <c r="F133" i="20"/>
  <c r="P133" i="20" s="1"/>
  <c r="N132" i="20"/>
  <c r="M132" i="20"/>
  <c r="G132" i="20"/>
  <c r="O132" i="20" s="1"/>
  <c r="F132" i="20"/>
  <c r="P132" i="20" s="1"/>
  <c r="I133" i="20" l="1"/>
  <c r="I124" i="20"/>
  <c r="J124" i="20"/>
  <c r="O124" i="20"/>
  <c r="K124" i="20"/>
  <c r="H124" i="20"/>
  <c r="J133" i="20"/>
  <c r="K133" i="20"/>
  <c r="O133" i="20"/>
  <c r="H133" i="20"/>
  <c r="H132" i="20"/>
  <c r="L132" i="20"/>
  <c r="I132" i="20"/>
  <c r="J132" i="20"/>
  <c r="K132" i="20"/>
  <c r="N87" i="20"/>
  <c r="M87" i="20"/>
  <c r="G87" i="20"/>
  <c r="L87" i="20" s="1"/>
  <c r="F87" i="20"/>
  <c r="P87" i="20" s="1"/>
  <c r="J87" i="20" l="1"/>
  <c r="K87" i="20"/>
  <c r="O87" i="20"/>
  <c r="I87" i="20"/>
  <c r="H87" i="20"/>
  <c r="N131" i="20"/>
  <c r="M131" i="20"/>
  <c r="G131" i="20"/>
  <c r="L131" i="20" s="1"/>
  <c r="F131" i="20"/>
  <c r="P131" i="20" s="1"/>
  <c r="I131" i="20" l="1"/>
  <c r="J131" i="20"/>
  <c r="K131" i="20"/>
  <c r="O131" i="20"/>
  <c r="H131" i="20"/>
  <c r="O53" i="20"/>
  <c r="N53" i="20"/>
  <c r="M53" i="20"/>
  <c r="L53" i="20"/>
  <c r="K53" i="20"/>
  <c r="J53" i="20"/>
  <c r="I53" i="20"/>
  <c r="H53" i="20"/>
  <c r="F53" i="20"/>
  <c r="P53" i="20" s="1"/>
  <c r="L52" i="20" l="1"/>
  <c r="F52" i="20"/>
  <c r="P52" i="20" s="1"/>
  <c r="N52" i="20"/>
  <c r="M52" i="20"/>
  <c r="J52" i="20" l="1"/>
  <c r="K52" i="20"/>
  <c r="O52" i="20"/>
  <c r="I52" i="20"/>
  <c r="H52" i="20"/>
  <c r="D22" i="7"/>
  <c r="C22" i="7"/>
  <c r="A22" i="7"/>
  <c r="N130" i="20"/>
  <c r="M130" i="20"/>
  <c r="G130" i="20"/>
  <c r="L130" i="20" s="1"/>
  <c r="F130" i="20"/>
  <c r="P130" i="20" s="1"/>
  <c r="N129" i="20"/>
  <c r="M129" i="20"/>
  <c r="G129" i="20"/>
  <c r="O129" i="20" s="1"/>
  <c r="F129" i="20"/>
  <c r="P129" i="20" s="1"/>
  <c r="N128" i="20"/>
  <c r="M128" i="20"/>
  <c r="G128" i="20"/>
  <c r="O128" i="20" s="1"/>
  <c r="F128" i="20"/>
  <c r="P128" i="20" s="1"/>
  <c r="N127" i="20"/>
  <c r="M127" i="20"/>
  <c r="G127" i="20"/>
  <c r="J127" i="20" s="1"/>
  <c r="F127" i="20"/>
  <c r="P127" i="20" s="1"/>
  <c r="N126" i="20"/>
  <c r="M126" i="20"/>
  <c r="G126" i="20"/>
  <c r="O126" i="20" s="1"/>
  <c r="F126" i="20"/>
  <c r="P126" i="20" s="1"/>
  <c r="N125" i="20"/>
  <c r="M125" i="20"/>
  <c r="G125" i="20"/>
  <c r="O125" i="20" s="1"/>
  <c r="F125" i="20"/>
  <c r="P125" i="20" s="1"/>
  <c r="I130" i="20" l="1"/>
  <c r="J130" i="20"/>
  <c r="J128" i="20"/>
  <c r="L128" i="20"/>
  <c r="H128" i="20"/>
  <c r="I128" i="20"/>
  <c r="H129" i="20"/>
  <c r="L129" i="20"/>
  <c r="I129" i="20"/>
  <c r="J129" i="20"/>
  <c r="K130" i="20"/>
  <c r="O130" i="20"/>
  <c r="K129" i="20"/>
  <c r="H130" i="20"/>
  <c r="K128" i="20"/>
  <c r="J126" i="20"/>
  <c r="I125" i="20"/>
  <c r="H126" i="20"/>
  <c r="L125" i="20"/>
  <c r="H125" i="20"/>
  <c r="L126" i="20"/>
  <c r="J125" i="20"/>
  <c r="I126" i="20"/>
  <c r="K127" i="20"/>
  <c r="O127" i="20"/>
  <c r="H127" i="20"/>
  <c r="L127" i="20"/>
  <c r="I127" i="20"/>
  <c r="K126" i="20"/>
  <c r="K125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P2" i="20"/>
  <c r="N123" i="20"/>
  <c r="M123" i="20"/>
  <c r="G123" i="20"/>
  <c r="O123" i="20" s="1"/>
  <c r="F123" i="20"/>
  <c r="P123" i="20" s="1"/>
  <c r="K123" i="20" l="1"/>
  <c r="H123" i="20"/>
  <c r="L123" i="20"/>
  <c r="I123" i="20"/>
  <c r="J123" i="20"/>
  <c r="D34" i="7" l="1"/>
  <c r="C23" i="7"/>
  <c r="C33" i="7"/>
  <c r="C34" i="7"/>
  <c r="D33" i="7"/>
  <c r="D23" i="7"/>
  <c r="A23" i="7"/>
  <c r="A33" i="7"/>
  <c r="A34" i="7"/>
  <c r="F119" i="20"/>
  <c r="P119" i="20" s="1"/>
  <c r="G119" i="20"/>
  <c r="J119" i="20" s="1"/>
  <c r="M119" i="20"/>
  <c r="N119" i="20"/>
  <c r="F120" i="20"/>
  <c r="P120" i="20" s="1"/>
  <c r="G120" i="20"/>
  <c r="H120" i="20" s="1"/>
  <c r="M120" i="20"/>
  <c r="N120" i="20"/>
  <c r="F121" i="20"/>
  <c r="P121" i="20" s="1"/>
  <c r="G121" i="20"/>
  <c r="J121" i="20" s="1"/>
  <c r="M121" i="20"/>
  <c r="N121" i="20"/>
  <c r="F122" i="20"/>
  <c r="P122" i="20" s="1"/>
  <c r="G122" i="20"/>
  <c r="H122" i="20" s="1"/>
  <c r="M122" i="20"/>
  <c r="N122" i="20"/>
  <c r="O119" i="20" l="1"/>
  <c r="K121" i="20"/>
  <c r="I119" i="20"/>
  <c r="O121" i="20"/>
  <c r="I121" i="20"/>
  <c r="K119" i="20"/>
  <c r="J122" i="20"/>
  <c r="L121" i="20"/>
  <c r="H121" i="20"/>
  <c r="J120" i="20"/>
  <c r="L119" i="20"/>
  <c r="H119" i="20"/>
  <c r="O122" i="20"/>
  <c r="K122" i="20"/>
  <c r="O120" i="20"/>
  <c r="K120" i="20"/>
  <c r="I122" i="20"/>
  <c r="I120" i="20"/>
  <c r="L122" i="20"/>
  <c r="L120" i="20"/>
  <c r="Q3" i="28" l="1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2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2" i="28"/>
  <c r="C11" i="7"/>
  <c r="C12" i="7"/>
  <c r="C13" i="7"/>
  <c r="C14" i="7"/>
  <c r="C15" i="7"/>
  <c r="C16" i="7"/>
  <c r="C17" i="7"/>
  <c r="C10" i="7"/>
  <c r="M20" i="28"/>
  <c r="N20" i="28"/>
  <c r="O20" i="28" s="1"/>
  <c r="C29" i="7" s="1"/>
  <c r="M21" i="28"/>
  <c r="N21" i="28"/>
  <c r="M22" i="28"/>
  <c r="N22" i="28"/>
  <c r="O22" i="28" s="1"/>
  <c r="M23" i="28"/>
  <c r="N23" i="28"/>
  <c r="M24" i="28"/>
  <c r="N24" i="28"/>
  <c r="O24" i="28" s="1"/>
  <c r="M25" i="28"/>
  <c r="N25" i="28"/>
  <c r="M26" i="28"/>
  <c r="N26" i="28"/>
  <c r="O26" i="28" s="1"/>
  <c r="M27" i="28"/>
  <c r="N27" i="28"/>
  <c r="M28" i="28"/>
  <c r="N28" i="28"/>
  <c r="O28" i="28" s="1"/>
  <c r="C25" i="7" s="1"/>
  <c r="M29" i="28"/>
  <c r="N29" i="28"/>
  <c r="M30" i="28"/>
  <c r="N30" i="28"/>
  <c r="O30" i="28" s="1"/>
  <c r="C27" i="7" s="1"/>
  <c r="M31" i="28"/>
  <c r="N31" i="28"/>
  <c r="M32" i="28"/>
  <c r="N32" i="28"/>
  <c r="O32" i="28" s="1"/>
  <c r="M33" i="28"/>
  <c r="N33" i="28"/>
  <c r="M34" i="28"/>
  <c r="N34" i="28"/>
  <c r="O34" i="28" s="1"/>
  <c r="M35" i="28"/>
  <c r="N35" i="28"/>
  <c r="M36" i="28"/>
  <c r="N36" i="28"/>
  <c r="O36" i="28" s="1"/>
  <c r="M37" i="28"/>
  <c r="N37" i="28"/>
  <c r="M38" i="28"/>
  <c r="N38" i="28"/>
  <c r="O38" i="28" s="1"/>
  <c r="M39" i="28"/>
  <c r="N39" i="28"/>
  <c r="M40" i="28"/>
  <c r="N40" i="28"/>
  <c r="O40" i="28" s="1"/>
  <c r="M41" i="28"/>
  <c r="N41" i="28"/>
  <c r="M42" i="28"/>
  <c r="N42" i="28"/>
  <c r="O42" i="28" s="1"/>
  <c r="M43" i="28"/>
  <c r="N43" i="28"/>
  <c r="M44" i="28"/>
  <c r="N44" i="28"/>
  <c r="O44" i="28" s="1"/>
  <c r="M45" i="28"/>
  <c r="N45" i="28"/>
  <c r="M46" i="28"/>
  <c r="N46" i="28"/>
  <c r="O46" i="28" s="1"/>
  <c r="M47" i="28"/>
  <c r="N47" i="28"/>
  <c r="O47" i="28" s="1"/>
  <c r="M48" i="28"/>
  <c r="N48" i="28"/>
  <c r="O48" i="28" s="1"/>
  <c r="M49" i="28"/>
  <c r="N49" i="28"/>
  <c r="O49" i="28" s="1"/>
  <c r="M50" i="28"/>
  <c r="N50" i="28"/>
  <c r="O50" i="28" s="1"/>
  <c r="C21" i="7" s="1"/>
  <c r="M51" i="28"/>
  <c r="N51" i="28"/>
  <c r="O51" i="28" s="1"/>
  <c r="M52" i="28"/>
  <c r="N52" i="28"/>
  <c r="O52" i="28" s="1"/>
  <c r="M53" i="28"/>
  <c r="N53" i="28"/>
  <c r="O53" i="28" s="1"/>
  <c r="M54" i="28"/>
  <c r="N54" i="28"/>
  <c r="O54" i="28" s="1"/>
  <c r="M55" i="28"/>
  <c r="N55" i="28"/>
  <c r="O55" i="28" s="1"/>
  <c r="M56" i="28"/>
  <c r="N56" i="28"/>
  <c r="O56" i="28" s="1"/>
  <c r="M57" i="28"/>
  <c r="N57" i="28"/>
  <c r="O57" i="28" s="1"/>
  <c r="M58" i="28"/>
  <c r="N58" i="28"/>
  <c r="O58" i="28" s="1"/>
  <c r="M59" i="28"/>
  <c r="N59" i="28"/>
  <c r="O59" i="28" s="1"/>
  <c r="C36" i="7" s="1"/>
  <c r="M60" i="28"/>
  <c r="N60" i="28"/>
  <c r="O60" i="28" s="1"/>
  <c r="C37" i="7" s="1"/>
  <c r="M61" i="28"/>
  <c r="N61" i="28"/>
  <c r="O61" i="28" s="1"/>
  <c r="M62" i="28"/>
  <c r="N62" i="28"/>
  <c r="O62" i="28" s="1"/>
  <c r="M63" i="28"/>
  <c r="N63" i="28"/>
  <c r="O63" i="28" s="1"/>
  <c r="M64" i="28"/>
  <c r="N64" i="28"/>
  <c r="O64" i="28" s="1"/>
  <c r="M65" i="28"/>
  <c r="N65" i="28"/>
  <c r="O65" i="28" s="1"/>
  <c r="M66" i="28"/>
  <c r="N66" i="28"/>
  <c r="O66" i="28" s="1"/>
  <c r="M67" i="28"/>
  <c r="N67" i="28"/>
  <c r="O67" i="28" s="1"/>
  <c r="M68" i="28"/>
  <c r="N68" i="28"/>
  <c r="O68" i="28" s="1"/>
  <c r="M69" i="28"/>
  <c r="N69" i="28"/>
  <c r="M70" i="28"/>
  <c r="N70" i="28"/>
  <c r="O70" i="28" s="1"/>
  <c r="M71" i="28"/>
  <c r="N71" i="28"/>
  <c r="O71" i="28" s="1"/>
  <c r="M72" i="28"/>
  <c r="N72" i="28"/>
  <c r="O72" i="28" s="1"/>
  <c r="M73" i="28"/>
  <c r="N73" i="28"/>
  <c r="M74" i="28"/>
  <c r="N74" i="28"/>
  <c r="O74" i="28" s="1"/>
  <c r="M75" i="28"/>
  <c r="N75" i="28"/>
  <c r="O75" i="28" s="1"/>
  <c r="M76" i="28"/>
  <c r="N76" i="28"/>
  <c r="O76" i="28" s="1"/>
  <c r="M77" i="28"/>
  <c r="N77" i="28"/>
  <c r="M78" i="28"/>
  <c r="N78" i="28"/>
  <c r="O78" i="28" s="1"/>
  <c r="M79" i="28"/>
  <c r="N79" i="28"/>
  <c r="O79" i="28" s="1"/>
  <c r="M80" i="28"/>
  <c r="N80" i="28"/>
  <c r="O80" i="28" s="1"/>
  <c r="M81" i="28"/>
  <c r="N81" i="28"/>
  <c r="M82" i="28"/>
  <c r="N82" i="28"/>
  <c r="O82" i="28" s="1"/>
  <c r="M83" i="28"/>
  <c r="N83" i="28"/>
  <c r="O83" i="28" s="1"/>
  <c r="M84" i="28"/>
  <c r="N84" i="28"/>
  <c r="O84" i="28" s="1"/>
  <c r="M85" i="28"/>
  <c r="N85" i="28"/>
  <c r="M86" i="28"/>
  <c r="N86" i="28"/>
  <c r="O86" i="28" s="1"/>
  <c r="M87" i="28"/>
  <c r="N87" i="28"/>
  <c r="O87" i="28" s="1"/>
  <c r="M88" i="28"/>
  <c r="N88" i="28"/>
  <c r="O88" i="28" s="1"/>
  <c r="M89" i="28"/>
  <c r="N89" i="28"/>
  <c r="M90" i="28"/>
  <c r="N90" i="28"/>
  <c r="O90" i="28" s="1"/>
  <c r="M91" i="28"/>
  <c r="N91" i="28"/>
  <c r="O91" i="28" s="1"/>
  <c r="M92" i="28"/>
  <c r="N92" i="28"/>
  <c r="O92" i="28" s="1"/>
  <c r="M93" i="28"/>
  <c r="N93" i="28"/>
  <c r="M94" i="28"/>
  <c r="N94" i="28"/>
  <c r="O94" i="28" s="1"/>
  <c r="M95" i="28"/>
  <c r="N95" i="28"/>
  <c r="O95" i="28" s="1"/>
  <c r="N3" i="28"/>
  <c r="N4" i="28"/>
  <c r="N5" i="28"/>
  <c r="N6" i="28"/>
  <c r="N7" i="28"/>
  <c r="N8" i="28"/>
  <c r="N9" i="28"/>
  <c r="N10" i="28"/>
  <c r="O10" i="28" s="1"/>
  <c r="N11" i="28"/>
  <c r="N12" i="28"/>
  <c r="O12" i="28" s="1"/>
  <c r="N13" i="28"/>
  <c r="N14" i="28"/>
  <c r="N15" i="28"/>
  <c r="N16" i="28"/>
  <c r="O16" i="28" s="1"/>
  <c r="N17" i="28"/>
  <c r="N18" i="28"/>
  <c r="N19" i="28"/>
  <c r="N2" i="28"/>
  <c r="M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O45" i="28" l="1"/>
  <c r="O43" i="28"/>
  <c r="O41" i="28"/>
  <c r="O39" i="28"/>
  <c r="O37" i="28"/>
  <c r="O35" i="28"/>
  <c r="O33" i="28"/>
  <c r="O31" i="28"/>
  <c r="O29" i="28"/>
  <c r="C26" i="7" s="1"/>
  <c r="O27" i="28"/>
  <c r="O25" i="28"/>
  <c r="O23" i="28"/>
  <c r="C30" i="7" s="1"/>
  <c r="O21" i="28"/>
  <c r="O19" i="28"/>
  <c r="C28" i="7" s="1"/>
  <c r="O15" i="28"/>
  <c r="O11" i="28"/>
  <c r="O18" i="28"/>
  <c r="O14" i="28"/>
  <c r="O17" i="28"/>
  <c r="C20" i="7" s="1"/>
  <c r="O13" i="28"/>
  <c r="O93" i="28"/>
  <c r="O89" i="28"/>
  <c r="O85" i="28"/>
  <c r="O81" i="28"/>
  <c r="O77" i="28"/>
  <c r="O73" i="28"/>
  <c r="O69" i="28"/>
  <c r="A4" i="30"/>
  <c r="A5" i="30"/>
  <c r="A6" i="30"/>
  <c r="A7" i="30"/>
  <c r="A8" i="30"/>
  <c r="A9" i="30"/>
  <c r="A10" i="30"/>
  <c r="A11" i="30"/>
  <c r="A12" i="30"/>
  <c r="A13" i="30"/>
  <c r="A14" i="30"/>
  <c r="A3" i="30"/>
  <c r="A8" i="9"/>
  <c r="A7" i="9"/>
  <c r="A6" i="9"/>
  <c r="A5" i="9"/>
  <c r="A4" i="9"/>
  <c r="A3" i="17"/>
  <c r="A36" i="7"/>
  <c r="A29" i="7"/>
  <c r="A30" i="7"/>
  <c r="A21" i="7"/>
  <c r="A20" i="7"/>
  <c r="A28" i="7"/>
  <c r="A27" i="7"/>
  <c r="A26" i="7"/>
  <c r="A25" i="7"/>
  <c r="A17" i="7"/>
  <c r="A16" i="7"/>
  <c r="A15" i="7"/>
  <c r="A14" i="7"/>
  <c r="A13" i="7"/>
  <c r="A12" i="7"/>
  <c r="A11" i="7"/>
  <c r="A10" i="7"/>
  <c r="A37" i="7"/>
  <c r="O34" i="20"/>
  <c r="N34" i="20"/>
  <c r="M34" i="20"/>
  <c r="L34" i="20"/>
  <c r="K34" i="20"/>
  <c r="J34" i="20"/>
  <c r="H34" i="20"/>
  <c r="O33" i="20"/>
  <c r="N33" i="20"/>
  <c r="M33" i="20"/>
  <c r="L33" i="20"/>
  <c r="K33" i="20"/>
  <c r="J33" i="20"/>
  <c r="H33" i="20"/>
  <c r="O32" i="20"/>
  <c r="N32" i="20"/>
  <c r="M32" i="20"/>
  <c r="L32" i="20"/>
  <c r="K32" i="20"/>
  <c r="J32" i="20"/>
  <c r="H32" i="20"/>
  <c r="O16" i="20"/>
  <c r="N16" i="20"/>
  <c r="M16" i="20"/>
  <c r="L16" i="20"/>
  <c r="K16" i="20"/>
  <c r="J16" i="20"/>
  <c r="H16" i="20"/>
  <c r="O15" i="20"/>
  <c r="N15" i="20"/>
  <c r="M15" i="20"/>
  <c r="L15" i="20"/>
  <c r="K15" i="20"/>
  <c r="J15" i="20"/>
  <c r="H15" i="20"/>
  <c r="O14" i="20"/>
  <c r="N14" i="20"/>
  <c r="M14" i="20"/>
  <c r="L14" i="20"/>
  <c r="K14" i="20"/>
  <c r="J14" i="20"/>
  <c r="H14" i="20"/>
  <c r="O13" i="20"/>
  <c r="N13" i="20"/>
  <c r="M13" i="20"/>
  <c r="L13" i="20"/>
  <c r="K13" i="20"/>
  <c r="J13" i="20"/>
  <c r="I13" i="20"/>
  <c r="H13" i="20"/>
  <c r="O12" i="20"/>
  <c r="N12" i="20"/>
  <c r="M12" i="20"/>
  <c r="L12" i="20"/>
  <c r="K12" i="20"/>
  <c r="J12" i="20"/>
  <c r="I12" i="20"/>
  <c r="H12" i="20"/>
  <c r="O11" i="20"/>
  <c r="N11" i="20"/>
  <c r="M11" i="20"/>
  <c r="L11" i="20"/>
  <c r="K11" i="20"/>
  <c r="J11" i="20"/>
  <c r="I11" i="20"/>
  <c r="H11" i="20"/>
  <c r="O10" i="20"/>
  <c r="N10" i="20"/>
  <c r="M10" i="20"/>
  <c r="L10" i="20"/>
  <c r="K10" i="20"/>
  <c r="J10" i="20"/>
  <c r="I10" i="20"/>
  <c r="H10" i="20"/>
  <c r="O9" i="20"/>
  <c r="N9" i="20"/>
  <c r="M9" i="20"/>
  <c r="L9" i="20"/>
  <c r="K9" i="20"/>
  <c r="J9" i="20"/>
  <c r="I9" i="20"/>
  <c r="H9" i="20"/>
  <c r="O8" i="20"/>
  <c r="N8" i="20"/>
  <c r="M8" i="20"/>
  <c r="L8" i="20"/>
  <c r="K8" i="20"/>
  <c r="J8" i="20"/>
  <c r="I8" i="20"/>
  <c r="H8" i="20"/>
  <c r="O7" i="20"/>
  <c r="N7" i="20"/>
  <c r="M7" i="20"/>
  <c r="L7" i="20"/>
  <c r="K7" i="20"/>
  <c r="J7" i="20"/>
  <c r="I7" i="20"/>
  <c r="H7" i="20"/>
  <c r="O6" i="20"/>
  <c r="N6" i="20"/>
  <c r="M6" i="20"/>
  <c r="L6" i="20"/>
  <c r="K6" i="20"/>
  <c r="J6" i="20"/>
  <c r="I6" i="20"/>
  <c r="H6" i="20"/>
  <c r="O5" i="20"/>
  <c r="N5" i="20"/>
  <c r="M5" i="20"/>
  <c r="L5" i="20"/>
  <c r="K5" i="20"/>
  <c r="J5" i="20"/>
  <c r="I5" i="20"/>
  <c r="H5" i="20"/>
  <c r="O4" i="20"/>
  <c r="N4" i="20"/>
  <c r="M4" i="20"/>
  <c r="L4" i="20"/>
  <c r="K4" i="20"/>
  <c r="J4" i="20"/>
  <c r="I4" i="20"/>
  <c r="H4" i="20"/>
  <c r="O3" i="20"/>
  <c r="N3" i="20"/>
  <c r="M3" i="20"/>
  <c r="L3" i="20"/>
  <c r="K3" i="20"/>
  <c r="J3" i="20"/>
  <c r="I3" i="20"/>
  <c r="H3" i="20"/>
  <c r="O2" i="20"/>
  <c r="N2" i="20"/>
  <c r="M2" i="20"/>
  <c r="L2" i="20"/>
  <c r="K2" i="20"/>
  <c r="J2" i="20"/>
  <c r="I2" i="20"/>
  <c r="H2" i="20"/>
  <c r="O30" i="20"/>
  <c r="N30" i="20"/>
  <c r="M30" i="20"/>
  <c r="L30" i="20"/>
  <c r="K30" i="20"/>
  <c r="J30" i="20"/>
  <c r="I30" i="20"/>
  <c r="H30" i="20"/>
  <c r="O29" i="20"/>
  <c r="N29" i="20"/>
  <c r="M29" i="20"/>
  <c r="L29" i="20"/>
  <c r="K29" i="20"/>
  <c r="J29" i="20"/>
  <c r="I29" i="20"/>
  <c r="H29" i="20"/>
  <c r="O28" i="20"/>
  <c r="N28" i="20"/>
  <c r="M28" i="20"/>
  <c r="L28" i="20"/>
  <c r="K28" i="20"/>
  <c r="J28" i="20"/>
  <c r="I28" i="20"/>
  <c r="H28" i="20"/>
  <c r="O27" i="20"/>
  <c r="N27" i="20"/>
  <c r="M27" i="20"/>
  <c r="L27" i="20"/>
  <c r="K27" i="20"/>
  <c r="J27" i="20"/>
  <c r="I27" i="20"/>
  <c r="H27" i="20"/>
  <c r="O26" i="20"/>
  <c r="N26" i="20"/>
  <c r="M26" i="20"/>
  <c r="L26" i="20"/>
  <c r="K26" i="20"/>
  <c r="J26" i="20"/>
  <c r="I26" i="20"/>
  <c r="H26" i="20"/>
  <c r="O25" i="20"/>
  <c r="N25" i="20"/>
  <c r="M25" i="20"/>
  <c r="L25" i="20"/>
  <c r="K25" i="20"/>
  <c r="J25" i="20"/>
  <c r="I25" i="20"/>
  <c r="H25" i="20"/>
  <c r="O24" i="20"/>
  <c r="N24" i="20"/>
  <c r="M24" i="20"/>
  <c r="L24" i="20"/>
  <c r="K24" i="20"/>
  <c r="J24" i="20"/>
  <c r="I24" i="20"/>
  <c r="H24" i="20"/>
  <c r="O23" i="20"/>
  <c r="N23" i="20"/>
  <c r="M23" i="20"/>
  <c r="L23" i="20"/>
  <c r="K23" i="20"/>
  <c r="J23" i="20"/>
  <c r="I23" i="20"/>
  <c r="H23" i="20"/>
  <c r="O22" i="20"/>
  <c r="N22" i="20"/>
  <c r="M22" i="20"/>
  <c r="L22" i="20"/>
  <c r="K22" i="20"/>
  <c r="J22" i="20"/>
  <c r="I22" i="20"/>
  <c r="H22" i="20"/>
  <c r="O21" i="20"/>
  <c r="N21" i="20"/>
  <c r="M21" i="20"/>
  <c r="L21" i="20"/>
  <c r="K21" i="20"/>
  <c r="J21" i="20"/>
  <c r="I21" i="20"/>
  <c r="H21" i="20"/>
  <c r="O20" i="20"/>
  <c r="N20" i="20"/>
  <c r="M20" i="20"/>
  <c r="L20" i="20"/>
  <c r="K20" i="20"/>
  <c r="J20" i="20"/>
  <c r="I20" i="20"/>
  <c r="H20" i="20"/>
  <c r="O19" i="20"/>
  <c r="N19" i="20"/>
  <c r="M19" i="20"/>
  <c r="L19" i="20"/>
  <c r="K19" i="20"/>
  <c r="J19" i="20"/>
  <c r="I19" i="20"/>
  <c r="H19" i="20"/>
  <c r="O18" i="20"/>
  <c r="N18" i="20"/>
  <c r="M18" i="20"/>
  <c r="L18" i="20"/>
  <c r="K18" i="20"/>
  <c r="J18" i="20"/>
  <c r="I18" i="20"/>
  <c r="H18" i="20"/>
  <c r="O17" i="20"/>
  <c r="N17" i="20"/>
  <c r="M17" i="20"/>
  <c r="L17" i="20"/>
  <c r="K17" i="20"/>
  <c r="J17" i="20"/>
  <c r="I17" i="20"/>
  <c r="H17" i="20"/>
  <c r="O31" i="20"/>
  <c r="N31" i="20"/>
  <c r="M31" i="20"/>
  <c r="L31" i="20"/>
  <c r="K31" i="20"/>
  <c r="J31" i="20"/>
  <c r="I31" i="20"/>
  <c r="H31" i="20"/>
  <c r="O38" i="20"/>
  <c r="N38" i="20"/>
  <c r="M38" i="20"/>
  <c r="L38" i="20"/>
  <c r="K38" i="20"/>
  <c r="J38" i="20"/>
  <c r="I38" i="20"/>
  <c r="H38" i="20"/>
  <c r="O37" i="20"/>
  <c r="N37" i="20"/>
  <c r="M37" i="20"/>
  <c r="L37" i="20"/>
  <c r="K37" i="20"/>
  <c r="J37" i="20"/>
  <c r="I37" i="20"/>
  <c r="H37" i="20"/>
  <c r="O36" i="20"/>
  <c r="N36" i="20"/>
  <c r="M36" i="20"/>
  <c r="L36" i="20"/>
  <c r="K36" i="20"/>
  <c r="J36" i="20"/>
  <c r="I36" i="20"/>
  <c r="H36" i="20"/>
  <c r="O35" i="20"/>
  <c r="N35" i="20"/>
  <c r="M35" i="20"/>
  <c r="L35" i="20"/>
  <c r="K35" i="20"/>
  <c r="J35" i="20"/>
  <c r="I35" i="20"/>
  <c r="H35" i="20"/>
  <c r="O39" i="20"/>
  <c r="N39" i="20"/>
  <c r="M39" i="20"/>
  <c r="L39" i="20"/>
  <c r="K39" i="20"/>
  <c r="J39" i="20"/>
  <c r="I39" i="20"/>
  <c r="H39" i="20"/>
  <c r="O40" i="20"/>
  <c r="N40" i="20"/>
  <c r="M40" i="20"/>
  <c r="L40" i="20"/>
  <c r="K40" i="20"/>
  <c r="J40" i="20"/>
  <c r="I40" i="20"/>
  <c r="H40" i="20"/>
  <c r="O41" i="20"/>
  <c r="N41" i="20"/>
  <c r="M41" i="20"/>
  <c r="L41" i="20"/>
  <c r="K41" i="20"/>
  <c r="J41" i="20"/>
  <c r="I41" i="20"/>
  <c r="H41" i="20"/>
  <c r="O42" i="20"/>
  <c r="N42" i="20"/>
  <c r="M42" i="20"/>
  <c r="L42" i="20"/>
  <c r="K42" i="20"/>
  <c r="J42" i="20"/>
  <c r="I42" i="20"/>
  <c r="H42" i="20"/>
  <c r="O43" i="20"/>
  <c r="N43" i="20"/>
  <c r="M43" i="20"/>
  <c r="L43" i="20"/>
  <c r="K43" i="20"/>
  <c r="J43" i="20"/>
  <c r="I43" i="20"/>
  <c r="H43" i="20"/>
  <c r="O44" i="20"/>
  <c r="N44" i="20"/>
  <c r="M44" i="20"/>
  <c r="L44" i="20"/>
  <c r="K44" i="20"/>
  <c r="J44" i="20"/>
  <c r="I44" i="20"/>
  <c r="H44" i="20"/>
  <c r="O45" i="20"/>
  <c r="N45" i="20"/>
  <c r="M45" i="20"/>
  <c r="L45" i="20"/>
  <c r="K45" i="20"/>
  <c r="J45" i="20"/>
  <c r="I45" i="20"/>
  <c r="H45" i="20"/>
  <c r="O46" i="20"/>
  <c r="N46" i="20"/>
  <c r="M46" i="20"/>
  <c r="L46" i="20"/>
  <c r="K46" i="20"/>
  <c r="J46" i="20"/>
  <c r="I46" i="20"/>
  <c r="H46" i="20"/>
  <c r="O47" i="20"/>
  <c r="N47" i="20"/>
  <c r="M47" i="20"/>
  <c r="L47" i="20"/>
  <c r="K47" i="20"/>
  <c r="J47" i="20"/>
  <c r="I47" i="20"/>
  <c r="H47" i="20"/>
  <c r="O48" i="20"/>
  <c r="N48" i="20"/>
  <c r="M48" i="20"/>
  <c r="L48" i="20"/>
  <c r="K48" i="20"/>
  <c r="J48" i="20"/>
  <c r="I48" i="20"/>
  <c r="H48" i="20"/>
  <c r="N105" i="20"/>
  <c r="M105" i="20"/>
  <c r="G105" i="20"/>
  <c r="O105" i="20" s="1"/>
  <c r="F105" i="20"/>
  <c r="P105" i="20" s="1"/>
  <c r="N104" i="20"/>
  <c r="M104" i="20"/>
  <c r="G104" i="20"/>
  <c r="I104" i="20" s="1"/>
  <c r="F104" i="20"/>
  <c r="P104" i="20" s="1"/>
  <c r="N103" i="20"/>
  <c r="M103" i="20"/>
  <c r="G103" i="20"/>
  <c r="O103" i="20" s="1"/>
  <c r="F103" i="20"/>
  <c r="P103" i="20" s="1"/>
  <c r="N102" i="20"/>
  <c r="M102" i="20"/>
  <c r="G102" i="20"/>
  <c r="I102" i="20" s="1"/>
  <c r="F102" i="20"/>
  <c r="P102" i="20" s="1"/>
  <c r="N101" i="20"/>
  <c r="M101" i="20"/>
  <c r="G101" i="20"/>
  <c r="O101" i="20" s="1"/>
  <c r="F101" i="20"/>
  <c r="P101" i="20" s="1"/>
  <c r="N100" i="20"/>
  <c r="M100" i="20"/>
  <c r="G100" i="20"/>
  <c r="I100" i="20" s="1"/>
  <c r="F100" i="20"/>
  <c r="P100" i="20" s="1"/>
  <c r="N99" i="20"/>
  <c r="M99" i="20"/>
  <c r="G99" i="20"/>
  <c r="O99" i="20" s="1"/>
  <c r="F99" i="20"/>
  <c r="P99" i="20" s="1"/>
  <c r="N98" i="20"/>
  <c r="M98" i="20"/>
  <c r="G98" i="20"/>
  <c r="I98" i="20" s="1"/>
  <c r="F98" i="20"/>
  <c r="P98" i="20" s="1"/>
  <c r="N97" i="20"/>
  <c r="M97" i="20"/>
  <c r="G97" i="20"/>
  <c r="O97" i="20" s="1"/>
  <c r="F97" i="20"/>
  <c r="P97" i="20" s="1"/>
  <c r="N96" i="20"/>
  <c r="M96" i="20"/>
  <c r="G96" i="20"/>
  <c r="I96" i="20" s="1"/>
  <c r="F96" i="20"/>
  <c r="P96" i="20" s="1"/>
  <c r="N95" i="20"/>
  <c r="M95" i="20"/>
  <c r="G95" i="20"/>
  <c r="O95" i="20" s="1"/>
  <c r="F95" i="20"/>
  <c r="P95" i="20" s="1"/>
  <c r="N94" i="20"/>
  <c r="M94" i="20"/>
  <c r="G94" i="20"/>
  <c r="I94" i="20" s="1"/>
  <c r="F94" i="20"/>
  <c r="P94" i="20" s="1"/>
  <c r="N90" i="20"/>
  <c r="M90" i="20"/>
  <c r="G90" i="20"/>
  <c r="O90" i="20" s="1"/>
  <c r="F90" i="20"/>
  <c r="P90" i="20" s="1"/>
  <c r="N89" i="20"/>
  <c r="M89" i="20"/>
  <c r="G89" i="20"/>
  <c r="I89" i="20" s="1"/>
  <c r="F89" i="20"/>
  <c r="P89" i="20" s="1"/>
  <c r="N88" i="20"/>
  <c r="M88" i="20"/>
  <c r="G88" i="20"/>
  <c r="O88" i="20" s="1"/>
  <c r="F88" i="20"/>
  <c r="P88" i="20" s="1"/>
  <c r="N86" i="20"/>
  <c r="M86" i="20"/>
  <c r="G86" i="20"/>
  <c r="I86" i="20" s="1"/>
  <c r="F86" i="20"/>
  <c r="P86" i="20" s="1"/>
  <c r="N85" i="20"/>
  <c r="M85" i="20"/>
  <c r="G85" i="20"/>
  <c r="O85" i="20" s="1"/>
  <c r="F85" i="20"/>
  <c r="P85" i="20" s="1"/>
  <c r="N84" i="20"/>
  <c r="M84" i="20"/>
  <c r="G84" i="20"/>
  <c r="I84" i="20" s="1"/>
  <c r="F84" i="20"/>
  <c r="P84" i="20" s="1"/>
  <c r="N83" i="20"/>
  <c r="M83" i="20"/>
  <c r="G83" i="20"/>
  <c r="O83" i="20" s="1"/>
  <c r="F83" i="20"/>
  <c r="P83" i="20" s="1"/>
  <c r="N82" i="20"/>
  <c r="M82" i="20"/>
  <c r="G82" i="20"/>
  <c r="I82" i="20" s="1"/>
  <c r="F82" i="20"/>
  <c r="P82" i="20" s="1"/>
  <c r="N81" i="20"/>
  <c r="M81" i="20"/>
  <c r="G81" i="20"/>
  <c r="O81" i="20" s="1"/>
  <c r="F81" i="20"/>
  <c r="P81" i="20" s="1"/>
  <c r="N108" i="20"/>
  <c r="M108" i="20"/>
  <c r="G108" i="20"/>
  <c r="O108" i="20" s="1"/>
  <c r="F108" i="20"/>
  <c r="P108" i="20" s="1"/>
  <c r="N107" i="20"/>
  <c r="M107" i="20"/>
  <c r="G107" i="20"/>
  <c r="I107" i="20" s="1"/>
  <c r="F107" i="20"/>
  <c r="P107" i="20" s="1"/>
  <c r="N106" i="20"/>
  <c r="M106" i="20"/>
  <c r="G106" i="20"/>
  <c r="O106" i="20" s="1"/>
  <c r="F106" i="20"/>
  <c r="P106" i="20" s="1"/>
  <c r="N109" i="20"/>
  <c r="M109" i="20"/>
  <c r="G109" i="20"/>
  <c r="O109" i="20" s="1"/>
  <c r="F109" i="20"/>
  <c r="P109" i="20" s="1"/>
  <c r="N110" i="20"/>
  <c r="M110" i="20"/>
  <c r="G110" i="20"/>
  <c r="O110" i="20" s="1"/>
  <c r="F110" i="20"/>
  <c r="P110" i="20" s="1"/>
  <c r="N111" i="20"/>
  <c r="M111" i="20"/>
  <c r="G111" i="20"/>
  <c r="O111" i="20" s="1"/>
  <c r="F111" i="20"/>
  <c r="P111" i="20" s="1"/>
  <c r="N112" i="20"/>
  <c r="M112" i="20"/>
  <c r="G112" i="20"/>
  <c r="O112" i="20" s="1"/>
  <c r="F112" i="20"/>
  <c r="P112" i="20" s="1"/>
  <c r="N113" i="20"/>
  <c r="M113" i="20"/>
  <c r="G113" i="20"/>
  <c r="O113" i="20" s="1"/>
  <c r="F113" i="20"/>
  <c r="P113" i="20" s="1"/>
  <c r="N114" i="20"/>
  <c r="M114" i="20"/>
  <c r="G114" i="20"/>
  <c r="I114" i="20" s="1"/>
  <c r="F114" i="20"/>
  <c r="P114" i="20" s="1"/>
  <c r="N115" i="20"/>
  <c r="M115" i="20"/>
  <c r="G115" i="20"/>
  <c r="O115" i="20" s="1"/>
  <c r="F115" i="20"/>
  <c r="P115" i="20" s="1"/>
  <c r="F117" i="20"/>
  <c r="P117" i="20" s="1"/>
  <c r="G117" i="20"/>
  <c r="J117" i="20" s="1"/>
  <c r="M117" i="20"/>
  <c r="N117" i="20"/>
  <c r="F118" i="20"/>
  <c r="P118" i="20" s="1"/>
  <c r="G118" i="20"/>
  <c r="L118" i="20" s="1"/>
  <c r="M118" i="20"/>
  <c r="N118" i="20"/>
  <c r="N116" i="20"/>
  <c r="M116" i="20"/>
  <c r="G116" i="20"/>
  <c r="I116" i="20" s="1"/>
  <c r="F116" i="20"/>
  <c r="P116" i="20" s="1"/>
  <c r="L103" i="20" l="1"/>
  <c r="I103" i="20"/>
  <c r="I117" i="20"/>
  <c r="J84" i="20"/>
  <c r="L84" i="20"/>
  <c r="J81" i="20"/>
  <c r="J94" i="20"/>
  <c r="J82" i="20"/>
  <c r="J96" i="20"/>
  <c r="H83" i="20"/>
  <c r="L82" i="20"/>
  <c r="J86" i="20"/>
  <c r="J98" i="20"/>
  <c r="J104" i="20"/>
  <c r="H103" i="20"/>
  <c r="O117" i="20"/>
  <c r="J106" i="20"/>
  <c r="I81" i="20"/>
  <c r="I83" i="20"/>
  <c r="J89" i="20"/>
  <c r="J100" i="20"/>
  <c r="H107" i="20"/>
  <c r="H115" i="20"/>
  <c r="L85" i="20"/>
  <c r="L88" i="20"/>
  <c r="L90" i="20"/>
  <c r="L95" i="20"/>
  <c r="L97" i="20"/>
  <c r="L99" i="20"/>
  <c r="J102" i="20"/>
  <c r="L105" i="20"/>
  <c r="H82" i="20"/>
  <c r="H86" i="20"/>
  <c r="H94" i="20"/>
  <c r="H98" i="20"/>
  <c r="H102" i="20"/>
  <c r="H106" i="20"/>
  <c r="H110" i="20"/>
  <c r="H114" i="20"/>
  <c r="H118" i="20"/>
  <c r="H88" i="20"/>
  <c r="H111" i="20"/>
  <c r="L110" i="20"/>
  <c r="L81" i="20"/>
  <c r="J83" i="20"/>
  <c r="I85" i="20"/>
  <c r="I88" i="20"/>
  <c r="I90" i="20"/>
  <c r="I95" i="20"/>
  <c r="I97" i="20"/>
  <c r="I99" i="20"/>
  <c r="I101" i="20"/>
  <c r="H84" i="20"/>
  <c r="H89" i="20"/>
  <c r="H96" i="20"/>
  <c r="H100" i="20"/>
  <c r="H104" i="20"/>
  <c r="H108" i="20"/>
  <c r="H112" i="20"/>
  <c r="H116" i="20"/>
  <c r="H95" i="20"/>
  <c r="H99" i="20"/>
  <c r="L83" i="20"/>
  <c r="J85" i="20"/>
  <c r="J88" i="20"/>
  <c r="J90" i="20"/>
  <c r="J95" i="20"/>
  <c r="J97" i="20"/>
  <c r="J99" i="20"/>
  <c r="L101" i="20"/>
  <c r="H81" i="20"/>
  <c r="H85" i="20"/>
  <c r="H90" i="20"/>
  <c r="H97" i="20"/>
  <c r="H101" i="20"/>
  <c r="H105" i="20"/>
  <c r="H109" i="20"/>
  <c r="H113" i="20"/>
  <c r="H117" i="20"/>
  <c r="K82" i="20"/>
  <c r="O82" i="20"/>
  <c r="K84" i="20"/>
  <c r="O84" i="20"/>
  <c r="K86" i="20"/>
  <c r="O86" i="20"/>
  <c r="K89" i="20"/>
  <c r="O89" i="20"/>
  <c r="K94" i="20"/>
  <c r="O94" i="20"/>
  <c r="K96" i="20"/>
  <c r="O96" i="20"/>
  <c r="K98" i="20"/>
  <c r="O98" i="20"/>
  <c r="K100" i="20"/>
  <c r="O100" i="20"/>
  <c r="K102" i="20"/>
  <c r="O102" i="20"/>
  <c r="K104" i="20"/>
  <c r="O104" i="20"/>
  <c r="I105" i="20"/>
  <c r="K117" i="20"/>
  <c r="L86" i="20"/>
  <c r="L89" i="20"/>
  <c r="L94" i="20"/>
  <c r="L96" i="20"/>
  <c r="L98" i="20"/>
  <c r="L100" i="20"/>
  <c r="J101" i="20"/>
  <c r="L102" i="20"/>
  <c r="J103" i="20"/>
  <c r="L104" i="20"/>
  <c r="J105" i="20"/>
  <c r="J114" i="20"/>
  <c r="I106" i="20"/>
  <c r="J108" i="20"/>
  <c r="K81" i="20"/>
  <c r="K83" i="20"/>
  <c r="K85" i="20"/>
  <c r="K88" i="20"/>
  <c r="K90" i="20"/>
  <c r="K95" i="20"/>
  <c r="K97" i="20"/>
  <c r="K99" i="20"/>
  <c r="K101" i="20"/>
  <c r="K103" i="20"/>
  <c r="K105" i="20"/>
  <c r="I111" i="20"/>
  <c r="L116" i="20"/>
  <c r="J113" i="20"/>
  <c r="J111" i="20"/>
  <c r="J107" i="20"/>
  <c r="L108" i="20"/>
  <c r="L113" i="20"/>
  <c r="J116" i="20"/>
  <c r="K116" i="20"/>
  <c r="O116" i="20"/>
  <c r="I113" i="20"/>
  <c r="L112" i="20"/>
  <c r="L111" i="20"/>
  <c r="L109" i="20"/>
  <c r="L106" i="20"/>
  <c r="I108" i="20"/>
  <c r="K107" i="20"/>
  <c r="O107" i="20"/>
  <c r="L107" i="20"/>
  <c r="K106" i="20"/>
  <c r="K108" i="20"/>
  <c r="I109" i="20"/>
  <c r="J109" i="20"/>
  <c r="K109" i="20"/>
  <c r="I110" i="20"/>
  <c r="J110" i="20"/>
  <c r="K110" i="20"/>
  <c r="K111" i="20"/>
  <c r="I112" i="20"/>
  <c r="J112" i="20"/>
  <c r="K112" i="20"/>
  <c r="K113" i="20"/>
  <c r="L114" i="20"/>
  <c r="K114" i="20"/>
  <c r="O114" i="20"/>
  <c r="L115" i="20"/>
  <c r="I115" i="20"/>
  <c r="J115" i="20"/>
  <c r="K115" i="20"/>
  <c r="O118" i="20"/>
  <c r="K118" i="20"/>
  <c r="J118" i="20"/>
  <c r="L117" i="20"/>
  <c r="I118" i="20"/>
  <c r="F8" i="9"/>
  <c r="G8" i="9"/>
  <c r="D29" i="7"/>
  <c r="D36" i="7"/>
  <c r="D37" i="7"/>
  <c r="D30" i="7" l="1"/>
  <c r="Y26" i="7" l="1"/>
  <c r="Y25" i="7" s="1"/>
  <c r="D25" i="7"/>
  <c r="D26" i="7"/>
  <c r="G19" i="7" l="1"/>
  <c r="K19" i="7"/>
  <c r="O19" i="7"/>
  <c r="S19" i="7"/>
  <c r="W19" i="7"/>
  <c r="L19" i="7"/>
  <c r="T19" i="7"/>
  <c r="M19" i="7"/>
  <c r="U19" i="7"/>
  <c r="J19" i="7"/>
  <c r="V19" i="7"/>
  <c r="H19" i="7"/>
  <c r="P19" i="7"/>
  <c r="X19" i="7"/>
  <c r="I19" i="7"/>
  <c r="Q19" i="7"/>
  <c r="F19" i="7"/>
  <c r="N19" i="7"/>
  <c r="R19" i="7"/>
  <c r="E19" i="7"/>
  <c r="D17" i="7"/>
  <c r="D10" i="30" l="1"/>
  <c r="C10" i="30"/>
  <c r="D14" i="30" l="1"/>
  <c r="C14" i="30"/>
  <c r="D28" i="7"/>
  <c r="D21" i="7" l="1"/>
  <c r="D27" i="7" l="1"/>
  <c r="D13" i="30" l="1"/>
  <c r="C13" i="30"/>
  <c r="D12" i="30"/>
  <c r="C12" i="30"/>
  <c r="G7" i="9"/>
  <c r="F7" i="9"/>
  <c r="G6" i="9"/>
  <c r="F6" i="9"/>
  <c r="C11" i="30" l="1"/>
  <c r="D11" i="30"/>
  <c r="D20" i="7"/>
  <c r="C4" i="30" l="1"/>
  <c r="C5" i="30"/>
  <c r="C6" i="30"/>
  <c r="C7" i="30"/>
  <c r="C8" i="30"/>
  <c r="C9" i="30"/>
  <c r="C3" i="30"/>
  <c r="D4" i="30" l="1"/>
  <c r="D5" i="30"/>
  <c r="D6" i="30"/>
  <c r="D7" i="30"/>
  <c r="D8" i="30"/>
  <c r="D9" i="30"/>
  <c r="D3" i="30"/>
  <c r="F5" i="9" l="1"/>
  <c r="G5" i="9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F18" i="28" l="1"/>
  <c r="F12" i="28"/>
  <c r="G12" i="28" s="1"/>
  <c r="F11" i="28"/>
  <c r="G27" i="28"/>
  <c r="G23" i="28"/>
  <c r="G20" i="28"/>
  <c r="G19" i="28"/>
  <c r="G17" i="28"/>
  <c r="G16" i="28"/>
  <c r="G15" i="28"/>
  <c r="F13" i="28"/>
  <c r="G13" i="28" s="1"/>
  <c r="G14" i="28"/>
  <c r="G10" i="28"/>
  <c r="G18" i="28" l="1"/>
  <c r="G11" i="28"/>
  <c r="F24" i="28"/>
  <c r="F29" i="28" l="1"/>
  <c r="F30" i="28"/>
  <c r="G24" i="28"/>
  <c r="F26" i="28"/>
  <c r="G26" i="28" l="1"/>
  <c r="F28" i="28"/>
  <c r="G29" i="28"/>
  <c r="G30" i="28"/>
  <c r="F38" i="28"/>
  <c r="F48" i="28" l="1"/>
  <c r="F40" i="28"/>
  <c r="G40" i="28" s="1"/>
  <c r="G28" i="28"/>
  <c r="G38" i="28"/>
  <c r="G48" i="28" l="1"/>
  <c r="F58" i="28"/>
  <c r="F36" i="28" s="1"/>
  <c r="F46" i="28" s="1"/>
  <c r="G46" i="28" s="1"/>
  <c r="F25" i="28"/>
  <c r="G58" i="28" l="1"/>
  <c r="F68" i="28"/>
  <c r="G68" i="28" s="1"/>
  <c r="G36" i="28"/>
  <c r="G25" i="28"/>
  <c r="F50" i="28" l="1"/>
  <c r="F78" i="28"/>
  <c r="G50" i="28" l="1"/>
  <c r="F60" i="28"/>
  <c r="G78" i="28"/>
  <c r="F89" i="28"/>
  <c r="G89" i="28" s="1"/>
  <c r="G60" i="28" l="1"/>
  <c r="F70" i="28"/>
  <c r="D2" i="7"/>
  <c r="D3" i="7"/>
  <c r="D4" i="7"/>
  <c r="D5" i="7"/>
  <c r="D6" i="7"/>
  <c r="D7" i="7"/>
  <c r="D9" i="7"/>
  <c r="D11" i="7"/>
  <c r="D12" i="7"/>
  <c r="D13" i="7"/>
  <c r="D14" i="7"/>
  <c r="D15" i="7"/>
  <c r="D16" i="7"/>
  <c r="D10" i="7"/>
  <c r="F18" i="7" l="1"/>
  <c r="J18" i="7"/>
  <c r="N18" i="7"/>
  <c r="R18" i="7"/>
  <c r="V18" i="7"/>
  <c r="H18" i="7"/>
  <c r="P18" i="7"/>
  <c r="X18" i="7"/>
  <c r="I18" i="7"/>
  <c r="M18" i="7"/>
  <c r="U18" i="7"/>
  <c r="G18" i="7"/>
  <c r="K18" i="7"/>
  <c r="O18" i="7"/>
  <c r="S18" i="7"/>
  <c r="W18" i="7"/>
  <c r="L18" i="7"/>
  <c r="T18" i="7"/>
  <c r="E18" i="7"/>
  <c r="Q18" i="7"/>
  <c r="G70" i="28"/>
  <c r="F80" i="28"/>
  <c r="G80" i="28" s="1"/>
  <c r="F8" i="7"/>
  <c r="P8" i="7"/>
  <c r="F31" i="28" l="1"/>
  <c r="G31" i="28" s="1"/>
  <c r="D8" i="7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F22" i="28" l="1"/>
  <c r="F35" i="28"/>
  <c r="J27" i="16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G35" i="28" l="1"/>
  <c r="F37" i="28"/>
  <c r="F32" i="28"/>
  <c r="F43" i="28" s="1"/>
  <c r="G22" i="28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43" i="28" l="1"/>
  <c r="F51" i="28"/>
  <c r="G51" i="28" s="1"/>
  <c r="F39" i="28"/>
  <c r="G37" i="28"/>
  <c r="F42" i="28"/>
  <c r="G42" i="28" s="1"/>
  <c r="G32" i="28"/>
  <c r="F21" i="28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G39" i="28" l="1"/>
  <c r="F41" i="28"/>
  <c r="G41" i="28" s="1"/>
  <c r="G21" i="28"/>
  <c r="F4" i="16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53" i="28" l="1"/>
  <c r="F7" i="16"/>
  <c r="C7" i="3"/>
  <c r="F64" i="28" l="1"/>
  <c r="G64" i="28" s="1"/>
  <c r="F63" i="28"/>
  <c r="G53" i="28"/>
  <c r="F62" i="28"/>
  <c r="F73" i="28" s="1"/>
  <c r="F8" i="16"/>
  <c r="G38" i="24"/>
  <c r="H38" i="24"/>
  <c r="F83" i="28" l="1"/>
  <c r="G83" i="28" s="1"/>
  <c r="G73" i="28"/>
  <c r="F61" i="28"/>
  <c r="G61" i="28" s="1"/>
  <c r="F71" i="28"/>
  <c r="G63" i="28"/>
  <c r="F34" i="28"/>
  <c r="F45" i="28" s="1"/>
  <c r="G62" i="28"/>
  <c r="F9" i="16"/>
  <c r="F56" i="28" l="1"/>
  <c r="F55" i="28"/>
  <c r="G45" i="28"/>
  <c r="G71" i="28"/>
  <c r="F81" i="28"/>
  <c r="G34" i="28"/>
  <c r="F74" i="28"/>
  <c r="G74" i="28" s="1"/>
  <c r="F10" i="16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G55" i="28" l="1"/>
  <c r="F66" i="28"/>
  <c r="G81" i="28"/>
  <c r="F92" i="28"/>
  <c r="G92" i="28" s="1"/>
  <c r="F33" i="28"/>
  <c r="G33" i="28" s="1"/>
  <c r="G56" i="28"/>
  <c r="F72" i="28"/>
  <c r="F82" i="28" s="1"/>
  <c r="F11" i="16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G82" i="28" l="1"/>
  <c r="F93" i="28"/>
  <c r="G93" i="28" s="1"/>
  <c r="F76" i="28"/>
  <c r="G66" i="28"/>
  <c r="G72" i="28"/>
  <c r="F84" i="28"/>
  <c r="G84" i="28" s="1"/>
  <c r="F12" i="16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86" i="28" l="1"/>
  <c r="G86" i="28" s="1"/>
  <c r="G76" i="28"/>
  <c r="F47" i="28"/>
  <c r="F87" i="28"/>
  <c r="G87" i="28" s="1"/>
  <c r="F13" i="16"/>
  <c r="E11" i="12"/>
  <c r="E3" i="12"/>
  <c r="E10" i="12"/>
  <c r="F57" i="28" l="1"/>
  <c r="F49" i="28"/>
  <c r="G47" i="28"/>
  <c r="F14" i="16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G49" i="28" l="1"/>
  <c r="F59" i="28"/>
  <c r="G57" i="28"/>
  <c r="F67" i="28"/>
  <c r="F15" i="16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G67" i="28" l="1"/>
  <c r="F77" i="28"/>
  <c r="F44" i="28"/>
  <c r="G59" i="28"/>
  <c r="F69" i="28"/>
  <c r="F16" i="16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F4" i="9"/>
  <c r="G4" i="9"/>
  <c r="G3" i="9"/>
  <c r="F3" i="9"/>
  <c r="F52" i="28" l="1"/>
  <c r="G52" i="28" s="1"/>
  <c r="F54" i="28"/>
  <c r="G44" i="28"/>
  <c r="F91" i="28"/>
  <c r="G91" i="28" s="1"/>
  <c r="G77" i="28"/>
  <c r="F88" i="28"/>
  <c r="G88" i="28" s="1"/>
  <c r="F79" i="28"/>
  <c r="G69" i="28"/>
  <c r="F17" i="16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90" i="28" l="1"/>
  <c r="G90" i="28" s="1"/>
  <c r="G79" i="28"/>
  <c r="G54" i="28"/>
  <c r="F65" i="28"/>
  <c r="F39" i="16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G65" i="28" l="1"/>
  <c r="F75" i="28"/>
  <c r="F40" i="16"/>
  <c r="F85" i="28" l="1"/>
  <c r="G85" i="28" s="1"/>
  <c r="G75" i="28"/>
  <c r="F41" i="16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<sst xmlns="http://schemas.openxmlformats.org/spreadsheetml/2006/main" count="5479" uniqueCount="661">
  <si>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</si>
  <si>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</si>
  <si>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</si>
  <si>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</si>
  <si>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</si>
  <si>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</si>
  <si>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</si>
  <si>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</si>
  <si>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</si>
  <si>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</si>
  <si>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</si>
  <si>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</si>
  <si>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</si>
  <si>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</si>
  <si>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</si>
  <si>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</si>
  <si>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</si>
  <si>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</si>
  <si>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</si>
  <si>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</si>
  <si>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</si>
  <si>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</si>
  <si>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</si>
  <si>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</si>
  <si>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</si>
  <si>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</si>
  <si>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</si>
  <si>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</si>
  <si>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</si>
  <si>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</si>
  <si>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</si>
  <si>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</si>
  <si>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</si>
  <si>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</si>
  <si>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</si>
  <si>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</si>
  <si>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</si>
  <si>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</si>
  <si>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</si>
  <si>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</si>
  <si>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</si>
  <si>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</si>
  <si>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</si>
  <si>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</si>
  <si>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</si>
  <si>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</si>
  <si>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</si>
  <si>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</si>
  <si>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</si>
  <si>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</si>
  <si>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</si>
  <si>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</si>
  <si>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</si>
  <si>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</si>
  <si>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</si>
  <si>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</si>
  <si>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</si>
  <si>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</si>
  <si>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</si>
  <si>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</si>
  <si>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</si>
  <si>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</si>
  <si>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</si>
  <si>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</si>
  <si>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</si>
  <si>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</si>
  <si>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</si>
  <si>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</si>
  <si>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</si>
  <si>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</si>
  <si>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</si>
  <si>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</si>
  <si>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</si>
  <si>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</si>
  <si>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</si>
  <si>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</si>
  <si>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</si>
  <si>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</si>
  <si>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</si>
  <si>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</si>
  <si>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</si>
  <si>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</si>
  <si>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</si>
  <si>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</si>
  <si>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</si>
  <si>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</si>
  <si>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</si>
  <si>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</si>
  <si>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</si>
  <si>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</si>
  <si>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</si>
  <si>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</si>
  <si>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</si>
  <si>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</si>
  <si>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</si>
  <si>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</si>
  <si>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</si>
  <si>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</si>
  <si>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</si>
  <si>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</si>
  <si>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</si>
  <si>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</si>
  <si>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</si>
  <si>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</si>
  <si>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</si>
  <si>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</si>
  <si>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</si>
  <si>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</si>
  <si>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</si>
  <si>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</si>
  <si>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</si>
  <si>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</si>
  <si>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</si>
  <si>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</si>
  <si>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</si>
  <si>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</si>
  <si>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</si>
  <si>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</si>
  <si>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</si>
  <si>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</si>
  <si>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</si>
  <si>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</si>
  <si>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</si>
  <si>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</si>
  <si>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</si>
  <si>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</si>
  <si>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</si>
  <si>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</si>
  <si>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</si>
  <si>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</si>
  <si>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</si>
  <si>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</si>
  <si>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</si>
  <si>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</si>
  <si>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</si>
  <si>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</si>
  <si>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</si>
  <si>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</si>
  <si>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</si>
  <si>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</si>
  <si>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</si>
  <si>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</si>
  <si>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</si>
  <si>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</si>
  <si>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</si>
  <si>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</si>
  <si>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</si>
  <si>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</si>
  <si>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</si>
  <si>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</si>
  <si>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</si>
  <si>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</si>
  <si>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</si>
  <si>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</si>
  <si>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</si>
  <si>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</si>
  <si>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</si>
  <si>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</si>
  <si>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</si>
  <si>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</si>
  <si>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</si>
  <si>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</si>
  <si>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</si>
  <si>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</si>
  <si>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</si>
  <si>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</si>
  <si>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</si>
  <si>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</si>
  <si>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</si>
  <si>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</si>
  <si>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</si>
  <si>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</si>
  <si>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</si>
  <si>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</si>
  <si>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</si>
  <si>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</si>
  <si>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</si>
  <si>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</si>
  <si>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</si>
  <si>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</si>
  <si>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</si>
  <si>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</si>
  <si>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</si>
  <si>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</si>
  <si>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</si>
  <si>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</si>
  <si>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</si>
  <si>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</si>
  <si>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</si>
  <si>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</si>
  <si>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</si>
  <si>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</si>
  <si>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</si>
  <si>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</si>
  <si>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</si>
  <si>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</si>
  <si>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</si>
  <si>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</si>
  <si>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</si>
  <si>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</si>
  <si>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</si>
  <si>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</si>
  <si>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</si>
  <si>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</si>
  <si>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</si>
  <si>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</si>
  <si>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</si>
  <si>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</si>
  <si>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</si>
  <si>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</si>
  <si>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</si>
  <si>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</si>
  <si>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</si>
  <si>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</si>
  <si>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</si>
  <si>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</si>
  <si>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</si>
  <si>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</si>
  <si>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</si>
  <si>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</si>
  <si>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</si>
  <si>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</si>
  <si>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</si>
  <si>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</si>
  <si>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</si>
  <si>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</si>
  <si>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</si>
  <si>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</si>
  <si>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</si>
  <si>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</si>
  <si>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</si>
  <si>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</si>
  <si>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</si>
  <si>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</si>
  <si>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</si>
  <si>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</si>
  <si>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</si>
  <si>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</si>
  <si>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</si>
  <si>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</si>
  <si>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</si>
  <si>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</si>
  <si>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</si>
  <si>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</si>
  <si>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</si>
  <si>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</si>
  <si>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</si>
  <si>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</si>
  <si>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</si>
  <si>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</si>
  <si>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</si>
  <si>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</si>
  <si>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</si>
  <si>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</si>
  <si>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</si>
  <si>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</si>
  <si>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</si>
  <si>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</si>
  <si>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</si>
  <si>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</si>
  <si>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</si>
  <si>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</si>
  <si>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</si>
  <si>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</si>
  <si>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</si>
  <si>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</si>
  <si>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</si>
  <si>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</si>
  <si>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</si>
  <si>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</si>
  <si>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</si>
  <si>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</si>
  <si>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</si>
  <si>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</si>
  <si>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</si>
  <si>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</si>
  <si>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</si>
  <si>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</si>
  <si>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</si>
  <si>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</si>
  <si>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</si>
  <si>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</si>
  <si>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</si>
  <si>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</si>
  <si>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</si>
  <si>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</si>
  <si>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</si>
  <si>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</si>
  <si>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</si>
  <si>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</si>
  <si>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</si>
  <si>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</si>
  <si>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</si>
  <si>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</si>
  <si>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</si>
  <si>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</si>
  <si>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</si>
  <si>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</si>
  <si>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</si>
  <si>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</si>
  <si>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</si>
  <si>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</si>
  <si>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</si>
  <si>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</si>
  <si>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</si>
  <si>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</si>
  <si>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</si>
  <si>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</si>
  <si>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</si>
  <si>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</si>
  <si>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</si>
  <si>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</si>
  <si>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</si>
  <si>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</si>
  <si>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</si>
  <si>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</si>
  <si>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</si>
  <si>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</si>
  <si>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</si>
  <si>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</si>
  <si>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</si>
  <si>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</si>
  <si>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</si>
  <si>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</si>
  <si>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</si>
  <si>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</si>
  <si>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</si>
  <si>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</si>
  <si>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</si>
  <si>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</si>
  <si>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</si>
  <si>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</si>
  <si>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</si>
  <si>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</si>
  <si>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</si>
  <si>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</si>
  <si>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</si>
  <si>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</si>
  <si>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</si>
  <si>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</si>
  <si>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</si>
  <si>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</si>
  <si>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</si>
  <si>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</si>
  <si>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</si>
  <si>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</si>
  <si>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</si>
  <si>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</si>
  <si>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</si>
  <si>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</si>
  <si>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</si>
  <si>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</si>
  <si>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</si>
  <si>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</si>
  <si>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</si>
  <si>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</si>
  <si>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</si>
  <si>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</si>
  <si>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</si>
  <si>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</si>
  <si>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</si>
  <si>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</si>
  <si>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</si>
  <si>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</si>
  <si>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</si>
  <si>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</si>
  <si>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</si>
  <si>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</si>
  <si>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</si>
  <si>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</si>
  <si>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</si>
  <si>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</si>
  <si>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</si>
  <si>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</si>
  <si>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</si>
  <si>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</si>
  <si>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</si>
  <si>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</si>
  <si>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</si>
  <si>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</si>
  <si>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</si>
  <si>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</si>
  <si>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</si>
  <si>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</si>
  <si>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</si>
  <si>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</si>
  <si>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</si>
  <si>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</si>
  <si>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</si>
  <si>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</si>
  <si>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</si>
  <si>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</si>
  <si>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</si>
  <si>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</si>
  <si>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</si>
  <si>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</si>
  <si>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</si>
  <si>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</si>
  <si>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</si>
  <si>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</si>
  <si>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</si>
  <si>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</si>
  <si>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</si>
  <si>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</si>
  <si>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</si>
  <si>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</si>
  <si>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</si>
  <si>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</si>
  <si>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</si>
  <si>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</si>
  <si>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</si>
  <si>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</si>
  <si>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</si>
  <si>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</si>
  <si>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</si>
  <si>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</si>
  <si>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</si>
  <si>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</si>
  <si>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</si>
  <si>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</si>
  <si>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</si>
  <si>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</si>
  <si>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</si>
  <si>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</si>
  <si>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</si>
  <si>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</si>
  <si>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</si>
  <si>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</si>
  <si>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</si>
  <si>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</si>
  <si>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</si>
  <si>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</si>
  <si>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</si>
  <si>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</si>
  <si>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</si>
  <si>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</si>
  <si>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</si>
  <si>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</si>
  <si>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</si>
  <si>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</si>
  <si>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</si>
  <si>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</si>
  <si>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</si>
  <si>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</si>
  <si>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</si>
  <si>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</si>
  <si>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</si>
  <si>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</si>
  <si>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</si>
  <si>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</si>
  <si>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</si>
  <si>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</si>
  <si>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</si>
  <si>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</si>
  <si>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</si>
  <si>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</si>
  <si>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</si>
  <si>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</si>
  <si>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</si>
  <si>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</si>
  <si>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</si>
  <si>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</si>
  <si>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</si>
  <si>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</si>
  <si>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</si>
  <si>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</si>
  <si>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</si>
  <si>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</si>
  <si>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</si>
  <si>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</si>
  <si>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</si>
  <si>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</si>
  <si>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</si>
  <si>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</si>
  <si>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</si>
  <si>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</si>
  <si>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</si>
  <si>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</si>
  <si>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</si>
  <si>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</si>
  <si>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</si>
  <si>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</si>
  <si>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</si>
  <si>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</si>
  <si>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</si>
  <si>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</si>
  <si>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</si>
  <si>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</si>
  <si>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</si>
  <si>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</si>
  <si>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</si>
  <si>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</si>
  <si>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</si>
  <si>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</si>
  <si>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</si>
  <si>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</si>
  <si>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</si>
  <si>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</si>
  <si>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</si>
  <si>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</si>
  <si>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</si>
  <si>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</si>
  <si>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</si>
  <si>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</si>
  <si>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</si>
  <si>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</si>
  <si>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</si>
  <si>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</si>
  <si>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</si>
  <si>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</si>
  <si>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</si>
  <si>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</si>
  <si>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</si>
  <si>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</si>
  <si>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</si>
  <si>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</si>
  <si>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</si>
  <si>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</si>
  <si>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</si>
  <si>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</si>
  <si>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</si>
  <si>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</si>
  <si>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</si>
  <si>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</si>
  <si>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</si>
  <si>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</si>
  <si>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</si>
  <si>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</si>
  <si>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</si>
  <si>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</si>
  <si>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</si>
  <si>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</si>
  <si>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</si>
  <si>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</si>
  <si>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</si>
  <si>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</si>
  <si>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</si>
  <si>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</si>
  <si>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</si>
  <si>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</si>
  <si>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21021_El_Camino_Real_BRT_test</t>
  </si>
  <si>
    <t>2303_Caltrain_16tph</t>
  </si>
  <si>
    <t>2302_Caltrain_12tph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</si>
  <si>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</si>
  <si>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</si>
  <si>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</si>
  <si>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</si>
  <si>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</si>
  <si>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</si>
  <si>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</si>
  <si>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</si>
  <si>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lrf</t>
  </si>
  <si>
    <t>2050_TM151_PPA_RT_01_1_Crossings5_01</t>
  </si>
  <si>
    <t>2050_TM151_PPA_CG_01_1_Crossings5_01</t>
  </si>
  <si>
    <t>2050_TM151_PPA_BF_01_1_Crossings5_01</t>
  </si>
  <si>
    <t>2201_BART_CoreCap_TEST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</si>
  <si>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</si>
  <si>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</si>
  <si>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</si>
  <si>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</si>
  <si>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</si>
  <si>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2050_TM151_PPA_BF_02_1_Crossings8_00</t>
  </si>
  <si>
    <t>2301_Caltrain_10tph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</si>
  <si>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</si>
  <si>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</si>
  <si>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</si>
  <si>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</si>
  <si>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</si>
  <si>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</si>
  <si>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</si>
  <si>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</si>
  <si>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</si>
  <si>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</si>
  <si>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</si>
  <si>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</si>
  <si>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</si>
  <si>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</si>
  <si>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</si>
  <si>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</si>
  <si>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</si>
  <si>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</si>
  <si>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</si>
  <si>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</si>
  <si>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</si>
  <si>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</si>
  <si>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</si>
  <si>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</si>
  <si>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</si>
  <si>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</si>
  <si>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</si>
  <si>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</si>
  <si>
    <t>3103_SR4_Widen</t>
  </si>
  <si>
    <t>3102_SR4_Op</t>
  </si>
  <si>
    <t>2202_BART_DMU_Brentwood</t>
  </si>
  <si>
    <t>Iteration</t>
  </si>
  <si>
    <t>05</t>
  </si>
  <si>
    <t>00</t>
  </si>
  <si>
    <t>2050_TM151_PPA</t>
  </si>
  <si>
    <t>Region</t>
  </si>
  <si>
    <t>active</t>
  </si>
  <si>
    <t>bus</t>
  </si>
  <si>
    <t>various</t>
  </si>
  <si>
    <t>sf</t>
  </si>
  <si>
    <t>son</t>
  </si>
  <si>
    <t>ala</t>
  </si>
  <si>
    <t>cc</t>
  </si>
  <si>
    <t>scl</t>
  </si>
  <si>
    <t>sol</t>
  </si>
  <si>
    <t>sm</t>
  </si>
  <si>
    <t>mar</t>
  </si>
  <si>
    <t>west bay</t>
  </si>
  <si>
    <t>north bay</t>
  </si>
  <si>
    <t>south bay</t>
  </si>
  <si>
    <t>east bay</t>
  </si>
  <si>
    <t>transbay</t>
  </si>
  <si>
    <t>04</t>
  </si>
  <si>
    <t>02</t>
  </si>
  <si>
    <t>09</t>
  </si>
  <si>
    <t>01</t>
  </si>
  <si>
    <t>03</t>
  </si>
  <si>
    <t>06</t>
  </si>
  <si>
    <t>Years to Implement</t>
  </si>
  <si>
    <t>Construction</t>
  </si>
  <si>
    <t>Operation</t>
  </si>
  <si>
    <t>Cap Cost</t>
  </si>
  <si>
    <t>Op Cost</t>
  </si>
  <si>
    <t>Base Model</t>
  </si>
  <si>
    <t>Base ID</t>
  </si>
  <si>
    <t>2101_Geary_BRT_Phase2</t>
  </si>
  <si>
    <t>2102_ElCaminoReal_BRT</t>
  </si>
  <si>
    <t>2402_SJC_People_Mover</t>
  </si>
  <si>
    <t>2403_Vasona_LRT_Phase2</t>
  </si>
  <si>
    <t>Future Run</t>
  </si>
  <si>
    <t>Default</t>
  </si>
  <si>
    <t>test</t>
  </si>
  <si>
    <t>2201_BART_CoreCap</t>
  </si>
  <si>
    <t>Full Name</t>
  </si>
  <si>
    <t>2050_TM151_PPA_RT_06</t>
  </si>
  <si>
    <t>2050_TM151_PPA_CG_06</t>
  </si>
  <si>
    <t>2050_TM151_PPA_BF_06</t>
  </si>
  <si>
    <t>2050_TM151_base06_RT</t>
  </si>
  <si>
    <t>2050_TM151_base06_CG</t>
  </si>
  <si>
    <t>2050_TM151_base06_BF</t>
  </si>
  <si>
    <t>Baseline 06</t>
  </si>
  <si>
    <t>2100_SanPablo_BRT</t>
  </si>
  <si>
    <t>2101_GearyBRT_Phase2</t>
  </si>
  <si>
    <t>3100_SR_239</t>
  </si>
  <si>
    <t>2300_CaltrainDTX</t>
  </si>
  <si>
    <t>2050_TM151_PPA_RT_02_1_Crossings8_01</t>
  </si>
  <si>
    <t>2050_TM151_PPA_RT_07</t>
  </si>
  <si>
    <t>Baseline 07</t>
  </si>
  <si>
    <t>2050_TM151_base07_RT</t>
  </si>
  <si>
    <t>07</t>
  </si>
  <si>
    <t>2050_TM151_PPA_CG_07</t>
  </si>
  <si>
    <t>2050_TM151_PPA_BF_07</t>
  </si>
  <si>
    <t>2050_TM151_base07_CG</t>
  </si>
  <si>
    <t>2050_TM151_base07_BF</t>
  </si>
  <si>
    <t>2308_Valley_Link</t>
  </si>
  <si>
    <t>2306_Dumbarton_Rail</t>
  </si>
  <si>
    <t>2400_DowntownSJ_Subway</t>
  </si>
  <si>
    <t>2401_NorthSJ_Subway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</si>
</sst>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8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16" borderId="0" xfId="0" applyFill="1" applyBorder="1"/>
    <xf numFmtId="0" fontId="0" fillId="13" borderId="0" xfId="0" applyFont="1" applyFill="1"/>
    <xf numFmtId="0" fontId="0" fillId="16" borderId="0" xfId="0" applyFont="1" applyFill="1"/>
    <xf numFmtId="0" fontId="0" fillId="0" borderId="0" xfId="0" applyFont="1" applyFill="1"/>
    <xf numFmtId="0" fontId="0" fillId="5" borderId="0" xfId="0" quotePrefix="1" applyNumberForma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5" borderId="6" xfId="0" applyFill="1" applyBorder="1"/>
    <xf numFmtId="0" fontId="0" fillId="5" borderId="6" xfId="0" quotePrefix="1" applyNumberFormat="1" applyFill="1" applyBorder="1"/>
    <xf numFmtId="0" fontId="0" fillId="0" borderId="6" xfId="0" applyFill="1" applyBorder="1" applyAlignment="1">
      <alignment horizontal="left"/>
    </xf>
    <xf numFmtId="0" fontId="7" fillId="0" borderId="0" xfId="0" applyFont="1"/>
    <xf numFmtId="0" fontId="0" fillId="0" borderId="7" xfId="0" applyBorder="1" applyAlignment="1">
      <alignment horizontal="left"/>
    </xf>
    <xf numFmtId="49" fontId="0" fillId="0" borderId="7" xfId="0" applyNumberFormat="1" applyBorder="1" applyAlignment="1">
      <alignment horizontal="left"/>
    </xf>
    <xf numFmtId="0" fontId="0" fillId="5" borderId="7" xfId="0" applyFill="1" applyBorder="1"/>
    <xf numFmtId="0" fontId="0" fillId="5" borderId="7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pase/Box/Horizon%20and%20Plan%20Bay%20Area%202050/Project%20Performance/4_Cost%20Review/Project%20Factsheets%20for%20Arup/_Factsheet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rojects"/>
    </sheetNames>
    <sheetDataSet>
      <sheetData sheetId="0">
        <row r="2">
          <cell r="A2">
            <v>1</v>
          </cell>
          <cell r="B2" t="str">
            <v>AC Transit Local Service Frequency Increase</v>
          </cell>
          <cell r="C2" t="str">
            <v>Ready for Arup review</v>
          </cell>
          <cell r="D2" t="str">
            <v>AC Transit</v>
          </cell>
          <cell r="E2">
            <v>182.2</v>
          </cell>
          <cell r="F2" t="str">
            <v>YOE</v>
          </cell>
          <cell r="G2">
            <v>8.4</v>
          </cell>
          <cell r="H2">
            <v>2020</v>
          </cell>
          <cell r="I2">
            <v>2020</v>
          </cell>
          <cell r="J2">
            <v>2020</v>
          </cell>
        </row>
        <row r="3">
          <cell r="A3">
            <v>2</v>
          </cell>
          <cell r="B3" t="str">
            <v>Sonoma Countywide Service Frequency Increase</v>
          </cell>
          <cell r="C3" t="str">
            <v>Ready for Arup review</v>
          </cell>
          <cell r="D3" t="str">
            <v>SCTA</v>
          </cell>
          <cell r="E3">
            <v>290</v>
          </cell>
          <cell r="F3" t="str">
            <v>YOE</v>
          </cell>
          <cell r="G3">
            <v>15</v>
          </cell>
          <cell r="H3">
            <v>2019</v>
          </cell>
          <cell r="I3">
            <v>2019</v>
          </cell>
          <cell r="J3">
            <v>2019</v>
          </cell>
        </row>
        <row r="4">
          <cell r="A4">
            <v>3</v>
          </cell>
          <cell r="B4" t="str">
            <v>Muni Forward + Service Frequency Increase</v>
          </cell>
          <cell r="C4" t="str">
            <v>Ready for Arup review</v>
          </cell>
          <cell r="D4" t="str">
            <v>SF</v>
          </cell>
          <cell r="E4">
            <v>459.38071400000001</v>
          </cell>
          <cell r="F4" t="str">
            <v>YOE</v>
          </cell>
          <cell r="G4">
            <v>76.907228000000003</v>
          </cell>
          <cell r="I4" t="str">
            <v>See supplementary files</v>
          </cell>
        </row>
        <row r="5">
          <cell r="A5">
            <v>4</v>
          </cell>
          <cell r="B5" t="str">
            <v>San Pablo BRT</v>
          </cell>
          <cell r="C5" t="str">
            <v>Ready for Arup review</v>
          </cell>
          <cell r="D5" t="str">
            <v>AC Transit</v>
          </cell>
          <cell r="E5">
            <v>329.8</v>
          </cell>
          <cell r="F5" t="str">
            <v>YOE</v>
          </cell>
          <cell r="G5">
            <v>0</v>
          </cell>
          <cell r="H5">
            <v>2027</v>
          </cell>
          <cell r="I5">
            <v>2023</v>
          </cell>
          <cell r="J5">
            <v>2027</v>
          </cell>
        </row>
        <row r="6">
          <cell r="A6">
            <v>5</v>
          </cell>
          <cell r="B6" t="str">
            <v>Geary BRT (Phase 2)</v>
          </cell>
          <cell r="C6" t="str">
            <v>Ready for Arup review</v>
          </cell>
          <cell r="D6" t="str">
            <v>SF</v>
          </cell>
          <cell r="E6">
            <v>235</v>
          </cell>
          <cell r="F6" t="str">
            <v>YOE</v>
          </cell>
          <cell r="G6">
            <v>11.476998999999999</v>
          </cell>
          <cell r="H6">
            <v>2022</v>
          </cell>
          <cell r="I6">
            <v>2020</v>
          </cell>
          <cell r="J6">
            <v>2022</v>
          </cell>
        </row>
        <row r="7">
          <cell r="A7">
            <v>6</v>
          </cell>
          <cell r="B7" t="str">
            <v>El Camino Real BRT</v>
          </cell>
          <cell r="C7" t="str">
            <v>Ready for Arup review</v>
          </cell>
          <cell r="D7" t="str">
            <v>VTA</v>
          </cell>
          <cell r="E7">
            <v>233</v>
          </cell>
          <cell r="F7" t="str">
            <v>YOE</v>
          </cell>
          <cell r="G7">
            <v>-7.9</v>
          </cell>
          <cell r="H7">
            <v>2028</v>
          </cell>
          <cell r="I7">
            <v>2025</v>
          </cell>
          <cell r="J7">
            <v>2028</v>
          </cell>
        </row>
        <row r="8">
          <cell r="A8">
            <v>7</v>
          </cell>
          <cell r="B8" t="str">
            <v>BART Core Capacity</v>
          </cell>
          <cell r="C8" t="str">
            <v>Ready for Arup review</v>
          </cell>
          <cell r="D8" t="str">
            <v>BART</v>
          </cell>
          <cell r="E8">
            <v>3520.9389999999999</v>
          </cell>
          <cell r="F8" t="str">
            <v>YOE</v>
          </cell>
          <cell r="G8">
            <v>75</v>
          </cell>
          <cell r="H8">
            <v>2028</v>
          </cell>
          <cell r="I8">
            <v>2019</v>
          </cell>
          <cell r="J8">
            <v>2028</v>
          </cell>
        </row>
        <row r="9">
          <cell r="A9">
            <v>8</v>
          </cell>
          <cell r="B9" t="str">
            <v>BART DMU to Brentwood</v>
          </cell>
          <cell r="C9" t="str">
            <v>Ready for Arup review</v>
          </cell>
          <cell r="D9" t="str">
            <v>CCTA</v>
          </cell>
          <cell r="E9">
            <v>513</v>
          </cell>
          <cell r="F9" t="str">
            <v>YOE</v>
          </cell>
          <cell r="G9">
            <v>7</v>
          </cell>
          <cell r="H9">
            <v>2030</v>
          </cell>
          <cell r="I9">
            <v>2025</v>
          </cell>
          <cell r="J9">
            <v>2030</v>
          </cell>
        </row>
        <row r="10">
          <cell r="A10">
            <v>9</v>
          </cell>
          <cell r="B10" t="str">
            <v>BART to Silicon Valley (Phase 2)</v>
          </cell>
          <cell r="C10" t="str">
            <v>Ready for Arup review</v>
          </cell>
          <cell r="D10" t="str">
            <v>VTA</v>
          </cell>
          <cell r="E10">
            <v>4780</v>
          </cell>
          <cell r="F10" t="str">
            <v>YOE</v>
          </cell>
          <cell r="G10" t="str">
            <v>Supplementary files</v>
          </cell>
          <cell r="H10">
            <v>2026</v>
          </cell>
          <cell r="I10">
            <v>2020</v>
          </cell>
          <cell r="J10">
            <v>2026</v>
          </cell>
        </row>
        <row r="11">
          <cell r="A11">
            <v>10</v>
          </cell>
          <cell r="B11" t="str">
            <v>Caltrain Downtown Extension</v>
          </cell>
          <cell r="C11" t="str">
            <v>Ready for Arup review</v>
          </cell>
          <cell r="D11" t="str">
            <v>SamTrans</v>
          </cell>
          <cell r="E11">
            <v>3935</v>
          </cell>
          <cell r="F11" t="str">
            <v>YOE</v>
          </cell>
          <cell r="G11" t="str">
            <v>waiting</v>
          </cell>
          <cell r="I11">
            <v>2022</v>
          </cell>
          <cell r="J11">
            <v>2028</v>
          </cell>
        </row>
        <row r="12">
          <cell r="A12">
            <v>11</v>
          </cell>
          <cell r="B12" t="str">
            <v>Caltrain Modernization (Phase 2)</v>
          </cell>
          <cell r="C12" t="str">
            <v>Ready for Arup review</v>
          </cell>
          <cell r="D12" t="str">
            <v>SamTrans</v>
          </cell>
          <cell r="E12">
            <v>3200</v>
          </cell>
          <cell r="F12" t="str">
            <v>YOE</v>
          </cell>
          <cell r="G12">
            <v>368.9</v>
          </cell>
          <cell r="H12">
            <v>2033</v>
          </cell>
          <cell r="I12">
            <v>2022</v>
          </cell>
          <cell r="J12">
            <v>2033</v>
          </cell>
        </row>
        <row r="13">
          <cell r="A13">
            <v>12</v>
          </cell>
          <cell r="B13" t="str">
            <v>SMART to Cloverdale</v>
          </cell>
          <cell r="C13" t="str">
            <v>Ready for Arup review</v>
          </cell>
          <cell r="D13" t="str">
            <v>SMART</v>
          </cell>
          <cell r="E13">
            <v>295</v>
          </cell>
          <cell r="F13" t="str">
            <v>YOE</v>
          </cell>
          <cell r="G13" t="str">
            <v>n/a</v>
          </cell>
          <cell r="H13">
            <v>2027</v>
          </cell>
          <cell r="I13">
            <v>2021</v>
          </cell>
          <cell r="J13">
            <v>2027</v>
          </cell>
        </row>
        <row r="14">
          <cell r="A14">
            <v>13</v>
          </cell>
          <cell r="B14" t="str">
            <v>Downtown San Jose LRT Subway</v>
          </cell>
          <cell r="C14" t="str">
            <v>Ready for Arup review</v>
          </cell>
          <cell r="D14" t="str">
            <v>VTA</v>
          </cell>
          <cell r="E14">
            <v>2900</v>
          </cell>
          <cell r="F14" t="str">
            <v>YOE</v>
          </cell>
          <cell r="G14">
            <v>0</v>
          </cell>
          <cell r="H14">
            <v>2030</v>
          </cell>
          <cell r="I14">
            <v>2025</v>
          </cell>
          <cell r="J14">
            <v>2030</v>
          </cell>
        </row>
        <row r="15">
          <cell r="A15">
            <v>14</v>
          </cell>
          <cell r="B15" t="str">
            <v>San Jose Airport People Mover</v>
          </cell>
          <cell r="C15" t="str">
            <v>Ready for Arup review</v>
          </cell>
          <cell r="D15" t="str">
            <v>VTA</v>
          </cell>
          <cell r="E15">
            <v>800</v>
          </cell>
          <cell r="F15" t="str">
            <v>YOE</v>
          </cell>
          <cell r="G15">
            <v>5.2</v>
          </cell>
          <cell r="H15">
            <v>2030</v>
          </cell>
          <cell r="I15">
            <v>2026</v>
          </cell>
          <cell r="J15">
            <v>2030</v>
          </cell>
        </row>
        <row r="16">
          <cell r="A16">
            <v>15</v>
          </cell>
          <cell r="B16" t="str">
            <v>Stevens Creek LRT</v>
          </cell>
          <cell r="C16" t="str">
            <v>REMOVED</v>
          </cell>
        </row>
        <row r="17">
          <cell r="A17">
            <v>16</v>
          </cell>
          <cell r="B17" t="str">
            <v>Vasona LRT (Phase 2)</v>
          </cell>
          <cell r="C17" t="str">
            <v>Ready for Arup review</v>
          </cell>
          <cell r="D17" t="str">
            <v>VTA</v>
          </cell>
          <cell r="E17">
            <v>315</v>
          </cell>
          <cell r="F17" t="str">
            <v>YOE</v>
          </cell>
          <cell r="G17">
            <v>1.1299999999999999</v>
          </cell>
          <cell r="H17">
            <v>2033</v>
          </cell>
          <cell r="I17">
            <v>2030</v>
          </cell>
          <cell r="J17">
            <v>2033</v>
          </cell>
        </row>
        <row r="18">
          <cell r="A18">
            <v>17</v>
          </cell>
          <cell r="B18" t="str">
            <v>Eastridge LRT Extension</v>
          </cell>
          <cell r="C18" t="str">
            <v>Ready for Arup review</v>
          </cell>
          <cell r="D18" t="str">
            <v>VTA</v>
          </cell>
          <cell r="E18">
            <v>453</v>
          </cell>
          <cell r="F18" t="str">
            <v>YOE</v>
          </cell>
          <cell r="G18">
            <v>0.9</v>
          </cell>
          <cell r="H18">
            <v>2023</v>
          </cell>
          <cell r="I18">
            <v>2020</v>
          </cell>
          <cell r="J18">
            <v>2023</v>
          </cell>
        </row>
        <row r="19">
          <cell r="A19">
            <v>18</v>
          </cell>
          <cell r="B19" t="str">
            <v>WETA Service Frequency Increase</v>
          </cell>
          <cell r="C19" t="str">
            <v>Ready for Arup review</v>
          </cell>
          <cell r="D19" t="str">
            <v>WETA</v>
          </cell>
          <cell r="E19">
            <v>40</v>
          </cell>
          <cell r="F19" t="str">
            <v>YOE</v>
          </cell>
          <cell r="G19">
            <v>15.200000000000001</v>
          </cell>
          <cell r="H19">
            <v>2028</v>
          </cell>
          <cell r="I19">
            <v>2021</v>
          </cell>
          <cell r="J19">
            <v>2028</v>
          </cell>
        </row>
        <row r="20">
          <cell r="A20">
            <v>19</v>
          </cell>
          <cell r="B20" t="str">
            <v>WETA Ferry Network Expansion (Berkeley, Alameda Point, Redwood City, Mission Bay)</v>
          </cell>
          <cell r="C20" t="str">
            <v>Ready for Arup review</v>
          </cell>
          <cell r="D20" t="str">
            <v>WETA</v>
          </cell>
          <cell r="E20">
            <v>217</v>
          </cell>
          <cell r="F20" t="str">
            <v>YOE</v>
          </cell>
          <cell r="G20">
            <v>27.7</v>
          </cell>
          <cell r="H20">
            <v>2027</v>
          </cell>
          <cell r="I20">
            <v>2018</v>
          </cell>
          <cell r="J20">
            <v>2027</v>
          </cell>
        </row>
        <row r="21">
          <cell r="A21">
            <v>20</v>
          </cell>
          <cell r="B21" t="str">
            <v>Regional Express Lanes (MTC + VTA + ACTC + US-101)</v>
          </cell>
          <cell r="C21" t="str">
            <v>Ready for Arup review</v>
          </cell>
          <cell r="D21" t="str">
            <v>MTC</v>
          </cell>
          <cell r="G21" t="str">
            <v>See project factsheet excel file</v>
          </cell>
        </row>
        <row r="22">
          <cell r="A22">
            <v>21</v>
          </cell>
          <cell r="B22" t="str">
            <v>SR-239</v>
          </cell>
          <cell r="C22" t="str">
            <v>Ready for Arup review</v>
          </cell>
          <cell r="D22" t="str">
            <v>CCTA</v>
          </cell>
          <cell r="E22">
            <v>600</v>
          </cell>
          <cell r="F22">
            <v>2018</v>
          </cell>
          <cell r="G22" t="str">
            <v>n/a</v>
          </cell>
          <cell r="H22">
            <v>2030</v>
          </cell>
          <cell r="I22">
            <v>2022</v>
          </cell>
          <cell r="J22">
            <v>2030</v>
          </cell>
        </row>
        <row r="23">
          <cell r="A23">
            <v>22</v>
          </cell>
          <cell r="B23" t="str">
            <v>SR-152 Trade Corridor</v>
          </cell>
          <cell r="C23" t="str">
            <v>Ready for Arup review</v>
          </cell>
          <cell r="D23" t="str">
            <v>VTA</v>
          </cell>
          <cell r="E23">
            <v>1200</v>
          </cell>
          <cell r="F23" t="str">
            <v>YOE</v>
          </cell>
          <cell r="G23">
            <v>5</v>
          </cell>
          <cell r="H23">
            <v>2033</v>
          </cell>
          <cell r="I23">
            <v>2030</v>
          </cell>
          <cell r="J23">
            <v>2033</v>
          </cell>
        </row>
        <row r="24">
          <cell r="A24">
            <v>23</v>
          </cell>
          <cell r="B24" t="str">
            <v>Downtown San Francisco Congestion Pricing</v>
          </cell>
          <cell r="C24" t="str">
            <v>Ready for Arup review</v>
          </cell>
          <cell r="D24" t="str">
            <v>SF</v>
          </cell>
          <cell r="E24">
            <v>125</v>
          </cell>
          <cell r="F24" t="str">
            <v>YOE</v>
          </cell>
          <cell r="G24">
            <v>25</v>
          </cell>
          <cell r="H24">
            <v>2025</v>
          </cell>
          <cell r="I24">
            <v>2024</v>
          </cell>
          <cell r="J24">
            <v>2025</v>
          </cell>
        </row>
        <row r="25">
          <cell r="A25">
            <v>24</v>
          </cell>
          <cell r="B25" t="str">
            <v>Treasure Island Congestion Pricing</v>
          </cell>
          <cell r="C25" t="str">
            <v>Ready for Arup review</v>
          </cell>
          <cell r="D25" t="str">
            <v>SF</v>
          </cell>
          <cell r="E25">
            <v>12.754835</v>
          </cell>
          <cell r="F25" t="str">
            <v>YOE</v>
          </cell>
          <cell r="G25">
            <v>27.710386</v>
          </cell>
          <cell r="H25">
            <v>2035</v>
          </cell>
          <cell r="I25">
            <v>2019</v>
          </cell>
          <cell r="J25">
            <v>2035</v>
          </cell>
        </row>
        <row r="26">
          <cell r="A26">
            <v>25</v>
          </cell>
          <cell r="B26" t="str">
            <v>I-680/SR-4 Interchange + Widening (Phases 3-5)</v>
          </cell>
          <cell r="C26" t="str">
            <v>Ready for Arup review</v>
          </cell>
          <cell r="D26" t="str">
            <v>CCTA</v>
          </cell>
          <cell r="E26">
            <v>347</v>
          </cell>
          <cell r="F26" t="str">
            <v>YOE</v>
          </cell>
          <cell r="G26" t="str">
            <v>n/a</v>
          </cell>
          <cell r="H26">
            <v>2028</v>
          </cell>
          <cell r="I26">
            <v>2022</v>
          </cell>
          <cell r="J26">
            <v>2028</v>
          </cell>
        </row>
        <row r="27">
          <cell r="A27">
            <v>26</v>
          </cell>
          <cell r="B27" t="str">
            <v>SR-4 Operational Improvements</v>
          </cell>
          <cell r="C27" t="str">
            <v>Ready for Arup review</v>
          </cell>
          <cell r="D27" t="str">
            <v>CCTA</v>
          </cell>
          <cell r="E27">
            <v>434</v>
          </cell>
          <cell r="F27" t="str">
            <v>YOE</v>
          </cell>
          <cell r="G27" t="str">
            <v>n/a</v>
          </cell>
          <cell r="H27">
            <v>2028</v>
          </cell>
          <cell r="I27">
            <v>2022</v>
          </cell>
          <cell r="J27">
            <v>2028</v>
          </cell>
        </row>
        <row r="28">
          <cell r="A28">
            <v>27</v>
          </cell>
          <cell r="B28" t="str">
            <v>SR-4 Widening (Brentwood to Discovery Bay)</v>
          </cell>
          <cell r="C28" t="str">
            <v>Ready for Arup review</v>
          </cell>
          <cell r="D28" t="str">
            <v>CCTA</v>
          </cell>
          <cell r="E28">
            <v>360</v>
          </cell>
          <cell r="F28" t="str">
            <v>YOE</v>
          </cell>
          <cell r="G28" t="str">
            <v>n/a</v>
          </cell>
          <cell r="H28">
            <v>2030</v>
          </cell>
          <cell r="I28">
            <v>2024</v>
          </cell>
          <cell r="J28">
            <v>2030</v>
          </cell>
        </row>
        <row r="29">
          <cell r="A29">
            <v>28</v>
          </cell>
          <cell r="B29" t="str">
            <v>I-80/I-680/SR-12 Interchange + Widening (Phases 2B-7)</v>
          </cell>
          <cell r="C29" t="str">
            <v>Ready for Arup review</v>
          </cell>
          <cell r="D29" t="str">
            <v>STA</v>
          </cell>
          <cell r="E29">
            <v>583.4</v>
          </cell>
          <cell r="F29" t="str">
            <v>YOE</v>
          </cell>
          <cell r="G29" t="str">
            <v>n/a</v>
          </cell>
          <cell r="H29">
            <v>2023</v>
          </cell>
          <cell r="I29">
            <v>2020</v>
          </cell>
          <cell r="J29">
            <v>2023</v>
          </cell>
        </row>
        <row r="30">
          <cell r="A30">
            <v>29</v>
          </cell>
          <cell r="B30" t="str">
            <v>Bay Bridge West Span Bike Path</v>
          </cell>
          <cell r="C30" t="str">
            <v>Ready for Arup review</v>
          </cell>
          <cell r="D30" t="str">
            <v>MTC</v>
          </cell>
          <cell r="E30">
            <v>779</v>
          </cell>
          <cell r="F30">
            <v>2018</v>
          </cell>
          <cell r="G30">
            <v>2.7</v>
          </cell>
          <cell r="H30">
            <v>2025</v>
          </cell>
          <cell r="I30">
            <v>2021</v>
          </cell>
          <cell r="J30">
            <v>2025</v>
          </cell>
        </row>
        <row r="31">
          <cell r="A31">
            <v>30</v>
          </cell>
          <cell r="B31" t="str">
            <v>Bay Area Forward (Phase 1)</v>
          </cell>
          <cell r="C31" t="str">
            <v>Ready for Arup review</v>
          </cell>
          <cell r="D31" t="str">
            <v>MTC</v>
          </cell>
          <cell r="E31">
            <v>714</v>
          </cell>
          <cell r="F31" t="str">
            <v>YOE</v>
          </cell>
          <cell r="G31">
            <v>153</v>
          </cell>
          <cell r="H31" t="str">
            <v>See project factsheet excel file</v>
          </cell>
          <cell r="J31" t="str">
            <v>See project factsheet excel file</v>
          </cell>
        </row>
        <row r="32">
          <cell r="A32">
            <v>31</v>
          </cell>
          <cell r="B32" t="str">
            <v>Better Market Street</v>
          </cell>
          <cell r="C32" t="str">
            <v>Ready for Arup review</v>
          </cell>
          <cell r="D32" t="str">
            <v>SF</v>
          </cell>
          <cell r="E32">
            <v>730.52000859999998</v>
          </cell>
          <cell r="F32" t="str">
            <v>YOE</v>
          </cell>
          <cell r="G32">
            <v>0</v>
          </cell>
          <cell r="H32">
            <v>2027</v>
          </cell>
          <cell r="I32">
            <v>2020</v>
          </cell>
          <cell r="J32">
            <v>2027</v>
          </cell>
        </row>
        <row r="33">
          <cell r="A33">
            <v>32</v>
          </cell>
          <cell r="B33" t="str">
            <v>AC Transit Transbay Service Frequency Increase</v>
          </cell>
          <cell r="C33" t="str">
            <v>Ready for Arup review</v>
          </cell>
          <cell r="D33" t="str">
            <v>AC Transit</v>
          </cell>
          <cell r="E33">
            <v>2300</v>
          </cell>
          <cell r="F33">
            <v>2018</v>
          </cell>
          <cell r="G33">
            <v>115</v>
          </cell>
          <cell r="H33">
            <v>2018</v>
          </cell>
          <cell r="I33">
            <v>2022</v>
          </cell>
          <cell r="J33">
            <v>2025</v>
          </cell>
        </row>
        <row r="34">
          <cell r="A34">
            <v>33</v>
          </cell>
          <cell r="B34" t="str">
            <v>AC Transit Rapid Network</v>
          </cell>
          <cell r="C34" t="str">
            <v>Ready for Arup review</v>
          </cell>
          <cell r="D34" t="str">
            <v>AC Transit</v>
          </cell>
          <cell r="E34">
            <v>2575</v>
          </cell>
          <cell r="F34">
            <v>2018</v>
          </cell>
          <cell r="G34">
            <v>181</v>
          </cell>
          <cell r="H34">
            <v>2018</v>
          </cell>
          <cell r="I34">
            <v>2022</v>
          </cell>
          <cell r="J34">
            <v>2025</v>
          </cell>
        </row>
        <row r="35">
          <cell r="A35">
            <v>34</v>
          </cell>
          <cell r="B35" t="str">
            <v xml:space="preserve">I-680 BART </v>
          </cell>
          <cell r="C35" t="str">
            <v>Ready for Arup review</v>
          </cell>
          <cell r="D35" t="str">
            <v>Caltrans</v>
          </cell>
          <cell r="E35">
            <v>10000</v>
          </cell>
          <cell r="F35">
            <v>2018</v>
          </cell>
          <cell r="G35">
            <v>5</v>
          </cell>
          <cell r="H35">
            <v>2018</v>
          </cell>
          <cell r="I35">
            <v>2035</v>
          </cell>
          <cell r="J35">
            <v>2040</v>
          </cell>
        </row>
        <row r="36">
          <cell r="A36">
            <v>35</v>
          </cell>
          <cell r="B36" t="str">
            <v>BART Evening Service Frequency Increase</v>
          </cell>
          <cell r="C36" t="str">
            <v>REMOVED</v>
          </cell>
        </row>
        <row r="37">
          <cell r="A37">
            <v>36</v>
          </cell>
          <cell r="B37" t="str">
            <v>BART to Cupertino</v>
          </cell>
          <cell r="C37" t="str">
            <v>Ready for Arup review</v>
          </cell>
          <cell r="D37" t="str">
            <v>VTA</v>
          </cell>
          <cell r="E37">
            <v>7700</v>
          </cell>
          <cell r="F37">
            <v>2018</v>
          </cell>
          <cell r="G37">
            <v>21</v>
          </cell>
          <cell r="H37">
            <v>2018</v>
          </cell>
          <cell r="I37">
            <v>2040</v>
          </cell>
          <cell r="J37">
            <v>2050</v>
          </cell>
        </row>
        <row r="38">
          <cell r="A38">
            <v>37</v>
          </cell>
          <cell r="B38" t="str">
            <v>BART to Gilroy</v>
          </cell>
          <cell r="C38" t="str">
            <v>Ready for Arup review</v>
          </cell>
          <cell r="D38" t="str">
            <v>VTA</v>
          </cell>
          <cell r="E38">
            <v>11220</v>
          </cell>
          <cell r="F38">
            <v>2018</v>
          </cell>
          <cell r="G38">
            <v>95</v>
          </cell>
          <cell r="H38">
            <v>2018</v>
          </cell>
          <cell r="I38">
            <v>2040</v>
          </cell>
          <cell r="J38">
            <v>2050</v>
          </cell>
        </row>
        <row r="39">
          <cell r="A39">
            <v>38</v>
          </cell>
          <cell r="B39" t="str">
            <v>BART Gap Closure (Millbrae to Silicon Valley)</v>
          </cell>
          <cell r="C39" t="str">
            <v>Ready for Arup review</v>
          </cell>
          <cell r="D39" t="str">
            <v>VTA</v>
          </cell>
          <cell r="E39">
            <v>44500</v>
          </cell>
          <cell r="F39">
            <v>2018</v>
          </cell>
          <cell r="G39">
            <v>86.1</v>
          </cell>
          <cell r="H39">
            <v>2018</v>
          </cell>
          <cell r="I39">
            <v>2040</v>
          </cell>
          <cell r="J39">
            <v>2050</v>
          </cell>
        </row>
        <row r="40">
          <cell r="A40">
            <v>39</v>
          </cell>
          <cell r="B40" t="str">
            <v>Caltrain Grade Separation Program</v>
          </cell>
          <cell r="C40" t="str">
            <v>Ready for Arup review</v>
          </cell>
          <cell r="D40" t="str">
            <v>VTA, City of San Jose</v>
          </cell>
          <cell r="E40">
            <v>9500</v>
          </cell>
          <cell r="F40">
            <v>2018</v>
          </cell>
          <cell r="G40">
            <v>320</v>
          </cell>
          <cell r="H40">
            <v>2018</v>
          </cell>
          <cell r="I40">
            <v>2024</v>
          </cell>
          <cell r="J40">
            <v>2026</v>
          </cell>
        </row>
        <row r="41">
          <cell r="A41">
            <v>40</v>
          </cell>
          <cell r="B41" t="str">
            <v>Caltrain Enhanced Blended System</v>
          </cell>
          <cell r="C41" t="str">
            <v>Ready for Arup review</v>
          </cell>
          <cell r="D41" t="str">
            <v>Caltrain + HSR</v>
          </cell>
          <cell r="E41">
            <v>7300</v>
          </cell>
          <cell r="F41">
            <v>2018</v>
          </cell>
          <cell r="G41">
            <v>592.20000000000005</v>
          </cell>
          <cell r="H41">
            <v>2018</v>
          </cell>
          <cell r="I41">
            <v>2022</v>
          </cell>
          <cell r="J41">
            <v>2033</v>
          </cell>
        </row>
        <row r="42">
          <cell r="A42">
            <v>41</v>
          </cell>
          <cell r="B42" t="str">
            <v>SMART to Solano</v>
          </cell>
          <cell r="C42" t="str">
            <v>Ready for Arup review</v>
          </cell>
          <cell r="D42" t="str">
            <v>SMART</v>
          </cell>
          <cell r="E42" t="str">
            <v>waiting</v>
          </cell>
          <cell r="F42">
            <v>2018</v>
          </cell>
          <cell r="G42" t="str">
            <v>waiting</v>
          </cell>
          <cell r="H42">
            <v>2018</v>
          </cell>
          <cell r="I42">
            <v>2027</v>
          </cell>
          <cell r="J42">
            <v>2031</v>
          </cell>
        </row>
        <row r="43">
          <cell r="A43">
            <v>42</v>
          </cell>
          <cell r="B43" t="str">
            <v>Dumbarton Rail</v>
          </cell>
          <cell r="C43" t="str">
            <v>Ready for Arup review</v>
          </cell>
          <cell r="D43" t="str">
            <v>SamTrans + C/CAG</v>
          </cell>
          <cell r="E43">
            <v>2000</v>
          </cell>
          <cell r="F43">
            <v>2018</v>
          </cell>
          <cell r="G43">
            <v>50</v>
          </cell>
          <cell r="H43">
            <v>2018</v>
          </cell>
          <cell r="I43">
            <v>2022</v>
          </cell>
          <cell r="J43">
            <v>2028</v>
          </cell>
        </row>
        <row r="44">
          <cell r="A44">
            <v>43</v>
          </cell>
          <cell r="B44" t="str">
            <v>ACE Expansion</v>
          </cell>
          <cell r="C44" t="str">
            <v>Ready for Arup review</v>
          </cell>
          <cell r="D44" t="str">
            <v>San Joaquin Regional Rail Commission</v>
          </cell>
          <cell r="E44">
            <v>4000</v>
          </cell>
          <cell r="F44">
            <v>2018</v>
          </cell>
          <cell r="G44">
            <v>36</v>
          </cell>
          <cell r="H44">
            <v>2018</v>
          </cell>
          <cell r="I44">
            <v>2022</v>
          </cell>
          <cell r="J44">
            <v>2026</v>
          </cell>
        </row>
        <row r="45">
          <cell r="A45">
            <v>44</v>
          </cell>
          <cell r="B45" t="str">
            <v>Valley Link (Tri-Valley – San Joaquin Valley)</v>
          </cell>
          <cell r="C45" t="str">
            <v>Ready for Arup review</v>
          </cell>
          <cell r="D45" t="str">
            <v>Valley Link</v>
          </cell>
          <cell r="E45">
            <v>1800</v>
          </cell>
          <cell r="F45">
            <v>2018</v>
          </cell>
          <cell r="G45">
            <v>65</v>
          </cell>
          <cell r="H45">
            <v>2018</v>
          </cell>
          <cell r="I45">
            <v>2021</v>
          </cell>
          <cell r="J45">
            <v>2024</v>
          </cell>
        </row>
        <row r="46">
          <cell r="A46">
            <v>45</v>
          </cell>
          <cell r="B46" t="str">
            <v>Cupertino-Mountain View-San Jose Rail Loop</v>
          </cell>
          <cell r="C46" t="str">
            <v>Ready for Arup review</v>
          </cell>
          <cell r="D46" t="str">
            <v>City of Cupertino</v>
          </cell>
          <cell r="E46">
            <v>2000</v>
          </cell>
          <cell r="F46">
            <v>2018</v>
          </cell>
          <cell r="G46">
            <v>1.82</v>
          </cell>
          <cell r="H46">
            <v>2018</v>
          </cell>
          <cell r="I46">
            <v>2025</v>
          </cell>
          <cell r="J46">
            <v>2030</v>
          </cell>
        </row>
        <row r="47">
          <cell r="A47">
            <v>46</v>
          </cell>
          <cell r="B47" t="str">
            <v>SR-85 Rail</v>
          </cell>
          <cell r="C47" t="str">
            <v>Ready for Arup review</v>
          </cell>
          <cell r="D47" t="str">
            <v>City of Cupertino</v>
          </cell>
          <cell r="E47">
            <v>650</v>
          </cell>
          <cell r="F47">
            <v>2018</v>
          </cell>
          <cell r="G47">
            <v>1</v>
          </cell>
          <cell r="H47">
            <v>2018</v>
          </cell>
          <cell r="I47">
            <v>2025</v>
          </cell>
          <cell r="J47">
            <v>2030</v>
          </cell>
        </row>
        <row r="48">
          <cell r="A48">
            <v>47</v>
          </cell>
          <cell r="B48" t="str">
            <v>North San Jose LRT Subway</v>
          </cell>
          <cell r="C48" t="str">
            <v>Ready for Arup review</v>
          </cell>
          <cell r="D48" t="str">
            <v>VTA</v>
          </cell>
          <cell r="E48">
            <v>4000</v>
          </cell>
          <cell r="F48">
            <v>2018</v>
          </cell>
          <cell r="G48">
            <v>3</v>
          </cell>
          <cell r="H48">
            <v>2018</v>
          </cell>
          <cell r="I48">
            <v>2025</v>
          </cell>
          <cell r="J48">
            <v>2030</v>
          </cell>
        </row>
        <row r="49">
          <cell r="A49">
            <v>48</v>
          </cell>
          <cell r="B49" t="str">
            <v>VTA LRT Elevation</v>
          </cell>
          <cell r="C49" t="str">
            <v>Ready for Arup review</v>
          </cell>
          <cell r="D49" t="str">
            <v>VTA</v>
          </cell>
          <cell r="E49">
            <v>7500</v>
          </cell>
          <cell r="F49">
            <v>2018</v>
          </cell>
          <cell r="G49">
            <v>9</v>
          </cell>
          <cell r="H49">
            <v>2018</v>
          </cell>
          <cell r="I49">
            <v>2030</v>
          </cell>
          <cell r="J49">
            <v>2040</v>
          </cell>
        </row>
        <row r="50">
          <cell r="A50" t="str">
            <v>48x</v>
          </cell>
          <cell r="B50" t="str">
            <v>48x - VTA LRT Automation</v>
          </cell>
          <cell r="C50" t="str">
            <v>Ready for Arup review</v>
          </cell>
          <cell r="D50" t="str">
            <v>City of San Jose</v>
          </cell>
          <cell r="E50">
            <v>8000</v>
          </cell>
          <cell r="F50">
            <v>2018</v>
          </cell>
          <cell r="G50">
            <v>3</v>
          </cell>
          <cell r="H50">
            <v>2018</v>
          </cell>
          <cell r="I50">
            <v>2023</v>
          </cell>
          <cell r="J50">
            <v>2030</v>
          </cell>
        </row>
        <row r="51">
          <cell r="A51">
            <v>49</v>
          </cell>
          <cell r="B51" t="str">
            <v>Muni Metro Southwest Subway</v>
          </cell>
          <cell r="C51" t="str">
            <v>Ready for Arup review</v>
          </cell>
          <cell r="D51" t="str">
            <v>SFCTA</v>
          </cell>
          <cell r="E51">
            <v>4000</v>
          </cell>
          <cell r="F51">
            <v>2018</v>
          </cell>
          <cell r="G51">
            <v>100</v>
          </cell>
          <cell r="H51">
            <v>2018</v>
          </cell>
          <cell r="I51">
            <v>2024</v>
          </cell>
          <cell r="J51">
            <v>2030</v>
          </cell>
        </row>
        <row r="52">
          <cell r="A52">
            <v>50</v>
          </cell>
          <cell r="B52" t="str">
            <v>Muni Metro to South San Francisco</v>
          </cell>
          <cell r="C52" t="str">
            <v>Ready for Arup review</v>
          </cell>
          <cell r="D52" t="str">
            <v>City of South San Francisco</v>
          </cell>
          <cell r="E52">
            <v>1200</v>
          </cell>
          <cell r="F52">
            <v>2018</v>
          </cell>
          <cell r="G52">
            <v>18</v>
          </cell>
          <cell r="H52">
            <v>2018</v>
          </cell>
          <cell r="I52">
            <v>2028</v>
          </cell>
          <cell r="J52">
            <v>2033</v>
          </cell>
        </row>
        <row r="53">
          <cell r="A53">
            <v>51</v>
          </cell>
          <cell r="B53" t="str">
            <v>Fremont-Newark LRT</v>
          </cell>
          <cell r="C53" t="str">
            <v>Ready for Arup review</v>
          </cell>
          <cell r="D53" t="str">
            <v>City of Newark</v>
          </cell>
          <cell r="E53">
            <v>1600</v>
          </cell>
          <cell r="F53">
            <v>2018</v>
          </cell>
          <cell r="G53">
            <v>1</v>
          </cell>
          <cell r="H53">
            <v>2018</v>
          </cell>
          <cell r="I53">
            <v>2023</v>
          </cell>
          <cell r="J53">
            <v>2025</v>
          </cell>
        </row>
        <row r="54">
          <cell r="A54">
            <v>52</v>
          </cell>
          <cell r="B54" t="str">
            <v>SR-37 Widening + Resilience</v>
          </cell>
          <cell r="C54" t="str">
            <v>Ready for Arup review</v>
          </cell>
          <cell r="D54" t="str">
            <v>MTC</v>
          </cell>
          <cell r="E54">
            <v>5000</v>
          </cell>
          <cell r="F54">
            <v>2018</v>
          </cell>
          <cell r="G54">
            <v>16</v>
          </cell>
          <cell r="H54">
            <v>2018</v>
          </cell>
          <cell r="I54">
            <v>2030</v>
          </cell>
          <cell r="J54">
            <v>2036</v>
          </cell>
        </row>
        <row r="55">
          <cell r="A55">
            <v>53</v>
          </cell>
          <cell r="B55" t="str">
            <v>SR-12 Widening</v>
          </cell>
          <cell r="C55" t="str">
            <v>Ready for Arup review</v>
          </cell>
          <cell r="D55" t="str">
            <v>STA</v>
          </cell>
          <cell r="E55">
            <v>1800</v>
          </cell>
          <cell r="F55">
            <v>2018</v>
          </cell>
          <cell r="G55">
            <v>2.5</v>
          </cell>
          <cell r="H55">
            <v>2018</v>
          </cell>
          <cell r="I55">
            <v>2030</v>
          </cell>
          <cell r="J55">
            <v>2035</v>
          </cell>
        </row>
        <row r="56">
          <cell r="A56">
            <v>54</v>
          </cell>
          <cell r="B56" t="str">
            <v>SR-92 Widening</v>
          </cell>
          <cell r="C56" t="str">
            <v>REMOVED</v>
          </cell>
          <cell r="E56">
            <v>3000</v>
          </cell>
          <cell r="G56">
            <v>15</v>
          </cell>
          <cell r="I56">
            <v>2045</v>
          </cell>
          <cell r="J56">
            <v>2048</v>
          </cell>
        </row>
        <row r="57">
          <cell r="A57">
            <v>55</v>
          </cell>
          <cell r="B57" t="str">
            <v>I-580/I-680 Corridor Enhancements</v>
          </cell>
          <cell r="C57" t="str">
            <v>Ready for Arup review</v>
          </cell>
          <cell r="D57" t="str">
            <v>ACTC</v>
          </cell>
          <cell r="E57">
            <v>3600</v>
          </cell>
          <cell r="F57">
            <v>2018</v>
          </cell>
          <cell r="G57" t="str">
            <v>n/a</v>
          </cell>
          <cell r="H57">
            <v>2018</v>
          </cell>
          <cell r="I57">
            <v>2018</v>
          </cell>
          <cell r="J57">
            <v>2021</v>
          </cell>
        </row>
        <row r="58">
          <cell r="A58">
            <v>56</v>
          </cell>
          <cell r="B58" t="str">
            <v>San Francisco Freeway GP-to-HOT Lane Conversions</v>
          </cell>
          <cell r="C58" t="str">
            <v>Ready for Arup review</v>
          </cell>
          <cell r="D58" t="str">
            <v>SFCTA</v>
          </cell>
          <cell r="E58">
            <v>1000</v>
          </cell>
          <cell r="F58">
            <v>2018</v>
          </cell>
          <cell r="G58">
            <v>10</v>
          </cell>
          <cell r="H58">
            <v>2018</v>
          </cell>
          <cell r="I58">
            <v>2025</v>
          </cell>
          <cell r="J58">
            <v>2030</v>
          </cell>
        </row>
        <row r="59">
          <cell r="A59">
            <v>57</v>
          </cell>
          <cell r="B59" t="str">
            <v>Richmond-San Rafael Bridge Replacement</v>
          </cell>
          <cell r="C59" t="str">
            <v>Ready for Arup review</v>
          </cell>
          <cell r="D59" t="str">
            <v>Caltrans</v>
          </cell>
          <cell r="E59">
            <v>8000</v>
          </cell>
          <cell r="F59">
            <v>2018</v>
          </cell>
          <cell r="G59">
            <v>25</v>
          </cell>
          <cell r="H59">
            <v>2018</v>
          </cell>
          <cell r="I59">
            <v>2035</v>
          </cell>
          <cell r="J59">
            <v>2040</v>
          </cell>
        </row>
        <row r="60">
          <cell r="A60">
            <v>58</v>
          </cell>
          <cell r="B60" t="str">
            <v>Webster/Posey Tube Replacements</v>
          </cell>
          <cell r="C60" t="str">
            <v>Ready for Arup review</v>
          </cell>
          <cell r="D60" t="str">
            <v>Caltrans</v>
          </cell>
          <cell r="E60">
            <v>3000</v>
          </cell>
          <cell r="F60">
            <v>2018</v>
          </cell>
          <cell r="G60">
            <v>20</v>
          </cell>
          <cell r="H60">
            <v>2018</v>
          </cell>
          <cell r="I60">
            <v>2040</v>
          </cell>
          <cell r="J60">
            <v>2050</v>
          </cell>
        </row>
        <row r="61">
          <cell r="A61">
            <v>59</v>
          </cell>
          <cell r="B61" t="str">
            <v>SR-87 Tunnel</v>
          </cell>
          <cell r="C61" t="str">
            <v>Ready for Arup review</v>
          </cell>
          <cell r="D61" t="str">
            <v>City of San Jose</v>
          </cell>
          <cell r="E61">
            <v>3100</v>
          </cell>
          <cell r="F61">
            <v>2018</v>
          </cell>
          <cell r="G61">
            <v>4</v>
          </cell>
          <cell r="H61">
            <v>2018</v>
          </cell>
          <cell r="I61">
            <v>2030</v>
          </cell>
          <cell r="J61">
            <v>2035</v>
          </cell>
        </row>
        <row r="62">
          <cell r="A62">
            <v>60</v>
          </cell>
          <cell r="B62" t="str">
            <v>South Bay Rail + Resilience Project</v>
          </cell>
          <cell r="C62" t="str">
            <v>REMOVED</v>
          </cell>
        </row>
        <row r="63">
          <cell r="A63">
            <v>61</v>
          </cell>
          <cell r="B63" t="str">
            <v>Megaregional Rail Network + Resilience Project</v>
          </cell>
          <cell r="C63" t="str">
            <v>Ready for Arup review</v>
          </cell>
          <cell r="D63" t="str">
            <v>City of San Jose</v>
          </cell>
          <cell r="E63">
            <v>22000</v>
          </cell>
          <cell r="F63">
            <v>2018</v>
          </cell>
          <cell r="G63">
            <v>600</v>
          </cell>
          <cell r="H63">
            <v>2018</v>
          </cell>
          <cell r="I63">
            <v>2022</v>
          </cell>
          <cell r="J63">
            <v>2024</v>
          </cell>
        </row>
        <row r="64">
          <cell r="A64">
            <v>62</v>
          </cell>
          <cell r="B64" t="str">
            <v>VTA LRT South Bay Network Grade Separation and Expansion</v>
          </cell>
          <cell r="C64" t="str">
            <v>Ready for Arup review</v>
          </cell>
          <cell r="D64" t="str">
            <v>City of San Jose and VTA</v>
          </cell>
          <cell r="E64">
            <v>30000</v>
          </cell>
          <cell r="F64">
            <v>2018</v>
          </cell>
          <cell r="G64">
            <v>58</v>
          </cell>
          <cell r="H64">
            <v>2018</v>
          </cell>
          <cell r="I64">
            <v>2023</v>
          </cell>
          <cell r="J64">
            <v>2030</v>
          </cell>
        </row>
        <row r="65">
          <cell r="A65">
            <v>63</v>
          </cell>
          <cell r="B65" t="str">
            <v>I-80 Busway + BART to Hercules</v>
          </cell>
          <cell r="C65" t="str">
            <v>Ready for Arup review</v>
          </cell>
          <cell r="D65" t="str">
            <v>CCTA</v>
          </cell>
          <cell r="E65">
            <v>4400</v>
          </cell>
          <cell r="F65">
            <v>2018</v>
          </cell>
          <cell r="G65">
            <v>20</v>
          </cell>
          <cell r="H65">
            <v>2018</v>
          </cell>
          <cell r="I65">
            <v>2025</v>
          </cell>
          <cell r="J65">
            <v>2030</v>
          </cell>
        </row>
        <row r="66">
          <cell r="A66">
            <v>64</v>
          </cell>
          <cell r="B66" t="str">
            <v>Oakland/Alameda Gondola Network</v>
          </cell>
          <cell r="C66" t="str">
            <v>Ready for Arup review</v>
          </cell>
          <cell r="D66" t="str">
            <v>City of Oakland</v>
          </cell>
          <cell r="E66">
            <v>700</v>
          </cell>
          <cell r="F66">
            <v>2018</v>
          </cell>
          <cell r="G66">
            <v>10</v>
          </cell>
          <cell r="H66">
            <v>2018</v>
          </cell>
          <cell r="I66">
            <v>2022</v>
          </cell>
          <cell r="J66">
            <v>2025</v>
          </cell>
        </row>
        <row r="67">
          <cell r="A67">
            <v>65</v>
          </cell>
          <cell r="B67" t="str">
            <v>Alameda County BRT Network + CV Corridors</v>
          </cell>
          <cell r="C67" t="str">
            <v>Ready for Arup review</v>
          </cell>
          <cell r="D67" t="str">
            <v>ACTC</v>
          </cell>
          <cell r="E67">
            <v>1158</v>
          </cell>
          <cell r="F67">
            <v>2018</v>
          </cell>
          <cell r="G67">
            <v>90.5</v>
          </cell>
          <cell r="H67">
            <v>2018</v>
          </cell>
          <cell r="I67">
            <v>2022</v>
          </cell>
          <cell r="J67">
            <v>2025</v>
          </cell>
        </row>
        <row r="68">
          <cell r="A68">
            <v>66</v>
          </cell>
          <cell r="B68" t="str">
            <v>I-680 Multimodal Improvements (BRT, SAVs, Gondolas)</v>
          </cell>
          <cell r="C68" t="str">
            <v>Ready for Arup review</v>
          </cell>
          <cell r="D68" t="str">
            <v>CCTA</v>
          </cell>
          <cell r="E68">
            <v>1340</v>
          </cell>
          <cell r="F68">
            <v>2018</v>
          </cell>
          <cell r="G68">
            <v>10</v>
          </cell>
          <cell r="H68">
            <v>2018</v>
          </cell>
          <cell r="I68">
            <v>2028</v>
          </cell>
          <cell r="J68">
            <v>2030</v>
          </cell>
        </row>
        <row r="69">
          <cell r="A69">
            <v>67</v>
          </cell>
          <cell r="B69" t="str">
            <v>Contra Costa AV Shuttle Program</v>
          </cell>
          <cell r="C69" t="str">
            <v>Ready for Arup review</v>
          </cell>
          <cell r="D69" t="str">
            <v>CCTA</v>
          </cell>
          <cell r="E69">
            <v>1350</v>
          </cell>
          <cell r="F69">
            <v>2018</v>
          </cell>
          <cell r="G69">
            <v>10</v>
          </cell>
          <cell r="H69">
            <v>2018</v>
          </cell>
          <cell r="I69">
            <v>2028</v>
          </cell>
          <cell r="J69">
            <v>2030</v>
          </cell>
        </row>
        <row r="70">
          <cell r="A70">
            <v>68</v>
          </cell>
          <cell r="B70" t="str">
            <v>Mountain View AV Network</v>
          </cell>
          <cell r="C70" t="str">
            <v>Ready for Arup review</v>
          </cell>
          <cell r="D70" t="str">
            <v>City of Mountain View</v>
          </cell>
          <cell r="E70">
            <v>1350</v>
          </cell>
          <cell r="F70">
            <v>2018</v>
          </cell>
          <cell r="G70">
            <v>8</v>
          </cell>
          <cell r="H70">
            <v>2018</v>
          </cell>
          <cell r="I70">
            <v>2025</v>
          </cell>
          <cell r="J70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69"/>
  <sheetViews>
    <sheetView workbookViewId="0">
      <pane ySplit="2" topLeftCell="A3" activePane="bottomLeft" state="frozen"/>
      <selection pane="bottomLeft" activeCell="D37" sqref="D37"/>
    </sheetView>
  </sheetViews>
  <sheetFormatPr defaultRowHeight="15" x14ac:dyDescent="0.25"/>
  <cols>
    <col min="1" max="1" width="12.7109375" customWidth="1"/>
    <col min="2" max="2" width="11.42578125" style="50" customWidth="1"/>
    <col min="3" max="3" width="13.42578125" customWidth="1"/>
    <col min="4" max="5" width="26.85546875" customWidth="1"/>
    <col min="6" max="7" width="26.85546875" style="30" customWidth="1"/>
  </cols>
  <sheetData>
    <row r="1" spans="1:7" x14ac:dyDescent="0.25">
      <c r="A1" s="33" t="s">
        <v>151</v>
      </c>
      <c r="B1" s="33"/>
      <c r="C1" s="33"/>
      <c r="D1" s="33"/>
      <c r="E1" s="33"/>
      <c r="F1" s="29" t="s">
        <v>152</v>
      </c>
      <c r="G1" s="32"/>
    </row>
    <row r="2" spans="1:7" ht="30" x14ac:dyDescent="0.25">
      <c r="A2" s="22" t="s">
        <v>158</v>
      </c>
      <c r="B2" s="22" t="s">
        <v>88</v>
      </c>
      <c r="C2" s="22" t="s">
        <v>105</v>
      </c>
      <c r="D2" s="22" t="s">
        <v>106</v>
      </c>
      <c r="E2" s="22" t="s">
        <v>107</v>
      </c>
      <c r="F2" s="31" t="s">
        <v>113</v>
      </c>
      <c r="G2" s="31" t="s">
        <v>114</v>
      </c>
    </row>
    <row r="3" spans="1:7" x14ac:dyDescent="0.25">
      <c r="A3" s="93" t="s">
        <v>633</v>
      </c>
      <c r="B3" s="49">
        <v>0</v>
      </c>
      <c r="C3" s="47" t="s">
        <v>209</v>
      </c>
      <c r="D3">
        <v>0</v>
      </c>
      <c r="E3">
        <v>0</v>
      </c>
      <c r="F3" s="30">
        <f>IFERROR(D3*VLOOKUP($C3,'crfs-input'!$A$2:$B$19,2,0),0)</f>
        <v>0</v>
      </c>
      <c r="G3" s="30">
        <f>IFERROR(E3*VLOOKUP($C3,'crfs-input'!$A$2:$B$19,2,0),0)</f>
        <v>0</v>
      </c>
    </row>
    <row r="4" spans="1:7" x14ac:dyDescent="0.25">
      <c r="A4" s="93" t="str">
        <f>VLOOKUP(B4,'PPA IDs'!$A$2:$B$117,2,0)</f>
        <v>Crossings 4 - Regional Rail</v>
      </c>
      <c r="B4" s="78">
        <v>1004</v>
      </c>
      <c r="C4" s="79" t="s">
        <v>111</v>
      </c>
      <c r="D4" s="20">
        <v>3</v>
      </c>
      <c r="E4">
        <v>0.8</v>
      </c>
      <c r="F4" s="30">
        <f>IFERROR(D4*VLOOKUP($C4,'crfs-input'!$A$2:$B$19,2,0),0)</f>
        <v>3</v>
      </c>
      <c r="G4" s="30">
        <f>IFERROR(E4*VLOOKUP($C4,'crfs-input'!$A$2:$B$19,2,0),0)</f>
        <v>0.8</v>
      </c>
    </row>
    <row r="5" spans="1:7" x14ac:dyDescent="0.25">
      <c r="A5" s="93" t="str">
        <f>VLOOKUP(B5,'PPA IDs'!$A$2:$B$117,2,0)</f>
        <v>Crossings 7 - Regional Rail + BART New Markets</v>
      </c>
      <c r="B5" s="77">
        <v>1007</v>
      </c>
      <c r="C5" s="46" t="s">
        <v>111</v>
      </c>
      <c r="D5">
        <v>3</v>
      </c>
      <c r="E5">
        <v>0.8</v>
      </c>
      <c r="F5" s="30">
        <f>IFERROR(D5*VLOOKUP($C5,'crfs-input'!$A$2:$B$19,2,0),0)</f>
        <v>3</v>
      </c>
      <c r="G5" s="30">
        <f>IFERROR(E5*VLOOKUP($C5,'crfs-input'!$A$2:$B$19,2,0),0)</f>
        <v>0.8</v>
      </c>
    </row>
    <row r="6" spans="1:7" x14ac:dyDescent="0.25">
      <c r="A6" s="93" t="str">
        <f>VLOOKUP(B6,'PPA IDs'!$A$2:$B$117,2,0)</f>
        <v>Caltrain PCBB 12tphpd</v>
      </c>
      <c r="B6" s="77">
        <v>2302</v>
      </c>
      <c r="C6" s="79" t="s">
        <v>111</v>
      </c>
      <c r="D6" s="20">
        <v>3</v>
      </c>
      <c r="E6">
        <v>0.8</v>
      </c>
      <c r="F6" s="30">
        <f>IFERROR(D6*VLOOKUP($C6,'crfs-input'!$A$2:$B$19,2,0),0)</f>
        <v>3</v>
      </c>
      <c r="G6" s="30">
        <f>IFERROR(E6*VLOOKUP($C6,'crfs-input'!$A$2:$B$19,2,0),0)</f>
        <v>0.8</v>
      </c>
    </row>
    <row r="7" spans="1:7" x14ac:dyDescent="0.25">
      <c r="A7" s="93" t="str">
        <f>VLOOKUP(B7,'PPA IDs'!$A$2:$B$117,2,0)</f>
        <v>Caltrain PCBB 16tphpd</v>
      </c>
      <c r="B7" s="77">
        <v>2303</v>
      </c>
      <c r="C7" s="46" t="s">
        <v>111</v>
      </c>
      <c r="D7">
        <v>3</v>
      </c>
      <c r="E7">
        <v>0.8</v>
      </c>
      <c r="F7" s="30">
        <f>IFERROR(D7*VLOOKUP($C7,'crfs-input'!$A$2:$B$19,2,0),0)</f>
        <v>3</v>
      </c>
      <c r="G7" s="30">
        <f>IFERROR(E7*VLOOKUP($C7,'crfs-input'!$A$2:$B$19,2,0),0)</f>
        <v>0.8</v>
      </c>
    </row>
    <row r="8" spans="1:7" x14ac:dyDescent="0.25">
      <c r="A8" s="93" t="str">
        <f>VLOOKUP(B8,'PPA IDs'!$A$2:$B$117,2,0)</f>
        <v>SR-4 Operational Improvements</v>
      </c>
      <c r="B8" s="77">
        <v>3102</v>
      </c>
      <c r="C8" s="46" t="s">
        <v>108</v>
      </c>
      <c r="D8" s="54">
        <v>3</v>
      </c>
      <c r="E8" s="54">
        <v>3</v>
      </c>
      <c r="F8" s="30">
        <f>IFERROR(D8*VLOOKUP($C8,'crfs-input'!$A$2:$B$19,2,0),0)</f>
        <v>1.2000000000000002</v>
      </c>
      <c r="G8" s="30">
        <f>IFERROR(E8*VLOOKUP($C8,'crfs-input'!$A$2:$B$19,2,0),0)</f>
        <v>1.2000000000000002</v>
      </c>
    </row>
    <row r="9" spans="1:7" x14ac:dyDescent="0.25">
      <c r="B9" s="77"/>
      <c r="C9" s="46"/>
    </row>
    <row r="10" spans="1:7" x14ac:dyDescent="0.25">
      <c r="B10" s="77"/>
      <c r="C10" s="46"/>
    </row>
    <row r="11" spans="1:7" x14ac:dyDescent="0.25">
      <c r="B11" s="77"/>
      <c r="C11" s="46"/>
    </row>
    <row r="12" spans="1:7" x14ac:dyDescent="0.25">
      <c r="B12" s="77"/>
      <c r="C12" s="46"/>
    </row>
    <row r="13" spans="1:7" x14ac:dyDescent="0.25">
      <c r="B13" s="77"/>
      <c r="C13" s="46"/>
    </row>
    <row r="14" spans="1:7" x14ac:dyDescent="0.25">
      <c r="B14" s="77"/>
      <c r="C14" s="46"/>
    </row>
    <row r="15" spans="1:7" x14ac:dyDescent="0.25">
      <c r="B15" s="77"/>
      <c r="C15" s="46"/>
    </row>
    <row r="16" spans="1:7" x14ac:dyDescent="0.25">
      <c r="B16" s="77"/>
      <c r="C16" s="46"/>
    </row>
    <row r="17" spans="2:3" x14ac:dyDescent="0.25">
      <c r="B17" s="77"/>
      <c r="C17" s="46"/>
    </row>
    <row r="18" spans="2:3" x14ac:dyDescent="0.25">
      <c r="B18" s="77"/>
      <c r="C18" s="46"/>
    </row>
    <row r="19" spans="2:3" x14ac:dyDescent="0.25">
      <c r="B19" s="77"/>
      <c r="C19" s="46"/>
    </row>
    <row r="20" spans="2:3" x14ac:dyDescent="0.25">
      <c r="B20" s="77"/>
      <c r="C20" s="46"/>
    </row>
    <row r="21" spans="2:3" x14ac:dyDescent="0.25">
      <c r="B21" s="77"/>
      <c r="C21" s="46"/>
    </row>
    <row r="22" spans="2:3" x14ac:dyDescent="0.25">
      <c r="B22" s="77"/>
      <c r="C22" s="46"/>
    </row>
    <row r="23" spans="2:3" x14ac:dyDescent="0.25">
      <c r="B23" s="77"/>
      <c r="C23" s="46"/>
    </row>
    <row r="24" spans="2:3" x14ac:dyDescent="0.25">
      <c r="B24" s="77"/>
      <c r="C24" s="46"/>
    </row>
    <row r="25" spans="2:3" x14ac:dyDescent="0.25">
      <c r="B25" s="77"/>
      <c r="C25" s="46"/>
    </row>
    <row r="26" spans="2:3" x14ac:dyDescent="0.25">
      <c r="B26" s="77"/>
      <c r="C26" s="46"/>
    </row>
    <row r="27" spans="2:3" x14ac:dyDescent="0.25">
      <c r="B27" s="77"/>
      <c r="C27" s="46"/>
    </row>
    <row r="28" spans="2:3" x14ac:dyDescent="0.25">
      <c r="B28" s="77"/>
      <c r="C28" s="46"/>
    </row>
    <row r="29" spans="2:3" x14ac:dyDescent="0.25">
      <c r="B29" s="77"/>
      <c r="C29" s="46"/>
    </row>
    <row r="30" spans="2:3" x14ac:dyDescent="0.25">
      <c r="B30" s="77"/>
      <c r="C30" s="46"/>
    </row>
    <row r="31" spans="2:3" x14ac:dyDescent="0.25">
      <c r="B31" s="77"/>
      <c r="C31" s="46"/>
    </row>
    <row r="32" spans="2:3" x14ac:dyDescent="0.25">
      <c r="B32" s="77"/>
      <c r="C32" s="46"/>
    </row>
    <row r="33" spans="2:3" x14ac:dyDescent="0.25">
      <c r="B33" s="77"/>
      <c r="C33" s="46"/>
    </row>
    <row r="34" spans="2:3" x14ac:dyDescent="0.25">
      <c r="B34" s="77"/>
      <c r="C34" s="46"/>
    </row>
    <row r="35" spans="2:3" x14ac:dyDescent="0.25">
      <c r="B35" s="77"/>
      <c r="C35" s="46"/>
    </row>
    <row r="36" spans="2:3" x14ac:dyDescent="0.25">
      <c r="B36" s="77"/>
      <c r="C36" s="46"/>
    </row>
    <row r="37" spans="2:3" x14ac:dyDescent="0.25">
      <c r="B37" s="77"/>
      <c r="C37" s="46"/>
    </row>
    <row r="38" spans="2:3" x14ac:dyDescent="0.25">
      <c r="B38" s="77"/>
      <c r="C38" s="46"/>
    </row>
    <row r="39" spans="2:3" x14ac:dyDescent="0.25">
      <c r="B39" s="77"/>
      <c r="C39" s="46"/>
    </row>
    <row r="40" spans="2:3" x14ac:dyDescent="0.25">
      <c r="B40" s="77"/>
      <c r="C40" s="46"/>
    </row>
    <row r="41" spans="2:3" x14ac:dyDescent="0.25">
      <c r="B41" s="77"/>
      <c r="C41" s="46"/>
    </row>
    <row r="42" spans="2:3" x14ac:dyDescent="0.25">
      <c r="B42" s="77"/>
      <c r="C42" s="46"/>
    </row>
    <row r="43" spans="2:3" x14ac:dyDescent="0.25">
      <c r="B43" s="77"/>
      <c r="C43" s="46"/>
    </row>
    <row r="44" spans="2:3" x14ac:dyDescent="0.25">
      <c r="B44" s="77"/>
      <c r="C44" s="46"/>
    </row>
    <row r="45" spans="2:3" x14ac:dyDescent="0.25">
      <c r="B45" s="77"/>
      <c r="C45" s="46"/>
    </row>
    <row r="46" spans="2:3" x14ac:dyDescent="0.25">
      <c r="B46" s="77"/>
      <c r="C46" s="46"/>
    </row>
    <row r="47" spans="2:3" x14ac:dyDescent="0.25">
      <c r="B47" s="77"/>
      <c r="C47" s="46"/>
    </row>
    <row r="48" spans="2:3" x14ac:dyDescent="0.25">
      <c r="B48" s="77"/>
      <c r="C48" s="46"/>
    </row>
    <row r="49" spans="2:3" x14ac:dyDescent="0.25">
      <c r="B49" s="77"/>
      <c r="C49" s="46"/>
    </row>
    <row r="50" spans="2:3" x14ac:dyDescent="0.25">
      <c r="B50" s="77"/>
      <c r="C50" s="46"/>
    </row>
    <row r="51" spans="2:3" x14ac:dyDescent="0.25">
      <c r="B51" s="77"/>
      <c r="C51" s="46"/>
    </row>
    <row r="52" spans="2:3" x14ac:dyDescent="0.25">
      <c r="B52" s="77"/>
      <c r="C52" s="46"/>
    </row>
    <row r="53" spans="2:3" x14ac:dyDescent="0.25">
      <c r="B53" s="77"/>
      <c r="C53" s="46"/>
    </row>
    <row r="54" spans="2:3" x14ac:dyDescent="0.25">
      <c r="B54" s="77"/>
      <c r="C54" s="46"/>
    </row>
    <row r="55" spans="2:3" x14ac:dyDescent="0.25">
      <c r="B55" s="77"/>
      <c r="C55" s="46"/>
    </row>
    <row r="56" spans="2:3" x14ac:dyDescent="0.25">
      <c r="B56" s="77"/>
      <c r="C56" s="46"/>
    </row>
    <row r="57" spans="2:3" x14ac:dyDescent="0.25">
      <c r="B57" s="77"/>
      <c r="C57" s="46"/>
    </row>
    <row r="58" spans="2:3" x14ac:dyDescent="0.25">
      <c r="B58" s="77"/>
      <c r="C58" s="46"/>
    </row>
    <row r="59" spans="2:3" x14ac:dyDescent="0.25">
      <c r="B59" s="77"/>
      <c r="C59" s="46"/>
    </row>
    <row r="60" spans="2:3" x14ac:dyDescent="0.25">
      <c r="B60" s="77"/>
      <c r="C60" s="46"/>
    </row>
    <row r="61" spans="2:3" x14ac:dyDescent="0.25">
      <c r="B61" s="77"/>
      <c r="C61" s="46"/>
    </row>
    <row r="62" spans="2:3" x14ac:dyDescent="0.25">
      <c r="B62" s="77"/>
      <c r="C62" s="46"/>
    </row>
    <row r="63" spans="2:3" x14ac:dyDescent="0.25">
      <c r="B63" s="77"/>
      <c r="C63" s="46"/>
    </row>
    <row r="64" spans="2:3" x14ac:dyDescent="0.25">
      <c r="B64" s="77"/>
      <c r="C64" s="46"/>
    </row>
    <row r="65" spans="2:3" x14ac:dyDescent="0.25">
      <c r="B65" s="77"/>
      <c r="C65" s="46"/>
    </row>
    <row r="66" spans="2:3" x14ac:dyDescent="0.25">
      <c r="B66" s="77"/>
      <c r="C66" s="46"/>
    </row>
    <row r="67" spans="2:3" x14ac:dyDescent="0.25">
      <c r="B67" s="77"/>
      <c r="C67" s="46"/>
    </row>
    <row r="68" spans="2:3" x14ac:dyDescent="0.25">
      <c r="B68" s="77"/>
      <c r="C68" s="46"/>
    </row>
    <row r="69" spans="2:3" x14ac:dyDescent="0.25">
      <c r="B69" s="77"/>
      <c r="C69" s="46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C4:C21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4"/>
  <sheetViews>
    <sheetView workbookViewId="0">
      <selection activeCell="A2" sqref="A2"/>
    </sheetView>
  </sheetViews>
  <sheetFormatPr defaultRowHeight="15" x14ac:dyDescent="0.25"/>
  <cols>
    <col min="2" max="2" width="13.42578125" customWidth="1"/>
    <col min="3" max="3" width="14.85546875" customWidth="1"/>
    <col min="4" max="4" width="18.85546875" customWidth="1"/>
    <col min="5" max="9" width="12.140625" customWidth="1"/>
  </cols>
  <sheetData>
    <row r="1" spans="1:9" ht="30" x14ac:dyDescent="0.25">
      <c r="A1" s="22" t="s">
        <v>158</v>
      </c>
      <c r="B1" s="22" t="s">
        <v>88</v>
      </c>
      <c r="C1" s="22" t="s">
        <v>533</v>
      </c>
      <c r="D1" s="22" t="s">
        <v>534</v>
      </c>
      <c r="E1" s="22" t="s">
        <v>535</v>
      </c>
      <c r="F1" s="22" t="s">
        <v>536</v>
      </c>
      <c r="G1" s="22" t="s">
        <v>537</v>
      </c>
      <c r="H1" s="22" t="s">
        <v>538</v>
      </c>
      <c r="I1" s="22" t="s">
        <v>539</v>
      </c>
    </row>
    <row r="2" spans="1:9" x14ac:dyDescent="0.25">
      <c r="A2" s="93" t="s">
        <v>633</v>
      </c>
      <c r="B2" s="52">
        <v>0</v>
      </c>
      <c r="C2" s="52">
        <v>10</v>
      </c>
      <c r="D2" s="52">
        <v>10</v>
      </c>
      <c r="E2" s="52">
        <v>10</v>
      </c>
      <c r="F2" s="52">
        <v>10</v>
      </c>
      <c r="G2" s="52">
        <v>10</v>
      </c>
      <c r="H2" s="52">
        <v>10</v>
      </c>
      <c r="I2" s="52">
        <v>10</v>
      </c>
    </row>
    <row r="3" spans="1:9" x14ac:dyDescent="0.25">
      <c r="A3" s="93" t="str">
        <f>VLOOKUP(B3,'PPA IDs'!$A$2:$B$117,2,0)</f>
        <v>Crossings 1 - BART New Markets + Highway Crossing</v>
      </c>
      <c r="B3" s="49">
        <v>1001</v>
      </c>
      <c r="C3" s="49" t="str">
        <f>(5-COUNTIF(E3:I3,0))&amp;"/5"</f>
        <v>4/5</v>
      </c>
      <c r="D3" s="49">
        <f>COUNTIF(E3:I3,0)</f>
        <v>1</v>
      </c>
      <c r="E3" s="74">
        <v>1</v>
      </c>
      <c r="F3" s="74">
        <v>1</v>
      </c>
      <c r="G3" s="74">
        <v>0</v>
      </c>
      <c r="H3" s="74">
        <v>1</v>
      </c>
      <c r="I3" s="74">
        <v>1</v>
      </c>
    </row>
    <row r="4" spans="1:9" x14ac:dyDescent="0.25">
      <c r="A4" s="93" t="str">
        <f>VLOOKUP(B4,'PPA IDs'!$A$2:$B$117,2,0)</f>
        <v>Crossings 2 - BART Mission St</v>
      </c>
      <c r="B4" s="49">
        <v>1002</v>
      </c>
      <c r="C4" s="49" t="str">
        <f t="shared" ref="C4:C9" si="0">(5-COUNTIF(E4:I4,0))&amp;"/5"</f>
        <v>5/5</v>
      </c>
      <c r="D4" s="49">
        <f t="shared" ref="D4:D9" si="1">COUNTIF(E4:I4,0)</f>
        <v>0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</row>
    <row r="5" spans="1:9" x14ac:dyDescent="0.25">
      <c r="A5" s="93" t="str">
        <f>VLOOKUP(B5,'PPA IDs'!$A$2:$B$117,2,0)</f>
        <v>Crossings 3 - BART New Markets</v>
      </c>
      <c r="B5" s="49">
        <v>1003</v>
      </c>
      <c r="C5" s="49" t="str">
        <f t="shared" si="0"/>
        <v>5/5</v>
      </c>
      <c r="D5" s="49">
        <f t="shared" si="1"/>
        <v>0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</row>
    <row r="6" spans="1:9" x14ac:dyDescent="0.25">
      <c r="A6" s="93" t="str">
        <f>VLOOKUP(B6,'PPA IDs'!$A$2:$B$117,2,0)</f>
        <v>Crossings 4 - Regional Rail</v>
      </c>
      <c r="B6" s="49">
        <v>1004</v>
      </c>
      <c r="C6" s="49" t="str">
        <f t="shared" si="0"/>
        <v>5/5</v>
      </c>
      <c r="D6" s="49">
        <f t="shared" si="1"/>
        <v>0</v>
      </c>
      <c r="E6" s="74">
        <v>1</v>
      </c>
      <c r="F6" s="74">
        <v>1</v>
      </c>
      <c r="G6" s="74">
        <v>1</v>
      </c>
      <c r="H6" s="74">
        <v>1</v>
      </c>
      <c r="I6" s="74">
        <v>1</v>
      </c>
    </row>
    <row r="7" spans="1:9" x14ac:dyDescent="0.25">
      <c r="A7" s="93" t="str">
        <f>VLOOKUP(B7,'PPA IDs'!$A$2:$B$117,2,0)</f>
        <v>Crossings 5 - Mid-Bay Crossing</v>
      </c>
      <c r="B7" s="49">
        <v>1005</v>
      </c>
      <c r="C7" s="49" t="str">
        <f t="shared" si="0"/>
        <v>3/5</v>
      </c>
      <c r="D7" s="49">
        <f t="shared" si="1"/>
        <v>2</v>
      </c>
      <c r="E7" s="74">
        <v>1</v>
      </c>
      <c r="F7" s="74">
        <v>1</v>
      </c>
      <c r="G7" s="74">
        <v>1</v>
      </c>
      <c r="H7" s="74">
        <v>0</v>
      </c>
      <c r="I7" s="74">
        <v>0</v>
      </c>
    </row>
    <row r="8" spans="1:9" x14ac:dyDescent="0.25">
      <c r="A8" s="93" t="str">
        <f>VLOOKUP(B8,'PPA IDs'!$A$2:$B$117,2,0)</f>
        <v>Crossings 6 - San Mateo Bridge Widening</v>
      </c>
      <c r="B8" s="49">
        <v>1006</v>
      </c>
      <c r="C8" s="49" t="str">
        <f t="shared" si="0"/>
        <v>4/5</v>
      </c>
      <c r="D8" s="49">
        <f t="shared" si="1"/>
        <v>1</v>
      </c>
      <c r="E8" s="74">
        <v>1</v>
      </c>
      <c r="F8" s="74">
        <v>1</v>
      </c>
      <c r="G8" s="74">
        <v>1</v>
      </c>
      <c r="H8" s="74">
        <v>0</v>
      </c>
      <c r="I8" s="74">
        <v>1</v>
      </c>
    </row>
    <row r="9" spans="1:9" x14ac:dyDescent="0.25">
      <c r="A9" s="93" t="str">
        <f>VLOOKUP(B9,'PPA IDs'!$A$2:$B$117,2,0)</f>
        <v>Crossings 7 - Regional Rail + BART New Markets</v>
      </c>
      <c r="B9" s="49">
        <v>1007</v>
      </c>
      <c r="C9" s="49" t="str">
        <f t="shared" si="0"/>
        <v>5/5</v>
      </c>
      <c r="D9" s="49">
        <f t="shared" si="1"/>
        <v>0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</row>
    <row r="10" spans="1:9" x14ac:dyDescent="0.25">
      <c r="A10" s="93" t="str">
        <f>VLOOKUP(B10,'PPA IDs'!$A$2:$B$117,2,0)</f>
        <v>Crossings 8 - Southern Crossing Bridge</v>
      </c>
      <c r="B10" s="49">
        <v>1008</v>
      </c>
      <c r="C10" s="49" t="str">
        <f>(5-COUNTIF(E10:I10,0))&amp;"/5"</f>
        <v>4/5</v>
      </c>
      <c r="D10" s="49">
        <f>COUNTIF(E10:I10,0)</f>
        <v>1</v>
      </c>
      <c r="E10" s="74">
        <v>1</v>
      </c>
      <c r="F10" s="74">
        <v>1</v>
      </c>
      <c r="G10" s="74">
        <v>0</v>
      </c>
      <c r="H10" s="74">
        <v>1</v>
      </c>
      <c r="I10" s="74">
        <v>1</v>
      </c>
    </row>
    <row r="11" spans="1:9" x14ac:dyDescent="0.25">
      <c r="A11" s="93" t="str">
        <f>VLOOKUP(B11,'PPA IDs'!$A$2:$B$117,2,0)</f>
        <v>El Camino Real BRT</v>
      </c>
      <c r="B11" s="49">
        <v>2102</v>
      </c>
      <c r="C11" s="49" t="str">
        <f t="shared" ref="C11" si="2">(5-COUNTIF(E11:I11,0))&amp;"/5"</f>
        <v>5/5</v>
      </c>
      <c r="D11" s="49">
        <f t="shared" ref="D11" si="3">COUNTIF(E11:I11,0)</f>
        <v>0</v>
      </c>
      <c r="E11" s="74">
        <v>1</v>
      </c>
      <c r="F11" s="74">
        <v>1</v>
      </c>
      <c r="G11" s="74">
        <v>1</v>
      </c>
      <c r="H11" s="74">
        <v>1</v>
      </c>
      <c r="I11" s="74">
        <v>1</v>
      </c>
    </row>
    <row r="12" spans="1:9" x14ac:dyDescent="0.25">
      <c r="A12" s="93" t="str">
        <f>VLOOKUP(B12,'PPA IDs'!$A$2:$B$117,2,0)</f>
        <v>Caltrain PCBB 12tphpd</v>
      </c>
      <c r="B12" s="49">
        <v>2302</v>
      </c>
      <c r="C12" s="49" t="str">
        <f t="shared" ref="C12:C13" si="4">(5-COUNTIF(E12:I12,0))&amp;"/5"</f>
        <v>5/5</v>
      </c>
      <c r="D12" s="49">
        <f t="shared" ref="D12:D13" si="5">COUNTIF(E12:I12,0)</f>
        <v>0</v>
      </c>
      <c r="E12" s="74">
        <v>1</v>
      </c>
      <c r="F12" s="74">
        <v>1</v>
      </c>
      <c r="G12" s="74">
        <v>1</v>
      </c>
      <c r="H12" s="74">
        <v>1</v>
      </c>
      <c r="I12" s="74">
        <v>1</v>
      </c>
    </row>
    <row r="13" spans="1:9" x14ac:dyDescent="0.25">
      <c r="A13" s="93" t="str">
        <f>VLOOKUP(B13,'PPA IDs'!$A$2:$B$117,2,0)</f>
        <v>Caltrain PCBB 16tphpd</v>
      </c>
      <c r="B13" s="49">
        <v>2303</v>
      </c>
      <c r="C13" s="49" t="str">
        <f t="shared" si="4"/>
        <v>5/5</v>
      </c>
      <c r="D13" s="49">
        <f t="shared" si="5"/>
        <v>0</v>
      </c>
      <c r="E13" s="74">
        <v>1</v>
      </c>
      <c r="F13" s="74">
        <v>1</v>
      </c>
      <c r="G13" s="74">
        <v>1</v>
      </c>
      <c r="H13" s="74">
        <v>1</v>
      </c>
      <c r="I13" s="74">
        <v>1</v>
      </c>
    </row>
    <row r="14" spans="1:9" x14ac:dyDescent="0.25">
      <c r="A14" s="93" t="str">
        <f>VLOOKUP(B14,'PPA IDs'!$A$2:$B$117,2,0)</f>
        <v>BART Core Capacity</v>
      </c>
      <c r="B14" s="49">
        <v>2201</v>
      </c>
      <c r="C14" s="49" t="str">
        <f t="shared" ref="C14" si="6">(5-COUNTIF(E14:I14,0))&amp;"/5"</f>
        <v>5/5</v>
      </c>
      <c r="D14" s="49">
        <f t="shared" ref="D14" si="7">COUNTIF(E14:I14,0)</f>
        <v>0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531</v>
      </c>
      <c r="B5">
        <v>2.4</v>
      </c>
      <c r="D5" t="s">
        <v>530</v>
      </c>
      <c r="E5" s="60" t="s">
        <v>529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2" t="s">
        <v>311</v>
      </c>
      <c r="B1" s="22" t="s">
        <v>312</v>
      </c>
      <c r="C1" s="22" t="s">
        <v>157</v>
      </c>
      <c r="D1" s="22" t="s">
        <v>158</v>
      </c>
      <c r="E1" s="22" t="s">
        <v>160</v>
      </c>
      <c r="F1" s="22" t="s">
        <v>136</v>
      </c>
      <c r="G1" s="22" t="s">
        <v>162</v>
      </c>
      <c r="H1" s="22" t="s">
        <v>72</v>
      </c>
      <c r="I1" s="22" t="s">
        <v>164</v>
      </c>
      <c r="J1" s="22" t="s">
        <v>165</v>
      </c>
    </row>
    <row r="2" spans="1:10" x14ac:dyDescent="0.25">
      <c r="A2" t="s">
        <v>291</v>
      </c>
      <c r="B2" t="s">
        <v>292</v>
      </c>
      <c r="C2" t="s">
        <v>317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291</v>
      </c>
      <c r="B3" t="s">
        <v>293</v>
      </c>
      <c r="C3" t="s">
        <v>316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291</v>
      </c>
      <c r="B4" t="s">
        <v>294</v>
      </c>
      <c r="C4" t="s">
        <v>318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295</v>
      </c>
      <c r="B5" t="s">
        <v>296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295</v>
      </c>
      <c r="B6" t="s">
        <v>297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295</v>
      </c>
      <c r="B7" t="s">
        <v>298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299</v>
      </c>
      <c r="B8" t="s">
        <v>300</v>
      </c>
      <c r="C8" t="s">
        <v>224</v>
      </c>
      <c r="D8" t="s">
        <v>226</v>
      </c>
      <c r="E8" t="s">
        <v>207</v>
      </c>
      <c r="F8" t="s">
        <v>225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299</v>
      </c>
      <c r="B9" t="s">
        <v>301</v>
      </c>
      <c r="C9" t="s">
        <v>222</v>
      </c>
      <c r="D9" t="s">
        <v>226</v>
      </c>
      <c r="E9" t="s">
        <v>207</v>
      </c>
      <c r="F9" t="s">
        <v>225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299</v>
      </c>
      <c r="B10" t="s">
        <v>302</v>
      </c>
      <c r="C10" t="s">
        <v>223</v>
      </c>
      <c r="D10" t="s">
        <v>226</v>
      </c>
      <c r="E10" t="s">
        <v>207</v>
      </c>
      <c r="F10" t="s">
        <v>225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291</v>
      </c>
      <c r="B11" t="s">
        <v>303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304</v>
      </c>
      <c r="B12" t="s">
        <v>278</v>
      </c>
      <c r="C12" t="s">
        <v>313</v>
      </c>
      <c r="D12" t="s">
        <v>253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304</v>
      </c>
      <c r="B13" t="s">
        <v>279</v>
      </c>
      <c r="C13" t="s">
        <v>314</v>
      </c>
      <c r="D13" t="s">
        <v>253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304</v>
      </c>
      <c r="B14" t="s">
        <v>280</v>
      </c>
      <c r="C14" t="s">
        <v>315</v>
      </c>
      <c r="D14" t="s">
        <v>253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305</v>
      </c>
      <c r="B15" t="s">
        <v>281</v>
      </c>
      <c r="C15" t="s">
        <v>268</v>
      </c>
      <c r="D15" t="s">
        <v>266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305</v>
      </c>
      <c r="B16" t="s">
        <v>282</v>
      </c>
      <c r="C16" t="s">
        <v>269</v>
      </c>
      <c r="D16" t="s">
        <v>266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305</v>
      </c>
      <c r="B17" t="s">
        <v>283</v>
      </c>
      <c r="C17" t="s">
        <v>270</v>
      </c>
      <c r="D17" t="s">
        <v>266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306</v>
      </c>
      <c r="B18" t="s">
        <v>284</v>
      </c>
      <c r="C18" t="s">
        <v>271</v>
      </c>
      <c r="D18" t="s">
        <v>264</v>
      </c>
      <c r="E18" t="s">
        <v>161</v>
      </c>
      <c r="F18" t="s">
        <v>91</v>
      </c>
      <c r="G18" t="s">
        <v>262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306</v>
      </c>
      <c r="B19" t="s">
        <v>331</v>
      </c>
      <c r="C19" t="e">
        <f>VLOOKUP(D19,'PPA IDs'!$B$2:$B$95,2,0)   &amp;   "_"   &amp;   RIGHT(B19,2)   &amp;   "_"   &amp;   H19</f>
        <v>#REF!</v>
      </c>
      <c r="D19" t="s">
        <v>264</v>
      </c>
      <c r="E19" t="s">
        <v>161</v>
      </c>
      <c r="F19" t="s">
        <v>91</v>
      </c>
      <c r="G19" t="s">
        <v>262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306</v>
      </c>
      <c r="B20" t="s">
        <v>285</v>
      </c>
      <c r="C20" t="s">
        <v>272</v>
      </c>
      <c r="D20" t="s">
        <v>264</v>
      </c>
      <c r="E20" t="s">
        <v>161</v>
      </c>
      <c r="F20" t="s">
        <v>91</v>
      </c>
      <c r="G20" t="s">
        <v>262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307</v>
      </c>
      <c r="B21" t="s">
        <v>319</v>
      </c>
      <c r="C21" t="e">
        <f>VLOOKUP(D21,'PPA IDs'!$B$2:$B$95,2,0)   &amp;   "_"   &amp;   RIGHT(B21,2)   &amp;   "_"   &amp;   H21</f>
        <v>#REF!</v>
      </c>
      <c r="D21" t="s">
        <v>261</v>
      </c>
      <c r="E21" t="s">
        <v>161</v>
      </c>
      <c r="F21" t="s">
        <v>91</v>
      </c>
      <c r="G21" t="s">
        <v>262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307</v>
      </c>
      <c r="B22" t="s">
        <v>481</v>
      </c>
      <c r="C22" t="e">
        <f>VLOOKUP(D22,'PPA IDs'!$B$2:$B$95,2,0)   &amp;   "_"   &amp;   RIGHT(B22,2)   &amp;   "_"   &amp;   H22</f>
        <v>#REF!</v>
      </c>
      <c r="D22" t="s">
        <v>261</v>
      </c>
      <c r="E22" t="s">
        <v>161</v>
      </c>
      <c r="F22" t="s">
        <v>91</v>
      </c>
      <c r="G22" t="s">
        <v>262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307</v>
      </c>
      <c r="B23" t="s">
        <v>477</v>
      </c>
      <c r="C23" t="e">
        <f>VLOOKUP(D23,'PPA IDs'!$B$2:$B$95,2,0)   &amp;   "_"   &amp;   RIGHT(B23,2)   &amp;   "_"   &amp;   H23</f>
        <v>#REF!</v>
      </c>
      <c r="D23" t="s">
        <v>261</v>
      </c>
      <c r="E23" t="s">
        <v>161</v>
      </c>
      <c r="F23" t="s">
        <v>91</v>
      </c>
      <c r="G23" t="s">
        <v>262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308</v>
      </c>
      <c r="B24" t="s">
        <v>286</v>
      </c>
      <c r="C24" t="s">
        <v>273</v>
      </c>
      <c r="D24" t="s">
        <v>265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308</v>
      </c>
      <c r="B25" t="s">
        <v>339</v>
      </c>
      <c r="C25" t="e">
        <f>VLOOKUP(D25,'PPA IDs'!$B$2:$B$95,2,0)   &amp;   "_"   &amp;   RIGHT(B25,2)   &amp;   "_"   &amp;   H25</f>
        <v>#REF!</v>
      </c>
      <c r="D25" t="s">
        <v>265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308</v>
      </c>
      <c r="B26" t="s">
        <v>287</v>
      </c>
      <c r="C26" t="s">
        <v>274</v>
      </c>
      <c r="D26" t="s">
        <v>265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304</v>
      </c>
      <c r="B27" t="s">
        <v>329</v>
      </c>
      <c r="C27" t="e">
        <f>VLOOKUP(D27,'PPA IDs'!$B$2:$B$95,2,0)   &amp;   "_"   &amp;   RIGHT(B27,2)   &amp;   "_"   &amp;   H27</f>
        <v>#REF!</v>
      </c>
      <c r="D27" t="s">
        <v>253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304</v>
      </c>
      <c r="B28" t="s">
        <v>328</v>
      </c>
      <c r="C28" t="e">
        <f>VLOOKUP(D28,'PPA IDs'!$B$2:$B$95,2,0)   &amp;   "_"   &amp;   RIGHT(B28,2)   &amp;   "_"   &amp;   H28</f>
        <v>#REF!</v>
      </c>
      <c r="D28" t="s">
        <v>253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304</v>
      </c>
      <c r="B29" t="s">
        <v>330</v>
      </c>
      <c r="C29" t="e">
        <f>VLOOKUP(D29,'PPA IDs'!$B$2:$B$95,2,0)   &amp;   "_"   &amp;   RIGHT(B29,2)   &amp;   "_"   &amp;   H29</f>
        <v>#REF!</v>
      </c>
      <c r="D29" t="s">
        <v>253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309</v>
      </c>
      <c r="B30" t="s">
        <v>480</v>
      </c>
      <c r="C30" t="e">
        <f>VLOOKUP(D30,'PPA IDs'!$B$2:$B$95,2,0)   &amp;   "_"   &amp;   RIGHT(B30,2)   &amp;   "_"   &amp;   H30</f>
        <v>#REF!</v>
      </c>
      <c r="D30" t="s">
        <v>263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309</v>
      </c>
      <c r="B31" t="s">
        <v>478</v>
      </c>
      <c r="C31" t="e">
        <f>VLOOKUP(D31,'PPA IDs'!$B$2:$B$95,2,0)   &amp;   "_"   &amp;   RIGHT(B31,2)   &amp;   "_"   &amp;   H31</f>
        <v>#REF!</v>
      </c>
      <c r="D31" t="s">
        <v>263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309</v>
      </c>
      <c r="B32" t="s">
        <v>479</v>
      </c>
      <c r="C32" t="e">
        <f>VLOOKUP(D32,'PPA IDs'!$B$2:$B$95,2,0)   &amp;   "_"   &amp;   RIGHT(B32,2)   &amp;   "_"   &amp;   H32</f>
        <v>#REF!</v>
      </c>
      <c r="D32" t="s">
        <v>263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310</v>
      </c>
      <c r="B33" t="s">
        <v>288</v>
      </c>
      <c r="C33" t="s">
        <v>275</v>
      </c>
      <c r="D33" t="s">
        <v>267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310</v>
      </c>
      <c r="B34" t="s">
        <v>289</v>
      </c>
      <c r="C34" t="s">
        <v>276</v>
      </c>
      <c r="D34" t="s">
        <v>267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310</v>
      </c>
      <c r="B35" t="s">
        <v>290</v>
      </c>
      <c r="C35" t="s">
        <v>277</v>
      </c>
      <c r="D35" t="s">
        <v>267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307</v>
      </c>
      <c r="B36" t="s">
        <v>337</v>
      </c>
      <c r="C36" t="e">
        <f>VLOOKUP(D36,'PPA IDs'!$B$2:$B$95,2,0)   &amp;   "_"   &amp;   RIGHT(B36,2)   &amp;   "_"   &amp;   H36</f>
        <v>#REF!</v>
      </c>
      <c r="D36" t="s">
        <v>261</v>
      </c>
      <c r="E36" t="s">
        <v>161</v>
      </c>
      <c r="F36" t="s">
        <v>91</v>
      </c>
      <c r="G36" t="s">
        <v>262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307</v>
      </c>
      <c r="B37" t="s">
        <v>335</v>
      </c>
      <c r="C37" t="e">
        <f>VLOOKUP(D37,'PPA IDs'!$B$2:$B$95,2,0)   &amp;   "_"   &amp;   RIGHT(B37,2)   &amp;   "_"   &amp;   H37</f>
        <v>#REF!</v>
      </c>
      <c r="D37" t="s">
        <v>261</v>
      </c>
      <c r="E37" t="s">
        <v>161</v>
      </c>
      <c r="F37" t="s">
        <v>91</v>
      </c>
      <c r="G37" t="s">
        <v>262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307</v>
      </c>
      <c r="B38" t="s">
        <v>336</v>
      </c>
      <c r="C38" t="e">
        <f>VLOOKUP(D38,'PPA IDs'!$B$2:$B$95,2,0)   &amp;   "_"   &amp;   RIGHT(B38,2)   &amp;   "_"   &amp;   H38</f>
        <v>#REF!</v>
      </c>
      <c r="D38" t="s">
        <v>261</v>
      </c>
      <c r="E38" t="s">
        <v>161</v>
      </c>
      <c r="F38" t="s">
        <v>91</v>
      </c>
      <c r="G38" t="s">
        <v>262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306</v>
      </c>
      <c r="B39" t="s">
        <v>338</v>
      </c>
      <c r="C39" t="e">
        <f>VLOOKUP(D39,'PPA IDs'!$B$2:$B$95,2,0)   &amp;   "_"   &amp;   RIGHT(B39,2)   &amp;   "_"   &amp;   H39</f>
        <v>#REF!</v>
      </c>
      <c r="D39" t="s">
        <v>264</v>
      </c>
      <c r="E39" t="s">
        <v>161</v>
      </c>
      <c r="F39" t="s">
        <v>91</v>
      </c>
      <c r="G39" t="s">
        <v>262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307</v>
      </c>
      <c r="B40" t="s">
        <v>337</v>
      </c>
      <c r="C40" t="e">
        <f>VLOOKUP(D40,'PPA IDs'!$B$2:$B$95,2,0)   &amp;   "_"   &amp;   RIGHT(B40,2)   &amp;   "_"   &amp;   H40</f>
        <v>#REF!</v>
      </c>
      <c r="D40" t="s">
        <v>261</v>
      </c>
      <c r="E40" t="s">
        <v>161</v>
      </c>
      <c r="F40" t="s">
        <v>91</v>
      </c>
      <c r="G40" t="s">
        <v>262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307</v>
      </c>
      <c r="B41" t="s">
        <v>487</v>
      </c>
      <c r="C41" t="e">
        <f>VLOOKUP(D41,'PPA IDs'!$B$2:$B$95,2,0)   &amp;   "_"   &amp;   RIGHT(B41,2)   &amp;   "_"   &amp;   H41</f>
        <v>#REF!</v>
      </c>
      <c r="D41" t="s">
        <v>261</v>
      </c>
      <c r="E41" t="s">
        <v>161</v>
      </c>
      <c r="F41" t="s">
        <v>91</v>
      </c>
      <c r="G41" t="s">
        <v>262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307</v>
      </c>
      <c r="B42" t="s">
        <v>476</v>
      </c>
      <c r="C42" t="e">
        <f>VLOOKUP(D42,'PPA IDs'!$B$2:$B$95,2,0)   &amp;   "_"   &amp;   RIGHT(B42,2)   &amp;   "_"   &amp;   H42</f>
        <v>#REF!</v>
      </c>
      <c r="D42" t="s">
        <v>261</v>
      </c>
      <c r="E42" t="s">
        <v>161</v>
      </c>
      <c r="F42" t="s">
        <v>91</v>
      </c>
      <c r="G42" t="s">
        <v>262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308</v>
      </c>
      <c r="B43" t="s">
        <v>488</v>
      </c>
      <c r="C43" t="e">
        <f>VLOOKUP(D43,'PPA IDs'!$B$2:$B$95,2,0)   &amp;   "_"   &amp;   RIGHT(B43,2)   &amp;   "_"   &amp;   H43</f>
        <v>#REF!</v>
      </c>
      <c r="D43" t="s">
        <v>265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308</v>
      </c>
      <c r="B44" t="s">
        <v>491</v>
      </c>
      <c r="C44" t="e">
        <f>VLOOKUP(D44,'PPA IDs'!$B$2:$B$95,2,0)   &amp;   "_"   &amp;   RIGHT(B44,2)   &amp;   "_"   &amp;   H44</f>
        <v>#REF!</v>
      </c>
      <c r="D44" t="s">
        <v>265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308</v>
      </c>
      <c r="B45" t="s">
        <v>492</v>
      </c>
      <c r="C45" t="e">
        <f>VLOOKUP(D45,'PPA IDs'!$B$2:$B$95,2,0)   &amp;   "_"   &amp;   RIGHT(B45,2)   &amp;   "_"   &amp;   H45</f>
        <v>#REF!</v>
      </c>
      <c r="D45" t="s">
        <v>265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308</v>
      </c>
      <c r="B46" t="s">
        <v>490</v>
      </c>
      <c r="C46" t="s">
        <v>489</v>
      </c>
      <c r="D46" t="s">
        <v>493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308</v>
      </c>
      <c r="B47" t="s">
        <v>498</v>
      </c>
      <c r="C47" t="s">
        <v>489</v>
      </c>
      <c r="D47" t="s">
        <v>493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307</v>
      </c>
      <c r="B48" t="s">
        <v>494</v>
      </c>
      <c r="C48" t="e">
        <f>VLOOKUP(D48,'PPA IDs'!$B$2:$B$95,2,0)   &amp;   "_"   &amp;   RIGHT(B48,2)   &amp;   "_"   &amp;   H48</f>
        <v>#REF!</v>
      </c>
      <c r="D48" t="s">
        <v>261</v>
      </c>
      <c r="E48" t="s">
        <v>161</v>
      </c>
      <c r="F48" t="s">
        <v>91</v>
      </c>
      <c r="G48" t="s">
        <v>262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2" t="s">
        <v>307</v>
      </c>
      <c r="B49" s="72" t="s">
        <v>495</v>
      </c>
      <c r="C49" s="72" t="e">
        <f>VLOOKUP(D49,'PPA IDs'!$B$2:$B$95,2,0)   &amp;   "_"   &amp;   RIGHT(B49,2)   &amp;   "_"   &amp;   H49</f>
        <v>#REF!</v>
      </c>
      <c r="D49" s="72" t="s">
        <v>261</v>
      </c>
      <c r="E49" s="72" t="s">
        <v>161</v>
      </c>
      <c r="F49" s="72" t="s">
        <v>91</v>
      </c>
      <c r="G49" s="72" t="s">
        <v>262</v>
      </c>
      <c r="H49" s="72" t="s">
        <v>137</v>
      </c>
      <c r="I49" s="72" t="str">
        <f t="shared" si="0"/>
        <v>2050_TM151_PPA_RT_01</v>
      </c>
      <c r="J49" s="72" t="s">
        <v>166</v>
      </c>
    </row>
    <row r="50" spans="1:10" x14ac:dyDescent="0.25">
      <c r="A50" s="72" t="s">
        <v>307</v>
      </c>
      <c r="B50" s="72" t="s">
        <v>496</v>
      </c>
      <c r="C50" s="72" t="e">
        <f>VLOOKUP(D50,'PPA IDs'!$B$2:$B$95,2,0)   &amp;   "_"   &amp;   RIGHT(B50,2)   &amp;   "_"   &amp;   H50</f>
        <v>#REF!</v>
      </c>
      <c r="D50" s="72" t="s">
        <v>261</v>
      </c>
      <c r="E50" s="72" t="s">
        <v>161</v>
      </c>
      <c r="F50" s="72" t="s">
        <v>91</v>
      </c>
      <c r="G50" s="72" t="s">
        <v>262</v>
      </c>
      <c r="H50" s="72" t="s">
        <v>138</v>
      </c>
      <c r="I50" s="72" t="str">
        <f t="shared" si="0"/>
        <v>2050_TM151_PPA_CG_01</v>
      </c>
      <c r="J50" s="72" t="s">
        <v>166</v>
      </c>
    </row>
    <row r="51" spans="1:10" x14ac:dyDescent="0.25">
      <c r="A51" s="73" t="s">
        <v>307</v>
      </c>
      <c r="B51" s="73" t="s">
        <v>497</v>
      </c>
      <c r="C51" s="73" t="e">
        <f>VLOOKUP(D51,'PPA IDs'!$B$2:$B$95,2,0)   &amp;   "_"   &amp;   RIGHT(B51,2)   &amp;   "_"   &amp;   H51</f>
        <v>#REF!</v>
      </c>
      <c r="D51" s="73" t="s">
        <v>261</v>
      </c>
      <c r="E51" s="73" t="s">
        <v>161</v>
      </c>
      <c r="F51" s="73" t="s">
        <v>91</v>
      </c>
      <c r="G51" s="73" t="s">
        <v>262</v>
      </c>
      <c r="H51" s="73" t="s">
        <v>139</v>
      </c>
      <c r="I51" s="73" t="str">
        <f>LEFT(B51,20)</f>
        <v>2050_TM151_PPA_BF_01</v>
      </c>
      <c r="J51" s="73" t="s">
        <v>166</v>
      </c>
    </row>
    <row r="52" spans="1:10" x14ac:dyDescent="0.25">
      <c r="A52" t="s">
        <v>305</v>
      </c>
      <c r="B52" t="s">
        <v>501</v>
      </c>
      <c r="C52" t="s">
        <v>268</v>
      </c>
      <c r="D52" t="s">
        <v>266</v>
      </c>
      <c r="E52" t="s">
        <v>161</v>
      </c>
      <c r="F52" t="s">
        <v>91</v>
      </c>
      <c r="G52" t="s">
        <v>170</v>
      </c>
      <c r="H52" s="72" t="s">
        <v>137</v>
      </c>
      <c r="I52" t="s">
        <v>255</v>
      </c>
      <c r="J52" t="s">
        <v>166</v>
      </c>
    </row>
    <row r="53" spans="1:10" x14ac:dyDescent="0.25">
      <c r="A53" t="s">
        <v>305</v>
      </c>
      <c r="B53" t="s">
        <v>500</v>
      </c>
      <c r="C53" t="s">
        <v>269</v>
      </c>
      <c r="D53" t="s">
        <v>266</v>
      </c>
      <c r="E53" t="s">
        <v>161</v>
      </c>
      <c r="F53" t="s">
        <v>91</v>
      </c>
      <c r="G53" s="72" t="s">
        <v>170</v>
      </c>
      <c r="H53" s="72" t="s">
        <v>138</v>
      </c>
      <c r="I53" s="72" t="s">
        <v>504</v>
      </c>
      <c r="J53" t="s">
        <v>166</v>
      </c>
    </row>
    <row r="54" spans="1:10" x14ac:dyDescent="0.25">
      <c r="A54" t="s">
        <v>305</v>
      </c>
      <c r="B54" t="s">
        <v>499</v>
      </c>
      <c r="C54" t="s">
        <v>270</v>
      </c>
      <c r="D54" t="s">
        <v>266</v>
      </c>
      <c r="E54" t="s">
        <v>161</v>
      </c>
      <c r="F54" t="s">
        <v>91</v>
      </c>
      <c r="G54" s="72" t="s">
        <v>170</v>
      </c>
      <c r="H54" s="72" t="s">
        <v>139</v>
      </c>
      <c r="I54" s="72" t="s">
        <v>502</v>
      </c>
      <c r="J54" t="s">
        <v>166</v>
      </c>
    </row>
    <row r="55" spans="1:10" x14ac:dyDescent="0.25">
      <c r="A55" t="s">
        <v>306</v>
      </c>
      <c r="B55" t="s">
        <v>284</v>
      </c>
      <c r="C55" t="s">
        <v>271</v>
      </c>
      <c r="D55" t="s">
        <v>264</v>
      </c>
      <c r="E55" t="s">
        <v>161</v>
      </c>
      <c r="F55" t="s">
        <v>91</v>
      </c>
      <c r="G55" t="s">
        <v>262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306</v>
      </c>
      <c r="B56" t="s">
        <v>331</v>
      </c>
      <c r="C56" t="e">
        <f>VLOOKUP(D56,'PPA IDs'!$B$2:$B$95,2,0)   &amp;   "_"   &amp;   RIGHT(B56,2)   &amp;   "_"   &amp;   H56</f>
        <v>#REF!</v>
      </c>
      <c r="D56" t="s">
        <v>264</v>
      </c>
      <c r="E56" t="s">
        <v>161</v>
      </c>
      <c r="F56" t="s">
        <v>91</v>
      </c>
      <c r="G56" t="s">
        <v>262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306</v>
      </c>
      <c r="B57" t="s">
        <v>285</v>
      </c>
      <c r="C57" t="s">
        <v>272</v>
      </c>
      <c r="D57" t="s">
        <v>264</v>
      </c>
      <c r="E57" t="s">
        <v>161</v>
      </c>
      <c r="F57" t="s">
        <v>91</v>
      </c>
      <c r="G57" t="s">
        <v>262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zoomScale="80" zoomScaleNormal="80" workbookViewId="0">
      <pane ySplit="1" topLeftCell="A2" activePane="bottomLeft" state="frozen"/>
      <selection pane="bottomLeft" activeCell="P38" sqref="P38"/>
    </sheetView>
  </sheetViews>
  <sheetFormatPr defaultRowHeight="15" x14ac:dyDescent="0.25"/>
  <cols>
    <col min="1" max="1" width="10.7109375" style="66" customWidth="1"/>
    <col min="2" max="2" width="75.42578125" style="67" bestFit="1" customWidth="1"/>
    <col min="3" max="3" width="17.42578125" style="67" customWidth="1"/>
    <col min="4" max="4" width="14.140625" style="71" customWidth="1"/>
    <col min="5" max="5" width="12.42578125" style="67" customWidth="1"/>
    <col min="6" max="6" width="16.85546875" customWidth="1"/>
    <col min="7" max="7" width="12.7109375" bestFit="1" customWidth="1"/>
    <col min="8" max="11" width="12.7109375" customWidth="1"/>
    <col min="12" max="12" width="19.42578125" bestFit="1" customWidth="1"/>
    <col min="13" max="18" width="12.7109375" customWidth="1"/>
    <col min="19" max="19" width="7.140625" bestFit="1" customWidth="1"/>
    <col min="20" max="20" width="26.7109375" bestFit="1" customWidth="1"/>
  </cols>
  <sheetData>
    <row r="1" spans="1:23" x14ac:dyDescent="0.25">
      <c r="A1" s="55" t="s">
        <v>340</v>
      </c>
      <c r="B1" s="59" t="s">
        <v>158</v>
      </c>
      <c r="C1" s="59" t="s">
        <v>341</v>
      </c>
      <c r="D1" s="55" t="s">
        <v>342</v>
      </c>
      <c r="E1" s="55" t="s">
        <v>343</v>
      </c>
      <c r="F1" s="55" t="s">
        <v>344</v>
      </c>
      <c r="G1" s="55" t="s">
        <v>345</v>
      </c>
      <c r="H1" s="55" t="s">
        <v>598</v>
      </c>
      <c r="I1" s="55" t="s">
        <v>160</v>
      </c>
      <c r="J1" s="55" t="s">
        <v>136</v>
      </c>
      <c r="K1" s="55" t="s">
        <v>162</v>
      </c>
      <c r="L1" s="4" t="s">
        <v>166</v>
      </c>
      <c r="M1" s="55" t="s">
        <v>622</v>
      </c>
      <c r="N1" s="55" t="s">
        <v>623</v>
      </c>
      <c r="O1" s="55" t="s">
        <v>621</v>
      </c>
      <c r="P1" s="55" t="s">
        <v>624</v>
      </c>
      <c r="Q1" s="55" t="s">
        <v>625</v>
      </c>
      <c r="R1" s="55"/>
      <c r="S1" s="55" t="s">
        <v>346</v>
      </c>
      <c r="T1" s="55" t="s">
        <v>136</v>
      </c>
      <c r="U1" s="55" t="s">
        <v>136</v>
      </c>
      <c r="V1" s="55" t="s">
        <v>162</v>
      </c>
      <c r="W1" s="60" t="s">
        <v>347</v>
      </c>
    </row>
    <row r="2" spans="1:23" x14ac:dyDescent="0.25">
      <c r="A2" s="61">
        <v>1001</v>
      </c>
      <c r="B2" t="s">
        <v>266</v>
      </c>
      <c r="C2" s="69"/>
      <c r="D2" s="70">
        <v>78</v>
      </c>
      <c r="E2" s="64">
        <v>0</v>
      </c>
      <c r="F2" s="20"/>
      <c r="G2" s="20"/>
      <c r="H2" s="20" t="s">
        <v>614</v>
      </c>
      <c r="I2" t="s">
        <v>601</v>
      </c>
      <c r="J2" s="20" t="s">
        <v>91</v>
      </c>
      <c r="K2" t="s">
        <v>262</v>
      </c>
      <c r="L2" t="s">
        <v>166</v>
      </c>
      <c r="M2" t="e">
        <f>VLOOKUP($E2,'[1]All Projects'!$A$2:$J$70,9,0)</f>
        <v>#N/A</v>
      </c>
      <c r="N2" t="e">
        <f>VLOOKUP($E2,'[1]All Projects'!$A$2:$J$70,10,0)</f>
        <v>#N/A</v>
      </c>
      <c r="O2">
        <v>10</v>
      </c>
      <c r="P2" t="e">
        <f>VLOOKUP($E2,'[1]All Projects'!$A$2:$J$70,5,0)</f>
        <v>#N/A</v>
      </c>
      <c r="Q2" t="e">
        <f>VLOOKUP($E2,'[1]All Projects'!$A$2:$J$70,7,0)</f>
        <v>#N/A</v>
      </c>
      <c r="S2" s="66">
        <v>1000</v>
      </c>
      <c r="T2" s="66" t="s">
        <v>349</v>
      </c>
    </row>
    <row r="3" spans="1:23" x14ac:dyDescent="0.25">
      <c r="A3" s="61">
        <v>1002</v>
      </c>
      <c r="B3" t="s">
        <v>264</v>
      </c>
      <c r="C3" s="69"/>
      <c r="D3" s="70">
        <v>79</v>
      </c>
      <c r="E3" s="64">
        <v>0</v>
      </c>
      <c r="F3" s="65">
        <v>43561</v>
      </c>
      <c r="G3" s="20"/>
      <c r="H3" s="20" t="s">
        <v>614</v>
      </c>
      <c r="I3" t="s">
        <v>601</v>
      </c>
      <c r="J3" s="20" t="s">
        <v>91</v>
      </c>
      <c r="K3" t="s">
        <v>262</v>
      </c>
      <c r="L3" t="s">
        <v>166</v>
      </c>
      <c r="M3" t="e">
        <f>VLOOKUP(E3,'[1]All Projects'!$A$2:$J$70,9,0)</f>
        <v>#N/A</v>
      </c>
      <c r="N3" t="e">
        <f>VLOOKUP($E3,'[1]All Projects'!$A$2:$J$70,10,0)</f>
        <v>#N/A</v>
      </c>
      <c r="O3">
        <v>10</v>
      </c>
      <c r="P3" t="e">
        <f>VLOOKUP($E3,'[1]All Projects'!$A$2:$J$70,5,0)</f>
        <v>#N/A</v>
      </c>
      <c r="Q3" t="e">
        <f>VLOOKUP($E3,'[1]All Projects'!$A$2:$J$70,7,0)</f>
        <v>#N/A</v>
      </c>
      <c r="S3" s="66"/>
      <c r="T3" s="66"/>
    </row>
    <row r="4" spans="1:23" x14ac:dyDescent="0.25">
      <c r="A4" s="61">
        <v>1003</v>
      </c>
      <c r="B4" t="s">
        <v>261</v>
      </c>
      <c r="C4" s="69"/>
      <c r="D4" s="70">
        <v>80</v>
      </c>
      <c r="E4" s="64">
        <v>0</v>
      </c>
      <c r="F4" s="65">
        <v>43561</v>
      </c>
      <c r="G4" s="20"/>
      <c r="H4" s="20" t="s">
        <v>614</v>
      </c>
      <c r="I4" t="s">
        <v>601</v>
      </c>
      <c r="J4" s="20" t="s">
        <v>91</v>
      </c>
      <c r="K4" t="s">
        <v>262</v>
      </c>
      <c r="L4" t="s">
        <v>166</v>
      </c>
      <c r="M4" t="e">
        <f>VLOOKUP(E4,'[1]All Projects'!$A$2:$J$70,9,0)</f>
        <v>#N/A</v>
      </c>
      <c r="N4" t="e">
        <f>VLOOKUP($E4,'[1]All Projects'!$A$2:$J$70,10,0)</f>
        <v>#N/A</v>
      </c>
      <c r="O4">
        <v>10</v>
      </c>
      <c r="P4" t="e">
        <f>VLOOKUP($E4,'[1]All Projects'!$A$2:$J$70,5,0)</f>
        <v>#N/A</v>
      </c>
      <c r="Q4" t="e">
        <f>VLOOKUP($E4,'[1]All Projects'!$A$2:$J$70,7,0)</f>
        <v>#N/A</v>
      </c>
      <c r="S4" s="66">
        <v>2000</v>
      </c>
      <c r="T4" s="66" t="s">
        <v>354</v>
      </c>
      <c r="U4" t="s">
        <v>91</v>
      </c>
      <c r="V4" t="s">
        <v>600</v>
      </c>
    </row>
    <row r="5" spans="1:23" x14ac:dyDescent="0.25">
      <c r="A5" s="61">
        <v>1004</v>
      </c>
      <c r="B5" t="s">
        <v>265</v>
      </c>
      <c r="C5" s="69"/>
      <c r="D5" s="70">
        <v>81</v>
      </c>
      <c r="E5" s="64">
        <v>0</v>
      </c>
      <c r="F5" s="65">
        <v>43561</v>
      </c>
      <c r="G5" s="20"/>
      <c r="H5" s="20" t="s">
        <v>614</v>
      </c>
      <c r="I5" t="s">
        <v>601</v>
      </c>
      <c r="J5" s="20" t="s">
        <v>91</v>
      </c>
      <c r="K5" t="s">
        <v>163</v>
      </c>
      <c r="L5" t="s">
        <v>166</v>
      </c>
      <c r="M5" t="e">
        <f>VLOOKUP(E5,'[1]All Projects'!$A$2:$J$70,9,0)</f>
        <v>#N/A</v>
      </c>
      <c r="N5" t="e">
        <f>VLOOKUP($E5,'[1]All Projects'!$A$2:$J$70,10,0)</f>
        <v>#N/A</v>
      </c>
      <c r="O5">
        <v>10</v>
      </c>
      <c r="P5" t="e">
        <f>VLOOKUP($E5,'[1]All Projects'!$A$2:$J$70,5,0)</f>
        <v>#N/A</v>
      </c>
      <c r="Q5" t="e">
        <f>VLOOKUP($E5,'[1]All Projects'!$A$2:$J$70,7,0)</f>
        <v>#N/A</v>
      </c>
      <c r="S5" s="66">
        <v>2100</v>
      </c>
      <c r="T5" s="66" t="s">
        <v>356</v>
      </c>
      <c r="U5" t="s">
        <v>91</v>
      </c>
      <c r="V5" t="s">
        <v>600</v>
      </c>
    </row>
    <row r="6" spans="1:23" x14ac:dyDescent="0.25">
      <c r="A6" s="61">
        <v>1005</v>
      </c>
      <c r="B6" t="s">
        <v>253</v>
      </c>
      <c r="C6" s="69"/>
      <c r="D6" s="70">
        <v>82</v>
      </c>
      <c r="E6" s="64">
        <v>0</v>
      </c>
      <c r="F6" s="65">
        <v>43561</v>
      </c>
      <c r="G6" s="20"/>
      <c r="H6" s="20" t="s">
        <v>614</v>
      </c>
      <c r="I6" t="s">
        <v>601</v>
      </c>
      <c r="J6" s="20" t="s">
        <v>170</v>
      </c>
      <c r="K6" t="s">
        <v>170</v>
      </c>
      <c r="L6" t="s">
        <v>166</v>
      </c>
      <c r="M6" t="e">
        <f>VLOOKUP(E6,'[1]All Projects'!$A$2:$J$70,9,0)</f>
        <v>#N/A</v>
      </c>
      <c r="N6" t="e">
        <f>VLOOKUP($E6,'[1]All Projects'!$A$2:$J$70,10,0)</f>
        <v>#N/A</v>
      </c>
      <c r="O6">
        <v>10</v>
      </c>
      <c r="P6" t="e">
        <f>VLOOKUP($E6,'[1]All Projects'!$A$2:$J$70,5,0)</f>
        <v>#N/A</v>
      </c>
      <c r="Q6" t="e">
        <f>VLOOKUP($E6,'[1]All Projects'!$A$2:$J$70,7,0)</f>
        <v>#N/A</v>
      </c>
      <c r="S6" s="66">
        <v>2200</v>
      </c>
      <c r="T6" s="66" t="s">
        <v>358</v>
      </c>
      <c r="U6" t="s">
        <v>91</v>
      </c>
      <c r="V6" t="s">
        <v>262</v>
      </c>
    </row>
    <row r="7" spans="1:23" x14ac:dyDescent="0.25">
      <c r="A7" s="61">
        <v>1006</v>
      </c>
      <c r="B7" t="s">
        <v>263</v>
      </c>
      <c r="C7" s="69"/>
      <c r="D7" s="70">
        <v>83</v>
      </c>
      <c r="E7" s="64">
        <v>0</v>
      </c>
      <c r="F7" s="65">
        <v>43561</v>
      </c>
      <c r="G7" s="20"/>
      <c r="H7" s="20" t="s">
        <v>614</v>
      </c>
      <c r="I7" t="s">
        <v>601</v>
      </c>
      <c r="J7" s="20" t="s">
        <v>170</v>
      </c>
      <c r="K7" t="s">
        <v>170</v>
      </c>
      <c r="L7" t="s">
        <v>166</v>
      </c>
      <c r="M7" t="e">
        <f>VLOOKUP(E7,'[1]All Projects'!$A$2:$J$70,9,0)</f>
        <v>#N/A</v>
      </c>
      <c r="N7" t="e">
        <f>VLOOKUP($E7,'[1]All Projects'!$A$2:$J$70,10,0)</f>
        <v>#N/A</v>
      </c>
      <c r="O7">
        <v>10</v>
      </c>
      <c r="P7" t="e">
        <f>VLOOKUP($E7,'[1]All Projects'!$A$2:$J$70,5,0)</f>
        <v>#N/A</v>
      </c>
      <c r="Q7" t="e">
        <f>VLOOKUP($E7,'[1]All Projects'!$A$2:$J$70,7,0)</f>
        <v>#N/A</v>
      </c>
      <c r="S7" s="66">
        <v>2300</v>
      </c>
      <c r="T7" s="66" t="s">
        <v>361</v>
      </c>
      <c r="U7" t="s">
        <v>91</v>
      </c>
      <c r="V7" t="s">
        <v>163</v>
      </c>
    </row>
    <row r="8" spans="1:23" x14ac:dyDescent="0.25">
      <c r="A8" s="61">
        <v>1007</v>
      </c>
      <c r="B8" t="s">
        <v>267</v>
      </c>
      <c r="C8" s="69"/>
      <c r="D8" s="70">
        <v>84</v>
      </c>
      <c r="E8" s="64">
        <v>0</v>
      </c>
      <c r="F8" s="65">
        <v>43561</v>
      </c>
      <c r="G8" s="20"/>
      <c r="H8" s="20" t="s">
        <v>614</v>
      </c>
      <c r="I8" t="s">
        <v>601</v>
      </c>
      <c r="J8" s="20" t="s">
        <v>91</v>
      </c>
      <c r="K8" t="s">
        <v>262</v>
      </c>
      <c r="L8" t="s">
        <v>166</v>
      </c>
      <c r="M8" t="e">
        <f>VLOOKUP(E8,'[1]All Projects'!$A$2:$J$70,9,0)</f>
        <v>#N/A</v>
      </c>
      <c r="N8" t="e">
        <f>VLOOKUP($E8,'[1]All Projects'!$A$2:$J$70,10,0)</f>
        <v>#N/A</v>
      </c>
      <c r="O8">
        <v>10</v>
      </c>
      <c r="P8" t="e">
        <f>VLOOKUP($E8,'[1]All Projects'!$A$2:$J$70,5,0)</f>
        <v>#N/A</v>
      </c>
      <c r="Q8" t="e">
        <f>VLOOKUP($E8,'[1]All Projects'!$A$2:$J$70,7,0)</f>
        <v>#N/A</v>
      </c>
      <c r="S8" s="66">
        <v>2400</v>
      </c>
      <c r="T8" s="66" t="s">
        <v>363</v>
      </c>
      <c r="U8" t="s">
        <v>91</v>
      </c>
      <c r="V8" t="s">
        <v>551</v>
      </c>
    </row>
    <row r="9" spans="1:23" x14ac:dyDescent="0.25">
      <c r="A9" s="61">
        <v>1008</v>
      </c>
      <c r="B9" t="s">
        <v>560</v>
      </c>
      <c r="C9" s="69"/>
      <c r="D9" s="70"/>
      <c r="E9" s="64"/>
      <c r="F9" s="65"/>
      <c r="G9" s="20"/>
      <c r="H9" s="20" t="s">
        <v>614</v>
      </c>
      <c r="I9" t="s">
        <v>601</v>
      </c>
      <c r="J9" s="20" t="s">
        <v>91</v>
      </c>
      <c r="K9" t="s">
        <v>262</v>
      </c>
      <c r="L9" t="s">
        <v>166</v>
      </c>
      <c r="M9" t="e">
        <f>VLOOKUP(E9,'[1]All Projects'!$A$2:$J$70,9,0)</f>
        <v>#N/A</v>
      </c>
      <c r="N9" t="e">
        <f>VLOOKUP($E9,'[1]All Projects'!$A$2:$J$70,10,0)</f>
        <v>#N/A</v>
      </c>
      <c r="O9">
        <v>10</v>
      </c>
      <c r="P9" t="e">
        <f>VLOOKUP($E9,'[1]All Projects'!$A$2:$J$70,5,0)</f>
        <v>#N/A</v>
      </c>
      <c r="Q9" t="e">
        <f>VLOOKUP($E9,'[1]All Projects'!$A$2:$J$70,7,0)</f>
        <v>#N/A</v>
      </c>
      <c r="S9" s="66">
        <v>2500</v>
      </c>
      <c r="T9" s="66" t="s">
        <v>366</v>
      </c>
      <c r="U9" t="s">
        <v>91</v>
      </c>
      <c r="V9" t="s">
        <v>163</v>
      </c>
    </row>
    <row r="10" spans="1:23" x14ac:dyDescent="0.25">
      <c r="A10" s="61">
        <v>2000</v>
      </c>
      <c r="B10" s="62" t="s">
        <v>348</v>
      </c>
      <c r="C10" s="62" t="s">
        <v>227</v>
      </c>
      <c r="D10" s="63">
        <v>1</v>
      </c>
      <c r="E10" s="64">
        <v>1</v>
      </c>
      <c r="F10" s="65">
        <v>43580</v>
      </c>
      <c r="G10" s="20" t="str">
        <f t="shared" ref="G10:G41" si="0">TEXT(F10,"dddd")</f>
        <v>Thursday</v>
      </c>
      <c r="H10" s="20" t="s">
        <v>613</v>
      </c>
      <c r="I10" t="s">
        <v>601</v>
      </c>
      <c r="J10" s="20" t="s">
        <v>91</v>
      </c>
      <c r="K10" s="20" t="s">
        <v>208</v>
      </c>
      <c r="L10" t="s">
        <v>166</v>
      </c>
      <c r="M10">
        <f>VLOOKUP(E10,'[1]All Projects'!$A$2:$J$70,9,0)</f>
        <v>2020</v>
      </c>
      <c r="N10">
        <f>VLOOKUP($E10,'[1]All Projects'!$A$2:$J$70,10,0)</f>
        <v>2020</v>
      </c>
      <c r="O10">
        <f>N10-M10</f>
        <v>0</v>
      </c>
      <c r="P10">
        <f>VLOOKUP($E10,'[1]All Projects'!$A$2:$J$70,5,0)</f>
        <v>182.2</v>
      </c>
      <c r="Q10">
        <f>VLOOKUP($E10,'[1]All Projects'!$A$2:$J$70,7,0)</f>
        <v>8.4</v>
      </c>
      <c r="S10" s="66">
        <v>2600</v>
      </c>
      <c r="T10" s="66" t="s">
        <v>368</v>
      </c>
      <c r="U10" t="s">
        <v>91</v>
      </c>
      <c r="V10" t="s">
        <v>551</v>
      </c>
    </row>
    <row r="11" spans="1:23" x14ac:dyDescent="0.25">
      <c r="A11" s="66">
        <v>2001</v>
      </c>
      <c r="B11" s="62" t="s">
        <v>403</v>
      </c>
      <c r="C11" s="62" t="s">
        <v>227</v>
      </c>
      <c r="D11" s="63">
        <v>31</v>
      </c>
      <c r="E11" s="67">
        <v>32</v>
      </c>
      <c r="F11" s="68" t="e">
        <f>#REF!+7</f>
        <v>#REF!</v>
      </c>
      <c r="G11" t="e">
        <f t="shared" si="0"/>
        <v>#REF!</v>
      </c>
      <c r="H11" s="20" t="s">
        <v>613</v>
      </c>
      <c r="I11" t="s">
        <v>601</v>
      </c>
      <c r="J11" s="20" t="s">
        <v>91</v>
      </c>
      <c r="K11" s="20" t="s">
        <v>208</v>
      </c>
      <c r="L11" t="s">
        <v>166</v>
      </c>
      <c r="M11">
        <f>VLOOKUP(E11,'[1]All Projects'!$A$2:$J$70,9,0)</f>
        <v>2022</v>
      </c>
      <c r="N11">
        <f>VLOOKUP($E11,'[1]All Projects'!$A$2:$J$70,10,0)</f>
        <v>2025</v>
      </c>
      <c r="O11">
        <f t="shared" ref="O11:O74" si="1">N11-M11</f>
        <v>3</v>
      </c>
      <c r="P11">
        <f>VLOOKUP($E11,'[1]All Projects'!$A$2:$J$70,5,0)</f>
        <v>2300</v>
      </c>
      <c r="Q11">
        <f>VLOOKUP($E11,'[1]All Projects'!$A$2:$J$70,7,0)</f>
        <v>115</v>
      </c>
      <c r="S11" s="66">
        <v>2700</v>
      </c>
      <c r="T11" s="66" t="s">
        <v>371</v>
      </c>
      <c r="U11" t="s">
        <v>599</v>
      </c>
      <c r="V11" t="s">
        <v>170</v>
      </c>
    </row>
    <row r="12" spans="1:23" x14ac:dyDescent="0.25">
      <c r="A12" s="66">
        <v>2002</v>
      </c>
      <c r="B12" s="62" t="s">
        <v>404</v>
      </c>
      <c r="C12" s="62" t="s">
        <v>227</v>
      </c>
      <c r="D12" s="63">
        <v>32</v>
      </c>
      <c r="E12" s="67">
        <v>33</v>
      </c>
      <c r="F12" s="68" t="e">
        <f>#REF!+7</f>
        <v>#REF!</v>
      </c>
      <c r="G12" t="e">
        <f t="shared" si="0"/>
        <v>#REF!</v>
      </c>
      <c r="H12" s="20" t="s">
        <v>613</v>
      </c>
      <c r="I12" t="s">
        <v>601</v>
      </c>
      <c r="J12" s="20" t="s">
        <v>91</v>
      </c>
      <c r="K12" s="20" t="s">
        <v>208</v>
      </c>
      <c r="L12" t="s">
        <v>166</v>
      </c>
      <c r="M12">
        <f>VLOOKUP(E12,'[1]All Projects'!$A$2:$J$70,9,0)</f>
        <v>2022</v>
      </c>
      <c r="N12">
        <f>VLOOKUP($E12,'[1]All Projects'!$A$2:$J$70,10,0)</f>
        <v>2025</v>
      </c>
      <c r="O12">
        <f t="shared" si="1"/>
        <v>3</v>
      </c>
      <c r="P12">
        <f>VLOOKUP($E12,'[1]All Projects'!$A$2:$J$70,5,0)</f>
        <v>2575</v>
      </c>
      <c r="Q12">
        <f>VLOOKUP($E12,'[1]All Projects'!$A$2:$J$70,7,0)</f>
        <v>181</v>
      </c>
      <c r="S12" s="66"/>
      <c r="T12" s="66"/>
    </row>
    <row r="13" spans="1:23" x14ac:dyDescent="0.25">
      <c r="A13" s="66">
        <v>2003</v>
      </c>
      <c r="B13" s="62" t="s">
        <v>352</v>
      </c>
      <c r="C13" s="62" t="s">
        <v>353</v>
      </c>
      <c r="D13" s="63">
        <v>3</v>
      </c>
      <c r="E13" s="67">
        <v>3</v>
      </c>
      <c r="F13" s="68" t="e">
        <f>F12+1</f>
        <v>#REF!</v>
      </c>
      <c r="G13" t="e">
        <f t="shared" si="0"/>
        <v>#REF!</v>
      </c>
      <c r="H13" s="20" t="s">
        <v>610</v>
      </c>
      <c r="I13" s="20" t="s">
        <v>602</v>
      </c>
      <c r="J13" s="20" t="s">
        <v>91</v>
      </c>
      <c r="K13" s="20" t="s">
        <v>208</v>
      </c>
      <c r="L13" t="s">
        <v>166</v>
      </c>
      <c r="M13" t="str">
        <f>VLOOKUP(E13,'[1]All Projects'!$A$2:$J$70,9,0)</f>
        <v>See supplementary files</v>
      </c>
      <c r="N13">
        <f>VLOOKUP($E13,'[1]All Projects'!$A$2:$J$70,10,0)</f>
        <v>0</v>
      </c>
      <c r="O13" t="e">
        <f t="shared" si="1"/>
        <v>#VALUE!</v>
      </c>
      <c r="P13">
        <f>VLOOKUP($E13,'[1]All Projects'!$A$2:$J$70,5,0)</f>
        <v>459.38071400000001</v>
      </c>
      <c r="Q13">
        <f>VLOOKUP($E13,'[1]All Projects'!$A$2:$J$70,7,0)</f>
        <v>76.907228000000003</v>
      </c>
      <c r="S13" s="66">
        <v>3000</v>
      </c>
      <c r="T13" s="66" t="s">
        <v>376</v>
      </c>
      <c r="U13" t="s">
        <v>170</v>
      </c>
      <c r="V13" t="s">
        <v>170</v>
      </c>
    </row>
    <row r="14" spans="1:23" x14ac:dyDescent="0.25">
      <c r="A14" s="66">
        <v>2004</v>
      </c>
      <c r="B14" s="62" t="s">
        <v>350</v>
      </c>
      <c r="C14" s="62" t="s">
        <v>351</v>
      </c>
      <c r="D14" s="63">
        <v>2</v>
      </c>
      <c r="E14" s="67">
        <v>2</v>
      </c>
      <c r="F14" s="68">
        <v>43580</v>
      </c>
      <c r="G14" t="str">
        <f t="shared" si="0"/>
        <v>Thursday</v>
      </c>
      <c r="H14" s="20" t="s">
        <v>611</v>
      </c>
      <c r="I14" s="20" t="s">
        <v>603</v>
      </c>
      <c r="J14" s="20" t="s">
        <v>91</v>
      </c>
      <c r="K14" s="20" t="s">
        <v>208</v>
      </c>
      <c r="L14" t="s">
        <v>166</v>
      </c>
      <c r="M14">
        <f>VLOOKUP(E14,'[1]All Projects'!$A$2:$J$70,9,0)</f>
        <v>2019</v>
      </c>
      <c r="N14">
        <f>VLOOKUP($E14,'[1]All Projects'!$A$2:$J$70,10,0)</f>
        <v>2019</v>
      </c>
      <c r="O14">
        <f t="shared" si="1"/>
        <v>0</v>
      </c>
      <c r="P14">
        <f>VLOOKUP($E14,'[1]All Projects'!$A$2:$J$70,5,0)</f>
        <v>290</v>
      </c>
      <c r="Q14">
        <f>VLOOKUP($E14,'[1]All Projects'!$A$2:$J$70,7,0)</f>
        <v>15</v>
      </c>
      <c r="S14" s="66">
        <v>3100</v>
      </c>
      <c r="T14" s="66" t="s">
        <v>378</v>
      </c>
      <c r="U14" t="s">
        <v>170</v>
      </c>
      <c r="V14" t="s">
        <v>170</v>
      </c>
    </row>
    <row r="15" spans="1:23" x14ac:dyDescent="0.25">
      <c r="A15" s="66">
        <v>2100</v>
      </c>
      <c r="B15" s="62" t="s">
        <v>355</v>
      </c>
      <c r="C15" s="62" t="s">
        <v>227</v>
      </c>
      <c r="D15" s="63">
        <v>4</v>
      </c>
      <c r="E15" s="67">
        <v>4</v>
      </c>
      <c r="F15" s="68">
        <v>43563</v>
      </c>
      <c r="G15" t="str">
        <f t="shared" si="0"/>
        <v>Monday</v>
      </c>
      <c r="H15" s="20" t="s">
        <v>613</v>
      </c>
      <c r="I15" s="20" t="s">
        <v>601</v>
      </c>
      <c r="J15" s="20" t="s">
        <v>91</v>
      </c>
      <c r="K15" s="20" t="s">
        <v>208</v>
      </c>
      <c r="L15" t="s">
        <v>166</v>
      </c>
      <c r="M15">
        <f>VLOOKUP(E15,'[1]All Projects'!$A$2:$J$70,9,0)</f>
        <v>2023</v>
      </c>
      <c r="N15">
        <f>VLOOKUP($E15,'[1]All Projects'!$A$2:$J$70,10,0)</f>
        <v>2027</v>
      </c>
      <c r="O15">
        <f t="shared" si="1"/>
        <v>4</v>
      </c>
      <c r="P15">
        <f>VLOOKUP($E15,'[1]All Projects'!$A$2:$J$70,5,0)</f>
        <v>329.8</v>
      </c>
      <c r="Q15">
        <f>VLOOKUP($E15,'[1]All Projects'!$A$2:$J$70,7,0)</f>
        <v>0</v>
      </c>
      <c r="S15" s="66"/>
      <c r="T15" s="66"/>
    </row>
    <row r="16" spans="1:23" x14ac:dyDescent="0.25">
      <c r="A16" s="66">
        <v>2101</v>
      </c>
      <c r="B16" s="62" t="s">
        <v>357</v>
      </c>
      <c r="C16" s="62" t="s">
        <v>353</v>
      </c>
      <c r="D16" s="63">
        <v>5</v>
      </c>
      <c r="E16" s="67">
        <v>5</v>
      </c>
      <c r="F16" s="68">
        <v>43564</v>
      </c>
      <c r="G16" t="str">
        <f t="shared" si="0"/>
        <v>Tuesday</v>
      </c>
      <c r="H16" s="20" t="s">
        <v>610</v>
      </c>
      <c r="I16" s="20" t="s">
        <v>602</v>
      </c>
      <c r="J16" s="20" t="s">
        <v>91</v>
      </c>
      <c r="K16" s="20" t="s">
        <v>208</v>
      </c>
      <c r="L16" t="s">
        <v>166</v>
      </c>
      <c r="M16">
        <f>VLOOKUP(E16,'[1]All Projects'!$A$2:$J$70,9,0)</f>
        <v>2020</v>
      </c>
      <c r="N16">
        <f>VLOOKUP($E16,'[1]All Projects'!$A$2:$J$70,10,0)</f>
        <v>2022</v>
      </c>
      <c r="O16">
        <f t="shared" si="1"/>
        <v>2</v>
      </c>
      <c r="P16">
        <f>VLOOKUP($E16,'[1]All Projects'!$A$2:$J$70,5,0)</f>
        <v>235</v>
      </c>
      <c r="Q16">
        <f>VLOOKUP($E16,'[1]All Projects'!$A$2:$J$70,7,0)</f>
        <v>11.476998999999999</v>
      </c>
      <c r="S16" s="66">
        <v>4000</v>
      </c>
      <c r="T16" s="66" t="s">
        <v>381</v>
      </c>
      <c r="V16" t="s">
        <v>170</v>
      </c>
    </row>
    <row r="17" spans="1:22" x14ac:dyDescent="0.25">
      <c r="A17" s="66">
        <v>2102</v>
      </c>
      <c r="B17" s="62" t="s">
        <v>359</v>
      </c>
      <c r="C17" s="62" t="s">
        <v>360</v>
      </c>
      <c r="D17" s="63">
        <v>6</v>
      </c>
      <c r="E17" s="67">
        <v>6</v>
      </c>
      <c r="F17" s="68">
        <v>43565</v>
      </c>
      <c r="G17" t="str">
        <f t="shared" si="0"/>
        <v>Wednesday</v>
      </c>
      <c r="H17" s="20" t="s">
        <v>612</v>
      </c>
      <c r="I17" s="20" t="s">
        <v>601</v>
      </c>
      <c r="J17" s="20" t="s">
        <v>91</v>
      </c>
      <c r="K17" s="20" t="s">
        <v>208</v>
      </c>
      <c r="L17" t="s">
        <v>166</v>
      </c>
      <c r="M17">
        <f>VLOOKUP(E17,'[1]All Projects'!$A$2:$J$70,9,0)</f>
        <v>2025</v>
      </c>
      <c r="N17">
        <f>VLOOKUP($E17,'[1]All Projects'!$A$2:$J$70,10,0)</f>
        <v>2028</v>
      </c>
      <c r="O17">
        <f t="shared" si="1"/>
        <v>3</v>
      </c>
      <c r="P17">
        <f>VLOOKUP($E17,'[1]All Projects'!$A$2:$J$70,5,0)</f>
        <v>233</v>
      </c>
      <c r="Q17">
        <f>VLOOKUP($E17,'[1]All Projects'!$A$2:$J$70,7,0)</f>
        <v>-7.9</v>
      </c>
      <c r="S17" s="66">
        <v>5000</v>
      </c>
      <c r="T17" s="66" t="s">
        <v>383</v>
      </c>
      <c r="V17" t="s">
        <v>170</v>
      </c>
    </row>
    <row r="18" spans="1:22" x14ac:dyDescent="0.25">
      <c r="A18" s="66">
        <v>2103</v>
      </c>
      <c r="B18" s="62" t="s">
        <v>405</v>
      </c>
      <c r="C18" s="62" t="s">
        <v>406</v>
      </c>
      <c r="D18" s="63">
        <v>33</v>
      </c>
      <c r="E18" s="67">
        <v>65</v>
      </c>
      <c r="F18" s="68" t="e">
        <f>#REF!+7</f>
        <v>#REF!</v>
      </c>
      <c r="G18" t="e">
        <f t="shared" si="0"/>
        <v>#REF!</v>
      </c>
      <c r="H18" s="20" t="s">
        <v>613</v>
      </c>
      <c r="I18" s="20" t="s">
        <v>604</v>
      </c>
      <c r="J18" s="20" t="s">
        <v>91</v>
      </c>
      <c r="K18" s="20" t="s">
        <v>208</v>
      </c>
      <c r="L18" t="s">
        <v>166</v>
      </c>
      <c r="M18">
        <f>VLOOKUP(E18,'[1]All Projects'!$A$2:$J$70,9,0)</f>
        <v>2022</v>
      </c>
      <c r="N18">
        <f>VLOOKUP($E18,'[1]All Projects'!$A$2:$J$70,10,0)</f>
        <v>2025</v>
      </c>
      <c r="O18">
        <f t="shared" si="1"/>
        <v>3</v>
      </c>
      <c r="P18">
        <f>VLOOKUP($E18,'[1]All Projects'!$A$2:$J$70,5,0)</f>
        <v>1158</v>
      </c>
      <c r="Q18">
        <f>VLOOKUP($E18,'[1]All Projects'!$A$2:$J$70,7,0)</f>
        <v>90.5</v>
      </c>
      <c r="S18" s="66">
        <v>6000</v>
      </c>
      <c r="T18" s="66" t="s">
        <v>386</v>
      </c>
    </row>
    <row r="19" spans="1:22" x14ac:dyDescent="0.25">
      <c r="A19" s="66">
        <v>2201</v>
      </c>
      <c r="B19" s="62" t="s">
        <v>362</v>
      </c>
      <c r="C19" s="62" t="s">
        <v>358</v>
      </c>
      <c r="D19" s="63">
        <v>7</v>
      </c>
      <c r="E19" s="67">
        <v>7</v>
      </c>
      <c r="F19" s="68">
        <v>43566</v>
      </c>
      <c r="G19" t="str">
        <f t="shared" si="0"/>
        <v>Thursday</v>
      </c>
      <c r="H19" s="20" t="s">
        <v>161</v>
      </c>
      <c r="I19" s="20" t="s">
        <v>601</v>
      </c>
      <c r="J19" s="20" t="s">
        <v>91</v>
      </c>
      <c r="K19" s="20" t="s">
        <v>262</v>
      </c>
      <c r="L19" t="s">
        <v>166</v>
      </c>
      <c r="M19">
        <f>VLOOKUP(E19,'[1]All Projects'!$A$2:$J$70,9,0)</f>
        <v>2019</v>
      </c>
      <c r="N19">
        <f>VLOOKUP($E19,'[1]All Projects'!$A$2:$J$70,10,0)</f>
        <v>2028</v>
      </c>
      <c r="O19">
        <f t="shared" si="1"/>
        <v>9</v>
      </c>
      <c r="P19">
        <f>VLOOKUP($E19,'[1]All Projects'!$A$2:$J$70,5,0)</f>
        <v>3520.9389999999999</v>
      </c>
      <c r="Q19">
        <f>VLOOKUP($E19,'[1]All Projects'!$A$2:$J$70,7,0)</f>
        <v>75</v>
      </c>
      <c r="S19" s="66">
        <v>6100</v>
      </c>
      <c r="T19" s="66" t="s">
        <v>388</v>
      </c>
    </row>
    <row r="20" spans="1:22" x14ac:dyDescent="0.25">
      <c r="A20" s="66">
        <v>2202</v>
      </c>
      <c r="B20" s="62" t="s">
        <v>364</v>
      </c>
      <c r="C20" s="62" t="s">
        <v>365</v>
      </c>
      <c r="D20" s="63">
        <v>8</v>
      </c>
      <c r="E20" s="67">
        <v>8</v>
      </c>
      <c r="F20" s="68">
        <v>43567</v>
      </c>
      <c r="G20" t="str">
        <f t="shared" si="0"/>
        <v>Friday</v>
      </c>
      <c r="H20" s="20" t="s">
        <v>613</v>
      </c>
      <c r="I20" s="20" t="s">
        <v>605</v>
      </c>
      <c r="J20" s="20" t="s">
        <v>91</v>
      </c>
      <c r="K20" s="20" t="s">
        <v>262</v>
      </c>
      <c r="L20" t="s">
        <v>166</v>
      </c>
      <c r="M20">
        <f>VLOOKUP(E20,'[1]All Projects'!$A$2:$J$70,9,0)</f>
        <v>2025</v>
      </c>
      <c r="N20">
        <f>VLOOKUP($E20,'[1]All Projects'!$A$2:$J$70,10,0)</f>
        <v>2030</v>
      </c>
      <c r="O20">
        <f t="shared" si="1"/>
        <v>5</v>
      </c>
      <c r="P20">
        <f>VLOOKUP($E20,'[1]All Projects'!$A$2:$J$70,5,0)</f>
        <v>513</v>
      </c>
      <c r="Q20">
        <f>VLOOKUP($E20,'[1]All Projects'!$A$2:$J$70,7,0)</f>
        <v>7</v>
      </c>
      <c r="S20" s="66">
        <v>7000</v>
      </c>
      <c r="T20" s="66" t="s">
        <v>62</v>
      </c>
    </row>
    <row r="21" spans="1:22" x14ac:dyDescent="0.25">
      <c r="A21" s="66">
        <v>2203</v>
      </c>
      <c r="B21" s="62" t="s">
        <v>438</v>
      </c>
      <c r="C21" s="62" t="s">
        <v>365</v>
      </c>
      <c r="D21" s="63">
        <v>55</v>
      </c>
      <c r="E21" s="67">
        <v>63</v>
      </c>
      <c r="F21" s="68" t="e">
        <f>F11+7</f>
        <v>#REF!</v>
      </c>
      <c r="G21" t="e">
        <f t="shared" si="0"/>
        <v>#REF!</v>
      </c>
      <c r="H21" s="20" t="s">
        <v>613</v>
      </c>
      <c r="I21" s="20" t="s">
        <v>605</v>
      </c>
      <c r="J21" s="20" t="s">
        <v>91</v>
      </c>
      <c r="K21" s="20" t="s">
        <v>262</v>
      </c>
      <c r="L21" t="s">
        <v>166</v>
      </c>
      <c r="M21">
        <f>VLOOKUP(E21,'[1]All Projects'!$A$2:$J$70,9,0)</f>
        <v>2025</v>
      </c>
      <c r="N21">
        <f>VLOOKUP($E21,'[1]All Projects'!$A$2:$J$70,10,0)</f>
        <v>2030</v>
      </c>
      <c r="O21">
        <f t="shared" si="1"/>
        <v>5</v>
      </c>
      <c r="P21">
        <f>VLOOKUP($E21,'[1]All Projects'!$A$2:$J$70,5,0)</f>
        <v>4400</v>
      </c>
      <c r="Q21">
        <f>VLOOKUP($E21,'[1]All Projects'!$A$2:$J$70,7,0)</f>
        <v>20</v>
      </c>
    </row>
    <row r="22" spans="1:22" x14ac:dyDescent="0.25">
      <c r="A22" s="66">
        <v>2204</v>
      </c>
      <c r="B22" s="62" t="s">
        <v>407</v>
      </c>
      <c r="C22" s="62" t="s">
        <v>408</v>
      </c>
      <c r="D22" s="63">
        <v>34</v>
      </c>
      <c r="E22" s="67">
        <v>34</v>
      </c>
      <c r="F22" s="68">
        <f>F14+7</f>
        <v>43587</v>
      </c>
      <c r="G22" t="str">
        <f t="shared" si="0"/>
        <v>Thursday</v>
      </c>
      <c r="H22" s="20" t="s">
        <v>613</v>
      </c>
      <c r="I22" s="20" t="s">
        <v>601</v>
      </c>
      <c r="J22" s="20" t="s">
        <v>91</v>
      </c>
      <c r="K22" s="20" t="s">
        <v>262</v>
      </c>
      <c r="L22" t="s">
        <v>166</v>
      </c>
      <c r="M22">
        <f>VLOOKUP(E22,'[1]All Projects'!$A$2:$J$70,9,0)</f>
        <v>2035</v>
      </c>
      <c r="N22">
        <f>VLOOKUP($E22,'[1]All Projects'!$A$2:$J$70,10,0)</f>
        <v>2040</v>
      </c>
      <c r="O22">
        <f t="shared" si="1"/>
        <v>5</v>
      </c>
      <c r="P22">
        <f>VLOOKUP($E22,'[1]All Projects'!$A$2:$J$70,5,0)</f>
        <v>10000</v>
      </c>
      <c r="Q22">
        <f>VLOOKUP($E22,'[1]All Projects'!$A$2:$J$70,7,0)</f>
        <v>5</v>
      </c>
      <c r="T22" s="74"/>
    </row>
    <row r="23" spans="1:22" x14ac:dyDescent="0.25">
      <c r="A23" s="66">
        <v>2205</v>
      </c>
      <c r="B23" s="62" t="s">
        <v>367</v>
      </c>
      <c r="C23" s="62" t="s">
        <v>360</v>
      </c>
      <c r="D23" s="63">
        <v>9</v>
      </c>
      <c r="E23" s="67">
        <v>9</v>
      </c>
      <c r="F23" s="68">
        <v>43570</v>
      </c>
      <c r="G23" t="str">
        <f t="shared" si="0"/>
        <v>Monday</v>
      </c>
      <c r="H23" s="20" t="s">
        <v>612</v>
      </c>
      <c r="I23" s="20" t="s">
        <v>606</v>
      </c>
      <c r="J23" s="20" t="s">
        <v>91</v>
      </c>
      <c r="K23" s="20" t="s">
        <v>262</v>
      </c>
      <c r="L23" t="s">
        <v>166</v>
      </c>
      <c r="M23">
        <f>VLOOKUP(E23,'[1]All Projects'!$A$2:$J$70,9,0)</f>
        <v>2020</v>
      </c>
      <c r="N23">
        <f>VLOOKUP($E23,'[1]All Projects'!$A$2:$J$70,10,0)</f>
        <v>2026</v>
      </c>
      <c r="O23">
        <f t="shared" si="1"/>
        <v>6</v>
      </c>
      <c r="P23">
        <f>VLOOKUP($E23,'[1]All Projects'!$A$2:$J$70,5,0)</f>
        <v>4780</v>
      </c>
      <c r="Q23" t="str">
        <f>VLOOKUP($E23,'[1]All Projects'!$A$2:$J$70,7,0)</f>
        <v>Supplementary files</v>
      </c>
      <c r="T23" s="83"/>
      <c r="U23" s="83"/>
    </row>
    <row r="24" spans="1:22" x14ac:dyDescent="0.25">
      <c r="A24" s="66">
        <v>2206</v>
      </c>
      <c r="B24" s="62" t="s">
        <v>409</v>
      </c>
      <c r="C24" s="62" t="s">
        <v>360</v>
      </c>
      <c r="D24" s="63">
        <v>35</v>
      </c>
      <c r="E24" s="67">
        <v>36</v>
      </c>
      <c r="F24" s="68">
        <f>F16+7</f>
        <v>43571</v>
      </c>
      <c r="G24" t="str">
        <f t="shared" si="0"/>
        <v>Tuesday</v>
      </c>
      <c r="H24" s="20" t="s">
        <v>612</v>
      </c>
      <c r="I24" s="20" t="s">
        <v>606</v>
      </c>
      <c r="J24" s="20" t="s">
        <v>91</v>
      </c>
      <c r="K24" s="20" t="s">
        <v>262</v>
      </c>
      <c r="L24" t="s">
        <v>166</v>
      </c>
      <c r="M24">
        <f>VLOOKUP(E24,'[1]All Projects'!$A$2:$J$70,9,0)</f>
        <v>2040</v>
      </c>
      <c r="N24">
        <f>VLOOKUP($E24,'[1]All Projects'!$A$2:$J$70,10,0)</f>
        <v>2050</v>
      </c>
      <c r="O24">
        <f t="shared" si="1"/>
        <v>10</v>
      </c>
      <c r="P24">
        <f>VLOOKUP($E24,'[1]All Projects'!$A$2:$J$70,5,0)</f>
        <v>7700</v>
      </c>
      <c r="Q24">
        <f>VLOOKUP($E24,'[1]All Projects'!$A$2:$J$70,7,0)</f>
        <v>21</v>
      </c>
      <c r="T24" s="83"/>
      <c r="U24" s="83"/>
    </row>
    <row r="25" spans="1:22" x14ac:dyDescent="0.25">
      <c r="A25" s="66">
        <v>2207</v>
      </c>
      <c r="B25" s="62" t="s">
        <v>410</v>
      </c>
      <c r="C25" s="62" t="s">
        <v>360</v>
      </c>
      <c r="D25" s="63">
        <v>36</v>
      </c>
      <c r="E25" s="67">
        <v>37</v>
      </c>
      <c r="F25" s="68">
        <f>F23+1</f>
        <v>43571</v>
      </c>
      <c r="G25" t="str">
        <f t="shared" si="0"/>
        <v>Tuesday</v>
      </c>
      <c r="H25" s="20" t="s">
        <v>612</v>
      </c>
      <c r="I25" s="20" t="s">
        <v>606</v>
      </c>
      <c r="J25" s="20" t="s">
        <v>91</v>
      </c>
      <c r="K25" s="20" t="s">
        <v>262</v>
      </c>
      <c r="L25" t="s">
        <v>166</v>
      </c>
      <c r="M25">
        <f>VLOOKUP(E25,'[1]All Projects'!$A$2:$J$70,9,0)</f>
        <v>2040</v>
      </c>
      <c r="N25">
        <f>VLOOKUP($E25,'[1]All Projects'!$A$2:$J$70,10,0)</f>
        <v>2050</v>
      </c>
      <c r="O25">
        <f t="shared" si="1"/>
        <v>10</v>
      </c>
      <c r="P25">
        <f>VLOOKUP($E25,'[1]All Projects'!$A$2:$J$70,5,0)</f>
        <v>11220</v>
      </c>
      <c r="Q25">
        <f>VLOOKUP($E25,'[1]All Projects'!$A$2:$J$70,7,0)</f>
        <v>95</v>
      </c>
      <c r="T25" s="83"/>
      <c r="U25" s="83"/>
    </row>
    <row r="26" spans="1:22" x14ac:dyDescent="0.25">
      <c r="A26" s="66">
        <v>2208</v>
      </c>
      <c r="B26" s="62" t="s">
        <v>411</v>
      </c>
      <c r="C26" s="62" t="s">
        <v>360</v>
      </c>
      <c r="D26" s="63">
        <v>37</v>
      </c>
      <c r="E26" s="67">
        <v>38</v>
      </c>
      <c r="F26" s="68">
        <f>F24+1</f>
        <v>43572</v>
      </c>
      <c r="G26" t="str">
        <f t="shared" si="0"/>
        <v>Wednesday</v>
      </c>
      <c r="H26" s="20" t="s">
        <v>610</v>
      </c>
      <c r="I26" s="20" t="s">
        <v>601</v>
      </c>
      <c r="J26" s="20" t="s">
        <v>91</v>
      </c>
      <c r="K26" s="20" t="s">
        <v>262</v>
      </c>
      <c r="L26" t="s">
        <v>166</v>
      </c>
      <c r="M26">
        <f>VLOOKUP(E26,'[1]All Projects'!$A$2:$J$70,9,0)</f>
        <v>2040</v>
      </c>
      <c r="N26">
        <f>VLOOKUP($E26,'[1]All Projects'!$A$2:$J$70,10,0)</f>
        <v>2050</v>
      </c>
      <c r="O26">
        <f t="shared" si="1"/>
        <v>10</v>
      </c>
      <c r="P26">
        <f>VLOOKUP($E26,'[1]All Projects'!$A$2:$J$70,5,0)</f>
        <v>44500</v>
      </c>
      <c r="Q26">
        <f>VLOOKUP($E26,'[1]All Projects'!$A$2:$J$70,7,0)</f>
        <v>86.1</v>
      </c>
      <c r="T26" s="83"/>
      <c r="U26" s="83"/>
    </row>
    <row r="27" spans="1:22" x14ac:dyDescent="0.25">
      <c r="A27" s="66">
        <v>2300</v>
      </c>
      <c r="B27" s="62" t="s">
        <v>369</v>
      </c>
      <c r="C27" s="62" t="s">
        <v>370</v>
      </c>
      <c r="D27" s="63">
        <v>10</v>
      </c>
      <c r="E27" s="67">
        <v>10</v>
      </c>
      <c r="F27" s="68">
        <v>43570</v>
      </c>
      <c r="G27" t="str">
        <f t="shared" si="0"/>
        <v>Monday</v>
      </c>
      <c r="H27" s="20" t="s">
        <v>610</v>
      </c>
      <c r="I27" s="20" t="s">
        <v>602</v>
      </c>
      <c r="J27" s="20" t="s">
        <v>91</v>
      </c>
      <c r="K27" s="20" t="s">
        <v>163</v>
      </c>
      <c r="L27" t="s">
        <v>166</v>
      </c>
      <c r="M27">
        <f>VLOOKUP(E27,'[1]All Projects'!$A$2:$J$70,9,0)</f>
        <v>2022</v>
      </c>
      <c r="N27">
        <f>VLOOKUP($E27,'[1]All Projects'!$A$2:$J$70,10,0)</f>
        <v>2028</v>
      </c>
      <c r="O27">
        <f t="shared" si="1"/>
        <v>6</v>
      </c>
      <c r="P27">
        <f>VLOOKUP($E27,'[1]All Projects'!$A$2:$J$70,5,0)</f>
        <v>3935</v>
      </c>
      <c r="Q27" t="str">
        <f>VLOOKUP($E27,'[1]All Projects'!$A$2:$J$70,7,0)</f>
        <v>waiting</v>
      </c>
      <c r="T27" s="83"/>
      <c r="U27" s="83"/>
    </row>
    <row r="28" spans="1:22" x14ac:dyDescent="0.25">
      <c r="A28" s="66">
        <v>2301</v>
      </c>
      <c r="B28" s="62" t="s">
        <v>372</v>
      </c>
      <c r="C28" s="62" t="s">
        <v>373</v>
      </c>
      <c r="D28" s="63">
        <v>11</v>
      </c>
      <c r="E28" s="67">
        <v>11</v>
      </c>
      <c r="F28" s="68">
        <f>F26+1</f>
        <v>43573</v>
      </c>
      <c r="G28" t="str">
        <f t="shared" si="0"/>
        <v>Thursday</v>
      </c>
      <c r="H28" s="20" t="s">
        <v>610</v>
      </c>
      <c r="I28" s="20" t="s">
        <v>601</v>
      </c>
      <c r="J28" s="20" t="s">
        <v>91</v>
      </c>
      <c r="K28" s="20" t="s">
        <v>163</v>
      </c>
      <c r="L28" t="s">
        <v>166</v>
      </c>
      <c r="M28">
        <f>VLOOKUP(E28,'[1]All Projects'!$A$2:$J$70,9,0)</f>
        <v>2022</v>
      </c>
      <c r="N28">
        <f>VLOOKUP($E28,'[1]All Projects'!$A$2:$J$70,10,0)</f>
        <v>2033</v>
      </c>
      <c r="O28">
        <f t="shared" si="1"/>
        <v>11</v>
      </c>
      <c r="P28">
        <f>VLOOKUP($E28,'[1]All Projects'!$A$2:$J$70,5,0)</f>
        <v>3200</v>
      </c>
      <c r="Q28">
        <f>VLOOKUP($E28,'[1]All Projects'!$A$2:$J$70,7,0)</f>
        <v>368.9</v>
      </c>
      <c r="T28" s="83"/>
      <c r="U28" s="83"/>
    </row>
    <row r="29" spans="1:22" x14ac:dyDescent="0.25">
      <c r="A29" s="66">
        <v>2302</v>
      </c>
      <c r="B29" s="62" t="s">
        <v>412</v>
      </c>
      <c r="C29" s="62" t="s">
        <v>373</v>
      </c>
      <c r="D29" s="63">
        <v>38</v>
      </c>
      <c r="E29" s="67">
        <v>40</v>
      </c>
      <c r="F29" s="68">
        <f>F19+7</f>
        <v>43573</v>
      </c>
      <c r="G29" t="str">
        <f t="shared" si="0"/>
        <v>Thursday</v>
      </c>
      <c r="H29" s="20" t="s">
        <v>610</v>
      </c>
      <c r="I29" s="20" t="s">
        <v>601</v>
      </c>
      <c r="J29" s="20" t="s">
        <v>91</v>
      </c>
      <c r="K29" s="20" t="s">
        <v>163</v>
      </c>
      <c r="L29" t="s">
        <v>166</v>
      </c>
      <c r="M29">
        <f>VLOOKUP(E29,'[1]All Projects'!$A$2:$J$70,9,0)</f>
        <v>2022</v>
      </c>
      <c r="N29">
        <f>VLOOKUP($E29,'[1]All Projects'!$A$2:$J$70,10,0)</f>
        <v>2033</v>
      </c>
      <c r="O29">
        <f t="shared" si="1"/>
        <v>11</v>
      </c>
      <c r="P29">
        <f>VLOOKUP($E29,'[1]All Projects'!$A$2:$J$70,5,0)</f>
        <v>7300</v>
      </c>
      <c r="Q29">
        <f>VLOOKUP($E29,'[1]All Projects'!$A$2:$J$70,7,0)</f>
        <v>592.20000000000005</v>
      </c>
      <c r="T29" s="83"/>
      <c r="U29" s="83"/>
    </row>
    <row r="30" spans="1:22" x14ac:dyDescent="0.25">
      <c r="A30" s="66">
        <v>2303</v>
      </c>
      <c r="B30" s="62" t="s">
        <v>413</v>
      </c>
      <c r="C30" s="62" t="s">
        <v>414</v>
      </c>
      <c r="D30" s="63">
        <v>39</v>
      </c>
      <c r="E30" s="67">
        <v>39</v>
      </c>
      <c r="F30" s="68">
        <f>F20+7</f>
        <v>43574</v>
      </c>
      <c r="G30" t="str">
        <f t="shared" si="0"/>
        <v>Friday</v>
      </c>
      <c r="H30" s="20" t="s">
        <v>610</v>
      </c>
      <c r="I30" s="20" t="s">
        <v>601</v>
      </c>
      <c r="J30" s="20" t="s">
        <v>91</v>
      </c>
      <c r="K30" s="20" t="s">
        <v>163</v>
      </c>
      <c r="L30" t="s">
        <v>166</v>
      </c>
      <c r="M30">
        <f>VLOOKUP(E30,'[1]All Projects'!$A$2:$J$70,9,0)</f>
        <v>2024</v>
      </c>
      <c r="N30">
        <f>VLOOKUP($E30,'[1]All Projects'!$A$2:$J$70,10,0)</f>
        <v>2026</v>
      </c>
      <c r="O30">
        <f t="shared" si="1"/>
        <v>2</v>
      </c>
      <c r="P30">
        <f>VLOOKUP($E30,'[1]All Projects'!$A$2:$J$70,5,0)</f>
        <v>9500</v>
      </c>
      <c r="Q30">
        <f>VLOOKUP($E30,'[1]All Projects'!$A$2:$J$70,7,0)</f>
        <v>320</v>
      </c>
      <c r="T30" s="83"/>
      <c r="U30" s="83"/>
    </row>
    <row r="31" spans="1:22" x14ac:dyDescent="0.25">
      <c r="A31" s="66">
        <v>2304</v>
      </c>
      <c r="B31" s="62" t="s">
        <v>374</v>
      </c>
      <c r="C31" s="62" t="s">
        <v>375</v>
      </c>
      <c r="D31" s="63">
        <v>12</v>
      </c>
      <c r="E31" s="67">
        <v>12</v>
      </c>
      <c r="F31" s="68">
        <f>F29+1</f>
        <v>43574</v>
      </c>
      <c r="G31" t="str">
        <f t="shared" si="0"/>
        <v>Friday</v>
      </c>
      <c r="H31" s="20" t="s">
        <v>611</v>
      </c>
      <c r="I31" s="20" t="s">
        <v>603</v>
      </c>
      <c r="J31" s="20" t="s">
        <v>91</v>
      </c>
      <c r="K31" s="20" t="s">
        <v>163</v>
      </c>
      <c r="L31" t="s">
        <v>166</v>
      </c>
      <c r="M31">
        <f>VLOOKUP(E31,'[1]All Projects'!$A$2:$J$70,9,0)</f>
        <v>2021</v>
      </c>
      <c r="N31">
        <f>VLOOKUP($E31,'[1]All Projects'!$A$2:$J$70,10,0)</f>
        <v>2027</v>
      </c>
      <c r="O31">
        <f t="shared" si="1"/>
        <v>6</v>
      </c>
      <c r="P31">
        <f>VLOOKUP($E31,'[1]All Projects'!$A$2:$J$70,5,0)</f>
        <v>295</v>
      </c>
      <c r="Q31" t="str">
        <f>VLOOKUP($E31,'[1]All Projects'!$A$2:$J$70,7,0)</f>
        <v>n/a</v>
      </c>
    </row>
    <row r="32" spans="1:22" x14ac:dyDescent="0.25">
      <c r="A32" s="66">
        <v>2305</v>
      </c>
      <c r="B32" s="62" t="s">
        <v>415</v>
      </c>
      <c r="C32" s="62" t="s">
        <v>375</v>
      </c>
      <c r="D32" s="63">
        <v>40</v>
      </c>
      <c r="E32" s="67">
        <v>41</v>
      </c>
      <c r="F32" s="68">
        <f>F22+7</f>
        <v>43594</v>
      </c>
      <c r="G32" t="str">
        <f t="shared" si="0"/>
        <v>Thursday</v>
      </c>
      <c r="H32" s="20" t="s">
        <v>611</v>
      </c>
      <c r="I32" s="20" t="s">
        <v>601</v>
      </c>
      <c r="J32" s="20" t="s">
        <v>91</v>
      </c>
      <c r="K32" s="20" t="s">
        <v>163</v>
      </c>
      <c r="L32" t="s">
        <v>166</v>
      </c>
      <c r="M32">
        <f>VLOOKUP(E32,'[1]All Projects'!$A$2:$J$70,9,0)</f>
        <v>2027</v>
      </c>
      <c r="N32">
        <f>VLOOKUP($E32,'[1]All Projects'!$A$2:$J$70,10,0)</f>
        <v>2031</v>
      </c>
      <c r="O32">
        <f t="shared" si="1"/>
        <v>4</v>
      </c>
      <c r="P32" t="str">
        <f>VLOOKUP($E32,'[1]All Projects'!$A$2:$J$70,5,0)</f>
        <v>waiting</v>
      </c>
      <c r="Q32" t="str">
        <f>VLOOKUP($E32,'[1]All Projects'!$A$2:$J$70,7,0)</f>
        <v>waiting</v>
      </c>
    </row>
    <row r="33" spans="1:17" x14ac:dyDescent="0.25">
      <c r="A33" s="66">
        <v>2306</v>
      </c>
      <c r="B33" s="62" t="s">
        <v>416</v>
      </c>
      <c r="C33" s="62" t="s">
        <v>417</v>
      </c>
      <c r="D33" s="63">
        <v>41</v>
      </c>
      <c r="E33" s="67">
        <v>42</v>
      </c>
      <c r="F33" s="68">
        <f>F23+7</f>
        <v>43577</v>
      </c>
      <c r="G33" t="str">
        <f t="shared" si="0"/>
        <v>Monday</v>
      </c>
      <c r="H33" s="20" t="s">
        <v>614</v>
      </c>
      <c r="I33" s="20" t="s">
        <v>601</v>
      </c>
      <c r="J33" s="20" t="s">
        <v>91</v>
      </c>
      <c r="K33" s="20" t="s">
        <v>163</v>
      </c>
      <c r="L33" t="s">
        <v>166</v>
      </c>
      <c r="M33">
        <f>VLOOKUP(E33,'[1]All Projects'!$A$2:$J$70,9,0)</f>
        <v>2022</v>
      </c>
      <c r="N33">
        <f>VLOOKUP($E33,'[1]All Projects'!$A$2:$J$70,10,0)</f>
        <v>2028</v>
      </c>
      <c r="O33">
        <f t="shared" si="1"/>
        <v>6</v>
      </c>
      <c r="P33">
        <f>VLOOKUP($E33,'[1]All Projects'!$A$2:$J$70,5,0)</f>
        <v>2000</v>
      </c>
      <c r="Q33">
        <f>VLOOKUP($E33,'[1]All Projects'!$A$2:$J$70,7,0)</f>
        <v>50</v>
      </c>
    </row>
    <row r="34" spans="1:17" x14ac:dyDescent="0.25">
      <c r="A34" s="66">
        <v>2307</v>
      </c>
      <c r="B34" s="62" t="s">
        <v>418</v>
      </c>
      <c r="C34" s="62" t="s">
        <v>419</v>
      </c>
      <c r="D34" s="63">
        <v>42</v>
      </c>
      <c r="E34" s="67">
        <v>43</v>
      </c>
      <c r="F34" s="68">
        <f>F24+7</f>
        <v>43578</v>
      </c>
      <c r="G34" t="str">
        <f t="shared" si="0"/>
        <v>Tuesday</v>
      </c>
      <c r="H34" s="20" t="s">
        <v>613</v>
      </c>
      <c r="I34" s="20" t="s">
        <v>601</v>
      </c>
      <c r="J34" s="20" t="s">
        <v>91</v>
      </c>
      <c r="K34" s="20" t="s">
        <v>163</v>
      </c>
      <c r="L34" t="s">
        <v>166</v>
      </c>
      <c r="M34">
        <f>VLOOKUP(E34,'[1]All Projects'!$A$2:$J$70,9,0)</f>
        <v>2022</v>
      </c>
      <c r="N34">
        <f>VLOOKUP($E34,'[1]All Projects'!$A$2:$J$70,10,0)</f>
        <v>2026</v>
      </c>
      <c r="O34">
        <f t="shared" si="1"/>
        <v>4</v>
      </c>
      <c r="P34">
        <f>VLOOKUP($E34,'[1]All Projects'!$A$2:$J$70,5,0)</f>
        <v>4000</v>
      </c>
      <c r="Q34">
        <f>VLOOKUP($E34,'[1]All Projects'!$A$2:$J$70,7,0)</f>
        <v>36</v>
      </c>
    </row>
    <row r="35" spans="1:17" x14ac:dyDescent="0.25">
      <c r="A35" s="66">
        <v>2308</v>
      </c>
      <c r="B35" s="62" t="s">
        <v>420</v>
      </c>
      <c r="C35" s="62" t="s">
        <v>421</v>
      </c>
      <c r="D35" s="63">
        <v>43</v>
      </c>
      <c r="E35" s="67">
        <v>44</v>
      </c>
      <c r="F35" s="68">
        <f>F25+7</f>
        <v>43578</v>
      </c>
      <c r="G35" t="str">
        <f t="shared" si="0"/>
        <v>Tuesday</v>
      </c>
      <c r="H35" s="82" t="s">
        <v>613</v>
      </c>
      <c r="I35" s="20" t="s">
        <v>604</v>
      </c>
      <c r="J35" s="20" t="s">
        <v>91</v>
      </c>
      <c r="K35" s="20" t="s">
        <v>163</v>
      </c>
      <c r="L35" t="s">
        <v>166</v>
      </c>
      <c r="M35">
        <f>VLOOKUP(E35,'[1]All Projects'!$A$2:$J$70,9,0)</f>
        <v>2021</v>
      </c>
      <c r="N35">
        <f>VLOOKUP($E35,'[1]All Projects'!$A$2:$J$70,10,0)</f>
        <v>2024</v>
      </c>
      <c r="O35">
        <f t="shared" si="1"/>
        <v>3</v>
      </c>
      <c r="P35">
        <f>VLOOKUP($E35,'[1]All Projects'!$A$2:$J$70,5,0)</f>
        <v>1800</v>
      </c>
      <c r="Q35">
        <f>VLOOKUP($E35,'[1]All Projects'!$A$2:$J$70,7,0)</f>
        <v>65</v>
      </c>
    </row>
    <row r="36" spans="1:17" x14ac:dyDescent="0.25">
      <c r="A36" s="66">
        <v>2309</v>
      </c>
      <c r="B36" s="62" t="s">
        <v>422</v>
      </c>
      <c r="C36" s="62" t="s">
        <v>423</v>
      </c>
      <c r="D36" s="63">
        <v>44</v>
      </c>
      <c r="E36" s="67">
        <v>61</v>
      </c>
      <c r="F36" s="68">
        <f>F26+7</f>
        <v>43579</v>
      </c>
      <c r="G36" t="str">
        <f t="shared" si="0"/>
        <v>Wednesday</v>
      </c>
      <c r="H36" s="20" t="s">
        <v>161</v>
      </c>
      <c r="I36" s="20" t="s">
        <v>601</v>
      </c>
      <c r="J36" s="20" t="s">
        <v>91</v>
      </c>
      <c r="K36" s="20" t="s">
        <v>163</v>
      </c>
      <c r="L36" t="s">
        <v>166</v>
      </c>
      <c r="M36">
        <f>VLOOKUP(E36,'[1]All Projects'!$A$2:$J$70,9,0)</f>
        <v>2022</v>
      </c>
      <c r="N36">
        <f>VLOOKUP($E36,'[1]All Projects'!$A$2:$J$70,10,0)</f>
        <v>2024</v>
      </c>
      <c r="O36">
        <f t="shared" si="1"/>
        <v>2</v>
      </c>
      <c r="P36">
        <f>VLOOKUP($E36,'[1]All Projects'!$A$2:$J$70,5,0)</f>
        <v>22000</v>
      </c>
      <c r="Q36">
        <f>VLOOKUP($E36,'[1]All Projects'!$A$2:$J$70,7,0)</f>
        <v>600</v>
      </c>
    </row>
    <row r="37" spans="1:17" x14ac:dyDescent="0.25">
      <c r="A37" s="66">
        <v>2400</v>
      </c>
      <c r="B37" s="62" t="s">
        <v>377</v>
      </c>
      <c r="C37" s="62" t="s">
        <v>360</v>
      </c>
      <c r="D37" s="63">
        <v>13</v>
      </c>
      <c r="E37" s="67">
        <v>13</v>
      </c>
      <c r="F37" s="68">
        <f>F35+1</f>
        <v>43579</v>
      </c>
      <c r="G37" t="str">
        <f t="shared" si="0"/>
        <v>Wednesday</v>
      </c>
      <c r="H37" s="20" t="s">
        <v>612</v>
      </c>
      <c r="I37" s="20" t="s">
        <v>606</v>
      </c>
      <c r="J37" s="20" t="s">
        <v>91</v>
      </c>
      <c r="K37" s="20" t="s">
        <v>551</v>
      </c>
      <c r="L37" t="s">
        <v>166</v>
      </c>
      <c r="M37">
        <f>VLOOKUP(E37,'[1]All Projects'!$A$2:$J$70,9,0)</f>
        <v>2025</v>
      </c>
      <c r="N37">
        <f>VLOOKUP($E37,'[1]All Projects'!$A$2:$J$70,10,0)</f>
        <v>2030</v>
      </c>
      <c r="O37">
        <f t="shared" si="1"/>
        <v>5</v>
      </c>
      <c r="P37">
        <f>VLOOKUP($E37,'[1]All Projects'!$A$2:$J$70,5,0)</f>
        <v>2900</v>
      </c>
      <c r="Q37">
        <f>VLOOKUP($E37,'[1]All Projects'!$A$2:$J$70,7,0)</f>
        <v>0</v>
      </c>
    </row>
    <row r="38" spans="1:17" x14ac:dyDescent="0.25">
      <c r="A38" s="66">
        <v>2401</v>
      </c>
      <c r="B38" s="62" t="s">
        <v>432</v>
      </c>
      <c r="C38" s="62" t="s">
        <v>360</v>
      </c>
      <c r="D38" s="63">
        <v>49</v>
      </c>
      <c r="E38" s="67">
        <v>47</v>
      </c>
      <c r="F38" s="68">
        <f>F28+7</f>
        <v>43580</v>
      </c>
      <c r="G38" t="str">
        <f t="shared" si="0"/>
        <v>Thursday</v>
      </c>
      <c r="H38" s="20" t="s">
        <v>612</v>
      </c>
      <c r="I38" s="20" t="s">
        <v>606</v>
      </c>
      <c r="J38" s="20" t="s">
        <v>91</v>
      </c>
      <c r="K38" s="20" t="s">
        <v>551</v>
      </c>
      <c r="L38" t="s">
        <v>166</v>
      </c>
      <c r="M38">
        <f>VLOOKUP(E38,'[1]All Projects'!$A$2:$J$70,9,0)</f>
        <v>2025</v>
      </c>
      <c r="N38">
        <f>VLOOKUP($E38,'[1]All Projects'!$A$2:$J$70,10,0)</f>
        <v>2030</v>
      </c>
      <c r="O38">
        <f t="shared" si="1"/>
        <v>5</v>
      </c>
      <c r="P38">
        <f>VLOOKUP($E38,'[1]All Projects'!$A$2:$J$70,5,0)</f>
        <v>4000</v>
      </c>
      <c r="Q38">
        <f>VLOOKUP($E38,'[1]All Projects'!$A$2:$J$70,7,0)</f>
        <v>3</v>
      </c>
    </row>
    <row r="39" spans="1:17" x14ac:dyDescent="0.25">
      <c r="A39" s="66">
        <v>2402</v>
      </c>
      <c r="B39" s="62" t="s">
        <v>379</v>
      </c>
      <c r="C39" s="62" t="s">
        <v>360</v>
      </c>
      <c r="D39" s="63">
        <v>14</v>
      </c>
      <c r="E39" s="67">
        <v>14</v>
      </c>
      <c r="F39" s="68">
        <f>F37+1</f>
        <v>43580</v>
      </c>
      <c r="G39" t="str">
        <f t="shared" si="0"/>
        <v>Thursday</v>
      </c>
      <c r="H39" s="20" t="s">
        <v>612</v>
      </c>
      <c r="I39" s="20" t="s">
        <v>606</v>
      </c>
      <c r="J39" s="20" t="s">
        <v>91</v>
      </c>
      <c r="K39" s="20" t="s">
        <v>551</v>
      </c>
      <c r="L39" t="s">
        <v>166</v>
      </c>
      <c r="M39">
        <f>VLOOKUP(E39,'[1]All Projects'!$A$2:$J$70,9,0)</f>
        <v>2026</v>
      </c>
      <c r="N39">
        <f>VLOOKUP($E39,'[1]All Projects'!$A$2:$J$70,10,0)</f>
        <v>2030</v>
      </c>
      <c r="O39">
        <f t="shared" si="1"/>
        <v>4</v>
      </c>
      <c r="P39">
        <f>VLOOKUP($E39,'[1]All Projects'!$A$2:$J$70,5,0)</f>
        <v>800</v>
      </c>
      <c r="Q39">
        <f>VLOOKUP($E39,'[1]All Projects'!$A$2:$J$70,7,0)</f>
        <v>5.2</v>
      </c>
    </row>
    <row r="40" spans="1:17" x14ac:dyDescent="0.25">
      <c r="A40" s="66">
        <v>2403</v>
      </c>
      <c r="B40" s="62" t="s">
        <v>380</v>
      </c>
      <c r="C40" s="62" t="s">
        <v>360</v>
      </c>
      <c r="D40" s="63">
        <v>15</v>
      </c>
      <c r="E40" s="67">
        <v>16</v>
      </c>
      <c r="F40" s="68">
        <f>F38+1</f>
        <v>43581</v>
      </c>
      <c r="G40" t="str">
        <f t="shared" si="0"/>
        <v>Friday</v>
      </c>
      <c r="H40" s="20" t="s">
        <v>612</v>
      </c>
      <c r="I40" s="20" t="s">
        <v>606</v>
      </c>
      <c r="J40" s="20" t="s">
        <v>91</v>
      </c>
      <c r="K40" s="20" t="s">
        <v>551</v>
      </c>
      <c r="L40" t="s">
        <v>166</v>
      </c>
      <c r="M40">
        <f>VLOOKUP(E40,'[1]All Projects'!$A$2:$J$70,9,0)</f>
        <v>2030</v>
      </c>
      <c r="N40">
        <f>VLOOKUP($E40,'[1]All Projects'!$A$2:$J$70,10,0)</f>
        <v>2033</v>
      </c>
      <c r="O40">
        <f t="shared" si="1"/>
        <v>3</v>
      </c>
      <c r="P40">
        <f>VLOOKUP($E40,'[1]All Projects'!$A$2:$J$70,5,0)</f>
        <v>315</v>
      </c>
      <c r="Q40">
        <f>VLOOKUP($E40,'[1]All Projects'!$A$2:$J$70,7,0)</f>
        <v>1.1299999999999999</v>
      </c>
    </row>
    <row r="41" spans="1:17" x14ac:dyDescent="0.25">
      <c r="A41" s="66">
        <v>2404</v>
      </c>
      <c r="B41" s="62" t="s">
        <v>382</v>
      </c>
      <c r="C41" s="62" t="s">
        <v>360</v>
      </c>
      <c r="D41" s="63">
        <v>16</v>
      </c>
      <c r="E41" s="67">
        <v>17</v>
      </c>
      <c r="F41" s="68">
        <f>F39+1</f>
        <v>43581</v>
      </c>
      <c r="G41" t="str">
        <f t="shared" si="0"/>
        <v>Friday</v>
      </c>
      <c r="H41" s="20" t="s">
        <v>612</v>
      </c>
      <c r="I41" s="20" t="s">
        <v>606</v>
      </c>
      <c r="J41" s="20" t="s">
        <v>91</v>
      </c>
      <c r="K41" s="20" t="s">
        <v>551</v>
      </c>
      <c r="L41" t="s">
        <v>166</v>
      </c>
      <c r="M41">
        <f>VLOOKUP(E41,'[1]All Projects'!$A$2:$J$70,9,0)</f>
        <v>2020</v>
      </c>
      <c r="N41">
        <f>VLOOKUP($E41,'[1]All Projects'!$A$2:$J$70,10,0)</f>
        <v>2023</v>
      </c>
      <c r="O41">
        <f t="shared" si="1"/>
        <v>3</v>
      </c>
      <c r="P41">
        <f>VLOOKUP($E41,'[1]All Projects'!$A$2:$J$70,5,0)</f>
        <v>453</v>
      </c>
      <c r="Q41">
        <f>VLOOKUP($E41,'[1]All Projects'!$A$2:$J$70,7,0)</f>
        <v>0.9</v>
      </c>
    </row>
    <row r="42" spans="1:17" x14ac:dyDescent="0.25">
      <c r="A42" s="66">
        <v>2405</v>
      </c>
      <c r="B42" s="62" t="s">
        <v>430</v>
      </c>
      <c r="C42" s="62" t="s">
        <v>431</v>
      </c>
      <c r="D42" s="63">
        <v>48</v>
      </c>
      <c r="E42" s="67">
        <v>46</v>
      </c>
      <c r="F42" s="68">
        <f>F32+7</f>
        <v>43601</v>
      </c>
      <c r="G42" t="str">
        <f t="shared" ref="G42:G73" si="2">TEXT(F42,"dddd")</f>
        <v>Thursday</v>
      </c>
      <c r="H42" s="20" t="s">
        <v>612</v>
      </c>
      <c r="I42" s="20" t="s">
        <v>606</v>
      </c>
      <c r="J42" s="20" t="s">
        <v>91</v>
      </c>
      <c r="K42" s="20" t="s">
        <v>551</v>
      </c>
      <c r="L42" t="s">
        <v>166</v>
      </c>
      <c r="M42">
        <f>VLOOKUP(E42,'[1]All Projects'!$A$2:$J$70,9,0)</f>
        <v>2025</v>
      </c>
      <c r="N42">
        <f>VLOOKUP($E42,'[1]All Projects'!$A$2:$J$70,10,0)</f>
        <v>2030</v>
      </c>
      <c r="O42">
        <f t="shared" si="1"/>
        <v>5</v>
      </c>
      <c r="P42">
        <f>VLOOKUP($E42,'[1]All Projects'!$A$2:$J$70,5,0)</f>
        <v>650</v>
      </c>
      <c r="Q42">
        <f>VLOOKUP($E42,'[1]All Projects'!$A$2:$J$70,7,0)</f>
        <v>1</v>
      </c>
    </row>
    <row r="43" spans="1:17" x14ac:dyDescent="0.25">
      <c r="A43" s="66">
        <v>2406</v>
      </c>
      <c r="B43" s="62" t="s">
        <v>428</v>
      </c>
      <c r="C43" s="62" t="s">
        <v>429</v>
      </c>
      <c r="D43" s="63">
        <v>47</v>
      </c>
      <c r="E43" s="67">
        <v>51</v>
      </c>
      <c r="F43" s="68">
        <f>F32+7</f>
        <v>43601</v>
      </c>
      <c r="G43" t="str">
        <f t="shared" si="2"/>
        <v>Thursday</v>
      </c>
      <c r="H43" s="20" t="s">
        <v>614</v>
      </c>
      <c r="I43" s="20" t="s">
        <v>601</v>
      </c>
      <c r="J43" s="20" t="s">
        <v>91</v>
      </c>
      <c r="K43" s="20" t="s">
        <v>551</v>
      </c>
      <c r="L43" t="s">
        <v>166</v>
      </c>
      <c r="M43">
        <f>VLOOKUP(E43,'[1]All Projects'!$A$2:$J$70,9,0)</f>
        <v>2023</v>
      </c>
      <c r="N43">
        <f>VLOOKUP($E43,'[1]All Projects'!$A$2:$J$70,10,0)</f>
        <v>2025</v>
      </c>
      <c r="O43">
        <f t="shared" si="1"/>
        <v>2</v>
      </c>
      <c r="P43">
        <f>VLOOKUP($E43,'[1]All Projects'!$A$2:$J$70,5,0)</f>
        <v>1600</v>
      </c>
      <c r="Q43">
        <f>VLOOKUP($E43,'[1]All Projects'!$A$2:$J$70,7,0)</f>
        <v>1</v>
      </c>
    </row>
    <row r="44" spans="1:17" x14ac:dyDescent="0.25">
      <c r="A44" s="66">
        <v>2407</v>
      </c>
      <c r="B44" s="62" t="s">
        <v>424</v>
      </c>
      <c r="C44" s="62" t="s">
        <v>425</v>
      </c>
      <c r="D44" s="63">
        <v>45</v>
      </c>
      <c r="E44" s="67">
        <v>49</v>
      </c>
      <c r="F44" s="68">
        <f>F33+7</f>
        <v>43584</v>
      </c>
      <c r="G44" t="str">
        <f t="shared" si="2"/>
        <v>Monday</v>
      </c>
      <c r="H44" s="20" t="s">
        <v>610</v>
      </c>
      <c r="I44" s="20" t="s">
        <v>601</v>
      </c>
      <c r="J44" s="20" t="s">
        <v>91</v>
      </c>
      <c r="K44" s="20" t="s">
        <v>551</v>
      </c>
      <c r="L44" t="s">
        <v>166</v>
      </c>
      <c r="M44">
        <f>VLOOKUP(E44,'[1]All Projects'!$A$2:$J$70,9,0)</f>
        <v>2024</v>
      </c>
      <c r="N44">
        <f>VLOOKUP($E44,'[1]All Projects'!$A$2:$J$70,10,0)</f>
        <v>2030</v>
      </c>
      <c r="O44">
        <f t="shared" si="1"/>
        <v>6</v>
      </c>
      <c r="P44">
        <f>VLOOKUP($E44,'[1]All Projects'!$A$2:$J$70,5,0)</f>
        <v>4000</v>
      </c>
      <c r="Q44">
        <f>VLOOKUP($E44,'[1]All Projects'!$A$2:$J$70,7,0)</f>
        <v>100</v>
      </c>
    </row>
    <row r="45" spans="1:17" x14ac:dyDescent="0.25">
      <c r="A45" s="66">
        <v>2408</v>
      </c>
      <c r="B45" s="62" t="s">
        <v>426</v>
      </c>
      <c r="C45" s="62" t="s">
        <v>427</v>
      </c>
      <c r="D45" s="63">
        <v>46</v>
      </c>
      <c r="E45" s="67">
        <v>50</v>
      </c>
      <c r="F45" s="68">
        <f>F34+7</f>
        <v>43585</v>
      </c>
      <c r="G45" t="str">
        <f t="shared" si="2"/>
        <v>Tuesday</v>
      </c>
      <c r="H45" s="20" t="s">
        <v>610</v>
      </c>
      <c r="I45" s="20" t="s">
        <v>601</v>
      </c>
      <c r="J45" s="20" t="s">
        <v>91</v>
      </c>
      <c r="K45" s="20" t="s">
        <v>551</v>
      </c>
      <c r="L45" t="s">
        <v>166</v>
      </c>
      <c r="M45">
        <f>VLOOKUP(E45,'[1]All Projects'!$A$2:$J$70,9,0)</f>
        <v>2028</v>
      </c>
      <c r="N45">
        <f>VLOOKUP($E45,'[1]All Projects'!$A$2:$J$70,10,0)</f>
        <v>2033</v>
      </c>
      <c r="O45">
        <f t="shared" si="1"/>
        <v>5</v>
      </c>
      <c r="P45">
        <f>VLOOKUP($E45,'[1]All Projects'!$A$2:$J$70,5,0)</f>
        <v>1200</v>
      </c>
      <c r="Q45">
        <f>VLOOKUP($E45,'[1]All Projects'!$A$2:$J$70,7,0)</f>
        <v>18</v>
      </c>
    </row>
    <row r="46" spans="1:17" x14ac:dyDescent="0.25">
      <c r="A46" s="66">
        <v>2500</v>
      </c>
      <c r="B46" s="62" t="s">
        <v>433</v>
      </c>
      <c r="C46" s="62" t="s">
        <v>360</v>
      </c>
      <c r="D46" s="63">
        <v>50</v>
      </c>
      <c r="E46" s="67">
        <v>48</v>
      </c>
      <c r="F46" s="68">
        <f>F36+7</f>
        <v>43586</v>
      </c>
      <c r="G46" t="str">
        <f t="shared" si="2"/>
        <v>Wednesday</v>
      </c>
      <c r="H46" s="20" t="s">
        <v>612</v>
      </c>
      <c r="I46" s="20" t="s">
        <v>606</v>
      </c>
      <c r="J46" s="20" t="s">
        <v>91</v>
      </c>
      <c r="K46" s="20" t="s">
        <v>551</v>
      </c>
      <c r="L46" t="s">
        <v>166</v>
      </c>
      <c r="M46">
        <f>VLOOKUP(E46,'[1]All Projects'!$A$2:$J$70,9,0)</f>
        <v>2030</v>
      </c>
      <c r="N46">
        <f>VLOOKUP($E46,'[1]All Projects'!$A$2:$J$70,10,0)</f>
        <v>2040</v>
      </c>
      <c r="O46">
        <f t="shared" si="1"/>
        <v>10</v>
      </c>
      <c r="P46">
        <f>VLOOKUP($E46,'[1]All Projects'!$A$2:$J$70,5,0)</f>
        <v>7500</v>
      </c>
      <c r="Q46">
        <f>VLOOKUP($E46,'[1]All Projects'!$A$2:$J$70,7,0)</f>
        <v>9</v>
      </c>
    </row>
    <row r="47" spans="1:17" x14ac:dyDescent="0.25">
      <c r="A47" s="66">
        <v>2501</v>
      </c>
      <c r="B47" s="62" t="s">
        <v>457</v>
      </c>
      <c r="C47" s="62" t="s">
        <v>423</v>
      </c>
      <c r="D47" s="63">
        <v>51</v>
      </c>
      <c r="E47" s="67" t="s">
        <v>458</v>
      </c>
      <c r="F47" s="68">
        <f>F76+7</f>
        <v>43613</v>
      </c>
      <c r="G47" t="str">
        <f t="shared" si="2"/>
        <v>Tuesday</v>
      </c>
      <c r="H47" s="20" t="s">
        <v>612</v>
      </c>
      <c r="I47" s="20" t="s">
        <v>606</v>
      </c>
      <c r="J47" s="20" t="s">
        <v>91</v>
      </c>
      <c r="K47" s="20" t="s">
        <v>551</v>
      </c>
      <c r="L47" t="s">
        <v>166</v>
      </c>
      <c r="M47">
        <f>VLOOKUP(E47,'[1]All Projects'!$A$2:$J$70,9,0)</f>
        <v>2023</v>
      </c>
      <c r="N47">
        <f>VLOOKUP($E47,'[1]All Projects'!$A$2:$J$70,10,0)</f>
        <v>2030</v>
      </c>
      <c r="O47">
        <f t="shared" si="1"/>
        <v>7</v>
      </c>
      <c r="P47">
        <f>VLOOKUP($E47,'[1]All Projects'!$A$2:$J$70,5,0)</f>
        <v>8000</v>
      </c>
      <c r="Q47">
        <f>VLOOKUP($E47,'[1]All Projects'!$A$2:$J$70,7,0)</f>
        <v>3</v>
      </c>
    </row>
    <row r="48" spans="1:17" x14ac:dyDescent="0.25">
      <c r="A48" s="66">
        <v>2502</v>
      </c>
      <c r="B48" s="62" t="s">
        <v>434</v>
      </c>
      <c r="C48" s="62" t="s">
        <v>435</v>
      </c>
      <c r="D48" s="63">
        <v>52</v>
      </c>
      <c r="E48" s="67">
        <v>62</v>
      </c>
      <c r="F48" s="68">
        <f>F38+7</f>
        <v>43587</v>
      </c>
      <c r="G48" t="str">
        <f t="shared" si="2"/>
        <v>Thursday</v>
      </c>
      <c r="H48" s="20" t="s">
        <v>612</v>
      </c>
      <c r="I48" s="20" t="s">
        <v>606</v>
      </c>
      <c r="J48" s="20" t="s">
        <v>91</v>
      </c>
      <c r="K48" s="20" t="s">
        <v>551</v>
      </c>
      <c r="L48" t="s">
        <v>166</v>
      </c>
      <c r="M48">
        <f>VLOOKUP(E48,'[1]All Projects'!$A$2:$J$70,9,0)</f>
        <v>2023</v>
      </c>
      <c r="N48">
        <f>VLOOKUP($E48,'[1]All Projects'!$A$2:$J$70,10,0)</f>
        <v>2030</v>
      </c>
      <c r="O48">
        <f t="shared" si="1"/>
        <v>7</v>
      </c>
      <c r="P48">
        <f>VLOOKUP($E48,'[1]All Projects'!$A$2:$J$70,5,0)</f>
        <v>30000</v>
      </c>
      <c r="Q48">
        <f>VLOOKUP($E48,'[1]All Projects'!$A$2:$J$70,7,0)</f>
        <v>58</v>
      </c>
    </row>
    <row r="49" spans="1:17" x14ac:dyDescent="0.25">
      <c r="A49" s="66">
        <v>2600</v>
      </c>
      <c r="B49" s="62" t="s">
        <v>384</v>
      </c>
      <c r="C49" s="62" t="s">
        <v>385</v>
      </c>
      <c r="D49" s="63">
        <v>17</v>
      </c>
      <c r="E49" s="67">
        <v>18</v>
      </c>
      <c r="F49" s="68">
        <f>F47+1</f>
        <v>43614</v>
      </c>
      <c r="G49" t="str">
        <f t="shared" si="2"/>
        <v>Wednesday</v>
      </c>
      <c r="H49" s="20" t="s">
        <v>614</v>
      </c>
      <c r="I49" s="20" t="s">
        <v>601</v>
      </c>
      <c r="J49" s="20" t="s">
        <v>91</v>
      </c>
      <c r="K49" s="20" t="s">
        <v>551</v>
      </c>
      <c r="L49" t="s">
        <v>166</v>
      </c>
      <c r="M49">
        <f>VLOOKUP(E49,'[1]All Projects'!$A$2:$J$70,9,0)</f>
        <v>2021</v>
      </c>
      <c r="N49">
        <f>VLOOKUP($E49,'[1]All Projects'!$A$2:$J$70,10,0)</f>
        <v>2028</v>
      </c>
      <c r="O49">
        <f t="shared" si="1"/>
        <v>7</v>
      </c>
      <c r="P49">
        <f>VLOOKUP($E49,'[1]All Projects'!$A$2:$J$70,5,0)</f>
        <v>40</v>
      </c>
      <c r="Q49">
        <f>VLOOKUP($E49,'[1]All Projects'!$A$2:$J$70,7,0)</f>
        <v>15.200000000000001</v>
      </c>
    </row>
    <row r="50" spans="1:17" x14ac:dyDescent="0.25">
      <c r="A50" s="66">
        <v>2601</v>
      </c>
      <c r="B50" s="62" t="s">
        <v>387</v>
      </c>
      <c r="C50" s="62" t="s">
        <v>385</v>
      </c>
      <c r="D50" s="63">
        <v>18</v>
      </c>
      <c r="E50" s="67">
        <v>19</v>
      </c>
      <c r="F50" s="68">
        <f>F48+1</f>
        <v>43588</v>
      </c>
      <c r="G50" t="str">
        <f t="shared" si="2"/>
        <v>Friday</v>
      </c>
      <c r="H50" s="20" t="s">
        <v>614</v>
      </c>
      <c r="I50" s="20" t="s">
        <v>601</v>
      </c>
      <c r="J50" s="20" t="s">
        <v>91</v>
      </c>
      <c r="K50" s="20" t="s">
        <v>551</v>
      </c>
      <c r="L50" t="s">
        <v>166</v>
      </c>
      <c r="M50">
        <f>VLOOKUP(E50,'[1]All Projects'!$A$2:$J$70,9,0)</f>
        <v>2018</v>
      </c>
      <c r="N50">
        <f>VLOOKUP($E50,'[1]All Projects'!$A$2:$J$70,10,0)</f>
        <v>2027</v>
      </c>
      <c r="O50">
        <f t="shared" si="1"/>
        <v>9</v>
      </c>
      <c r="P50">
        <f>VLOOKUP($E50,'[1]All Projects'!$A$2:$J$70,5,0)</f>
        <v>217</v>
      </c>
      <c r="Q50">
        <f>VLOOKUP($E50,'[1]All Projects'!$A$2:$J$70,7,0)</f>
        <v>27.7</v>
      </c>
    </row>
    <row r="51" spans="1:17" x14ac:dyDescent="0.25">
      <c r="A51" s="66">
        <v>2700</v>
      </c>
      <c r="B51" s="62" t="s">
        <v>400</v>
      </c>
      <c r="C51" s="62" t="s">
        <v>390</v>
      </c>
      <c r="D51" s="63">
        <v>28</v>
      </c>
      <c r="E51" s="67">
        <v>29</v>
      </c>
      <c r="F51" s="68">
        <f>F43+7</f>
        <v>43608</v>
      </c>
      <c r="G51" t="str">
        <f t="shared" si="2"/>
        <v>Thursday</v>
      </c>
      <c r="H51" s="20" t="s">
        <v>610</v>
      </c>
      <c r="I51" s="20" t="s">
        <v>602</v>
      </c>
      <c r="J51" s="20" t="s">
        <v>91</v>
      </c>
      <c r="K51" s="20" t="s">
        <v>551</v>
      </c>
      <c r="L51" t="s">
        <v>166</v>
      </c>
      <c r="M51">
        <f>VLOOKUP(E51,'[1]All Projects'!$A$2:$J$70,9,0)</f>
        <v>2021</v>
      </c>
      <c r="N51">
        <f>VLOOKUP($E51,'[1]All Projects'!$A$2:$J$70,10,0)</f>
        <v>2025</v>
      </c>
      <c r="O51">
        <f t="shared" si="1"/>
        <v>4</v>
      </c>
      <c r="P51">
        <f>VLOOKUP($E51,'[1]All Projects'!$A$2:$J$70,5,0)</f>
        <v>779</v>
      </c>
      <c r="Q51">
        <f>VLOOKUP($E51,'[1]All Projects'!$A$2:$J$70,7,0)</f>
        <v>2.7</v>
      </c>
    </row>
    <row r="52" spans="1:17" x14ac:dyDescent="0.25">
      <c r="A52" s="66">
        <v>2701</v>
      </c>
      <c r="B52" s="62" t="s">
        <v>402</v>
      </c>
      <c r="C52" s="62" t="s">
        <v>353</v>
      </c>
      <c r="D52" s="63">
        <v>30</v>
      </c>
      <c r="E52" s="67">
        <v>31</v>
      </c>
      <c r="F52" s="68">
        <f>F44+7</f>
        <v>43591</v>
      </c>
      <c r="G52" t="str">
        <f t="shared" si="2"/>
        <v>Monday</v>
      </c>
      <c r="H52" s="20" t="s">
        <v>610</v>
      </c>
      <c r="I52" s="20" t="s">
        <v>602</v>
      </c>
      <c r="J52" s="20" t="s">
        <v>91</v>
      </c>
      <c r="K52" s="20" t="s">
        <v>551</v>
      </c>
      <c r="L52" t="s">
        <v>166</v>
      </c>
      <c r="M52">
        <f>VLOOKUP(E52,'[1]All Projects'!$A$2:$J$70,9,0)</f>
        <v>2020</v>
      </c>
      <c r="N52">
        <f>VLOOKUP($E52,'[1]All Projects'!$A$2:$J$70,10,0)</f>
        <v>2027</v>
      </c>
      <c r="O52">
        <f t="shared" si="1"/>
        <v>7</v>
      </c>
      <c r="P52">
        <f>VLOOKUP($E52,'[1]All Projects'!$A$2:$J$70,5,0)</f>
        <v>730.52000859999998</v>
      </c>
      <c r="Q52">
        <f>VLOOKUP($E52,'[1]All Projects'!$A$2:$J$70,7,0)</f>
        <v>0</v>
      </c>
    </row>
    <row r="53" spans="1:17" x14ac:dyDescent="0.25">
      <c r="A53" s="66">
        <v>3000</v>
      </c>
      <c r="B53" s="62" t="s">
        <v>389</v>
      </c>
      <c r="C53" s="62" t="s">
        <v>390</v>
      </c>
      <c r="D53" s="63">
        <v>19</v>
      </c>
      <c r="E53" s="67">
        <v>20</v>
      </c>
      <c r="F53" s="68">
        <f>F43+7</f>
        <v>43608</v>
      </c>
      <c r="G53" t="str">
        <f t="shared" si="2"/>
        <v>Thursday</v>
      </c>
      <c r="H53" s="20" t="s">
        <v>161</v>
      </c>
      <c r="I53" s="20" t="s">
        <v>601</v>
      </c>
      <c r="J53" s="20" t="s">
        <v>170</v>
      </c>
      <c r="K53" s="20" t="s">
        <v>170</v>
      </c>
      <c r="L53" t="s">
        <v>166</v>
      </c>
      <c r="M53">
        <f>VLOOKUP(E53,'[1]All Projects'!$A$2:$J$70,9,0)</f>
        <v>0</v>
      </c>
      <c r="N53">
        <f>VLOOKUP($E53,'[1]All Projects'!$A$2:$J$70,10,0)</f>
        <v>0</v>
      </c>
      <c r="O53">
        <f t="shared" si="1"/>
        <v>0</v>
      </c>
      <c r="P53">
        <f>VLOOKUP($E53,'[1]All Projects'!$A$2:$J$70,5,0)</f>
        <v>0</v>
      </c>
      <c r="Q53" t="str">
        <f>VLOOKUP($E53,'[1]All Projects'!$A$2:$J$70,7,0)</f>
        <v>See project factsheet excel file</v>
      </c>
    </row>
    <row r="54" spans="1:17" x14ac:dyDescent="0.25">
      <c r="A54" s="66">
        <v>3001</v>
      </c>
      <c r="B54" s="62" t="s">
        <v>393</v>
      </c>
      <c r="C54" s="62" t="s">
        <v>353</v>
      </c>
      <c r="D54" s="63">
        <v>22</v>
      </c>
      <c r="E54" s="67">
        <v>23</v>
      </c>
      <c r="F54" s="68">
        <f>F44+7</f>
        <v>43591</v>
      </c>
      <c r="G54" t="str">
        <f t="shared" si="2"/>
        <v>Monday</v>
      </c>
      <c r="H54" s="20" t="s">
        <v>610</v>
      </c>
      <c r="I54" s="20" t="s">
        <v>602</v>
      </c>
      <c r="J54" s="20" t="s">
        <v>170</v>
      </c>
      <c r="K54" s="20" t="s">
        <v>170</v>
      </c>
      <c r="L54" t="s">
        <v>166</v>
      </c>
      <c r="M54">
        <f>VLOOKUP(E54,'[1]All Projects'!$A$2:$J$70,9,0)</f>
        <v>2024</v>
      </c>
      <c r="N54">
        <f>VLOOKUP($E54,'[1]All Projects'!$A$2:$J$70,10,0)</f>
        <v>2025</v>
      </c>
      <c r="O54">
        <f t="shared" si="1"/>
        <v>1</v>
      </c>
      <c r="P54">
        <f>VLOOKUP($E54,'[1]All Projects'!$A$2:$J$70,5,0)</f>
        <v>125</v>
      </c>
      <c r="Q54">
        <f>VLOOKUP($E54,'[1]All Projects'!$A$2:$J$70,7,0)</f>
        <v>25</v>
      </c>
    </row>
    <row r="55" spans="1:17" x14ac:dyDescent="0.25">
      <c r="A55" s="66">
        <v>3002</v>
      </c>
      <c r="B55" s="62" t="s">
        <v>394</v>
      </c>
      <c r="C55" s="62" t="s">
        <v>353</v>
      </c>
      <c r="D55" s="63">
        <v>23</v>
      </c>
      <c r="E55" s="67">
        <v>24</v>
      </c>
      <c r="F55" s="68">
        <f>F45+7</f>
        <v>43592</v>
      </c>
      <c r="G55" t="str">
        <f t="shared" si="2"/>
        <v>Tuesday</v>
      </c>
      <c r="H55" s="20" t="s">
        <v>610</v>
      </c>
      <c r="I55" s="20" t="s">
        <v>602</v>
      </c>
      <c r="J55" s="20" t="s">
        <v>170</v>
      </c>
      <c r="K55" s="20" t="s">
        <v>170</v>
      </c>
      <c r="L55" t="s">
        <v>166</v>
      </c>
      <c r="M55">
        <f>VLOOKUP(E55,'[1]All Projects'!$A$2:$J$70,9,0)</f>
        <v>2019</v>
      </c>
      <c r="N55">
        <f>VLOOKUP($E55,'[1]All Projects'!$A$2:$J$70,10,0)</f>
        <v>2035</v>
      </c>
      <c r="O55">
        <f t="shared" si="1"/>
        <v>16</v>
      </c>
      <c r="P55">
        <f>VLOOKUP($E55,'[1]All Projects'!$A$2:$J$70,5,0)</f>
        <v>12.754835</v>
      </c>
      <c r="Q55">
        <f>VLOOKUP($E55,'[1]All Projects'!$A$2:$J$70,7,0)</f>
        <v>27.710386</v>
      </c>
    </row>
    <row r="56" spans="1:17" x14ac:dyDescent="0.25">
      <c r="A56" s="66">
        <v>3003</v>
      </c>
      <c r="B56" s="62" t="s">
        <v>441</v>
      </c>
      <c r="C56" s="62" t="s">
        <v>353</v>
      </c>
      <c r="D56" s="63">
        <v>58</v>
      </c>
      <c r="E56" s="67">
        <v>56</v>
      </c>
      <c r="F56" s="68">
        <f>F45+7</f>
        <v>43592</v>
      </c>
      <c r="G56" t="str">
        <f t="shared" si="2"/>
        <v>Tuesday</v>
      </c>
      <c r="H56" s="20" t="s">
        <v>610</v>
      </c>
      <c r="I56" s="20" t="s">
        <v>602</v>
      </c>
      <c r="J56" s="20" t="s">
        <v>170</v>
      </c>
      <c r="K56" s="20" t="s">
        <v>170</v>
      </c>
      <c r="L56" t="s">
        <v>166</v>
      </c>
      <c r="M56">
        <f>VLOOKUP(E56,'[1]All Projects'!$A$2:$J$70,9,0)</f>
        <v>2025</v>
      </c>
      <c r="N56">
        <f>VLOOKUP($E56,'[1]All Projects'!$A$2:$J$70,10,0)</f>
        <v>2030</v>
      </c>
      <c r="O56">
        <f t="shared" si="1"/>
        <v>5</v>
      </c>
      <c r="P56">
        <f>VLOOKUP($E56,'[1]All Projects'!$A$2:$J$70,5,0)</f>
        <v>1000</v>
      </c>
      <c r="Q56">
        <f>VLOOKUP($E56,'[1]All Projects'!$A$2:$J$70,7,0)</f>
        <v>10</v>
      </c>
    </row>
    <row r="57" spans="1:17" x14ac:dyDescent="0.25">
      <c r="A57" s="66">
        <v>3100</v>
      </c>
      <c r="B57" s="62" t="s">
        <v>391</v>
      </c>
      <c r="C57" s="62" t="s">
        <v>365</v>
      </c>
      <c r="D57" s="63">
        <v>20</v>
      </c>
      <c r="E57" s="67">
        <v>21</v>
      </c>
      <c r="F57" s="68">
        <f>F47+7</f>
        <v>43620</v>
      </c>
      <c r="G57" t="str">
        <f t="shared" si="2"/>
        <v>Tuesday</v>
      </c>
      <c r="H57" s="20" t="s">
        <v>613</v>
      </c>
      <c r="I57" s="20" t="s">
        <v>605</v>
      </c>
      <c r="J57" s="20" t="s">
        <v>170</v>
      </c>
      <c r="K57" s="20" t="s">
        <v>170</v>
      </c>
      <c r="L57" t="s">
        <v>166</v>
      </c>
      <c r="M57">
        <f>VLOOKUP(E57,'[1]All Projects'!$A$2:$J$70,9,0)</f>
        <v>2022</v>
      </c>
      <c r="N57">
        <f>VLOOKUP($E57,'[1]All Projects'!$A$2:$J$70,10,0)</f>
        <v>2030</v>
      </c>
      <c r="O57">
        <f t="shared" si="1"/>
        <v>8</v>
      </c>
      <c r="P57">
        <f>VLOOKUP($E57,'[1]All Projects'!$A$2:$J$70,5,0)</f>
        <v>600</v>
      </c>
      <c r="Q57" t="str">
        <f>VLOOKUP($E57,'[1]All Projects'!$A$2:$J$70,7,0)</f>
        <v>n/a</v>
      </c>
    </row>
    <row r="58" spans="1:17" x14ac:dyDescent="0.25">
      <c r="A58" s="66">
        <v>3101</v>
      </c>
      <c r="B58" s="62" t="s">
        <v>395</v>
      </c>
      <c r="C58" s="62" t="s">
        <v>365</v>
      </c>
      <c r="D58" s="63">
        <v>24</v>
      </c>
      <c r="E58" s="67">
        <v>25</v>
      </c>
      <c r="F58" s="68">
        <f>F48+7</f>
        <v>43594</v>
      </c>
      <c r="G58" t="str">
        <f t="shared" si="2"/>
        <v>Thursday</v>
      </c>
      <c r="H58" s="20" t="s">
        <v>613</v>
      </c>
      <c r="I58" s="20" t="s">
        <v>605</v>
      </c>
      <c r="J58" s="20" t="s">
        <v>170</v>
      </c>
      <c r="K58" s="20" t="s">
        <v>170</v>
      </c>
      <c r="L58" t="s">
        <v>166</v>
      </c>
      <c r="M58">
        <f>VLOOKUP(E58,'[1]All Projects'!$A$2:$J$70,9,0)</f>
        <v>2022</v>
      </c>
      <c r="N58">
        <f>VLOOKUP($E58,'[1]All Projects'!$A$2:$J$70,10,0)</f>
        <v>2028</v>
      </c>
      <c r="O58">
        <f t="shared" si="1"/>
        <v>6</v>
      </c>
      <c r="P58">
        <f>VLOOKUP($E58,'[1]All Projects'!$A$2:$J$70,5,0)</f>
        <v>347</v>
      </c>
      <c r="Q58" t="str">
        <f>VLOOKUP($E58,'[1]All Projects'!$A$2:$J$70,7,0)</f>
        <v>n/a</v>
      </c>
    </row>
    <row r="59" spans="1:17" x14ac:dyDescent="0.25">
      <c r="A59" s="66">
        <v>3102</v>
      </c>
      <c r="B59" s="62" t="s">
        <v>396</v>
      </c>
      <c r="C59" s="62" t="s">
        <v>365</v>
      </c>
      <c r="D59" s="63">
        <v>25</v>
      </c>
      <c r="E59" s="67">
        <v>26</v>
      </c>
      <c r="F59" s="68">
        <f>F49+7</f>
        <v>43621</v>
      </c>
      <c r="G59" t="str">
        <f t="shared" si="2"/>
        <v>Wednesday</v>
      </c>
      <c r="H59" s="20" t="s">
        <v>613</v>
      </c>
      <c r="I59" s="20" t="s">
        <v>605</v>
      </c>
      <c r="J59" s="20" t="s">
        <v>170</v>
      </c>
      <c r="K59" s="20" t="s">
        <v>170</v>
      </c>
      <c r="L59" t="s">
        <v>166</v>
      </c>
      <c r="M59">
        <f>VLOOKUP(E59,'[1]All Projects'!$A$2:$J$70,9,0)</f>
        <v>2022</v>
      </c>
      <c r="N59">
        <f>VLOOKUP($E59,'[1]All Projects'!$A$2:$J$70,10,0)</f>
        <v>2028</v>
      </c>
      <c r="O59">
        <f t="shared" si="1"/>
        <v>6</v>
      </c>
      <c r="P59">
        <f>VLOOKUP($E59,'[1]All Projects'!$A$2:$J$70,5,0)</f>
        <v>434</v>
      </c>
      <c r="Q59" t="str">
        <f>VLOOKUP($E59,'[1]All Projects'!$A$2:$J$70,7,0)</f>
        <v>n/a</v>
      </c>
    </row>
    <row r="60" spans="1:17" x14ac:dyDescent="0.25">
      <c r="A60" s="66">
        <v>3103</v>
      </c>
      <c r="B60" s="62" t="s">
        <v>397</v>
      </c>
      <c r="C60" s="62" t="s">
        <v>365</v>
      </c>
      <c r="D60" s="63">
        <v>26</v>
      </c>
      <c r="E60" s="67">
        <v>27</v>
      </c>
      <c r="F60" s="68">
        <f>F50+7</f>
        <v>43595</v>
      </c>
      <c r="G60" t="str">
        <f t="shared" si="2"/>
        <v>Friday</v>
      </c>
      <c r="H60" s="20" t="s">
        <v>613</v>
      </c>
      <c r="I60" s="20" t="s">
        <v>605</v>
      </c>
      <c r="J60" s="20" t="s">
        <v>170</v>
      </c>
      <c r="K60" s="20" t="s">
        <v>170</v>
      </c>
      <c r="L60" t="s">
        <v>166</v>
      </c>
      <c r="M60">
        <f>VLOOKUP(E60,'[1]All Projects'!$A$2:$J$70,9,0)</f>
        <v>2024</v>
      </c>
      <c r="N60">
        <f>VLOOKUP($E60,'[1]All Projects'!$A$2:$J$70,10,0)</f>
        <v>2030</v>
      </c>
      <c r="O60">
        <f t="shared" si="1"/>
        <v>6</v>
      </c>
      <c r="P60">
        <f>VLOOKUP($E60,'[1]All Projects'!$A$2:$J$70,5,0)</f>
        <v>360</v>
      </c>
      <c r="Q60" t="str">
        <f>VLOOKUP($E60,'[1]All Projects'!$A$2:$J$70,7,0)</f>
        <v>n/a</v>
      </c>
    </row>
    <row r="61" spans="1:17" x14ac:dyDescent="0.25">
      <c r="A61" s="66">
        <v>3104</v>
      </c>
      <c r="B61" s="62" t="s">
        <v>398</v>
      </c>
      <c r="C61" s="62" t="s">
        <v>399</v>
      </c>
      <c r="D61" s="63">
        <v>27</v>
      </c>
      <c r="E61" s="67">
        <v>28</v>
      </c>
      <c r="F61" s="68">
        <f>F53+7</f>
        <v>43615</v>
      </c>
      <c r="G61" t="str">
        <f t="shared" si="2"/>
        <v>Thursday</v>
      </c>
      <c r="H61" s="20" t="s">
        <v>611</v>
      </c>
      <c r="I61" s="20" t="s">
        <v>607</v>
      </c>
      <c r="J61" s="20" t="s">
        <v>170</v>
      </c>
      <c r="K61" s="20" t="s">
        <v>170</v>
      </c>
      <c r="L61" t="s">
        <v>166</v>
      </c>
      <c r="M61">
        <f>VLOOKUP(E61,'[1]All Projects'!$A$2:$J$70,9,0)</f>
        <v>2020</v>
      </c>
      <c r="N61">
        <f>VLOOKUP($E61,'[1]All Projects'!$A$2:$J$70,10,0)</f>
        <v>2023</v>
      </c>
      <c r="O61">
        <f t="shared" si="1"/>
        <v>3</v>
      </c>
      <c r="P61">
        <f>VLOOKUP($E61,'[1]All Projects'!$A$2:$J$70,5,0)</f>
        <v>583.4</v>
      </c>
      <c r="Q61" t="str">
        <f>VLOOKUP($E61,'[1]All Projects'!$A$2:$J$70,7,0)</f>
        <v>n/a</v>
      </c>
    </row>
    <row r="62" spans="1:17" x14ac:dyDescent="0.25">
      <c r="A62" s="66">
        <v>3105</v>
      </c>
      <c r="B62" s="62" t="s">
        <v>437</v>
      </c>
      <c r="C62" s="62" t="s">
        <v>399</v>
      </c>
      <c r="D62" s="63">
        <v>54</v>
      </c>
      <c r="E62" s="67">
        <v>53</v>
      </c>
      <c r="F62" s="68">
        <f>F51+7</f>
        <v>43615</v>
      </c>
      <c r="G62" t="str">
        <f t="shared" si="2"/>
        <v>Thursday</v>
      </c>
      <c r="H62" s="20" t="s">
        <v>611</v>
      </c>
      <c r="I62" s="20" t="s">
        <v>607</v>
      </c>
      <c r="J62" s="20" t="s">
        <v>170</v>
      </c>
      <c r="K62" s="20" t="s">
        <v>170</v>
      </c>
      <c r="L62" t="s">
        <v>166</v>
      </c>
      <c r="M62">
        <f>VLOOKUP(E62,'[1]All Projects'!$A$2:$J$70,9,0)</f>
        <v>2030</v>
      </c>
      <c r="N62">
        <f>VLOOKUP($E62,'[1]All Projects'!$A$2:$J$70,10,0)</f>
        <v>2035</v>
      </c>
      <c r="O62">
        <f t="shared" si="1"/>
        <v>5</v>
      </c>
      <c r="P62">
        <f>VLOOKUP($E62,'[1]All Projects'!$A$2:$J$70,5,0)</f>
        <v>1800</v>
      </c>
      <c r="Q62">
        <f>VLOOKUP($E62,'[1]All Projects'!$A$2:$J$70,7,0)</f>
        <v>2.5</v>
      </c>
    </row>
    <row r="63" spans="1:17" x14ac:dyDescent="0.25">
      <c r="A63" s="66">
        <v>3106</v>
      </c>
      <c r="B63" s="62" t="s">
        <v>392</v>
      </c>
      <c r="C63" s="62" t="s">
        <v>360</v>
      </c>
      <c r="D63" s="63">
        <v>21</v>
      </c>
      <c r="E63" s="67">
        <v>22</v>
      </c>
      <c r="F63" s="68">
        <f>F53+7</f>
        <v>43615</v>
      </c>
      <c r="G63" t="str">
        <f t="shared" si="2"/>
        <v>Thursday</v>
      </c>
      <c r="H63" s="20" t="s">
        <v>612</v>
      </c>
      <c r="I63" s="20" t="s">
        <v>606</v>
      </c>
      <c r="J63" s="20" t="s">
        <v>170</v>
      </c>
      <c r="K63" s="20" t="s">
        <v>170</v>
      </c>
      <c r="L63" t="s">
        <v>166</v>
      </c>
      <c r="M63">
        <f>VLOOKUP(E63,'[1]All Projects'!$A$2:$J$70,9,0)</f>
        <v>2030</v>
      </c>
      <c r="N63">
        <f>VLOOKUP($E63,'[1]All Projects'!$A$2:$J$70,10,0)</f>
        <v>2033</v>
      </c>
      <c r="O63">
        <f t="shared" si="1"/>
        <v>3</v>
      </c>
      <c r="P63">
        <f>VLOOKUP($E63,'[1]All Projects'!$A$2:$J$70,5,0)</f>
        <v>1200</v>
      </c>
      <c r="Q63">
        <f>VLOOKUP($E63,'[1]All Projects'!$A$2:$J$70,7,0)</f>
        <v>5</v>
      </c>
    </row>
    <row r="64" spans="1:17" x14ac:dyDescent="0.25">
      <c r="A64" s="66">
        <v>3107</v>
      </c>
      <c r="B64" s="62" t="s">
        <v>444</v>
      </c>
      <c r="C64" s="62" t="s">
        <v>423</v>
      </c>
      <c r="D64" s="63">
        <v>61</v>
      </c>
      <c r="E64" s="67">
        <v>59</v>
      </c>
      <c r="F64" s="68">
        <f>F53+7</f>
        <v>43615</v>
      </c>
      <c r="G64" t="str">
        <f t="shared" si="2"/>
        <v>Thursday</v>
      </c>
      <c r="H64" s="20" t="s">
        <v>612</v>
      </c>
      <c r="I64" s="20" t="s">
        <v>606</v>
      </c>
      <c r="J64" s="20" t="s">
        <v>170</v>
      </c>
      <c r="K64" s="20" t="s">
        <v>170</v>
      </c>
      <c r="L64" t="s">
        <v>166</v>
      </c>
      <c r="M64">
        <f>VLOOKUP(E64,'[1]All Projects'!$A$2:$J$70,9,0)</f>
        <v>2030</v>
      </c>
      <c r="N64">
        <f>VLOOKUP($E64,'[1]All Projects'!$A$2:$J$70,10,0)</f>
        <v>2035</v>
      </c>
      <c r="O64">
        <f t="shared" si="1"/>
        <v>5</v>
      </c>
      <c r="P64">
        <f>VLOOKUP($E64,'[1]All Projects'!$A$2:$J$70,5,0)</f>
        <v>3100</v>
      </c>
      <c r="Q64">
        <f>VLOOKUP($E64,'[1]All Projects'!$A$2:$J$70,7,0)</f>
        <v>4</v>
      </c>
    </row>
    <row r="65" spans="1:17" x14ac:dyDescent="0.25">
      <c r="A65" s="66">
        <v>3108</v>
      </c>
      <c r="B65" s="62" t="s">
        <v>443</v>
      </c>
      <c r="C65" s="62" t="s">
        <v>408</v>
      </c>
      <c r="D65" s="63">
        <v>60</v>
      </c>
      <c r="E65" s="67">
        <v>58</v>
      </c>
      <c r="F65" s="68">
        <f>F54+7</f>
        <v>43598</v>
      </c>
      <c r="G65" t="str">
        <f t="shared" si="2"/>
        <v>Monday</v>
      </c>
      <c r="H65" s="20" t="s">
        <v>613</v>
      </c>
      <c r="I65" s="20" t="s">
        <v>604</v>
      </c>
      <c r="J65" s="20" t="s">
        <v>170</v>
      </c>
      <c r="K65" s="20" t="s">
        <v>170</v>
      </c>
      <c r="L65" t="s">
        <v>166</v>
      </c>
      <c r="M65">
        <f>VLOOKUP(E65,'[1]All Projects'!$A$2:$J$70,9,0)</f>
        <v>2040</v>
      </c>
      <c r="N65">
        <f>VLOOKUP($E65,'[1]All Projects'!$A$2:$J$70,10,0)</f>
        <v>2050</v>
      </c>
      <c r="O65">
        <f t="shared" si="1"/>
        <v>10</v>
      </c>
      <c r="P65">
        <f>VLOOKUP($E65,'[1]All Projects'!$A$2:$J$70,5,0)</f>
        <v>3000</v>
      </c>
      <c r="Q65">
        <f>VLOOKUP($E65,'[1]All Projects'!$A$2:$J$70,7,0)</f>
        <v>20</v>
      </c>
    </row>
    <row r="66" spans="1:17" x14ac:dyDescent="0.25">
      <c r="A66" s="66">
        <v>3109</v>
      </c>
      <c r="B66" s="62" t="s">
        <v>442</v>
      </c>
      <c r="C66" s="62" t="s">
        <v>408</v>
      </c>
      <c r="D66" s="63">
        <v>59</v>
      </c>
      <c r="E66" s="67">
        <v>57</v>
      </c>
      <c r="F66" s="68">
        <f>F55+7</f>
        <v>43599</v>
      </c>
      <c r="G66" t="str">
        <f t="shared" si="2"/>
        <v>Tuesday</v>
      </c>
      <c r="H66" s="20" t="s">
        <v>614</v>
      </c>
      <c r="I66" s="20" t="s">
        <v>601</v>
      </c>
      <c r="J66" s="20" t="s">
        <v>170</v>
      </c>
      <c r="K66" s="20" t="s">
        <v>170</v>
      </c>
      <c r="L66" t="s">
        <v>166</v>
      </c>
      <c r="M66">
        <f>VLOOKUP(E66,'[1]All Projects'!$A$2:$J$70,9,0)</f>
        <v>2035</v>
      </c>
      <c r="N66">
        <f>VLOOKUP($E66,'[1]All Projects'!$A$2:$J$70,10,0)</f>
        <v>2040</v>
      </c>
      <c r="O66">
        <f t="shared" si="1"/>
        <v>5</v>
      </c>
      <c r="P66">
        <f>VLOOKUP($E66,'[1]All Projects'!$A$2:$J$70,5,0)</f>
        <v>8000</v>
      </c>
      <c r="Q66">
        <f>VLOOKUP($E66,'[1]All Projects'!$A$2:$J$70,7,0)</f>
        <v>25</v>
      </c>
    </row>
    <row r="67" spans="1:17" x14ac:dyDescent="0.25">
      <c r="A67" s="66">
        <v>4000</v>
      </c>
      <c r="B67" s="62" t="s">
        <v>445</v>
      </c>
      <c r="C67" s="62" t="s">
        <v>446</v>
      </c>
      <c r="D67" s="63">
        <v>62</v>
      </c>
      <c r="E67" s="67">
        <v>64</v>
      </c>
      <c r="F67" s="68">
        <f>F57+7</f>
        <v>43627</v>
      </c>
      <c r="G67" t="str">
        <f t="shared" si="2"/>
        <v>Tuesday</v>
      </c>
      <c r="H67" s="20" t="s">
        <v>613</v>
      </c>
      <c r="I67" s="20" t="s">
        <v>604</v>
      </c>
      <c r="J67" s="20" t="s">
        <v>91</v>
      </c>
      <c r="K67" s="20" t="s">
        <v>551</v>
      </c>
      <c r="L67" t="s">
        <v>166</v>
      </c>
      <c r="M67">
        <f>VLOOKUP(E67,'[1]All Projects'!$A$2:$J$70,9,0)</f>
        <v>2022</v>
      </c>
      <c r="N67">
        <f>VLOOKUP($E67,'[1]All Projects'!$A$2:$J$70,10,0)</f>
        <v>2025</v>
      </c>
      <c r="O67">
        <f t="shared" si="1"/>
        <v>3</v>
      </c>
      <c r="P67">
        <f>VLOOKUP($E67,'[1]All Projects'!$A$2:$J$70,5,0)</f>
        <v>700</v>
      </c>
      <c r="Q67">
        <f>VLOOKUP($E67,'[1]All Projects'!$A$2:$J$70,7,0)</f>
        <v>10</v>
      </c>
    </row>
    <row r="68" spans="1:17" x14ac:dyDescent="0.25">
      <c r="A68" s="66">
        <v>4001</v>
      </c>
      <c r="B68" s="62" t="s">
        <v>448</v>
      </c>
      <c r="C68" s="62" t="s">
        <v>449</v>
      </c>
      <c r="D68" s="63">
        <v>64</v>
      </c>
      <c r="E68" s="67">
        <v>68</v>
      </c>
      <c r="F68" s="68">
        <f>F58+7</f>
        <v>43601</v>
      </c>
      <c r="G68" t="str">
        <f t="shared" si="2"/>
        <v>Thursday</v>
      </c>
      <c r="H68" s="20" t="s">
        <v>610</v>
      </c>
      <c r="I68" s="81" t="s">
        <v>608</v>
      </c>
      <c r="J68" s="20" t="s">
        <v>91</v>
      </c>
      <c r="K68" s="20" t="s">
        <v>208</v>
      </c>
      <c r="L68" t="s">
        <v>166</v>
      </c>
      <c r="M68">
        <f>VLOOKUP(E68,'[1]All Projects'!$A$2:$J$70,9,0)</f>
        <v>2025</v>
      </c>
      <c r="N68">
        <f>VLOOKUP($E68,'[1]All Projects'!$A$2:$J$70,10,0)</f>
        <v>2030</v>
      </c>
      <c r="O68">
        <f t="shared" si="1"/>
        <v>5</v>
      </c>
      <c r="P68">
        <f>VLOOKUP($E68,'[1]All Projects'!$A$2:$J$70,5,0)</f>
        <v>1350</v>
      </c>
      <c r="Q68">
        <f>VLOOKUP($E68,'[1]All Projects'!$A$2:$J$70,7,0)</f>
        <v>8</v>
      </c>
    </row>
    <row r="69" spans="1:17" x14ac:dyDescent="0.25">
      <c r="A69" s="66">
        <v>4002</v>
      </c>
      <c r="B69" s="62" t="s">
        <v>447</v>
      </c>
      <c r="C69" s="62" t="s">
        <v>365</v>
      </c>
      <c r="D69" s="63">
        <v>63</v>
      </c>
      <c r="E69" s="67">
        <v>67</v>
      </c>
      <c r="F69" s="68">
        <f>F59+7</f>
        <v>43628</v>
      </c>
      <c r="G69" t="str">
        <f t="shared" si="2"/>
        <v>Wednesday</v>
      </c>
      <c r="H69" s="20" t="s">
        <v>613</v>
      </c>
      <c r="I69" s="20" t="s">
        <v>605</v>
      </c>
      <c r="J69" s="20" t="s">
        <v>91</v>
      </c>
      <c r="K69" s="20" t="s">
        <v>208</v>
      </c>
      <c r="L69" t="s">
        <v>166</v>
      </c>
      <c r="M69">
        <f>VLOOKUP(E69,'[1]All Projects'!$A$2:$J$70,9,0)</f>
        <v>2028</v>
      </c>
      <c r="N69">
        <f>VLOOKUP($E69,'[1]All Projects'!$A$2:$J$70,10,0)</f>
        <v>2030</v>
      </c>
      <c r="O69">
        <f t="shared" si="1"/>
        <v>2</v>
      </c>
      <c r="P69">
        <f>VLOOKUP($E69,'[1]All Projects'!$A$2:$J$70,5,0)</f>
        <v>1350</v>
      </c>
      <c r="Q69">
        <f>VLOOKUP($E69,'[1]All Projects'!$A$2:$J$70,7,0)</f>
        <v>10</v>
      </c>
    </row>
    <row r="70" spans="1:17" x14ac:dyDescent="0.25">
      <c r="A70" s="66">
        <v>4003</v>
      </c>
      <c r="B70" s="62" t="s">
        <v>450</v>
      </c>
      <c r="C70" s="62" t="s">
        <v>431</v>
      </c>
      <c r="D70" s="63">
        <v>65</v>
      </c>
      <c r="E70" s="67">
        <v>45</v>
      </c>
      <c r="F70" s="68">
        <f>F60+7</f>
        <v>43602</v>
      </c>
      <c r="G70" t="str">
        <f t="shared" si="2"/>
        <v>Friday</v>
      </c>
      <c r="H70" s="20" t="s">
        <v>612</v>
      </c>
      <c r="I70" s="81" t="s">
        <v>606</v>
      </c>
      <c r="J70" s="20" t="s">
        <v>91</v>
      </c>
      <c r="K70" s="20" t="s">
        <v>551</v>
      </c>
      <c r="L70" t="s">
        <v>166</v>
      </c>
      <c r="M70">
        <f>VLOOKUP(E70,'[1]All Projects'!$A$2:$J$70,9,0)</f>
        <v>2025</v>
      </c>
      <c r="N70">
        <f>VLOOKUP($E70,'[1]All Projects'!$A$2:$J$70,10,0)</f>
        <v>2030</v>
      </c>
      <c r="O70">
        <f t="shared" si="1"/>
        <v>5</v>
      </c>
      <c r="P70">
        <f>VLOOKUP($E70,'[1]All Projects'!$A$2:$J$70,5,0)</f>
        <v>2000</v>
      </c>
      <c r="Q70">
        <f>VLOOKUP($E70,'[1]All Projects'!$A$2:$J$70,7,0)</f>
        <v>1.82</v>
      </c>
    </row>
    <row r="71" spans="1:17" x14ac:dyDescent="0.25">
      <c r="A71" s="66">
        <v>5000</v>
      </c>
      <c r="B71" s="62" t="s">
        <v>401</v>
      </c>
      <c r="C71" s="62" t="s">
        <v>390</v>
      </c>
      <c r="D71" s="63">
        <v>29</v>
      </c>
      <c r="E71" s="67">
        <v>30</v>
      </c>
      <c r="F71" s="68">
        <f>F63+7</f>
        <v>43622</v>
      </c>
      <c r="G71" t="str">
        <f t="shared" si="2"/>
        <v>Thursday</v>
      </c>
      <c r="H71" s="20" t="s">
        <v>161</v>
      </c>
      <c r="I71" s="20" t="s">
        <v>601</v>
      </c>
      <c r="J71" s="20" t="s">
        <v>170</v>
      </c>
      <c r="K71" s="20" t="s">
        <v>170</v>
      </c>
      <c r="L71" t="s">
        <v>166</v>
      </c>
      <c r="M71">
        <f>VLOOKUP(E71,'[1]All Projects'!$A$2:$J$70,9,0)</f>
        <v>0</v>
      </c>
      <c r="N71" t="str">
        <f>VLOOKUP($E71,'[1]All Projects'!$A$2:$J$70,10,0)</f>
        <v>See project factsheet excel file</v>
      </c>
      <c r="O71" t="e">
        <f t="shared" si="1"/>
        <v>#VALUE!</v>
      </c>
      <c r="P71">
        <f>VLOOKUP($E71,'[1]All Projects'!$A$2:$J$70,5,0)</f>
        <v>714</v>
      </c>
      <c r="Q71">
        <f>VLOOKUP($E71,'[1]All Projects'!$A$2:$J$70,7,0)</f>
        <v>153</v>
      </c>
    </row>
    <row r="72" spans="1:17" x14ac:dyDescent="0.25">
      <c r="A72" s="66">
        <v>5001</v>
      </c>
      <c r="B72" s="62" t="s">
        <v>436</v>
      </c>
      <c r="C72" s="62" t="s">
        <v>390</v>
      </c>
      <c r="D72" s="63">
        <v>53</v>
      </c>
      <c r="E72" s="67">
        <v>52</v>
      </c>
      <c r="F72" s="68">
        <f>F61+7</f>
        <v>43622</v>
      </c>
      <c r="G72" t="str">
        <f t="shared" si="2"/>
        <v>Thursday</v>
      </c>
      <c r="H72" s="20" t="s">
        <v>611</v>
      </c>
      <c r="I72" s="81" t="s">
        <v>601</v>
      </c>
      <c r="J72" s="20" t="s">
        <v>170</v>
      </c>
      <c r="K72" s="20" t="s">
        <v>170</v>
      </c>
      <c r="L72" t="s">
        <v>166</v>
      </c>
      <c r="M72">
        <f>VLOOKUP(E72,'[1]All Projects'!$A$2:$J$70,9,0)</f>
        <v>2030</v>
      </c>
      <c r="N72">
        <f>VLOOKUP($E72,'[1]All Projects'!$A$2:$J$70,10,0)</f>
        <v>2036</v>
      </c>
      <c r="O72">
        <f t="shared" si="1"/>
        <v>6</v>
      </c>
      <c r="P72">
        <f>VLOOKUP($E72,'[1]All Projects'!$A$2:$J$70,5,0)</f>
        <v>5000</v>
      </c>
      <c r="Q72">
        <f>VLOOKUP($E72,'[1]All Projects'!$A$2:$J$70,7,0)</f>
        <v>16</v>
      </c>
    </row>
    <row r="73" spans="1:17" x14ac:dyDescent="0.25">
      <c r="A73" s="66">
        <v>5002</v>
      </c>
      <c r="B73" s="62" t="s">
        <v>440</v>
      </c>
      <c r="C73" s="62" t="s">
        <v>406</v>
      </c>
      <c r="D73" s="63">
        <v>57</v>
      </c>
      <c r="E73" s="67">
        <v>55</v>
      </c>
      <c r="F73" s="68">
        <f>F62+7</f>
        <v>43622</v>
      </c>
      <c r="G73" t="str">
        <f t="shared" si="2"/>
        <v>Thursday</v>
      </c>
      <c r="H73" s="20" t="s">
        <v>613</v>
      </c>
      <c r="I73" s="20" t="s">
        <v>604</v>
      </c>
      <c r="J73" s="20" t="s">
        <v>170</v>
      </c>
      <c r="K73" s="20" t="s">
        <v>170</v>
      </c>
      <c r="L73" t="s">
        <v>166</v>
      </c>
      <c r="M73">
        <f>VLOOKUP(E73,'[1]All Projects'!$A$2:$J$70,9,0)</f>
        <v>2018</v>
      </c>
      <c r="N73">
        <f>VLOOKUP($E73,'[1]All Projects'!$A$2:$J$70,10,0)</f>
        <v>2021</v>
      </c>
      <c r="O73">
        <f t="shared" si="1"/>
        <v>3</v>
      </c>
      <c r="P73">
        <f>VLOOKUP($E73,'[1]All Projects'!$A$2:$J$70,5,0)</f>
        <v>3600</v>
      </c>
      <c r="Q73" t="str">
        <f>VLOOKUP($E73,'[1]All Projects'!$A$2:$J$70,7,0)</f>
        <v>n/a</v>
      </c>
    </row>
    <row r="74" spans="1:17" x14ac:dyDescent="0.25">
      <c r="A74" s="66">
        <v>5003</v>
      </c>
      <c r="B74" s="62" t="s">
        <v>439</v>
      </c>
      <c r="C74" s="62" t="s">
        <v>365</v>
      </c>
      <c r="D74" s="63">
        <v>56</v>
      </c>
      <c r="E74" s="67">
        <v>66</v>
      </c>
      <c r="F74" s="68">
        <f t="shared" ref="F74:F86" si="3">F64+7</f>
        <v>43622</v>
      </c>
      <c r="G74" t="str">
        <f t="shared" ref="G74:G93" si="4">TEXT(F74,"dddd")</f>
        <v>Thursday</v>
      </c>
      <c r="H74" s="20" t="s">
        <v>613</v>
      </c>
      <c r="I74" s="81" t="s">
        <v>605</v>
      </c>
      <c r="J74" s="20" t="s">
        <v>91</v>
      </c>
      <c r="K74" s="20" t="s">
        <v>208</v>
      </c>
      <c r="L74" t="s">
        <v>166</v>
      </c>
      <c r="M74">
        <f>VLOOKUP(E74,'[1]All Projects'!$A$2:$J$70,9,0)</f>
        <v>2028</v>
      </c>
      <c r="N74">
        <f>VLOOKUP($E74,'[1]All Projects'!$A$2:$J$70,10,0)</f>
        <v>2030</v>
      </c>
      <c r="O74">
        <f t="shared" si="1"/>
        <v>2</v>
      </c>
      <c r="P74">
        <f>VLOOKUP($E74,'[1]All Projects'!$A$2:$J$70,5,0)</f>
        <v>1340</v>
      </c>
      <c r="Q74">
        <f>VLOOKUP($E74,'[1]All Projects'!$A$2:$J$70,7,0)</f>
        <v>10</v>
      </c>
    </row>
    <row r="75" spans="1:17" x14ac:dyDescent="0.25">
      <c r="A75" s="66">
        <v>6000</v>
      </c>
      <c r="B75" s="62" t="s">
        <v>451</v>
      </c>
      <c r="C75" s="67" t="s">
        <v>452</v>
      </c>
      <c r="D75" s="63">
        <v>66</v>
      </c>
      <c r="E75" s="67">
        <v>69</v>
      </c>
      <c r="F75" s="68">
        <f t="shared" si="3"/>
        <v>43605</v>
      </c>
      <c r="G75" t="str">
        <f t="shared" si="4"/>
        <v>Monday</v>
      </c>
      <c r="H75" s="20" t="s">
        <v>161</v>
      </c>
      <c r="I75" s="83" t="s">
        <v>601</v>
      </c>
      <c r="J75" s="20" t="s">
        <v>91</v>
      </c>
      <c r="K75" s="20" t="s">
        <v>208</v>
      </c>
      <c r="L75" t="s">
        <v>166</v>
      </c>
      <c r="M75" t="e">
        <f>VLOOKUP(E75,'[1]All Projects'!$A$2:$J$70,9,0)</f>
        <v>#N/A</v>
      </c>
      <c r="N75" t="e">
        <f>VLOOKUP($E75,'[1]All Projects'!$A$2:$J$70,10,0)</f>
        <v>#N/A</v>
      </c>
      <c r="O75" t="e">
        <f t="shared" ref="O75:O95" si="5">N75-M75</f>
        <v>#N/A</v>
      </c>
      <c r="P75" t="e">
        <f>VLOOKUP($E75,'[1]All Projects'!$A$2:$J$70,5,0)</f>
        <v>#N/A</v>
      </c>
      <c r="Q75" t="e">
        <f>VLOOKUP($E75,'[1]All Projects'!$A$2:$J$70,7,0)</f>
        <v>#N/A</v>
      </c>
    </row>
    <row r="76" spans="1:17" x14ac:dyDescent="0.25">
      <c r="A76" s="66">
        <v>6001</v>
      </c>
      <c r="B76" s="62" t="s">
        <v>453</v>
      </c>
      <c r="C76" s="67" t="s">
        <v>452</v>
      </c>
      <c r="D76" s="63">
        <v>67</v>
      </c>
      <c r="E76" s="67">
        <v>70</v>
      </c>
      <c r="F76" s="68">
        <f t="shared" si="3"/>
        <v>43606</v>
      </c>
      <c r="G76" t="str">
        <f t="shared" si="4"/>
        <v>Tuesday</v>
      </c>
      <c r="H76" s="20" t="s">
        <v>614</v>
      </c>
      <c r="I76" s="83" t="s">
        <v>601</v>
      </c>
      <c r="J76" s="20" t="s">
        <v>91</v>
      </c>
      <c r="K76" s="20" t="s">
        <v>208</v>
      </c>
      <c r="L76" t="s">
        <v>166</v>
      </c>
      <c r="M76" t="e">
        <f>VLOOKUP(E76,'[1]All Projects'!$A$2:$J$70,9,0)</f>
        <v>#N/A</v>
      </c>
      <c r="N76" t="e">
        <f>VLOOKUP($E76,'[1]All Projects'!$A$2:$J$70,10,0)</f>
        <v>#N/A</v>
      </c>
      <c r="O76" t="e">
        <f t="shared" si="5"/>
        <v>#N/A</v>
      </c>
      <c r="P76" t="e">
        <f>VLOOKUP($E76,'[1]All Projects'!$A$2:$J$70,5,0)</f>
        <v>#N/A</v>
      </c>
      <c r="Q76" t="e">
        <f>VLOOKUP($E76,'[1]All Projects'!$A$2:$J$70,7,0)</f>
        <v>#N/A</v>
      </c>
    </row>
    <row r="77" spans="1:17" x14ac:dyDescent="0.25">
      <c r="A77" s="66">
        <v>6002</v>
      </c>
      <c r="B77" s="62" t="s">
        <v>454</v>
      </c>
      <c r="C77" s="67" t="s">
        <v>452</v>
      </c>
      <c r="D77" s="63">
        <v>68</v>
      </c>
      <c r="E77" s="67">
        <v>71</v>
      </c>
      <c r="F77" s="68">
        <f t="shared" si="3"/>
        <v>43634</v>
      </c>
      <c r="G77" t="str">
        <f t="shared" si="4"/>
        <v>Tuesday</v>
      </c>
      <c r="H77" s="20" t="s">
        <v>614</v>
      </c>
      <c r="I77" s="83" t="s">
        <v>601</v>
      </c>
      <c r="J77" s="20" t="s">
        <v>91</v>
      </c>
      <c r="K77" s="20" t="s">
        <v>163</v>
      </c>
      <c r="L77" t="s">
        <v>166</v>
      </c>
      <c r="M77" t="e">
        <f>VLOOKUP(E77,'[1]All Projects'!$A$2:$J$70,9,0)</f>
        <v>#N/A</v>
      </c>
      <c r="N77" t="e">
        <f>VLOOKUP($E77,'[1]All Projects'!$A$2:$J$70,10,0)</f>
        <v>#N/A</v>
      </c>
      <c r="O77" t="e">
        <f t="shared" si="5"/>
        <v>#N/A</v>
      </c>
      <c r="P77" t="e">
        <f>VLOOKUP($E77,'[1]All Projects'!$A$2:$J$70,5,0)</f>
        <v>#N/A</v>
      </c>
      <c r="Q77" t="e">
        <f>VLOOKUP($E77,'[1]All Projects'!$A$2:$J$70,7,0)</f>
        <v>#N/A</v>
      </c>
    </row>
    <row r="78" spans="1:17" x14ac:dyDescent="0.25">
      <c r="A78" s="66">
        <v>6003</v>
      </c>
      <c r="B78" s="62" t="s">
        <v>455</v>
      </c>
      <c r="C78" s="67" t="s">
        <v>452</v>
      </c>
      <c r="D78" s="63">
        <v>69</v>
      </c>
      <c r="E78" s="67">
        <v>72</v>
      </c>
      <c r="F78" s="68">
        <f t="shared" si="3"/>
        <v>43608</v>
      </c>
      <c r="G78" t="str">
        <f t="shared" si="4"/>
        <v>Thursday</v>
      </c>
      <c r="H78" s="82" t="s">
        <v>613</v>
      </c>
      <c r="I78" s="83" t="s">
        <v>601</v>
      </c>
      <c r="J78" s="20" t="s">
        <v>170</v>
      </c>
      <c r="K78" s="20" t="s">
        <v>170</v>
      </c>
      <c r="L78" t="s">
        <v>166</v>
      </c>
      <c r="M78" t="e">
        <f>VLOOKUP(E78,'[1]All Projects'!$A$2:$J$70,9,0)</f>
        <v>#N/A</v>
      </c>
      <c r="N78" t="e">
        <f>VLOOKUP($E78,'[1]All Projects'!$A$2:$J$70,10,0)</f>
        <v>#N/A</v>
      </c>
      <c r="O78" t="e">
        <f t="shared" si="5"/>
        <v>#N/A</v>
      </c>
      <c r="P78" t="e">
        <f>VLOOKUP($E78,'[1]All Projects'!$A$2:$J$70,5,0)</f>
        <v>#N/A</v>
      </c>
      <c r="Q78" t="e">
        <f>VLOOKUP($E78,'[1]All Projects'!$A$2:$J$70,7,0)</f>
        <v>#N/A</v>
      </c>
    </row>
    <row r="79" spans="1:17" x14ac:dyDescent="0.25">
      <c r="A79" s="66">
        <v>6004</v>
      </c>
      <c r="B79" s="62" t="s">
        <v>456</v>
      </c>
      <c r="C79" s="67" t="s">
        <v>452</v>
      </c>
      <c r="D79" s="63">
        <v>70</v>
      </c>
      <c r="E79" s="67">
        <v>73</v>
      </c>
      <c r="F79" s="68">
        <f t="shared" si="3"/>
        <v>43635</v>
      </c>
      <c r="G79" t="str">
        <f t="shared" si="4"/>
        <v>Wednesday</v>
      </c>
      <c r="H79" s="20" t="s">
        <v>161</v>
      </c>
      <c r="I79" s="83" t="s">
        <v>601</v>
      </c>
      <c r="J79" s="20" t="s">
        <v>91</v>
      </c>
      <c r="K79" s="20" t="s">
        <v>551</v>
      </c>
      <c r="L79" t="s">
        <v>166</v>
      </c>
      <c r="M79" t="e">
        <f>VLOOKUP(E79,'[1]All Projects'!$A$2:$J$70,9,0)</f>
        <v>#N/A</v>
      </c>
      <c r="N79" t="e">
        <f>VLOOKUP($E79,'[1]All Projects'!$A$2:$J$70,10,0)</f>
        <v>#N/A</v>
      </c>
      <c r="O79" t="e">
        <f t="shared" si="5"/>
        <v>#N/A</v>
      </c>
      <c r="P79" t="e">
        <f>VLOOKUP($E79,'[1]All Projects'!$A$2:$J$70,5,0)</f>
        <v>#N/A</v>
      </c>
      <c r="Q79" t="e">
        <f>VLOOKUP($E79,'[1]All Projects'!$A$2:$J$70,7,0)</f>
        <v>#N/A</v>
      </c>
    </row>
    <row r="80" spans="1:17" x14ac:dyDescent="0.25">
      <c r="A80" s="66">
        <v>6005</v>
      </c>
      <c r="B80" s="62" t="s">
        <v>459</v>
      </c>
      <c r="C80" s="67" t="s">
        <v>452</v>
      </c>
      <c r="D80" s="63">
        <v>71</v>
      </c>
      <c r="E80" s="67">
        <v>74</v>
      </c>
      <c r="F80" s="68">
        <f t="shared" si="3"/>
        <v>43609</v>
      </c>
      <c r="G80" t="str">
        <f t="shared" si="4"/>
        <v>Friday</v>
      </c>
      <c r="H80" s="20" t="s">
        <v>161</v>
      </c>
      <c r="I80" s="83" t="s">
        <v>601</v>
      </c>
      <c r="J80" s="20" t="s">
        <v>91</v>
      </c>
      <c r="K80" s="20" t="s">
        <v>551</v>
      </c>
      <c r="L80" t="s">
        <v>166</v>
      </c>
      <c r="M80" t="e">
        <f>VLOOKUP(E80,'[1]All Projects'!$A$2:$J$70,9,0)</f>
        <v>#N/A</v>
      </c>
      <c r="N80" t="e">
        <f>VLOOKUP($E80,'[1]All Projects'!$A$2:$J$70,10,0)</f>
        <v>#N/A</v>
      </c>
      <c r="O80" t="e">
        <f t="shared" si="5"/>
        <v>#N/A</v>
      </c>
      <c r="P80" t="e">
        <f>VLOOKUP($E80,'[1]All Projects'!$A$2:$J$70,5,0)</f>
        <v>#N/A</v>
      </c>
      <c r="Q80" t="e">
        <f>VLOOKUP($E80,'[1]All Projects'!$A$2:$J$70,7,0)</f>
        <v>#N/A</v>
      </c>
    </row>
    <row r="81" spans="1:17" x14ac:dyDescent="0.25">
      <c r="A81" s="66">
        <v>6100</v>
      </c>
      <c r="B81" s="62" t="s">
        <v>460</v>
      </c>
      <c r="C81" s="67" t="s">
        <v>452</v>
      </c>
      <c r="D81" s="63">
        <v>72</v>
      </c>
      <c r="E81" s="67">
        <v>75</v>
      </c>
      <c r="F81" s="68">
        <f t="shared" si="3"/>
        <v>43629</v>
      </c>
      <c r="G81" t="str">
        <f t="shared" si="4"/>
        <v>Thursday</v>
      </c>
      <c r="H81" s="20" t="s">
        <v>161</v>
      </c>
      <c r="I81" s="83" t="s">
        <v>601</v>
      </c>
      <c r="J81" s="20" t="s">
        <v>91</v>
      </c>
      <c r="K81" s="20" t="s">
        <v>262</v>
      </c>
      <c r="L81" t="s">
        <v>166</v>
      </c>
      <c r="M81" t="e">
        <f>VLOOKUP(E81,'[1]All Projects'!$A$2:$J$70,9,0)</f>
        <v>#N/A</v>
      </c>
      <c r="N81" t="e">
        <f>VLOOKUP($E81,'[1]All Projects'!$A$2:$J$70,10,0)</f>
        <v>#N/A</v>
      </c>
      <c r="O81" t="e">
        <f t="shared" si="5"/>
        <v>#N/A</v>
      </c>
      <c r="P81" t="e">
        <f>VLOOKUP($E81,'[1]All Projects'!$A$2:$J$70,5,0)</f>
        <v>#N/A</v>
      </c>
      <c r="Q81" t="e">
        <f>VLOOKUP($E81,'[1]All Projects'!$A$2:$J$70,7,0)</f>
        <v>#N/A</v>
      </c>
    </row>
    <row r="82" spans="1:17" x14ac:dyDescent="0.25">
      <c r="A82" s="66">
        <v>6101</v>
      </c>
      <c r="B82" s="62" t="s">
        <v>461</v>
      </c>
      <c r="C82" s="67" t="s">
        <v>452</v>
      </c>
      <c r="D82" s="63">
        <v>73</v>
      </c>
      <c r="E82" s="67">
        <v>76</v>
      </c>
      <c r="F82" s="68">
        <f t="shared" si="3"/>
        <v>43629</v>
      </c>
      <c r="G82" t="str">
        <f t="shared" si="4"/>
        <v>Thursday</v>
      </c>
      <c r="H82" s="20" t="s">
        <v>161</v>
      </c>
      <c r="I82" s="83" t="s">
        <v>601</v>
      </c>
      <c r="J82" s="20" t="s">
        <v>91</v>
      </c>
      <c r="K82" s="20" t="s">
        <v>262</v>
      </c>
      <c r="L82" t="s">
        <v>166</v>
      </c>
      <c r="M82" t="e">
        <f>VLOOKUP(E82,'[1]All Projects'!$A$2:$J$70,9,0)</f>
        <v>#N/A</v>
      </c>
      <c r="N82" t="e">
        <f>VLOOKUP($E82,'[1]All Projects'!$A$2:$J$70,10,0)</f>
        <v>#N/A</v>
      </c>
      <c r="O82" t="e">
        <f t="shared" si="5"/>
        <v>#N/A</v>
      </c>
      <c r="P82" t="e">
        <f>VLOOKUP($E82,'[1]All Projects'!$A$2:$J$70,5,0)</f>
        <v>#N/A</v>
      </c>
      <c r="Q82" t="e">
        <f>VLOOKUP($E82,'[1]All Projects'!$A$2:$J$70,7,0)</f>
        <v>#N/A</v>
      </c>
    </row>
    <row r="83" spans="1:17" x14ac:dyDescent="0.25">
      <c r="A83" s="66">
        <v>6102</v>
      </c>
      <c r="B83" s="62" t="s">
        <v>462</v>
      </c>
      <c r="C83" s="67" t="s">
        <v>452</v>
      </c>
      <c r="D83" s="63">
        <v>74</v>
      </c>
      <c r="E83" s="67">
        <v>77</v>
      </c>
      <c r="F83" s="68">
        <f t="shared" si="3"/>
        <v>43629</v>
      </c>
      <c r="G83" t="str">
        <f t="shared" si="4"/>
        <v>Thursday</v>
      </c>
      <c r="H83" s="20" t="s">
        <v>161</v>
      </c>
      <c r="I83" s="83" t="s">
        <v>601</v>
      </c>
      <c r="J83" s="20" t="s">
        <v>170</v>
      </c>
      <c r="K83" s="20" t="s">
        <v>170</v>
      </c>
      <c r="L83" t="s">
        <v>166</v>
      </c>
      <c r="M83" t="e">
        <f>VLOOKUP(E83,'[1]All Projects'!$A$2:$J$70,9,0)</f>
        <v>#N/A</v>
      </c>
      <c r="N83" t="e">
        <f>VLOOKUP($E83,'[1]All Projects'!$A$2:$J$70,10,0)</f>
        <v>#N/A</v>
      </c>
      <c r="O83" t="e">
        <f t="shared" si="5"/>
        <v>#N/A</v>
      </c>
      <c r="P83" t="e">
        <f>VLOOKUP($E83,'[1]All Projects'!$A$2:$J$70,5,0)</f>
        <v>#N/A</v>
      </c>
      <c r="Q83" t="e">
        <f>VLOOKUP($E83,'[1]All Projects'!$A$2:$J$70,7,0)</f>
        <v>#N/A</v>
      </c>
    </row>
    <row r="84" spans="1:17" x14ac:dyDescent="0.25">
      <c r="A84" s="66">
        <v>6103</v>
      </c>
      <c r="B84" s="62" t="s">
        <v>463</v>
      </c>
      <c r="C84" s="67" t="s">
        <v>452</v>
      </c>
      <c r="D84" s="63">
        <v>75</v>
      </c>
      <c r="E84" s="67">
        <v>78</v>
      </c>
      <c r="F84" s="68">
        <f t="shared" si="3"/>
        <v>43629</v>
      </c>
      <c r="G84" t="str">
        <f t="shared" si="4"/>
        <v>Thursday</v>
      </c>
      <c r="H84" s="20" t="s">
        <v>161</v>
      </c>
      <c r="I84" s="83" t="s">
        <v>601</v>
      </c>
      <c r="J84" s="20" t="s">
        <v>170</v>
      </c>
      <c r="K84" s="20" t="s">
        <v>170</v>
      </c>
      <c r="L84" t="s">
        <v>166</v>
      </c>
      <c r="M84" t="e">
        <f>VLOOKUP(E84,'[1]All Projects'!$A$2:$J$70,9,0)</f>
        <v>#N/A</v>
      </c>
      <c r="N84" t="e">
        <f>VLOOKUP($E84,'[1]All Projects'!$A$2:$J$70,10,0)</f>
        <v>#N/A</v>
      </c>
      <c r="O84" t="e">
        <f t="shared" si="5"/>
        <v>#N/A</v>
      </c>
      <c r="P84" t="e">
        <f>VLOOKUP($E84,'[1]All Projects'!$A$2:$J$70,5,0)</f>
        <v>#N/A</v>
      </c>
      <c r="Q84" t="e">
        <f>VLOOKUP($E84,'[1]All Projects'!$A$2:$J$70,7,0)</f>
        <v>#N/A</v>
      </c>
    </row>
    <row r="85" spans="1:17" x14ac:dyDescent="0.25">
      <c r="A85" s="66">
        <v>6104</v>
      </c>
      <c r="B85" s="62" t="s">
        <v>464</v>
      </c>
      <c r="C85" s="67" t="s">
        <v>452</v>
      </c>
      <c r="D85" s="63">
        <v>76</v>
      </c>
      <c r="E85" s="67">
        <v>79</v>
      </c>
      <c r="F85" s="68">
        <f t="shared" si="3"/>
        <v>43612</v>
      </c>
      <c r="G85" t="str">
        <f t="shared" si="4"/>
        <v>Monday</v>
      </c>
      <c r="H85" s="20" t="s">
        <v>161</v>
      </c>
      <c r="I85" s="83" t="s">
        <v>601</v>
      </c>
      <c r="J85" s="20" t="s">
        <v>170</v>
      </c>
      <c r="K85" s="20" t="s">
        <v>170</v>
      </c>
      <c r="L85" t="s">
        <v>166</v>
      </c>
      <c r="M85" t="e">
        <f>VLOOKUP(E85,'[1]All Projects'!$A$2:$J$70,9,0)</f>
        <v>#N/A</v>
      </c>
      <c r="N85" t="e">
        <f>VLOOKUP($E85,'[1]All Projects'!$A$2:$J$70,10,0)</f>
        <v>#N/A</v>
      </c>
      <c r="O85" t="e">
        <f t="shared" si="5"/>
        <v>#N/A</v>
      </c>
      <c r="P85" t="e">
        <f>VLOOKUP($E85,'[1]All Projects'!$A$2:$J$70,5,0)</f>
        <v>#N/A</v>
      </c>
      <c r="Q85" t="e">
        <f>VLOOKUP($E85,'[1]All Projects'!$A$2:$J$70,7,0)</f>
        <v>#N/A</v>
      </c>
    </row>
    <row r="86" spans="1:17" x14ac:dyDescent="0.25">
      <c r="A86" s="66">
        <v>6105</v>
      </c>
      <c r="B86" s="62" t="s">
        <v>465</v>
      </c>
      <c r="C86" s="67" t="s">
        <v>452</v>
      </c>
      <c r="D86" s="63">
        <v>77</v>
      </c>
      <c r="E86" s="67">
        <v>80</v>
      </c>
      <c r="F86" s="68">
        <f t="shared" si="3"/>
        <v>43613</v>
      </c>
      <c r="G86" t="str">
        <f t="shared" si="4"/>
        <v>Tuesday</v>
      </c>
      <c r="H86" s="20" t="s">
        <v>161</v>
      </c>
      <c r="I86" s="83" t="s">
        <v>601</v>
      </c>
      <c r="J86" s="20" t="s">
        <v>170</v>
      </c>
      <c r="K86" s="20" t="s">
        <v>170</v>
      </c>
      <c r="L86" t="s">
        <v>166</v>
      </c>
      <c r="M86" t="e">
        <f>VLOOKUP(E86,'[1]All Projects'!$A$2:$J$70,9,0)</f>
        <v>#N/A</v>
      </c>
      <c r="N86" t="e">
        <f>VLOOKUP($E86,'[1]All Projects'!$A$2:$J$70,10,0)</f>
        <v>#N/A</v>
      </c>
      <c r="O86" t="e">
        <f t="shared" si="5"/>
        <v>#N/A</v>
      </c>
      <c r="P86" t="e">
        <f>VLOOKUP($E86,'[1]All Projects'!$A$2:$J$70,5,0)</f>
        <v>#N/A</v>
      </c>
      <c r="Q86" t="e">
        <f>VLOOKUP($E86,'[1]All Projects'!$A$2:$J$70,7,0)</f>
        <v>#N/A</v>
      </c>
    </row>
    <row r="87" spans="1:17" x14ac:dyDescent="0.25">
      <c r="A87" s="66">
        <v>7000</v>
      </c>
      <c r="B87" s="62" t="s">
        <v>466</v>
      </c>
      <c r="C87" s="67" t="s">
        <v>62</v>
      </c>
      <c r="D87" s="63">
        <v>85</v>
      </c>
      <c r="E87" s="67">
        <v>88</v>
      </c>
      <c r="F87" s="68">
        <f t="shared" ref="F87:F93" si="6">F76+7</f>
        <v>43613</v>
      </c>
      <c r="G87" t="str">
        <f t="shared" si="4"/>
        <v>Tuesday</v>
      </c>
      <c r="H87" s="20" t="s">
        <v>613</v>
      </c>
      <c r="I87" s="81" t="s">
        <v>604</v>
      </c>
      <c r="J87" s="20" t="s">
        <v>170</v>
      </c>
      <c r="K87" s="20" t="s">
        <v>170</v>
      </c>
      <c r="L87" t="s">
        <v>166</v>
      </c>
      <c r="M87" t="e">
        <f>VLOOKUP(E87,'[1]All Projects'!$A$2:$J$70,9,0)</f>
        <v>#N/A</v>
      </c>
      <c r="N87" t="e">
        <f>VLOOKUP($E87,'[1]All Projects'!$A$2:$J$70,10,0)</f>
        <v>#N/A</v>
      </c>
      <c r="O87" t="e">
        <f t="shared" si="5"/>
        <v>#N/A</v>
      </c>
      <c r="P87" t="e">
        <f>VLOOKUP($E87,'[1]All Projects'!$A$2:$J$70,5,0)</f>
        <v>#N/A</v>
      </c>
      <c r="Q87" t="e">
        <f>VLOOKUP($E87,'[1]All Projects'!$A$2:$J$70,7,0)</f>
        <v>#N/A</v>
      </c>
    </row>
    <row r="88" spans="1:17" x14ac:dyDescent="0.25">
      <c r="A88" s="66">
        <v>7001</v>
      </c>
      <c r="B88" s="62" t="s">
        <v>467</v>
      </c>
      <c r="C88" s="67" t="s">
        <v>62</v>
      </c>
      <c r="D88" s="63">
        <v>86</v>
      </c>
      <c r="E88" s="67">
        <v>89</v>
      </c>
      <c r="F88" s="68">
        <f t="shared" si="6"/>
        <v>43641</v>
      </c>
      <c r="G88" t="str">
        <f t="shared" si="4"/>
        <v>Tuesday</v>
      </c>
      <c r="H88" s="20" t="s">
        <v>611</v>
      </c>
      <c r="I88" s="83" t="s">
        <v>609</v>
      </c>
      <c r="J88" s="20" t="s">
        <v>170</v>
      </c>
      <c r="K88" s="20" t="s">
        <v>170</v>
      </c>
      <c r="L88" t="s">
        <v>166</v>
      </c>
      <c r="M88" t="e">
        <f>VLOOKUP(E88,'[1]All Projects'!$A$2:$J$70,9,0)</f>
        <v>#N/A</v>
      </c>
      <c r="N88" t="e">
        <f>VLOOKUP($E88,'[1]All Projects'!$A$2:$J$70,10,0)</f>
        <v>#N/A</v>
      </c>
      <c r="O88" t="e">
        <f t="shared" si="5"/>
        <v>#N/A</v>
      </c>
      <c r="P88" t="e">
        <f>VLOOKUP($E88,'[1]All Projects'!$A$2:$J$70,5,0)</f>
        <v>#N/A</v>
      </c>
      <c r="Q88" t="e">
        <f>VLOOKUP($E88,'[1]All Projects'!$A$2:$J$70,7,0)</f>
        <v>#N/A</v>
      </c>
    </row>
    <row r="89" spans="1:17" x14ac:dyDescent="0.25">
      <c r="A89" s="66">
        <v>7002</v>
      </c>
      <c r="B89" s="62" t="s">
        <v>468</v>
      </c>
      <c r="C89" s="67" t="s">
        <v>62</v>
      </c>
      <c r="D89" s="63">
        <v>87</v>
      </c>
      <c r="E89" s="67">
        <v>90</v>
      </c>
      <c r="F89" s="68">
        <f t="shared" si="6"/>
        <v>43615</v>
      </c>
      <c r="G89" t="str">
        <f t="shared" si="4"/>
        <v>Thursday</v>
      </c>
      <c r="H89" s="20" t="s">
        <v>610</v>
      </c>
      <c r="I89" s="83" t="s">
        <v>601</v>
      </c>
      <c r="J89" s="20" t="s">
        <v>170</v>
      </c>
      <c r="K89" s="20" t="s">
        <v>170</v>
      </c>
      <c r="L89" t="s">
        <v>166</v>
      </c>
      <c r="M89" t="e">
        <f>VLOOKUP(E89,'[1]All Projects'!$A$2:$J$70,9,0)</f>
        <v>#N/A</v>
      </c>
      <c r="N89" t="e">
        <f>VLOOKUP($E89,'[1]All Projects'!$A$2:$J$70,10,0)</f>
        <v>#N/A</v>
      </c>
      <c r="O89" t="e">
        <f t="shared" si="5"/>
        <v>#N/A</v>
      </c>
      <c r="P89" t="e">
        <f>VLOOKUP($E89,'[1]All Projects'!$A$2:$J$70,5,0)</f>
        <v>#N/A</v>
      </c>
      <c r="Q89" t="e">
        <f>VLOOKUP($E89,'[1]All Projects'!$A$2:$J$70,7,0)</f>
        <v>#N/A</v>
      </c>
    </row>
    <row r="90" spans="1:17" x14ac:dyDescent="0.25">
      <c r="A90" s="66">
        <v>7003</v>
      </c>
      <c r="B90" s="62" t="s">
        <v>469</v>
      </c>
      <c r="C90" s="67" t="s">
        <v>62</v>
      </c>
      <c r="D90" s="63">
        <v>88</v>
      </c>
      <c r="E90" s="67">
        <v>91</v>
      </c>
      <c r="F90" s="68">
        <f t="shared" si="6"/>
        <v>43642</v>
      </c>
      <c r="G90" t="str">
        <f t="shared" si="4"/>
        <v>Wednesday</v>
      </c>
      <c r="H90" s="20" t="s">
        <v>612</v>
      </c>
      <c r="I90" s="83" t="s">
        <v>606</v>
      </c>
      <c r="J90" s="20" t="s">
        <v>170</v>
      </c>
      <c r="K90" s="20" t="s">
        <v>170</v>
      </c>
      <c r="L90" t="s">
        <v>166</v>
      </c>
      <c r="M90" t="e">
        <f>VLOOKUP(E90,'[1]All Projects'!$A$2:$J$70,9,0)</f>
        <v>#N/A</v>
      </c>
      <c r="N90" t="e">
        <f>VLOOKUP($E90,'[1]All Projects'!$A$2:$J$70,10,0)</f>
        <v>#N/A</v>
      </c>
      <c r="O90" t="e">
        <f t="shared" si="5"/>
        <v>#N/A</v>
      </c>
      <c r="P90" t="e">
        <f>VLOOKUP($E90,'[1]All Projects'!$A$2:$J$70,5,0)</f>
        <v>#N/A</v>
      </c>
      <c r="Q90" t="e">
        <f>VLOOKUP($E90,'[1]All Projects'!$A$2:$J$70,7,0)</f>
        <v>#N/A</v>
      </c>
    </row>
    <row r="91" spans="1:17" x14ac:dyDescent="0.25">
      <c r="A91" s="66">
        <v>7004</v>
      </c>
      <c r="B91" s="62" t="s">
        <v>470</v>
      </c>
      <c r="C91" s="67" t="s">
        <v>62</v>
      </c>
      <c r="D91" s="63">
        <v>89</v>
      </c>
      <c r="E91" s="67">
        <v>92</v>
      </c>
      <c r="F91" s="68">
        <f t="shared" si="6"/>
        <v>43616</v>
      </c>
      <c r="G91" t="str">
        <f t="shared" si="4"/>
        <v>Friday</v>
      </c>
      <c r="H91" s="20" t="s">
        <v>614</v>
      </c>
      <c r="I91" s="83" t="s">
        <v>601</v>
      </c>
      <c r="J91" s="20" t="s">
        <v>170</v>
      </c>
      <c r="K91" s="20" t="s">
        <v>170</v>
      </c>
      <c r="L91" t="s">
        <v>166</v>
      </c>
      <c r="M91" t="e">
        <f>VLOOKUP(E91,'[1]All Projects'!$A$2:$J$70,9,0)</f>
        <v>#N/A</v>
      </c>
      <c r="N91" t="e">
        <f>VLOOKUP($E91,'[1]All Projects'!$A$2:$J$70,10,0)</f>
        <v>#N/A</v>
      </c>
      <c r="O91" t="e">
        <f t="shared" si="5"/>
        <v>#N/A</v>
      </c>
      <c r="P91" t="e">
        <f>VLOOKUP($E91,'[1]All Projects'!$A$2:$J$70,5,0)</f>
        <v>#N/A</v>
      </c>
      <c r="Q91" t="e">
        <f>VLOOKUP($E91,'[1]All Projects'!$A$2:$J$70,7,0)</f>
        <v>#N/A</v>
      </c>
    </row>
    <row r="92" spans="1:17" x14ac:dyDescent="0.25">
      <c r="A92" s="66">
        <v>7005</v>
      </c>
      <c r="B92" s="62" t="s">
        <v>471</v>
      </c>
      <c r="C92" s="67" t="s">
        <v>62</v>
      </c>
      <c r="D92" s="63">
        <v>90</v>
      </c>
      <c r="E92" s="67">
        <v>93</v>
      </c>
      <c r="F92" s="68">
        <f t="shared" si="6"/>
        <v>43636</v>
      </c>
      <c r="G92" t="str">
        <f t="shared" si="4"/>
        <v>Thursday</v>
      </c>
      <c r="H92" s="82" t="s">
        <v>613</v>
      </c>
      <c r="I92" s="81" t="s">
        <v>601</v>
      </c>
      <c r="J92" s="20" t="s">
        <v>170</v>
      </c>
      <c r="K92" s="20" t="s">
        <v>170</v>
      </c>
      <c r="L92" t="s">
        <v>166</v>
      </c>
      <c r="M92" t="e">
        <f>VLOOKUP(E92,'[1]All Projects'!$A$2:$J$70,9,0)</f>
        <v>#N/A</v>
      </c>
      <c r="N92" t="e">
        <f>VLOOKUP($E92,'[1]All Projects'!$A$2:$J$70,10,0)</f>
        <v>#N/A</v>
      </c>
      <c r="O92" t="e">
        <f t="shared" si="5"/>
        <v>#N/A</v>
      </c>
      <c r="P92" t="e">
        <f>VLOOKUP($E92,'[1]All Projects'!$A$2:$J$70,5,0)</f>
        <v>#N/A</v>
      </c>
      <c r="Q92" t="e">
        <f>VLOOKUP($E92,'[1]All Projects'!$A$2:$J$70,7,0)</f>
        <v>#N/A</v>
      </c>
    </row>
    <row r="93" spans="1:17" x14ac:dyDescent="0.25">
      <c r="A93" s="66">
        <v>7006</v>
      </c>
      <c r="B93" s="62" t="s">
        <v>472</v>
      </c>
      <c r="C93" s="67" t="s">
        <v>62</v>
      </c>
      <c r="D93" s="63">
        <v>91</v>
      </c>
      <c r="E93" s="67">
        <v>94</v>
      </c>
      <c r="F93" s="68">
        <f t="shared" si="6"/>
        <v>43636</v>
      </c>
      <c r="G93" t="str">
        <f t="shared" si="4"/>
        <v>Thursday</v>
      </c>
      <c r="H93" s="20" t="s">
        <v>612</v>
      </c>
      <c r="I93" s="83" t="s">
        <v>606</v>
      </c>
      <c r="J93" s="20" t="s">
        <v>170</v>
      </c>
      <c r="K93" s="20" t="s">
        <v>170</v>
      </c>
      <c r="L93" t="s">
        <v>166</v>
      </c>
      <c r="M93" t="e">
        <f>VLOOKUP(E93,'[1]All Projects'!$A$2:$J$70,9,0)</f>
        <v>#N/A</v>
      </c>
      <c r="N93" t="e">
        <f>VLOOKUP($E93,'[1]All Projects'!$A$2:$J$70,10,0)</f>
        <v>#N/A</v>
      </c>
      <c r="O93" t="e">
        <f t="shared" si="5"/>
        <v>#N/A</v>
      </c>
      <c r="P93" t="e">
        <f>VLOOKUP($E93,'[1]All Projects'!$A$2:$J$70,5,0)</f>
        <v>#N/A</v>
      </c>
      <c r="Q93" t="e">
        <f>VLOOKUP($E93,'[1]All Projects'!$A$2:$J$70,7,0)</f>
        <v>#N/A</v>
      </c>
    </row>
    <row r="94" spans="1:17" x14ac:dyDescent="0.25">
      <c r="A94" s="66" t="s">
        <v>473</v>
      </c>
      <c r="B94" s="69" t="s">
        <v>474</v>
      </c>
      <c r="H94" s="20" t="s">
        <v>161</v>
      </c>
      <c r="I94" s="83" t="s">
        <v>601</v>
      </c>
      <c r="J94" s="20" t="s">
        <v>170</v>
      </c>
      <c r="K94" s="20" t="s">
        <v>170</v>
      </c>
      <c r="L94" t="s">
        <v>166</v>
      </c>
      <c r="M94" t="e">
        <f>VLOOKUP(E94,'[1]All Projects'!$A$2:$J$70,9,0)</f>
        <v>#N/A</v>
      </c>
      <c r="N94" t="e">
        <f>VLOOKUP($E94,'[1]All Projects'!$A$2:$J$70,10,0)</f>
        <v>#N/A</v>
      </c>
      <c r="O94" t="e">
        <f t="shared" si="5"/>
        <v>#N/A</v>
      </c>
      <c r="P94" t="e">
        <f>VLOOKUP($E94,'[1]All Projects'!$A$2:$J$70,5,0)</f>
        <v>#N/A</v>
      </c>
      <c r="Q94" t="e">
        <f>VLOOKUP($E94,'[1]All Projects'!$A$2:$J$70,7,0)</f>
        <v>#N/A</v>
      </c>
    </row>
    <row r="95" spans="1:17" x14ac:dyDescent="0.25">
      <c r="A95" s="66" t="s">
        <v>473</v>
      </c>
      <c r="B95" s="69" t="s">
        <v>475</v>
      </c>
      <c r="H95" s="20" t="s">
        <v>161</v>
      </c>
      <c r="I95" s="83" t="s">
        <v>601</v>
      </c>
      <c r="J95" s="20" t="s">
        <v>170</v>
      </c>
      <c r="K95" s="20" t="s">
        <v>170</v>
      </c>
      <c r="L95" t="s">
        <v>166</v>
      </c>
      <c r="M95" t="e">
        <f>VLOOKUP(E95,'[1]All Projects'!$A$2:$J$70,9,0)</f>
        <v>#N/A</v>
      </c>
      <c r="N95" t="e">
        <f>VLOOKUP($E95,'[1]All Projects'!$A$2:$J$70,10,0)</f>
        <v>#N/A</v>
      </c>
      <c r="O95" t="e">
        <f t="shared" si="5"/>
        <v>#N/A</v>
      </c>
      <c r="P95" t="e">
        <f>VLOOKUP($E95,'[1]All Projects'!$A$2:$J$70,5,0)</f>
        <v>#N/A</v>
      </c>
      <c r="Q95" t="e">
        <f>VLOOKUP($E95,'[1]All Projects'!$A$2:$J$70,7,0)</f>
        <v>#N/A</v>
      </c>
    </row>
  </sheetData>
  <autoFilter ref="A1:K95">
    <sortState ref="A2:K95">
      <sortCondition ref="A1"/>
    </sortState>
  </autoFilter>
  <hyperlinks>
    <hyperlink ref="W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234</v>
      </c>
    </row>
    <row r="4" spans="1:6" x14ac:dyDescent="0.25">
      <c r="A4" t="s">
        <v>235</v>
      </c>
    </row>
    <row r="5" spans="1:6" x14ac:dyDescent="0.25">
      <c r="B5" s="55">
        <v>2000</v>
      </c>
      <c r="C5">
        <v>180.2</v>
      </c>
    </row>
    <row r="6" spans="1:6" x14ac:dyDescent="0.25">
      <c r="B6" s="55">
        <v>2019</v>
      </c>
      <c r="C6">
        <v>291.22699999999998</v>
      </c>
    </row>
    <row r="7" spans="1:6" x14ac:dyDescent="0.25">
      <c r="B7" s="4" t="s">
        <v>514</v>
      </c>
      <c r="C7" s="12">
        <f>C6/C5</f>
        <v>1.6161320754716981</v>
      </c>
    </row>
    <row r="9" spans="1:6" x14ac:dyDescent="0.25">
      <c r="A9" s="22" t="s">
        <v>119</v>
      </c>
      <c r="C9" s="22" t="s">
        <v>149</v>
      </c>
      <c r="D9" s="22" t="s">
        <v>138</v>
      </c>
      <c r="E9" s="22" t="s">
        <v>137</v>
      </c>
      <c r="F9" s="22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1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1">
        <v>128.50499737348974</v>
      </c>
    </row>
    <row r="20" spans="1:3" x14ac:dyDescent="0.25">
      <c r="A20" s="2" t="s">
        <v>130</v>
      </c>
      <c r="B20" s="4" t="s">
        <v>121</v>
      </c>
      <c r="C20" s="21">
        <v>37342.940308177196</v>
      </c>
    </row>
    <row r="21" spans="1:3" x14ac:dyDescent="0.25">
      <c r="A21" s="2" t="s">
        <v>130</v>
      </c>
      <c r="B21" s="4" t="s">
        <v>122</v>
      </c>
      <c r="C21" s="21">
        <v>5829.6394046576779</v>
      </c>
    </row>
    <row r="22" spans="1:3" x14ac:dyDescent="0.25">
      <c r="A22" s="2" t="s">
        <v>130</v>
      </c>
      <c r="B22" s="4" t="s">
        <v>123</v>
      </c>
      <c r="C22" s="21">
        <v>5213.6313220101556</v>
      </c>
    </row>
    <row r="23" spans="1:3" x14ac:dyDescent="0.25">
      <c r="A23" s="2" t="s">
        <v>130</v>
      </c>
      <c r="B23" s="4" t="s">
        <v>124</v>
      </c>
      <c r="C23" s="21">
        <v>1603.2528243740148</v>
      </c>
    </row>
    <row r="24" spans="1:3" x14ac:dyDescent="0.25">
      <c r="A24" s="2" t="s">
        <v>23</v>
      </c>
      <c r="B24" s="4" t="s">
        <v>78</v>
      </c>
      <c r="C24" s="21">
        <v>698480.05430525239</v>
      </c>
    </row>
    <row r="25" spans="1:3" x14ac:dyDescent="0.25">
      <c r="A25" s="2" t="s">
        <v>23</v>
      </c>
      <c r="B25" s="4" t="s">
        <v>79</v>
      </c>
      <c r="C25" s="21">
        <v>693265.66356923722</v>
      </c>
    </row>
    <row r="26" spans="1:3" x14ac:dyDescent="0.25">
      <c r="A26" s="2" t="s">
        <v>131</v>
      </c>
      <c r="B26" s="4" t="s">
        <v>80</v>
      </c>
      <c r="C26" s="21">
        <v>7449.1296228786232</v>
      </c>
    </row>
    <row r="27" spans="1:3" x14ac:dyDescent="0.25">
      <c r="A27" s="2" t="s">
        <v>131</v>
      </c>
      <c r="B27" s="4" t="s">
        <v>73</v>
      </c>
      <c r="C27" s="21">
        <v>4966.0864152524155</v>
      </c>
    </row>
    <row r="28" spans="1:3" x14ac:dyDescent="0.25">
      <c r="A28" s="2" t="s">
        <v>131</v>
      </c>
      <c r="B28" s="4" t="s">
        <v>74</v>
      </c>
      <c r="C28" s="21">
        <v>15643.172208045109</v>
      </c>
    </row>
    <row r="29" spans="1:3" x14ac:dyDescent="0.25">
      <c r="A29" s="2" t="s">
        <v>131</v>
      </c>
      <c r="B29" s="4" t="s">
        <v>75</v>
      </c>
      <c r="C29" s="21">
        <v>44322.321256127812</v>
      </c>
    </row>
    <row r="30" spans="1:3" x14ac:dyDescent="0.25">
      <c r="A30" s="2" t="s">
        <v>131</v>
      </c>
      <c r="B30" s="4" t="s">
        <v>76</v>
      </c>
      <c r="C30" s="21">
        <v>5835.1515379215889</v>
      </c>
    </row>
    <row r="31" spans="1:3" x14ac:dyDescent="0.25">
      <c r="A31" s="2" t="s">
        <v>131</v>
      </c>
      <c r="B31" s="4" t="s">
        <v>77</v>
      </c>
      <c r="C31" s="21">
        <v>4221.1734529645528</v>
      </c>
    </row>
    <row r="32" spans="1:3" x14ac:dyDescent="0.25">
      <c r="A32" s="2" t="s">
        <v>131</v>
      </c>
      <c r="B32" s="4" t="s">
        <v>81</v>
      </c>
      <c r="C32" s="21">
        <v>23216.453991305043</v>
      </c>
    </row>
    <row r="33" spans="1:3" x14ac:dyDescent="0.25">
      <c r="A33" s="2" t="s">
        <v>38</v>
      </c>
      <c r="B33" s="4" t="s">
        <v>82</v>
      </c>
      <c r="C33" s="21">
        <v>10496873.216592077</v>
      </c>
    </row>
    <row r="34" spans="1:3" x14ac:dyDescent="0.25">
      <c r="A34" s="2" t="s">
        <v>40</v>
      </c>
      <c r="B34" s="4" t="s">
        <v>83</v>
      </c>
      <c r="C34" s="21">
        <v>113715.19696294244</v>
      </c>
    </row>
    <row r="35" spans="1:3" x14ac:dyDescent="0.25">
      <c r="A35" s="2" t="s">
        <v>41</v>
      </c>
      <c r="B35" s="4" t="s">
        <v>84</v>
      </c>
      <c r="C35" s="21">
        <v>3499.2114760987565</v>
      </c>
    </row>
    <row r="36" spans="1:3" x14ac:dyDescent="0.25">
      <c r="A36" s="2" t="s">
        <v>46</v>
      </c>
      <c r="B36" s="4" t="s">
        <v>85</v>
      </c>
      <c r="C36" s="21">
        <v>1420.6941376291365</v>
      </c>
    </row>
    <row r="37" spans="1:3" x14ac:dyDescent="0.25">
      <c r="A37" s="2" t="s">
        <v>48</v>
      </c>
      <c r="B37" s="4" t="s">
        <v>86</v>
      </c>
      <c r="C37" s="21">
        <v>1.7337975836105757E-3</v>
      </c>
    </row>
    <row r="38" spans="1:3" x14ac:dyDescent="0.25">
      <c r="A38" s="2" t="s">
        <v>48</v>
      </c>
      <c r="B38" s="4" t="s">
        <v>87</v>
      </c>
      <c r="C38" s="21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228</v>
      </c>
    </row>
    <row r="15" spans="5:7" x14ac:dyDescent="0.25">
      <c r="E15" t="s">
        <v>229</v>
      </c>
      <c r="F15" t="s">
        <v>230</v>
      </c>
      <c r="G15">
        <v>12.1</v>
      </c>
    </row>
    <row r="16" spans="5:7" x14ac:dyDescent="0.25">
      <c r="E16" t="s">
        <v>231</v>
      </c>
      <c r="F16" t="s">
        <v>232</v>
      </c>
      <c r="G16">
        <v>10.199999999999999</v>
      </c>
    </row>
    <row r="17" spans="5:7" x14ac:dyDescent="0.25">
      <c r="E17" t="s">
        <v>231</v>
      </c>
      <c r="F17" t="s">
        <v>230</v>
      </c>
      <c r="G17">
        <v>6</v>
      </c>
    </row>
    <row r="18" spans="5:7" x14ac:dyDescent="0.25">
      <c r="E18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528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39" t="s">
        <v>186</v>
      </c>
      <c r="E2" s="39" t="s">
        <v>175</v>
      </c>
      <c r="F2" s="39" t="s">
        <v>187</v>
      </c>
      <c r="G2" s="38" t="s">
        <v>183</v>
      </c>
      <c r="H2" s="38" t="s">
        <v>171</v>
      </c>
      <c r="I2" s="38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4">
        <f t="shared" ref="C4" si="0">SUM(C5:C10)</f>
        <v>8627516.7399486322</v>
      </c>
      <c r="D4" s="34">
        <f t="shared" ref="D4:I4" si="1">SUM(D5:D10)</f>
        <v>11992189.769539434</v>
      </c>
      <c r="E4" s="34">
        <f t="shared" si="1"/>
        <v>24985164.785365</v>
      </c>
      <c r="F4" s="34">
        <f t="shared" si="1"/>
        <v>12345001.490851332</v>
      </c>
      <c r="G4" s="34">
        <f t="shared" si="1"/>
        <v>14653772.088865299</v>
      </c>
      <c r="H4" s="34">
        <f t="shared" si="1"/>
        <v>25530208.167915002</v>
      </c>
      <c r="I4" s="34">
        <f t="shared" si="1"/>
        <v>10726416.174331665</v>
      </c>
    </row>
    <row r="5" spans="2:9" x14ac:dyDescent="0.25">
      <c r="B5" s="3" t="s">
        <v>16</v>
      </c>
      <c r="C5" s="35">
        <v>357912.08010499942</v>
      </c>
      <c r="D5" s="35">
        <v>641975.14433333336</v>
      </c>
      <c r="E5" s="35">
        <v>536444.24549999996</v>
      </c>
      <c r="F5" s="35">
        <v>744899.67700000003</v>
      </c>
      <c r="G5" s="35">
        <v>895739.81733333319</v>
      </c>
      <c r="H5" s="35">
        <v>574186.1976666667</v>
      </c>
      <c r="I5" s="35">
        <v>1633190.8833333331</v>
      </c>
    </row>
    <row r="6" spans="2:9" x14ac:dyDescent="0.25">
      <c r="B6" s="3" t="s">
        <v>17</v>
      </c>
      <c r="C6" s="35">
        <v>1933129.2165999999</v>
      </c>
      <c r="D6" s="35">
        <v>138860.13716666671</v>
      </c>
      <c r="E6" s="35">
        <v>136398.6223333333</v>
      </c>
      <c r="F6" s="35">
        <v>144518.85466666671</v>
      </c>
      <c r="G6" s="35">
        <v>427946.07966666669</v>
      </c>
      <c r="H6" s="35">
        <v>218262.94450000001</v>
      </c>
      <c r="I6" s="35">
        <v>716039.19666666666</v>
      </c>
    </row>
    <row r="7" spans="2:9" x14ac:dyDescent="0.25">
      <c r="B7" s="3" t="s">
        <v>12</v>
      </c>
      <c r="C7" s="35">
        <v>486549.17800000001</v>
      </c>
      <c r="D7" s="35">
        <v>361434.48907833378</v>
      </c>
      <c r="E7" s="35">
        <v>440548.02209166589</v>
      </c>
      <c r="F7" s="35">
        <v>495894.03843666578</v>
      </c>
      <c r="G7" s="35">
        <v>401639.83753999899</v>
      </c>
      <c r="H7" s="35">
        <v>489634.50630833441</v>
      </c>
      <c r="I7" s="35">
        <v>684297.00965166593</v>
      </c>
    </row>
    <row r="8" spans="2:9" x14ac:dyDescent="0.25">
      <c r="B8" s="3" t="s">
        <v>13</v>
      </c>
      <c r="C8" s="35">
        <v>5501144.4649103004</v>
      </c>
      <c r="D8" s="35">
        <v>4789305.6289999997</v>
      </c>
      <c r="E8" s="35">
        <v>8675027.3210000005</v>
      </c>
      <c r="F8" s="35">
        <v>4502247.8219999997</v>
      </c>
      <c r="G8" s="35">
        <v>5857454.739000001</v>
      </c>
      <c r="H8" s="35">
        <v>8779501.3460000008</v>
      </c>
      <c r="I8" s="35">
        <v>3816993.6919</v>
      </c>
    </row>
    <row r="9" spans="2:9" x14ac:dyDescent="0.25">
      <c r="B9" s="3" t="s">
        <v>14</v>
      </c>
      <c r="C9" s="35">
        <v>242947.90633333329</v>
      </c>
      <c r="D9" s="35">
        <v>604934.94900000002</v>
      </c>
      <c r="E9" s="35">
        <v>1304942.037</v>
      </c>
      <c r="F9" s="35">
        <v>526533.7855</v>
      </c>
      <c r="G9" s="35">
        <v>1589718.52</v>
      </c>
      <c r="H9" s="35">
        <v>1648927.3370000001</v>
      </c>
      <c r="I9" s="35">
        <v>885552.41500000004</v>
      </c>
    </row>
    <row r="10" spans="2:9" x14ac:dyDescent="0.25">
      <c r="B10" s="3" t="s">
        <v>15</v>
      </c>
      <c r="C10" s="35">
        <v>105833.894</v>
      </c>
      <c r="D10" s="35">
        <v>5455679.4209610997</v>
      </c>
      <c r="E10" s="35">
        <v>13891804.53744</v>
      </c>
      <c r="F10" s="35">
        <v>5930907.3132480001</v>
      </c>
      <c r="G10" s="35">
        <v>5481273.0953252995</v>
      </c>
      <c r="H10" s="35">
        <v>13819695.836440001</v>
      </c>
      <c r="I10" s="35">
        <v>2990342.9777799998</v>
      </c>
    </row>
    <row r="11" spans="2:9" x14ac:dyDescent="0.25">
      <c r="B11" s="2" t="s">
        <v>128</v>
      </c>
      <c r="C11" s="34">
        <f t="shared" ref="C11" si="2">SUM(C12:C14)</f>
        <v>3092529.4950000001</v>
      </c>
      <c r="D11" s="34">
        <f t="shared" ref="D11:I11" si="3">SUM(D12:D14)</f>
        <v>3275325.0094999997</v>
      </c>
      <c r="E11" s="34">
        <f t="shared" si="3"/>
        <v>4600048.1438999996</v>
      </c>
      <c r="F11" s="34">
        <f t="shared" si="3"/>
        <v>4056364.8113000002</v>
      </c>
      <c r="G11" s="34">
        <f t="shared" si="3"/>
        <v>4372809.3485999992</v>
      </c>
      <c r="H11" s="34">
        <f t="shared" si="3"/>
        <v>6214228.9326999988</v>
      </c>
      <c r="I11" s="34">
        <f t="shared" si="3"/>
        <v>6330505.9200999998</v>
      </c>
    </row>
    <row r="12" spans="2:9" x14ac:dyDescent="0.25">
      <c r="B12" s="3" t="s">
        <v>6</v>
      </c>
      <c r="C12" s="35">
        <v>2229240.54</v>
      </c>
      <c r="D12" s="35">
        <v>2397310.13</v>
      </c>
      <c r="E12" s="35">
        <v>3775267.67</v>
      </c>
      <c r="F12" s="35">
        <v>2939904.6</v>
      </c>
      <c r="G12" s="35">
        <v>3852591.59</v>
      </c>
      <c r="H12" s="35">
        <v>5738204.129999999</v>
      </c>
      <c r="I12" s="35">
        <v>5524607.54</v>
      </c>
    </row>
    <row r="13" spans="2:9" x14ac:dyDescent="0.25">
      <c r="B13" s="3" t="s">
        <v>7</v>
      </c>
      <c r="C13" s="35">
        <v>861167.755</v>
      </c>
      <c r="D13" s="35">
        <v>867980.75949999993</v>
      </c>
      <c r="E13" s="35">
        <v>818622.66390000004</v>
      </c>
      <c r="F13" s="35">
        <v>1095459.6913000001</v>
      </c>
      <c r="G13" s="35">
        <v>511564.20860000001</v>
      </c>
      <c r="H13" s="35">
        <v>468791.45270000002</v>
      </c>
      <c r="I13" s="35">
        <v>744299.83010000002</v>
      </c>
    </row>
    <row r="14" spans="2:9" x14ac:dyDescent="0.25">
      <c r="B14" s="3" t="s">
        <v>8</v>
      </c>
      <c r="C14" s="35">
        <v>2121.1999999999998</v>
      </c>
      <c r="D14" s="35">
        <v>10034.120000000001</v>
      </c>
      <c r="E14" s="35">
        <v>6157.81</v>
      </c>
      <c r="F14" s="35">
        <v>21000.52</v>
      </c>
      <c r="G14" s="35">
        <v>8653.5499999999993</v>
      </c>
      <c r="H14" s="35">
        <v>7233.35</v>
      </c>
      <c r="I14" s="35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4">
        <f t="shared" ref="C16" si="4">SUM(C17:C18)</f>
        <v>106053.53460375455</v>
      </c>
      <c r="D16" s="34">
        <f t="shared" ref="D16:I16" si="5">SUM(D17:D18)</f>
        <v>144142.08280210983</v>
      </c>
      <c r="E16" s="34">
        <f t="shared" si="5"/>
        <v>183290.22213351901</v>
      </c>
      <c r="F16" s="34">
        <f t="shared" si="5"/>
        <v>434082.24791135546</v>
      </c>
      <c r="G16" s="34">
        <f t="shared" si="5"/>
        <v>302657.69833644666</v>
      </c>
      <c r="H16" s="34">
        <f t="shared" si="5"/>
        <v>116373.04326123695</v>
      </c>
      <c r="I16" s="34">
        <f t="shared" si="5"/>
        <v>1141032.791727361</v>
      </c>
    </row>
    <row r="17" spans="2:9" x14ac:dyDescent="0.25">
      <c r="B17" s="3" t="s">
        <v>9</v>
      </c>
      <c r="C17" s="35">
        <v>99787.268858292591</v>
      </c>
      <c r="D17" s="35">
        <v>137027.70396585879</v>
      </c>
      <c r="E17" s="35">
        <v>172151.89536962431</v>
      </c>
      <c r="F17" s="35">
        <v>412364.58731460548</v>
      </c>
      <c r="G17" s="35">
        <v>291005.5980359072</v>
      </c>
      <c r="H17" s="35">
        <v>109323.7669654342</v>
      </c>
      <c r="I17" s="35">
        <v>1112194.81865657</v>
      </c>
    </row>
    <row r="18" spans="2:9" x14ac:dyDescent="0.25">
      <c r="B18" s="3" t="s">
        <v>10</v>
      </c>
      <c r="C18" s="35">
        <v>6266.2657454619603</v>
      </c>
      <c r="D18" s="35">
        <v>7114.3788362510504</v>
      </c>
      <c r="E18" s="35">
        <v>11138.326763894691</v>
      </c>
      <c r="F18" s="35">
        <v>21717.660596749971</v>
      </c>
      <c r="G18" s="35">
        <v>11652.10030053946</v>
      </c>
      <c r="H18" s="35">
        <v>7049.2762958027479</v>
      </c>
      <c r="I18" s="35">
        <v>28837.9730707909</v>
      </c>
    </row>
    <row r="19" spans="2:9" x14ac:dyDescent="0.25">
      <c r="B19" s="2" t="s">
        <v>200</v>
      </c>
      <c r="C19" s="34">
        <f t="shared" ref="C19" si="6">SUM(C20:C25)</f>
        <v>96525.860300105007</v>
      </c>
      <c r="D19" s="34">
        <f t="shared" ref="D19:I19" si="7">SUM(D20:D25)</f>
        <v>89425.008780687087</v>
      </c>
      <c r="E19" s="34">
        <f t="shared" si="7"/>
        <v>374871.19870852516</v>
      </c>
      <c r="F19" s="34">
        <f t="shared" si="7"/>
        <v>119592.61658763976</v>
      </c>
      <c r="G19" s="34">
        <f t="shared" si="7"/>
        <v>310649.4029760579</v>
      </c>
      <c r="H19" s="34">
        <f t="shared" si="7"/>
        <v>716557.86878762103</v>
      </c>
      <c r="I19" s="34">
        <f t="shared" si="7"/>
        <v>661491.81414833746</v>
      </c>
    </row>
    <row r="20" spans="2:9" x14ac:dyDescent="0.25">
      <c r="B20" s="3" t="s">
        <v>201</v>
      </c>
      <c r="C20" s="35">
        <v>35981.72026592301</v>
      </c>
      <c r="D20" s="35">
        <v>20623.512984880828</v>
      </c>
      <c r="E20" s="35">
        <v>88068.99135290728</v>
      </c>
      <c r="F20" s="35">
        <v>51810.28580577804</v>
      </c>
      <c r="G20" s="35">
        <v>147858.8073229375</v>
      </c>
      <c r="H20" s="35">
        <v>202598.30812462341</v>
      </c>
      <c r="I20" s="35">
        <v>179104.53023923881</v>
      </c>
    </row>
    <row r="21" spans="2:9" x14ac:dyDescent="0.25">
      <c r="B21" s="3" t="s">
        <v>143</v>
      </c>
      <c r="C21" s="35">
        <v>0</v>
      </c>
      <c r="D21" s="35">
        <v>0</v>
      </c>
      <c r="E21" s="35">
        <v>46.931715908660408</v>
      </c>
      <c r="F21" s="35">
        <v>0</v>
      </c>
      <c r="G21" s="35">
        <v>7934.5457949993652</v>
      </c>
      <c r="H21" s="35">
        <v>12504.05228892772</v>
      </c>
      <c r="I21" s="35">
        <v>32816.839193014923</v>
      </c>
    </row>
    <row r="22" spans="2:9" x14ac:dyDescent="0.25">
      <c r="B22" s="3" t="s">
        <v>142</v>
      </c>
      <c r="C22" s="35">
        <v>7674.5907440663595</v>
      </c>
      <c r="D22" s="35">
        <v>9660.4008493107067</v>
      </c>
      <c r="E22" s="35">
        <v>37018.514518884112</v>
      </c>
      <c r="F22" s="35">
        <v>18021.728609818481</v>
      </c>
      <c r="G22" s="35">
        <v>57301.743679509571</v>
      </c>
      <c r="H22" s="35">
        <v>125453.789298458</v>
      </c>
      <c r="I22" s="35">
        <v>103257.8774758572</v>
      </c>
    </row>
    <row r="23" spans="2:9" x14ac:dyDescent="0.25">
      <c r="B23" s="3" t="s">
        <v>144</v>
      </c>
      <c r="C23" s="35">
        <v>7967.9443188510186</v>
      </c>
      <c r="D23" s="35">
        <v>4774.8911988653635</v>
      </c>
      <c r="E23" s="35">
        <v>50649.137990319367</v>
      </c>
      <c r="F23" s="35">
        <v>18270.67714856079</v>
      </c>
      <c r="G23" s="35">
        <v>2868.9650171468711</v>
      </c>
      <c r="H23" s="35">
        <v>76263.26000915849</v>
      </c>
      <c r="I23" s="35">
        <v>101322.4750597689</v>
      </c>
    </row>
    <row r="24" spans="2:9" x14ac:dyDescent="0.25">
      <c r="B24" s="3" t="s">
        <v>227</v>
      </c>
      <c r="C24" s="35">
        <v>0</v>
      </c>
      <c r="D24" s="35">
        <v>10449.26177905957</v>
      </c>
      <c r="E24" s="35">
        <v>17549.445841919569</v>
      </c>
      <c r="F24" s="35">
        <v>411.44590483377942</v>
      </c>
      <c r="G24" s="35">
        <v>28226.597721019021</v>
      </c>
      <c r="H24" s="35">
        <v>58391.146787473393</v>
      </c>
      <c r="I24" s="35">
        <v>69586.496231447847</v>
      </c>
    </row>
    <row r="25" spans="2:9" x14ac:dyDescent="0.25">
      <c r="B25" s="3" t="s">
        <v>30</v>
      </c>
      <c r="C25" s="35">
        <v>44901.60497126462</v>
      </c>
      <c r="D25" s="35">
        <v>43916.941968570623</v>
      </c>
      <c r="E25" s="35">
        <v>181538.17728858619</v>
      </c>
      <c r="F25" s="35">
        <v>31078.479118648669</v>
      </c>
      <c r="G25" s="35">
        <v>66458.743440445571</v>
      </c>
      <c r="H25" s="35">
        <v>241347.31227898001</v>
      </c>
      <c r="I25" s="35">
        <v>175403.59594900979</v>
      </c>
    </row>
    <row r="26" spans="2:9" x14ac:dyDescent="0.25">
      <c r="B26" s="2" t="s">
        <v>18</v>
      </c>
      <c r="C26" s="34">
        <f t="shared" ref="C26" si="8">SUM(C27:C27)</f>
        <v>5051844</v>
      </c>
      <c r="D26" s="34">
        <f t="shared" ref="D26:I26" si="9">SUM(D27:D27)</f>
        <v>5418379</v>
      </c>
      <c r="E26" s="34">
        <f t="shared" si="9"/>
        <v>6063750</v>
      </c>
      <c r="F26" s="34">
        <f t="shared" si="9"/>
        <v>6473619</v>
      </c>
      <c r="G26" s="34">
        <f t="shared" si="9"/>
        <v>6050113</v>
      </c>
      <c r="H26" s="34">
        <f t="shared" si="9"/>
        <v>5865368</v>
      </c>
      <c r="I26" s="34">
        <f t="shared" si="9"/>
        <v>8420638</v>
      </c>
    </row>
    <row r="27" spans="2:9" x14ac:dyDescent="0.25">
      <c r="B27" s="3" t="s">
        <v>19</v>
      </c>
      <c r="C27" s="35">
        <v>5051844</v>
      </c>
      <c r="D27" s="35">
        <v>5418379</v>
      </c>
      <c r="E27" s="35">
        <v>6063750</v>
      </c>
      <c r="F27" s="35">
        <v>6473619</v>
      </c>
      <c r="G27" s="35">
        <v>6050113</v>
      </c>
      <c r="H27" s="35">
        <v>5865368</v>
      </c>
      <c r="I27" s="35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4">
        <f t="shared" ref="C29" si="10">SUM(C30:C30)</f>
        <v>33705.610029366682</v>
      </c>
      <c r="D29" s="34">
        <f t="shared" ref="D29:I29" si="11">SUM(D30:D30)</f>
        <v>38341.420698377377</v>
      </c>
      <c r="E29" s="34">
        <f t="shared" si="11"/>
        <v>29210.556658830508</v>
      </c>
      <c r="F29" s="34">
        <f t="shared" si="11"/>
        <v>43801.502312382487</v>
      </c>
      <c r="G29" s="34">
        <f t="shared" si="11"/>
        <v>36978.346959730021</v>
      </c>
      <c r="H29" s="34">
        <f t="shared" si="11"/>
        <v>11811.99933646409</v>
      </c>
      <c r="I29" s="34">
        <f t="shared" si="11"/>
        <v>28456.205623518919</v>
      </c>
    </row>
    <row r="30" spans="2:9" x14ac:dyDescent="0.25">
      <c r="B30" s="3" t="s">
        <v>29</v>
      </c>
      <c r="C30" s="35">
        <v>33705.610029366682</v>
      </c>
      <c r="D30" s="35">
        <v>38341.420698377377</v>
      </c>
      <c r="E30" s="35">
        <v>29210.556658830508</v>
      </c>
      <c r="F30" s="35">
        <v>43801.502312382487</v>
      </c>
      <c r="G30" s="35">
        <v>36978.346959730021</v>
      </c>
      <c r="H30" s="35">
        <v>11811.99933646409</v>
      </c>
      <c r="I30" s="35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6">
        <f t="shared" ref="C32" si="12">SUM(C33:C35)</f>
        <v>0.88934233947602792</v>
      </c>
      <c r="D32" s="36">
        <f t="shared" ref="D32:I32" si="13">SUM(D33:D35)</f>
        <v>0.60323486081614741</v>
      </c>
      <c r="E32" s="36">
        <f t="shared" si="13"/>
        <v>0.69131769186528369</v>
      </c>
      <c r="F32" s="36">
        <f t="shared" si="13"/>
        <v>0.85731151330612154</v>
      </c>
      <c r="G32" s="36">
        <f t="shared" si="13"/>
        <v>0.71742762213363542</v>
      </c>
      <c r="H32" s="36">
        <f t="shared" si="13"/>
        <v>0.32728766840428991</v>
      </c>
      <c r="I32" s="36">
        <f t="shared" si="13"/>
        <v>1.1374797348885723</v>
      </c>
    </row>
    <row r="33" spans="2:9" x14ac:dyDescent="0.25">
      <c r="B33" s="3" t="s">
        <v>39</v>
      </c>
      <c r="C33" s="37">
        <v>0.61674826354256962</v>
      </c>
      <c r="D33" s="37">
        <v>0.44734633985367328</v>
      </c>
      <c r="E33" s="37">
        <v>0.50148370405614151</v>
      </c>
      <c r="F33" s="37">
        <v>0.62801940813913948</v>
      </c>
      <c r="G33" s="37">
        <v>0.52062521029263342</v>
      </c>
      <c r="H33" s="37">
        <v>0.2336286773757866</v>
      </c>
      <c r="I33" s="37">
        <v>0.80839568506892689</v>
      </c>
    </row>
    <row r="34" spans="2:9" x14ac:dyDescent="0.25">
      <c r="B34" s="3" t="s">
        <v>21</v>
      </c>
      <c r="C34" s="37">
        <v>0.22663597264519761</v>
      </c>
      <c r="D34" s="37">
        <v>0.1195437590753721</v>
      </c>
      <c r="E34" s="37">
        <v>0.14552916262546309</v>
      </c>
      <c r="F34" s="37">
        <v>0.17585444904555109</v>
      </c>
      <c r="G34" s="37">
        <v>0.15094072247165591</v>
      </c>
      <c r="H34" s="37">
        <v>7.1846242049152742E-2</v>
      </c>
      <c r="I34" s="37">
        <v>0.25248646153772158</v>
      </c>
    </row>
    <row r="35" spans="2:9" x14ac:dyDescent="0.25">
      <c r="B35" s="3" t="s">
        <v>22</v>
      </c>
      <c r="C35" s="37">
        <v>4.5958103288260672E-2</v>
      </c>
      <c r="D35" s="37">
        <v>3.634476188710202E-2</v>
      </c>
      <c r="E35" s="37">
        <v>4.4304825183679022E-2</v>
      </c>
      <c r="F35" s="37">
        <v>5.3437656121430963E-2</v>
      </c>
      <c r="G35" s="37">
        <v>4.5861689369346058E-2</v>
      </c>
      <c r="H35" s="37">
        <v>2.18127489793506E-2</v>
      </c>
      <c r="I35" s="37">
        <v>7.6597588281923784E-2</v>
      </c>
    </row>
    <row r="36" spans="2:9" x14ac:dyDescent="0.25">
      <c r="B36" s="2" t="s">
        <v>40</v>
      </c>
      <c r="C36" s="36">
        <f t="shared" ref="C36" si="14">SUM(C37:C39)</f>
        <v>100.35416716165733</v>
      </c>
      <c r="D36" s="36">
        <f t="shared" ref="D36:I36" si="15">SUM(D37:D39)</f>
        <v>60.655294034890275</v>
      </c>
      <c r="E36" s="36">
        <f t="shared" si="15"/>
        <v>69.368136146794015</v>
      </c>
      <c r="F36" s="36">
        <f t="shared" si="15"/>
        <v>86.165005644180965</v>
      </c>
      <c r="G36" s="36">
        <f t="shared" si="15"/>
        <v>72.035873761664249</v>
      </c>
      <c r="H36" s="36">
        <f t="shared" si="15"/>
        <v>32.830549147678347</v>
      </c>
      <c r="I36" s="36">
        <f t="shared" si="15"/>
        <v>114.32316983102805</v>
      </c>
    </row>
    <row r="37" spans="2:9" x14ac:dyDescent="0.25">
      <c r="B37" s="3" t="s">
        <v>39</v>
      </c>
      <c r="C37" s="37">
        <v>85.672607960364147</v>
      </c>
      <c r="D37" s="37">
        <v>53.888459910872648</v>
      </c>
      <c r="E37" s="37">
        <v>61.122225016912822</v>
      </c>
      <c r="F37" s="37">
        <v>76.195188044139286</v>
      </c>
      <c r="G37" s="37">
        <v>63.475470851670842</v>
      </c>
      <c r="H37" s="37">
        <v>28.75104347383531</v>
      </c>
      <c r="I37" s="37">
        <v>99.94508941394632</v>
      </c>
    </row>
    <row r="38" spans="2:9" x14ac:dyDescent="0.25">
      <c r="B38" s="3" t="s">
        <v>21</v>
      </c>
      <c r="C38" s="37">
        <v>7.1765420410732252</v>
      </c>
      <c r="D38" s="37">
        <v>2.964031314494314</v>
      </c>
      <c r="E38" s="37">
        <v>3.6129990293198508</v>
      </c>
      <c r="F38" s="37">
        <v>4.3680609862419617</v>
      </c>
      <c r="G38" s="37">
        <v>3.7507612414516829</v>
      </c>
      <c r="H38" s="37">
        <v>1.787916686433014</v>
      </c>
      <c r="I38" s="37">
        <v>6.3039910132969696</v>
      </c>
    </row>
    <row r="39" spans="2:9" x14ac:dyDescent="0.25">
      <c r="B39" s="3" t="s">
        <v>22</v>
      </c>
      <c r="C39" s="37">
        <v>7.5050171602199613</v>
      </c>
      <c r="D39" s="37">
        <v>3.802802809523314</v>
      </c>
      <c r="E39" s="37">
        <v>4.6329121005613354</v>
      </c>
      <c r="F39" s="37">
        <v>5.6017566137997177</v>
      </c>
      <c r="G39" s="37">
        <v>4.8096416685417314</v>
      </c>
      <c r="H39" s="37">
        <v>2.2915889874100221</v>
      </c>
      <c r="I39" s="37">
        <v>8.0740894037847664</v>
      </c>
    </row>
    <row r="40" spans="2:9" x14ac:dyDescent="0.25">
      <c r="B40" s="2" t="s">
        <v>41</v>
      </c>
      <c r="C40" s="36">
        <f t="shared" ref="C40" si="16">SUM(C41:C41)</f>
        <v>90.150236805019645</v>
      </c>
      <c r="D40" s="36">
        <f t="shared" ref="D40:I40" si="17">SUM(D41:D41)</f>
        <v>82.673743779587213</v>
      </c>
      <c r="E40" s="36">
        <f t="shared" si="17"/>
        <v>89.961874264086561</v>
      </c>
      <c r="F40" s="36">
        <f t="shared" si="17"/>
        <v>114.2471016616534</v>
      </c>
      <c r="G40" s="36">
        <f t="shared" si="17"/>
        <v>93.441262667038146</v>
      </c>
      <c r="H40" s="36">
        <f t="shared" si="17"/>
        <v>40.986380547159747</v>
      </c>
      <c r="I40" s="36">
        <f t="shared" si="17"/>
        <v>141.44493778498989</v>
      </c>
    </row>
    <row r="41" spans="2:9" x14ac:dyDescent="0.25">
      <c r="B41" s="3" t="s">
        <v>42</v>
      </c>
      <c r="C41" s="37">
        <v>90.150236805019645</v>
      </c>
      <c r="D41" s="37">
        <v>82.673743779587213</v>
      </c>
      <c r="E41" s="37">
        <v>89.961874264086561</v>
      </c>
      <c r="F41" s="37">
        <v>114.2471016616534</v>
      </c>
      <c r="G41" s="37">
        <v>93.441262667038146</v>
      </c>
      <c r="H41" s="37">
        <v>40.986380547159747</v>
      </c>
      <c r="I41" s="37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6">
        <f t="shared" ref="C43" si="18">SUM(C44:C47)</f>
        <v>3.4866540212226478</v>
      </c>
      <c r="D43" s="36">
        <f t="shared" ref="D43:I43" si="19">SUM(D44:D47)</f>
        <v>4.2672071928889013</v>
      </c>
      <c r="E43" s="36">
        <f t="shared" si="19"/>
        <v>4.7930391449320391</v>
      </c>
      <c r="F43" s="36">
        <f t="shared" si="19"/>
        <v>5.6982039931925383</v>
      </c>
      <c r="G43" s="36">
        <f t="shared" si="19"/>
        <v>4.5431475303490476</v>
      </c>
      <c r="H43" s="36">
        <f t="shared" si="19"/>
        <v>5.0731225111278828</v>
      </c>
      <c r="I43" s="36">
        <f t="shared" si="19"/>
        <v>8.3533624084360572</v>
      </c>
    </row>
    <row r="44" spans="2:9" x14ac:dyDescent="0.25">
      <c r="B44" s="3" t="s">
        <v>24</v>
      </c>
      <c r="C44" s="37">
        <v>7.9558406090634623E-2</v>
      </c>
      <c r="D44" s="37">
        <v>0.14266970612942451</v>
      </c>
      <c r="E44" s="37">
        <v>0.100074589285146</v>
      </c>
      <c r="F44" s="37">
        <v>0.17017561060572209</v>
      </c>
      <c r="G44" s="37">
        <v>9.46876761782941E-2</v>
      </c>
      <c r="H44" s="37">
        <v>2.4251011200718511E-2</v>
      </c>
      <c r="I44" s="37">
        <v>9.8607334525826471E-2</v>
      </c>
    </row>
    <row r="45" spans="2:9" x14ac:dyDescent="0.25">
      <c r="B45" s="3" t="s">
        <v>25</v>
      </c>
      <c r="C45" s="37">
        <v>5.432733320765798E-2</v>
      </c>
      <c r="D45" s="37">
        <v>0.58833657637427295</v>
      </c>
      <c r="E45" s="37">
        <v>0.45639938933565682</v>
      </c>
      <c r="F45" s="37">
        <v>0.68440800713638206</v>
      </c>
      <c r="G45" s="37">
        <v>0.36714772650678629</v>
      </c>
      <c r="H45" s="37">
        <v>0.15148675726665889</v>
      </c>
      <c r="I45" s="37">
        <v>0.28193552944049832</v>
      </c>
    </row>
    <row r="46" spans="2:9" x14ac:dyDescent="0.25">
      <c r="B46" s="3" t="s">
        <v>26</v>
      </c>
      <c r="C46" s="37">
        <v>3.0489052829997099</v>
      </c>
      <c r="D46" s="37">
        <v>3.2009401309986538</v>
      </c>
      <c r="E46" s="37">
        <v>3.8410599013667812</v>
      </c>
      <c r="F46" s="37">
        <v>4.3877843422467908</v>
      </c>
      <c r="G46" s="37">
        <v>3.6965921887988649</v>
      </c>
      <c r="H46" s="37">
        <v>4.4455024841653721</v>
      </c>
      <c r="I46" s="37">
        <v>7.2434442571031932</v>
      </c>
    </row>
    <row r="47" spans="2:9" x14ac:dyDescent="0.25">
      <c r="B47" s="3" t="s">
        <v>27</v>
      </c>
      <c r="C47" s="37">
        <v>0.3038629989246453</v>
      </c>
      <c r="D47" s="37">
        <v>0.33526077938654969</v>
      </c>
      <c r="E47" s="37">
        <v>0.39550526494445509</v>
      </c>
      <c r="F47" s="37">
        <v>0.4558360332036433</v>
      </c>
      <c r="G47" s="37">
        <v>0.38471993886510292</v>
      </c>
      <c r="H47" s="37">
        <v>0.45188225849513353</v>
      </c>
      <c r="I47" s="37">
        <v>0.72937528736653967</v>
      </c>
    </row>
    <row r="48" spans="2:9" x14ac:dyDescent="0.25">
      <c r="B48" s="2" t="s">
        <v>131</v>
      </c>
      <c r="C48" s="36">
        <f t="shared" ref="C48" si="20">SUM(C49:C55)</f>
        <v>16.06609129126193</v>
      </c>
      <c r="D48" s="36">
        <f t="shared" ref="D48:I48" si="21">SUM(D49:D55)</f>
        <v>28.910798786924016</v>
      </c>
      <c r="E48" s="36">
        <f t="shared" si="21"/>
        <v>30.304978869223898</v>
      </c>
      <c r="F48" s="36">
        <f t="shared" si="21"/>
        <v>36.933866752100442</v>
      </c>
      <c r="G48" s="36">
        <f t="shared" si="21"/>
        <v>23.465484765270169</v>
      </c>
      <c r="H48" s="36">
        <f t="shared" si="21"/>
        <v>21.341342089115059</v>
      </c>
      <c r="I48" s="36">
        <f t="shared" si="21"/>
        <v>33.762048381988386</v>
      </c>
    </row>
    <row r="49" spans="2:9" x14ac:dyDescent="0.25">
      <c r="B49" s="3" t="s">
        <v>31</v>
      </c>
      <c r="C49" s="37">
        <v>14.83431041031602</v>
      </c>
      <c r="D49" s="37">
        <v>27.552816459453808</v>
      </c>
      <c r="E49" s="37">
        <v>29.20218789847257</v>
      </c>
      <c r="F49" s="37">
        <v>35.283990384347121</v>
      </c>
      <c r="G49" s="37">
        <v>22.493104724658089</v>
      </c>
      <c r="H49" s="37">
        <v>20.861255765006849</v>
      </c>
      <c r="I49" s="37">
        <v>32.561391975751498</v>
      </c>
    </row>
    <row r="50" spans="2:9" x14ac:dyDescent="0.25">
      <c r="B50" s="3" t="s">
        <v>32</v>
      </c>
      <c r="C50" s="37">
        <v>0.36960632767856821</v>
      </c>
      <c r="D50" s="37">
        <v>0.42003061388317492</v>
      </c>
      <c r="E50" s="37">
        <v>0.31841774773536918</v>
      </c>
      <c r="F50" s="37">
        <v>0.47933194820737229</v>
      </c>
      <c r="G50" s="37">
        <v>0.40489050238049951</v>
      </c>
      <c r="H50" s="37">
        <v>0.12664332510301271</v>
      </c>
      <c r="I50" s="37">
        <v>0.31022155051277861</v>
      </c>
    </row>
    <row r="51" spans="2:9" x14ac:dyDescent="0.25">
      <c r="B51" s="3" t="s">
        <v>33</v>
      </c>
      <c r="C51" s="37">
        <v>6.4965390674631487E-2</v>
      </c>
      <c r="D51" s="37">
        <v>4.7380103327237293E-2</v>
      </c>
      <c r="E51" s="37">
        <v>4.8317848492574512E-2</v>
      </c>
      <c r="F51" s="37">
        <v>6.302898523829456E-2</v>
      </c>
      <c r="G51" s="37">
        <v>4.6802231477323368E-2</v>
      </c>
      <c r="H51" s="37">
        <v>3.8005823997397312E-2</v>
      </c>
      <c r="I51" s="37">
        <v>8.7361855237686761E-2</v>
      </c>
    </row>
    <row r="52" spans="2:9" x14ac:dyDescent="0.25">
      <c r="B52" s="3" t="s">
        <v>34</v>
      </c>
      <c r="C52" s="37">
        <v>0.13774536223179079</v>
      </c>
      <c r="D52" s="37">
        <v>9.0815579552622372E-2</v>
      </c>
      <c r="E52" s="37">
        <v>6.4089105010101025E-2</v>
      </c>
      <c r="F52" s="37">
        <v>0.1079228376625041</v>
      </c>
      <c r="G52" s="37">
        <v>8.9375795685823253E-2</v>
      </c>
      <c r="H52" s="37">
        <v>1.6193316412734401E-2</v>
      </c>
      <c r="I52" s="37">
        <v>9.1278149221508648E-2</v>
      </c>
    </row>
    <row r="53" spans="2:9" x14ac:dyDescent="0.25">
      <c r="B53" s="3" t="s">
        <v>35</v>
      </c>
      <c r="C53" s="37">
        <v>3.0096057950557219E-2</v>
      </c>
      <c r="D53" s="37">
        <v>1.9884285209919882E-2</v>
      </c>
      <c r="E53" s="37">
        <v>1.3430144722156111E-2</v>
      </c>
      <c r="F53" s="37">
        <v>2.3355511133174921E-2</v>
      </c>
      <c r="G53" s="37">
        <v>1.972610250368936E-2</v>
      </c>
      <c r="H53" s="37">
        <v>2.3846872349572441E-3</v>
      </c>
      <c r="I53" s="37">
        <v>1.8554791963777E-2</v>
      </c>
    </row>
    <row r="54" spans="2:9" x14ac:dyDescent="0.25">
      <c r="B54" s="3" t="s">
        <v>36</v>
      </c>
      <c r="C54" s="37">
        <v>0.17741268053966169</v>
      </c>
      <c r="D54" s="37">
        <v>0.1247390694205754</v>
      </c>
      <c r="E54" s="37">
        <v>0.1163026004360604</v>
      </c>
      <c r="F54" s="37">
        <v>0.16102028455468739</v>
      </c>
      <c r="G54" s="37">
        <v>0.12263082721836251</v>
      </c>
      <c r="H54" s="37">
        <v>7.8303975769437428E-2</v>
      </c>
      <c r="I54" s="37">
        <v>0.20039071481198201</v>
      </c>
    </row>
    <row r="55" spans="2:9" x14ac:dyDescent="0.25">
      <c r="B55" s="3" t="s">
        <v>37</v>
      </c>
      <c r="C55" s="37">
        <v>0.45195506187070089</v>
      </c>
      <c r="D55" s="37">
        <v>0.65513267607668002</v>
      </c>
      <c r="E55" s="37">
        <v>0.54223352435506422</v>
      </c>
      <c r="F55" s="37">
        <v>0.81521680095728388</v>
      </c>
      <c r="G55" s="37">
        <v>0.28895458134638558</v>
      </c>
      <c r="H55" s="37">
        <v>0.21855519559066611</v>
      </c>
      <c r="I55" s="37">
        <v>0.49284934448915502</v>
      </c>
    </row>
    <row r="56" spans="2:9" x14ac:dyDescent="0.25">
      <c r="B56" s="2" t="s">
        <v>178</v>
      </c>
      <c r="C56" s="36">
        <f t="shared" ref="C56" si="22">SUM(C57:C59)</f>
        <v>47.74949542186112</v>
      </c>
      <c r="D56" s="36">
        <f t="shared" ref="D56:I56" si="23">SUM(D57:D59)</f>
        <v>48.592273266978992</v>
      </c>
      <c r="E56" s="36">
        <f t="shared" si="23"/>
        <v>59.220659521236321</v>
      </c>
      <c r="F56" s="36">
        <f t="shared" si="23"/>
        <v>44.719343549942202</v>
      </c>
      <c r="G56" s="36">
        <f t="shared" si="23"/>
        <v>95.708316109352296</v>
      </c>
      <c r="H56" s="36">
        <f t="shared" si="23"/>
        <v>103.42366421595537</v>
      </c>
      <c r="I56" s="36">
        <f t="shared" si="23"/>
        <v>97.091725048824117</v>
      </c>
    </row>
    <row r="57" spans="2:9" x14ac:dyDescent="0.25">
      <c r="B57" s="3" t="s">
        <v>43</v>
      </c>
      <c r="C57" s="37">
        <v>14.27809661033506</v>
      </c>
      <c r="D57" s="37">
        <v>14.691535349442161</v>
      </c>
      <c r="E57" s="37">
        <v>18.949976644868549</v>
      </c>
      <c r="F57" s="37">
        <v>13.149037235502041</v>
      </c>
      <c r="G57" s="37">
        <v>28.181556894177</v>
      </c>
      <c r="H57" s="37">
        <v>29.48596844356225</v>
      </c>
      <c r="I57" s="37">
        <v>29.138239668093441</v>
      </c>
    </row>
    <row r="58" spans="2:9" x14ac:dyDescent="0.25">
      <c r="B58" s="3" t="s">
        <v>44</v>
      </c>
      <c r="C58" s="37">
        <v>28.612952539416469</v>
      </c>
      <c r="D58" s="37">
        <v>28.83606448272209</v>
      </c>
      <c r="E58" s="37">
        <v>32.098734256336527</v>
      </c>
      <c r="F58" s="37">
        <v>27.325597790777209</v>
      </c>
      <c r="G58" s="37">
        <v>41.049018944893753</v>
      </c>
      <c r="H58" s="37">
        <v>42.564084699546918</v>
      </c>
      <c r="I58" s="37">
        <v>41.89689666431704</v>
      </c>
    </row>
    <row r="59" spans="2:9" x14ac:dyDescent="0.25">
      <c r="B59" s="3" t="s">
        <v>45</v>
      </c>
      <c r="C59" s="37">
        <v>4.8584462721095871</v>
      </c>
      <c r="D59" s="37">
        <v>5.064673434814746</v>
      </c>
      <c r="E59" s="37">
        <v>8.1719486200312446</v>
      </c>
      <c r="F59" s="37">
        <v>4.2447085236629514</v>
      </c>
      <c r="G59" s="37">
        <v>26.477740270281551</v>
      </c>
      <c r="H59" s="37">
        <v>31.373611072846209</v>
      </c>
      <c r="I59" s="37">
        <v>26.05658871641365</v>
      </c>
    </row>
    <row r="60" spans="2:9" x14ac:dyDescent="0.25">
      <c r="B60" s="2" t="s">
        <v>46</v>
      </c>
      <c r="C60" s="34">
        <f t="shared" ref="C60" si="24">SUM(C61:C61)</f>
        <v>424555</v>
      </c>
      <c r="D60" s="34">
        <f t="shared" ref="D60:I60" si="25">SUM(D61:D61)</f>
        <v>476079</v>
      </c>
      <c r="E60" s="34">
        <f t="shared" si="25"/>
        <v>822988</v>
      </c>
      <c r="F60" s="34">
        <f t="shared" si="25"/>
        <v>519699</v>
      </c>
      <c r="G60" s="34">
        <f t="shared" si="25"/>
        <v>1445247</v>
      </c>
      <c r="H60" s="34">
        <f t="shared" si="25"/>
        <v>2134547</v>
      </c>
      <c r="I60" s="34">
        <f t="shared" si="25"/>
        <v>2279901</v>
      </c>
    </row>
    <row r="61" spans="2:9" x14ac:dyDescent="0.25">
      <c r="B61" s="3" t="s">
        <v>19</v>
      </c>
      <c r="C61" s="35">
        <v>424555</v>
      </c>
      <c r="D61" s="35">
        <v>476079</v>
      </c>
      <c r="E61" s="35">
        <v>822988</v>
      </c>
      <c r="F61" s="35">
        <v>519699</v>
      </c>
      <c r="G61" s="35">
        <v>1445247</v>
      </c>
      <c r="H61" s="35">
        <v>2134547</v>
      </c>
      <c r="I61" s="35">
        <v>2279901</v>
      </c>
    </row>
    <row r="62" spans="2:9" x14ac:dyDescent="0.25">
      <c r="B62" s="2" t="s">
        <v>179</v>
      </c>
      <c r="C62" s="36">
        <f t="shared" ref="C62" si="26">SUM(C63:C65)</f>
        <v>0.18096946725607604</v>
      </c>
      <c r="D62" s="36">
        <f t="shared" ref="D62:I62" si="27">SUM(D63:D65)</f>
        <v>0.1844422354058135</v>
      </c>
      <c r="E62" s="36">
        <f t="shared" si="27"/>
        <v>0.22658842835530868</v>
      </c>
      <c r="F62" s="36">
        <f t="shared" si="27"/>
        <v>0.16910035565930828</v>
      </c>
      <c r="G62" s="36">
        <f t="shared" si="27"/>
        <v>0.36197753190151838</v>
      </c>
      <c r="H62" s="36">
        <f t="shared" si="27"/>
        <v>0.38948777480600288</v>
      </c>
      <c r="I62" s="36">
        <f t="shared" si="27"/>
        <v>0.36815796595595462</v>
      </c>
    </row>
    <row r="63" spans="2:9" x14ac:dyDescent="0.25">
      <c r="B63" s="3" t="s">
        <v>43</v>
      </c>
      <c r="C63" s="37">
        <v>7.139048305167528E-2</v>
      </c>
      <c r="D63" s="37">
        <v>7.3457676747210779E-2</v>
      </c>
      <c r="E63" s="37">
        <v>9.4749883224342704E-2</v>
      </c>
      <c r="F63" s="37">
        <v>6.5745186177510198E-2</v>
      </c>
      <c r="G63" s="37">
        <v>0.14090778447088501</v>
      </c>
      <c r="H63" s="37">
        <v>0.14742984221781119</v>
      </c>
      <c r="I63" s="37">
        <v>0.1456911983404672</v>
      </c>
    </row>
    <row r="64" spans="2:9" x14ac:dyDescent="0.25">
      <c r="B64" s="3" t="s">
        <v>44</v>
      </c>
      <c r="C64" s="37">
        <v>9.367335652785154E-2</v>
      </c>
      <c r="D64" s="37">
        <v>9.4403782532721109E-2</v>
      </c>
      <c r="E64" s="37">
        <v>0.1050851419106256</v>
      </c>
      <c r="F64" s="37">
        <v>8.9458802291234873E-2</v>
      </c>
      <c r="G64" s="37">
        <v>0.13438666916483069</v>
      </c>
      <c r="H64" s="37">
        <v>0.13934670586161191</v>
      </c>
      <c r="I64" s="37">
        <v>0.1371624593177046</v>
      </c>
    </row>
    <row r="65" spans="2:9" x14ac:dyDescent="0.25">
      <c r="B65" s="3" t="s">
        <v>45</v>
      </c>
      <c r="C65" s="37">
        <v>1.5905627676549239E-2</v>
      </c>
      <c r="D65" s="37">
        <v>1.6580776125881609E-2</v>
      </c>
      <c r="E65" s="37">
        <v>2.675340322034038E-2</v>
      </c>
      <c r="F65" s="37">
        <v>1.389636719056323E-2</v>
      </c>
      <c r="G65" s="37">
        <v>8.6683078265802682E-2</v>
      </c>
      <c r="H65" s="37">
        <v>0.1027112267265798</v>
      </c>
      <c r="I65" s="37">
        <v>8.5304308297782766E-2</v>
      </c>
    </row>
    <row r="66" spans="2:9" x14ac:dyDescent="0.25">
      <c r="B66" s="2" t="s">
        <v>47</v>
      </c>
      <c r="C66" s="36">
        <f t="shared" ref="C66" si="28">SUM(C67:C69)</f>
        <v>375.59175462142861</v>
      </c>
      <c r="D66" s="36">
        <f t="shared" ref="D66:I66" si="29">SUM(D67:D69)</f>
        <v>388.52192082428564</v>
      </c>
      <c r="E66" s="36">
        <f t="shared" si="29"/>
        <v>618.30969326999991</v>
      </c>
      <c r="F66" s="36">
        <f t="shared" si="29"/>
        <v>470.06891321714284</v>
      </c>
      <c r="G66" s="36">
        <f t="shared" si="29"/>
        <v>948.31461270428554</v>
      </c>
      <c r="H66" s="34">
        <f t="shared" si="29"/>
        <v>1424.3227870557139</v>
      </c>
      <c r="I66" s="34">
        <f t="shared" si="29"/>
        <v>1581.0538845742858</v>
      </c>
    </row>
    <row r="67" spans="2:9" x14ac:dyDescent="0.25">
      <c r="B67" s="3" t="s">
        <v>43</v>
      </c>
      <c r="C67" s="37">
        <v>27.128200799999991</v>
      </c>
      <c r="D67" s="37">
        <v>26.074707359999991</v>
      </c>
      <c r="E67" s="37">
        <v>39.530621519999997</v>
      </c>
      <c r="F67" s="37">
        <v>37.800915359999998</v>
      </c>
      <c r="G67" s="37">
        <v>59.099058239999977</v>
      </c>
      <c r="H67" s="35">
        <v>98.048735519999966</v>
      </c>
      <c r="I67" s="35">
        <v>115.68679536</v>
      </c>
    </row>
    <row r="68" spans="2:9" x14ac:dyDescent="0.25">
      <c r="B68" s="3" t="s">
        <v>44</v>
      </c>
      <c r="C68" s="37">
        <v>205.96200703571429</v>
      </c>
      <c r="D68" s="37">
        <v>215.094506</v>
      </c>
      <c r="E68" s="37">
        <v>342.96574714285708</v>
      </c>
      <c r="F68" s="37">
        <v>248.5902131428571</v>
      </c>
      <c r="G68" s="37">
        <v>578.40006282142838</v>
      </c>
      <c r="H68" s="35">
        <v>831.9309361785713</v>
      </c>
      <c r="I68" s="35">
        <v>998.34894814285724</v>
      </c>
    </row>
    <row r="69" spans="2:9" x14ac:dyDescent="0.25">
      <c r="B69" s="3" t="s">
        <v>45</v>
      </c>
      <c r="C69" s="37">
        <v>142.50154678571431</v>
      </c>
      <c r="D69" s="37">
        <v>147.35270746428569</v>
      </c>
      <c r="E69" s="37">
        <v>235.81332460714279</v>
      </c>
      <c r="F69" s="37">
        <v>183.67778471428571</v>
      </c>
      <c r="G69" s="37">
        <v>310.81549164285713</v>
      </c>
      <c r="H69" s="35">
        <v>494.34311535714261</v>
      </c>
      <c r="I69" s="35">
        <v>467.01814107142849</v>
      </c>
    </row>
    <row r="70" spans="2:9" x14ac:dyDescent="0.25">
      <c r="B70" s="2" t="s">
        <v>48</v>
      </c>
      <c r="C70" s="34">
        <v>140117545.5299997</v>
      </c>
      <c r="D70" s="34">
        <f t="shared" ref="D70:I70" si="30">SUM(D71:D72)</f>
        <v>156778104.03470013</v>
      </c>
      <c r="E70" s="34">
        <f t="shared" si="30"/>
        <v>188130381.75509989</v>
      </c>
      <c r="F70" s="34">
        <f t="shared" si="30"/>
        <v>214908271.30089957</v>
      </c>
      <c r="G70" s="34">
        <f t="shared" si="30"/>
        <v>181054531.1788002</v>
      </c>
      <c r="H70" s="34">
        <f t="shared" si="30"/>
        <v>217735234.78289938</v>
      </c>
      <c r="I70" s="34">
        <f t="shared" si="30"/>
        <v>354774975.7366997</v>
      </c>
    </row>
    <row r="71" spans="2:9" x14ac:dyDescent="0.25">
      <c r="B71" s="3" t="s">
        <v>49</v>
      </c>
      <c r="C71" s="35">
        <v>125766473.8332997</v>
      </c>
      <c r="D71" s="35">
        <v>142527363.61630011</v>
      </c>
      <c r="E71" s="35">
        <v>171323062.52799991</v>
      </c>
      <c r="F71" s="35">
        <v>197000840.7270996</v>
      </c>
      <c r="G71" s="35">
        <v>166793680.9759002</v>
      </c>
      <c r="H71" s="35">
        <v>201044209.2515994</v>
      </c>
      <c r="I71" s="35">
        <v>340429119.52899969</v>
      </c>
    </row>
    <row r="72" spans="2:9" x14ac:dyDescent="0.25">
      <c r="B72" s="3" t="s">
        <v>50</v>
      </c>
      <c r="C72" s="35">
        <v>14351071.696699999</v>
      </c>
      <c r="D72" s="35">
        <v>14250740.41840001</v>
      </c>
      <c r="E72" s="35">
        <v>16807319.22709997</v>
      </c>
      <c r="F72" s="35">
        <v>17907430.573799979</v>
      </c>
      <c r="G72" s="35">
        <v>14260850.202899979</v>
      </c>
      <c r="H72" s="35">
        <v>16691025.531299969</v>
      </c>
      <c r="I72" s="35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2" t="s">
        <v>118</v>
      </c>
      <c r="B1" s="22" t="s">
        <v>119</v>
      </c>
      <c r="C1" s="22" t="s">
        <v>120</v>
      </c>
      <c r="D1" s="22" t="s">
        <v>149</v>
      </c>
      <c r="E1" s="22" t="s">
        <v>138</v>
      </c>
      <c r="F1" s="22" t="s">
        <v>137</v>
      </c>
      <c r="G1" s="22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236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4">
        <v>2015</v>
      </c>
      <c r="G3" s="44">
        <v>2030</v>
      </c>
      <c r="H3" s="44">
        <v>2050</v>
      </c>
      <c r="I3" s="44">
        <v>2015</v>
      </c>
      <c r="J3" s="44">
        <v>2030</v>
      </c>
      <c r="K3" s="44">
        <v>2050</v>
      </c>
    </row>
    <row r="4" spans="1:11" x14ac:dyDescent="0.25">
      <c r="A4" s="27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5">
        <f>'Paste from cobra outputs'!C5</f>
        <v>357912.08010499942</v>
      </c>
      <c r="G4" s="35">
        <f>'Paste from cobra outputs'!E5</f>
        <v>536444.24549999996</v>
      </c>
      <c r="H4" s="35">
        <f>'Paste from cobra outputs'!H5</f>
        <v>574186.1976666667</v>
      </c>
      <c r="I4" s="40">
        <f t="shared" ref="I4:I22" si="0">$F4*K4/H4</f>
        <v>0.62333800700792663</v>
      </c>
      <c r="J4" s="40">
        <f t="shared" ref="J4:J22" si="1">G4*K4/H4</f>
        <v>0.93426879238818428</v>
      </c>
      <c r="K4" s="40">
        <v>1</v>
      </c>
    </row>
    <row r="5" spans="1:11" x14ac:dyDescent="0.25">
      <c r="A5" s="27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5">
        <f>'Paste from cobra outputs'!C6</f>
        <v>1933129.2165999999</v>
      </c>
      <c r="G5" s="35">
        <f>'Paste from cobra outputs'!E6</f>
        <v>136398.6223333333</v>
      </c>
      <c r="H5" s="35">
        <f>'Paste from cobra outputs'!H6</f>
        <v>218262.94450000001</v>
      </c>
      <c r="I5" s="40">
        <f t="shared" si="0"/>
        <v>8.8568823307522084</v>
      </c>
      <c r="J5" s="40">
        <f t="shared" si="1"/>
        <v>0.62492798603902866</v>
      </c>
      <c r="K5" s="40">
        <v>1</v>
      </c>
    </row>
    <row r="6" spans="1:11" x14ac:dyDescent="0.25">
      <c r="A6" s="27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5">
        <f>'Paste from cobra outputs'!C7</f>
        <v>486549.17800000001</v>
      </c>
      <c r="G6" s="35">
        <f>'Paste from cobra outputs'!E7</f>
        <v>440548.02209166589</v>
      </c>
      <c r="H6" s="35">
        <f>'Paste from cobra outputs'!H7</f>
        <v>489634.50630833441</v>
      </c>
      <c r="I6" s="40">
        <f t="shared" si="0"/>
        <v>0.99369871144990041</v>
      </c>
      <c r="J6" s="40">
        <f t="shared" si="1"/>
        <v>0.89974872362088465</v>
      </c>
      <c r="K6" s="40">
        <v>1</v>
      </c>
    </row>
    <row r="7" spans="1:11" x14ac:dyDescent="0.25">
      <c r="A7" s="27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5">
        <f>'Paste from cobra outputs'!C8</f>
        <v>5501144.4649103004</v>
      </c>
      <c r="G7" s="35">
        <f>'Paste from cobra outputs'!E8</f>
        <v>8675027.3210000005</v>
      </c>
      <c r="H7" s="35">
        <f>'Paste from cobra outputs'!H8</f>
        <v>8779501.3460000008</v>
      </c>
      <c r="I7" s="40">
        <f t="shared" si="0"/>
        <v>0.62658962600611234</v>
      </c>
      <c r="J7" s="40">
        <f t="shared" si="1"/>
        <v>0.98810023247532164</v>
      </c>
      <c r="K7" s="40">
        <v>1</v>
      </c>
    </row>
    <row r="8" spans="1:11" x14ac:dyDescent="0.25">
      <c r="A8" s="27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5">
        <f>'Paste from cobra outputs'!C9</f>
        <v>242947.90633333329</v>
      </c>
      <c r="G8" s="35">
        <f>'Paste from cobra outputs'!E9</f>
        <v>1304942.037</v>
      </c>
      <c r="H8" s="35">
        <f>'Paste from cobra outputs'!H9</f>
        <v>1648927.3370000001</v>
      </c>
      <c r="I8" s="40">
        <f t="shared" si="0"/>
        <v>0.14733693891893629</v>
      </c>
      <c r="J8" s="40">
        <f t="shared" si="1"/>
        <v>0.79138844248538287</v>
      </c>
      <c r="K8" s="40">
        <v>1</v>
      </c>
    </row>
    <row r="9" spans="1:11" x14ac:dyDescent="0.25">
      <c r="A9" s="27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5">
        <f>'Paste from cobra outputs'!C10</f>
        <v>105833.894</v>
      </c>
      <c r="G9" s="35">
        <f>'Paste from cobra outputs'!E10</f>
        <v>13891804.53744</v>
      </c>
      <c r="H9" s="35">
        <f>'Paste from cobra outputs'!H10</f>
        <v>13819695.836440001</v>
      </c>
      <c r="I9" s="40">
        <f t="shared" si="0"/>
        <v>7.6581927165817534E-3</v>
      </c>
      <c r="J9" s="40">
        <f t="shared" si="1"/>
        <v>1.00521782113394</v>
      </c>
      <c r="K9" s="40">
        <v>1</v>
      </c>
    </row>
    <row r="10" spans="1:11" x14ac:dyDescent="0.25">
      <c r="A10" s="27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5">
        <f>'Paste from cobra outputs'!C12</f>
        <v>2229240.54</v>
      </c>
      <c r="G10" s="35">
        <f>'Paste from cobra outputs'!E12</f>
        <v>3775267.67</v>
      </c>
      <c r="H10" s="35">
        <f>'Paste from cobra outputs'!H12</f>
        <v>5738204.129999999</v>
      </c>
      <c r="I10" s="40">
        <f t="shared" si="0"/>
        <v>0.38849097897115076</v>
      </c>
      <c r="J10" s="40">
        <f t="shared" si="1"/>
        <v>0.65791797999350721</v>
      </c>
      <c r="K10" s="40">
        <v>1</v>
      </c>
    </row>
    <row r="11" spans="1:11" x14ac:dyDescent="0.25">
      <c r="A11" s="27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5">
        <f>'Paste from cobra outputs'!C13</f>
        <v>861167.755</v>
      </c>
      <c r="G11" s="35">
        <f>'Paste from cobra outputs'!E13</f>
        <v>818622.66390000004</v>
      </c>
      <c r="H11" s="35">
        <f>'Paste from cobra outputs'!H13</f>
        <v>468791.45270000002</v>
      </c>
      <c r="I11" s="40">
        <f t="shared" si="0"/>
        <v>1.8369954273699154</v>
      </c>
      <c r="J11" s="40">
        <f t="shared" si="1"/>
        <v>1.7462405920269033</v>
      </c>
      <c r="K11" s="40">
        <v>1</v>
      </c>
    </row>
    <row r="12" spans="1:11" x14ac:dyDescent="0.25">
      <c r="A12" s="27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5">
        <f>'Paste from cobra outputs'!C14</f>
        <v>2121.1999999999998</v>
      </c>
      <c r="G12" s="35">
        <f>'Paste from cobra outputs'!E14</f>
        <v>6157.81</v>
      </c>
      <c r="H12" s="35">
        <f>'Paste from cobra outputs'!H14</f>
        <v>7233.35</v>
      </c>
      <c r="I12" s="40">
        <f t="shared" si="0"/>
        <v>0.29325278052354714</v>
      </c>
      <c r="J12" s="40">
        <f t="shared" si="1"/>
        <v>0.85130817670927028</v>
      </c>
      <c r="K12" s="40">
        <v>1</v>
      </c>
    </row>
    <row r="13" spans="1:11" x14ac:dyDescent="0.25">
      <c r="A13" s="27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5">
        <f>'Paste from cobra outputs'!C17</f>
        <v>99787.268858292591</v>
      </c>
      <c r="G13" s="35">
        <f>'Paste from cobra outputs'!E17</f>
        <v>172151.89536962431</v>
      </c>
      <c r="H13" s="35">
        <f>'Paste from cobra outputs'!H17</f>
        <v>109323.7669654342</v>
      </c>
      <c r="I13" s="40">
        <f t="shared" si="0"/>
        <v>0.91276829941144599</v>
      </c>
      <c r="J13" s="40">
        <f t="shared" si="1"/>
        <v>1.5746978003790795</v>
      </c>
      <c r="K13" s="40">
        <v>1</v>
      </c>
    </row>
    <row r="14" spans="1:11" x14ac:dyDescent="0.25">
      <c r="A14" s="27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5">
        <f>'Paste from cobra outputs'!C18</f>
        <v>6266.2657454619603</v>
      </c>
      <c r="G14" s="35">
        <f>'Paste from cobra outputs'!E18</f>
        <v>11138.326763894691</v>
      </c>
      <c r="H14" s="35">
        <f>'Paste from cobra outputs'!H18</f>
        <v>7049.2762958027479</v>
      </c>
      <c r="I14" s="40">
        <f t="shared" si="0"/>
        <v>0.88892327134247739</v>
      </c>
      <c r="J14" s="40">
        <f t="shared" si="1"/>
        <v>1.5800667042270182</v>
      </c>
      <c r="K14" s="40">
        <v>1</v>
      </c>
    </row>
    <row r="15" spans="1:11" x14ac:dyDescent="0.25">
      <c r="A15" s="27" t="s">
        <v>138</v>
      </c>
      <c r="B15" s="1" t="s">
        <v>132</v>
      </c>
      <c r="C15" s="2" t="s">
        <v>141</v>
      </c>
      <c r="D15" s="2"/>
      <c r="E15" s="3" t="s">
        <v>201</v>
      </c>
      <c r="F15" s="35">
        <f>'Paste from cobra outputs'!C20</f>
        <v>35981.72026592301</v>
      </c>
      <c r="G15" s="35">
        <f>'Paste from cobra outputs'!E20</f>
        <v>88068.99135290728</v>
      </c>
      <c r="H15" s="35">
        <f>'Paste from cobra outputs'!H20</f>
        <v>202598.30812462341</v>
      </c>
      <c r="I15" s="40">
        <f t="shared" si="0"/>
        <v>0.17760128699490291</v>
      </c>
      <c r="J15" s="40">
        <f t="shared" si="1"/>
        <v>0.43469756568121876</v>
      </c>
      <c r="K15" s="40">
        <v>1</v>
      </c>
    </row>
    <row r="16" spans="1:11" x14ac:dyDescent="0.25">
      <c r="A16" s="27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5">
        <f>'Paste from cobra outputs'!C21</f>
        <v>0</v>
      </c>
      <c r="G16" s="35">
        <f>'Paste from cobra outputs'!E21</f>
        <v>46.931715908660408</v>
      </c>
      <c r="H16" s="35">
        <f>'Paste from cobra outputs'!H21</f>
        <v>12504.05228892772</v>
      </c>
      <c r="I16" s="40">
        <f t="shared" si="0"/>
        <v>0</v>
      </c>
      <c r="J16" s="40">
        <f t="shared" si="1"/>
        <v>3.7533205095613862E-3</v>
      </c>
      <c r="K16" s="40">
        <v>1</v>
      </c>
    </row>
    <row r="17" spans="1:11" x14ac:dyDescent="0.25">
      <c r="A17" s="27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5">
        <f>'Paste from cobra outputs'!C22</f>
        <v>7674.5907440663595</v>
      </c>
      <c r="G17" s="35">
        <f>'Paste from cobra outputs'!E22</f>
        <v>37018.514518884112</v>
      </c>
      <c r="H17" s="35">
        <f>'Paste from cobra outputs'!H22</f>
        <v>125453.789298458</v>
      </c>
      <c r="I17" s="40">
        <f t="shared" si="0"/>
        <v>6.1174642766734594E-2</v>
      </c>
      <c r="J17" s="40">
        <f t="shared" si="1"/>
        <v>0.29507689425638672</v>
      </c>
      <c r="K17" s="40">
        <v>1</v>
      </c>
    </row>
    <row r="18" spans="1:11" x14ac:dyDescent="0.25">
      <c r="A18" s="27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5">
        <f>'Paste from cobra outputs'!C23</f>
        <v>7967.9443188510186</v>
      </c>
      <c r="G18" s="35">
        <f>'Paste from cobra outputs'!E23</f>
        <v>50649.137990319367</v>
      </c>
      <c r="H18" s="35">
        <f>'Paste from cobra outputs'!H23</f>
        <v>76263.26000915849</v>
      </c>
      <c r="I18" s="40">
        <f t="shared" si="0"/>
        <v>0.10447946124902271</v>
      </c>
      <c r="J18" s="40">
        <f t="shared" si="1"/>
        <v>0.66413549570575514</v>
      </c>
      <c r="K18" s="40">
        <v>1</v>
      </c>
    </row>
    <row r="19" spans="1:11" x14ac:dyDescent="0.25">
      <c r="A19" s="27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5">
        <f>'Paste from cobra outputs'!C24</f>
        <v>0</v>
      </c>
      <c r="G19" s="35">
        <f>'Paste from cobra outputs'!E24</f>
        <v>17549.445841919569</v>
      </c>
      <c r="H19" s="35">
        <f>'Paste from cobra outputs'!H24</f>
        <v>58391.146787473393</v>
      </c>
      <c r="I19" s="40">
        <f t="shared" si="0"/>
        <v>0</v>
      </c>
      <c r="J19" s="40">
        <f t="shared" si="1"/>
        <v>0.30054977179664566</v>
      </c>
      <c r="K19" s="40">
        <v>1</v>
      </c>
    </row>
    <row r="20" spans="1:11" x14ac:dyDescent="0.25">
      <c r="A20" s="27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5">
        <f>'Paste from cobra outputs'!C25</f>
        <v>44901.60497126462</v>
      </c>
      <c r="G20" s="35">
        <f>'Paste from cobra outputs'!E25</f>
        <v>181538.17728858619</v>
      </c>
      <c r="H20" s="35">
        <f>'Paste from cobra outputs'!H25</f>
        <v>241347.31227898001</v>
      </c>
      <c r="I20" s="40">
        <f t="shared" si="0"/>
        <v>0.18604559772085474</v>
      </c>
      <c r="J20" s="40">
        <f t="shared" si="1"/>
        <v>0.75218644688589364</v>
      </c>
      <c r="K20" s="40">
        <v>1</v>
      </c>
    </row>
    <row r="21" spans="1:11" x14ac:dyDescent="0.25">
      <c r="A21" s="27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5">
        <f>'Paste from cobra outputs'!C27</f>
        <v>5051844</v>
      </c>
      <c r="G21" s="35">
        <f>'Paste from cobra outputs'!E27</f>
        <v>6063750</v>
      </c>
      <c r="H21" s="35">
        <f>'Paste from cobra outputs'!H27</f>
        <v>5865368</v>
      </c>
      <c r="I21" s="40">
        <f t="shared" si="0"/>
        <v>0.86130043332319473</v>
      </c>
      <c r="J21" s="40">
        <f t="shared" si="1"/>
        <v>1.0338226007302525</v>
      </c>
      <c r="K21" s="40">
        <v>1</v>
      </c>
    </row>
    <row r="22" spans="1:11" x14ac:dyDescent="0.25">
      <c r="A22" s="27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5">
        <f>'Paste from cobra outputs'!C30</f>
        <v>33705.610029366682</v>
      </c>
      <c r="G22" s="35">
        <f>'Paste from cobra outputs'!E30</f>
        <v>29210.556658830508</v>
      </c>
      <c r="H22" s="35">
        <f>'Paste from cobra outputs'!H30</f>
        <v>11811.99933646409</v>
      </c>
      <c r="I22" s="40">
        <f t="shared" si="0"/>
        <v>2.8535059196385308</v>
      </c>
      <c r="J22" s="40">
        <f t="shared" si="1"/>
        <v>2.4729561716665875</v>
      </c>
      <c r="K22" s="40">
        <v>1</v>
      </c>
    </row>
    <row r="23" spans="1:11" x14ac:dyDescent="0.25">
      <c r="A23" s="27" t="s">
        <v>138</v>
      </c>
      <c r="B23" s="1" t="s">
        <v>133</v>
      </c>
      <c r="C23" s="2" t="s">
        <v>130</v>
      </c>
      <c r="D23" s="2"/>
      <c r="I23" s="43">
        <v>1</v>
      </c>
      <c r="J23" s="43">
        <v>1</v>
      </c>
      <c r="K23" s="43">
        <v>1</v>
      </c>
    </row>
    <row r="24" spans="1:11" x14ac:dyDescent="0.25">
      <c r="A24" s="27" t="s">
        <v>138</v>
      </c>
      <c r="B24" s="1" t="s">
        <v>133</v>
      </c>
      <c r="C24" s="2" t="s">
        <v>130</v>
      </c>
      <c r="D24" s="2"/>
      <c r="I24" s="43">
        <v>1</v>
      </c>
      <c r="J24" s="43">
        <v>1</v>
      </c>
      <c r="K24" s="43">
        <v>1</v>
      </c>
    </row>
    <row r="25" spans="1:11" x14ac:dyDescent="0.25">
      <c r="A25" s="27" t="s">
        <v>138</v>
      </c>
      <c r="B25" s="1" t="s">
        <v>133</v>
      </c>
      <c r="C25" s="2" t="s">
        <v>130</v>
      </c>
      <c r="D25" s="2"/>
      <c r="I25" s="43">
        <v>1</v>
      </c>
      <c r="J25" s="43">
        <v>1</v>
      </c>
      <c r="K25" s="43">
        <v>1</v>
      </c>
    </row>
    <row r="26" spans="1:11" x14ac:dyDescent="0.25">
      <c r="A26" s="27" t="s">
        <v>138</v>
      </c>
      <c r="B26" s="1" t="s">
        <v>133</v>
      </c>
      <c r="C26" s="2" t="s">
        <v>130</v>
      </c>
      <c r="D26" s="2"/>
      <c r="I26" s="43">
        <v>1</v>
      </c>
      <c r="J26" s="43">
        <v>1</v>
      </c>
      <c r="K26" s="43">
        <v>1</v>
      </c>
    </row>
    <row r="27" spans="1:11" x14ac:dyDescent="0.25">
      <c r="A27" s="27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7">
        <f>'Paste from cobra outputs'!C33</f>
        <v>0.61674826354256962</v>
      </c>
      <c r="G27" s="37">
        <f>'Paste from cobra outputs'!E33</f>
        <v>0.50148370405614151</v>
      </c>
      <c r="H27" s="37">
        <f>'Paste from cobra outputs'!H33</f>
        <v>0.2336286773757866</v>
      </c>
      <c r="I27" s="40">
        <f t="shared" ref="I27:I33" si="2">$F27*K27/H27</f>
        <v>2.6398654072357033</v>
      </c>
      <c r="J27" s="40">
        <f t="shared" ref="J27:J33" si="3">G27*K27/H27</f>
        <v>2.1464989216607</v>
      </c>
      <c r="K27" s="40">
        <v>1</v>
      </c>
    </row>
    <row r="28" spans="1:11" x14ac:dyDescent="0.25">
      <c r="A28" s="27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7">
        <f>'Paste from cobra outputs'!C34</f>
        <v>0.22663597264519761</v>
      </c>
      <c r="G28" s="37">
        <f>'Paste from cobra outputs'!E34</f>
        <v>0.14552916262546309</v>
      </c>
      <c r="H28" s="37">
        <f>'Paste from cobra outputs'!H34</f>
        <v>7.1846242049152742E-2</v>
      </c>
      <c r="I28" s="40">
        <f t="shared" si="2"/>
        <v>3.1544582734076383</v>
      </c>
      <c r="J28" s="40">
        <f t="shared" si="3"/>
        <v>2.0255640166384912</v>
      </c>
      <c r="K28" s="40">
        <v>1</v>
      </c>
    </row>
    <row r="29" spans="1:11" x14ac:dyDescent="0.25">
      <c r="A29" s="27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7">
        <f>'Paste from cobra outputs'!C35</f>
        <v>4.5958103288260672E-2</v>
      </c>
      <c r="G29" s="37">
        <f>'Paste from cobra outputs'!E35</f>
        <v>4.4304825183679022E-2</v>
      </c>
      <c r="H29" s="37">
        <f>'Paste from cobra outputs'!H35</f>
        <v>2.18127489793506E-2</v>
      </c>
      <c r="I29" s="40">
        <f t="shared" si="2"/>
        <v>2.1069377056402963</v>
      </c>
      <c r="J29" s="40">
        <f t="shared" si="3"/>
        <v>2.0311435860569853</v>
      </c>
      <c r="K29" s="40">
        <v>1</v>
      </c>
    </row>
    <row r="30" spans="1:11" x14ac:dyDescent="0.25">
      <c r="A30" s="27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7">
        <f>'Paste from cobra outputs'!C37</f>
        <v>85.672607960364147</v>
      </c>
      <c r="G30" s="37">
        <f>'Paste from cobra outputs'!E37</f>
        <v>61.122225016912822</v>
      </c>
      <c r="H30" s="37">
        <f>'Paste from cobra outputs'!H37</f>
        <v>28.75104347383531</v>
      </c>
      <c r="I30" s="40">
        <f t="shared" si="2"/>
        <v>2.9798086472350098</v>
      </c>
      <c r="J30" s="40">
        <f t="shared" si="3"/>
        <v>2.12591327589681</v>
      </c>
      <c r="K30" s="40">
        <v>1</v>
      </c>
    </row>
    <row r="31" spans="1:11" x14ac:dyDescent="0.25">
      <c r="A31" s="27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7">
        <f>'Paste from cobra outputs'!C38</f>
        <v>7.1765420410732252</v>
      </c>
      <c r="G31" s="37">
        <f>'Paste from cobra outputs'!E38</f>
        <v>3.6129990293198508</v>
      </c>
      <c r="H31" s="37">
        <f>'Paste from cobra outputs'!H38</f>
        <v>1.787916686433014</v>
      </c>
      <c r="I31" s="40">
        <f t="shared" si="2"/>
        <v>4.0139130058631514</v>
      </c>
      <c r="J31" s="40">
        <f t="shared" si="3"/>
        <v>2.0207871299238054</v>
      </c>
      <c r="K31" s="40">
        <v>1</v>
      </c>
    </row>
    <row r="32" spans="1:11" x14ac:dyDescent="0.25">
      <c r="A32" s="27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7">
        <f>'Paste from cobra outputs'!C39</f>
        <v>7.5050171602199613</v>
      </c>
      <c r="G32" s="37">
        <f>'Paste from cobra outputs'!E39</f>
        <v>4.6329121005613354</v>
      </c>
      <c r="H32" s="37">
        <f>'Paste from cobra outputs'!H39</f>
        <v>2.2915889874100221</v>
      </c>
      <c r="I32" s="40">
        <f t="shared" si="2"/>
        <v>3.2750275906597937</v>
      </c>
      <c r="J32" s="40">
        <f t="shared" si="3"/>
        <v>2.0217028996100654</v>
      </c>
      <c r="K32" s="40">
        <v>1</v>
      </c>
    </row>
    <row r="33" spans="1:20" x14ac:dyDescent="0.25">
      <c r="A33" s="27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7">
        <f>'Paste from cobra outputs'!C41</f>
        <v>90.150236805019645</v>
      </c>
      <c r="G33" s="37">
        <f>'Paste from cobra outputs'!E41</f>
        <v>89.961874264086561</v>
      </c>
      <c r="H33" s="37">
        <f>'Paste from cobra outputs'!H41</f>
        <v>40.986380547159747</v>
      </c>
      <c r="I33" s="40">
        <f t="shared" si="2"/>
        <v>2.1995169029695361</v>
      </c>
      <c r="J33" s="40">
        <f t="shared" si="3"/>
        <v>2.1949211680346994</v>
      </c>
      <c r="K33" s="40">
        <v>1</v>
      </c>
    </row>
    <row r="34" spans="1:20" x14ac:dyDescent="0.25">
      <c r="A34" s="27" t="s">
        <v>138</v>
      </c>
      <c r="B34" s="1" t="s">
        <v>134</v>
      </c>
      <c r="C34" s="2" t="s">
        <v>115</v>
      </c>
      <c r="D34" s="2"/>
      <c r="I34" s="43">
        <v>1</v>
      </c>
      <c r="J34" s="43">
        <v>1</v>
      </c>
      <c r="K34" s="43">
        <v>1</v>
      </c>
    </row>
    <row r="35" spans="1:20" x14ac:dyDescent="0.25">
      <c r="A35" s="27" t="s">
        <v>138</v>
      </c>
      <c r="B35" s="1" t="s">
        <v>134</v>
      </c>
      <c r="C35" s="2" t="s">
        <v>115</v>
      </c>
      <c r="D35" s="2"/>
      <c r="I35" s="43">
        <v>1</v>
      </c>
      <c r="J35" s="43">
        <v>1</v>
      </c>
      <c r="K35" s="43">
        <v>1</v>
      </c>
    </row>
    <row r="36" spans="1:20" x14ac:dyDescent="0.25">
      <c r="A36" s="27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7">
        <f>'Paste from cobra outputs'!C44</f>
        <v>7.9558406090634623E-2</v>
      </c>
      <c r="G36" s="37">
        <f>'Paste from cobra outputs'!E44</f>
        <v>0.100074589285146</v>
      </c>
      <c r="H36" s="37">
        <f>'Paste from cobra outputs'!H44</f>
        <v>2.4251011200718511E-2</v>
      </c>
      <c r="I36" s="40">
        <f t="shared" ref="I36:I71" si="4">$F36*K36/H36</f>
        <v>3.2806222153852893</v>
      </c>
      <c r="J36" s="40">
        <f t="shared" ref="J36:J71" si="5">G36*K36/H36</f>
        <v>4.1266151112981619</v>
      </c>
      <c r="K36" s="40">
        <v>1</v>
      </c>
    </row>
    <row r="37" spans="1:20" x14ac:dyDescent="0.25">
      <c r="A37" s="27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7">
        <f>'Paste from cobra outputs'!C45</f>
        <v>5.432733320765798E-2</v>
      </c>
      <c r="G37" s="37">
        <f>'Paste from cobra outputs'!E45</f>
        <v>0.45639938933565682</v>
      </c>
      <c r="H37" s="37">
        <f>'Paste from cobra outputs'!H45</f>
        <v>0.15148675726665889</v>
      </c>
      <c r="I37" s="40">
        <f t="shared" si="4"/>
        <v>0.35862760671565991</v>
      </c>
      <c r="J37" s="40">
        <f t="shared" si="5"/>
        <v>3.012800574589281</v>
      </c>
      <c r="K37" s="40">
        <v>1</v>
      </c>
    </row>
    <row r="38" spans="1:20" x14ac:dyDescent="0.25">
      <c r="A38" s="27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7">
        <f>'Paste from cobra outputs'!C46</f>
        <v>3.0489052829997099</v>
      </c>
      <c r="G38" s="56">
        <f>'Paste from cobra outputs'!E46</f>
        <v>3.8410599013667812</v>
      </c>
      <c r="H38" s="56">
        <f>'Paste from cobra outputs'!H46</f>
        <v>4.4455024841653721</v>
      </c>
      <c r="I38" s="40">
        <f t="shared" si="4"/>
        <v>0.6858404182338752</v>
      </c>
      <c r="J38" s="40">
        <f t="shared" si="5"/>
        <v>0.86403278708051989</v>
      </c>
      <c r="K38" s="40">
        <v>1</v>
      </c>
    </row>
    <row r="39" spans="1:20" x14ac:dyDescent="0.25">
      <c r="A39" s="27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7">
        <f>'Paste from cobra outputs'!C47</f>
        <v>0.3038629989246453</v>
      </c>
      <c r="G39" s="37">
        <f>'Paste from cobra outputs'!E47</f>
        <v>0.39550526494445509</v>
      </c>
      <c r="H39" s="37">
        <f>'Paste from cobra outputs'!H47</f>
        <v>0.45188225849513353</v>
      </c>
      <c r="I39" s="40">
        <f t="shared" si="4"/>
        <v>0.67243843548223237</v>
      </c>
      <c r="J39" s="40">
        <f t="shared" si="5"/>
        <v>0.87523963932900106</v>
      </c>
      <c r="K39" s="40">
        <v>1</v>
      </c>
    </row>
    <row r="40" spans="1:20" x14ac:dyDescent="0.25">
      <c r="A40" s="27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7">
        <f>'Paste from cobra outputs'!C49</f>
        <v>14.83431041031602</v>
      </c>
      <c r="G40" s="37">
        <f>'Paste from cobra outputs'!E49</f>
        <v>29.20218789847257</v>
      </c>
      <c r="H40" s="37">
        <f>'Paste from cobra outputs'!H49</f>
        <v>20.861255765006849</v>
      </c>
      <c r="I40" s="40">
        <f t="shared" si="4"/>
        <v>0.71109383717922836</v>
      </c>
      <c r="J40" s="40">
        <f t="shared" si="5"/>
        <v>1.3998288610917178</v>
      </c>
      <c r="K40" s="40">
        <v>1</v>
      </c>
    </row>
    <row r="41" spans="1:20" x14ac:dyDescent="0.25">
      <c r="A41" s="27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7">
        <f>'Paste from cobra outputs'!C50</f>
        <v>0.36960632767856821</v>
      </c>
      <c r="G41" s="37">
        <f>'Paste from cobra outputs'!E50</f>
        <v>0.31841774773536918</v>
      </c>
      <c r="H41" s="37">
        <f>'Paste from cobra outputs'!H50</f>
        <v>0.12664332510301271</v>
      </c>
      <c r="I41" s="40">
        <f t="shared" si="4"/>
        <v>2.9184824970279912</v>
      </c>
      <c r="J41" s="40">
        <f t="shared" si="5"/>
        <v>2.514287645846045</v>
      </c>
      <c r="K41" s="40">
        <v>1</v>
      </c>
    </row>
    <row r="42" spans="1:20" x14ac:dyDescent="0.25">
      <c r="A42" s="27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7">
        <f>'Paste from cobra outputs'!C51</f>
        <v>6.4965390674631487E-2</v>
      </c>
      <c r="G42" s="37">
        <f>'Paste from cobra outputs'!E51</f>
        <v>4.8317848492574512E-2</v>
      </c>
      <c r="H42" s="37">
        <f>'Paste from cobra outputs'!H51</f>
        <v>3.8005823997397312E-2</v>
      </c>
      <c r="I42" s="40">
        <f t="shared" si="4"/>
        <v>1.7093535632612624</v>
      </c>
      <c r="J42" s="40">
        <f t="shared" si="5"/>
        <v>1.2713274811745532</v>
      </c>
      <c r="K42" s="40">
        <v>1</v>
      </c>
    </row>
    <row r="43" spans="1:20" x14ac:dyDescent="0.25">
      <c r="A43" s="27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7">
        <f>'Paste from cobra outputs'!C52</f>
        <v>0.13774536223179079</v>
      </c>
      <c r="G43" s="37">
        <f>'Paste from cobra outputs'!E52</f>
        <v>6.4089105010101025E-2</v>
      </c>
      <c r="H43" s="37">
        <f>'Paste from cobra outputs'!H52</f>
        <v>1.6193316412734401E-2</v>
      </c>
      <c r="I43" s="40">
        <f t="shared" si="4"/>
        <v>8.506309561361256</v>
      </c>
      <c r="J43" s="40">
        <f t="shared" si="5"/>
        <v>3.9577504308939115</v>
      </c>
      <c r="K43" s="40">
        <v>1</v>
      </c>
    </row>
    <row r="44" spans="1:20" x14ac:dyDescent="0.25">
      <c r="A44" s="27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7">
        <f>'Paste from cobra outputs'!C53</f>
        <v>3.0096057950557219E-2</v>
      </c>
      <c r="G44" s="37">
        <f>'Paste from cobra outputs'!E53</f>
        <v>1.3430144722156111E-2</v>
      </c>
      <c r="H44" s="37">
        <f>'Paste from cobra outputs'!H53</f>
        <v>2.3846872349572441E-3</v>
      </c>
      <c r="I44" s="40">
        <f t="shared" si="4"/>
        <v>12.62054726061249</v>
      </c>
      <c r="J44" s="40">
        <f t="shared" si="5"/>
        <v>5.6318264824346675</v>
      </c>
      <c r="K44" s="40">
        <v>1</v>
      </c>
    </row>
    <row r="45" spans="1:20" x14ac:dyDescent="0.25">
      <c r="A45" s="27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7">
        <f>'Paste from cobra outputs'!C54</f>
        <v>0.17741268053966169</v>
      </c>
      <c r="G45" s="37">
        <f>'Paste from cobra outputs'!E54</f>
        <v>0.1163026004360604</v>
      </c>
      <c r="H45" s="37">
        <f>'Paste from cobra outputs'!H54</f>
        <v>7.8303975769437428E-2</v>
      </c>
      <c r="I45" s="40">
        <f t="shared" si="4"/>
        <v>2.2656918604241172</v>
      </c>
      <c r="J45" s="40">
        <f t="shared" si="5"/>
        <v>1.4852706940259104</v>
      </c>
      <c r="K45" s="40">
        <v>1</v>
      </c>
      <c r="N45" s="3" t="str">
        <f>'Paste from cobra outputs'!B57</f>
        <v>Bike (20-64yrs cyclists)</v>
      </c>
      <c r="O45" s="37">
        <f>'Paste from cobra outputs'!C57</f>
        <v>14.27809661033506</v>
      </c>
      <c r="P45" s="37">
        <f>'Paste from cobra outputs'!E57</f>
        <v>18.949976644868549</v>
      </c>
      <c r="Q45" s="37">
        <f>'Paste from cobra outputs'!H57</f>
        <v>29.48596844356225</v>
      </c>
      <c r="R45" s="40">
        <f>$O45*T45/Q45</f>
        <v>0.48423359869166638</v>
      </c>
      <c r="S45" s="40">
        <f>P45*T45/Q45</f>
        <v>0.64267777675811588</v>
      </c>
      <c r="T45" s="40">
        <v>1</v>
      </c>
    </row>
    <row r="46" spans="1:20" x14ac:dyDescent="0.25">
      <c r="A46" s="27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7">
        <f>'Paste from cobra outputs'!C55</f>
        <v>0.45195506187070089</v>
      </c>
      <c r="G46" s="37">
        <f>'Paste from cobra outputs'!E55</f>
        <v>0.54223352435506422</v>
      </c>
      <c r="H46" s="37">
        <f>'Paste from cobra outputs'!H55</f>
        <v>0.21855519559066611</v>
      </c>
      <c r="I46" s="40">
        <f t="shared" si="4"/>
        <v>2.0679218384593856</v>
      </c>
      <c r="J46" s="40">
        <f t="shared" si="5"/>
        <v>2.4809912337687821</v>
      </c>
      <c r="K46" s="40">
        <v>1</v>
      </c>
      <c r="N46" s="3" t="str">
        <f>'Paste from cobra outputs'!B58</f>
        <v>Walk (20-74yrs walkers)</v>
      </c>
      <c r="O46" s="37">
        <f>'Paste from cobra outputs'!C58</f>
        <v>28.612952539416469</v>
      </c>
      <c r="P46" s="37">
        <f>'Paste from cobra outputs'!E58</f>
        <v>32.098734256336527</v>
      </c>
      <c r="Q46" s="37">
        <f>'Paste from cobra outputs'!H58</f>
        <v>42.564084699546918</v>
      </c>
      <c r="R46" s="40">
        <f>$O46*T46/Q46</f>
        <v>0.67223229963455655</v>
      </c>
      <c r="S46" s="40">
        <f>P46*T46/Q46</f>
        <v>0.75412720566920144</v>
      </c>
      <c r="T46" s="40">
        <v>1</v>
      </c>
    </row>
    <row r="47" spans="1:20" x14ac:dyDescent="0.25">
      <c r="A47" s="27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5">
        <f>'Paste from cobra outputs'!C61</f>
        <v>424555</v>
      </c>
      <c r="G47" s="35">
        <f>'Paste from cobra outputs'!E61</f>
        <v>822988</v>
      </c>
      <c r="H47" s="35">
        <f>'Paste from cobra outputs'!H61</f>
        <v>2134547</v>
      </c>
      <c r="I47" s="40">
        <f t="shared" si="4"/>
        <v>0.19889700250217024</v>
      </c>
      <c r="J47" s="40">
        <f t="shared" si="5"/>
        <v>0.38555627962279582</v>
      </c>
      <c r="K47" s="40">
        <v>1</v>
      </c>
      <c r="N47" s="3" t="str">
        <f>'Paste from cobra outputs'!B59</f>
        <v>Transit (20-74yrs transit riders)</v>
      </c>
      <c r="O47" s="37">
        <f>'Paste from cobra outputs'!C59</f>
        <v>4.8584462721095871</v>
      </c>
      <c r="P47" s="37">
        <f>'Paste from cobra outputs'!E59</f>
        <v>8.1719486200312446</v>
      </c>
      <c r="Q47" s="37">
        <f>'Paste from cobra outputs'!H59</f>
        <v>31.373611072846209</v>
      </c>
      <c r="R47" s="40">
        <f>$O47*T47/Q47</f>
        <v>0.15485773253288532</v>
      </c>
      <c r="S47" s="40">
        <f>P47*T47/Q47</f>
        <v>0.26047204451718498</v>
      </c>
      <c r="T47" s="40">
        <v>1</v>
      </c>
    </row>
    <row r="48" spans="1:20" x14ac:dyDescent="0.25">
      <c r="A48" s="27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7">
        <f>'Paste from cobra outputs'!C67</f>
        <v>27.128200799999991</v>
      </c>
      <c r="G48" s="37">
        <f>'Paste from cobra outputs'!E67</f>
        <v>39.530621519999997</v>
      </c>
      <c r="H48" s="37">
        <f>'Paste from cobra outputs'!H67</f>
        <v>98.048735519999966</v>
      </c>
      <c r="I48" s="40">
        <f t="shared" si="4"/>
        <v>0.27668078181861289</v>
      </c>
      <c r="J48" s="40">
        <f t="shared" si="5"/>
        <v>0.40317319045829558</v>
      </c>
      <c r="K48" s="40">
        <v>1</v>
      </c>
    </row>
    <row r="49" spans="1:20" x14ac:dyDescent="0.25">
      <c r="A49" s="27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7">
        <f>'Paste from cobra outputs'!C68</f>
        <v>205.96200703571429</v>
      </c>
      <c r="G49" s="37">
        <f>'Paste from cobra outputs'!E68</f>
        <v>342.96574714285708</v>
      </c>
      <c r="H49" s="37">
        <f>'Paste from cobra outputs'!H68</f>
        <v>831.9309361785713</v>
      </c>
      <c r="I49" s="40">
        <f t="shared" si="4"/>
        <v>0.24757103994928878</v>
      </c>
      <c r="J49" s="40">
        <f t="shared" si="5"/>
        <v>0.41225266693200668</v>
      </c>
      <c r="K49" s="40">
        <v>1</v>
      </c>
      <c r="N49" s="3" t="str">
        <f>'Paste from cobra outputs'!B63</f>
        <v>Bike (20-64yrs cyclists)</v>
      </c>
      <c r="O49" s="37">
        <f>'Paste from cobra outputs'!C63</f>
        <v>7.139048305167528E-2</v>
      </c>
      <c r="P49" s="37">
        <f>'Paste from cobra outputs'!E63</f>
        <v>9.4749883224342704E-2</v>
      </c>
      <c r="Q49" s="37">
        <f>'Paste from cobra outputs'!H63</f>
        <v>0.14742984221781119</v>
      </c>
      <c r="R49" s="40">
        <f>$O49*T49/Q49</f>
        <v>0.48423359869166638</v>
      </c>
      <c r="S49" s="40">
        <f>P49*T49/Q49</f>
        <v>0.64267777675811588</v>
      </c>
      <c r="T49" s="40">
        <v>1</v>
      </c>
    </row>
    <row r="50" spans="1:20" x14ac:dyDescent="0.25">
      <c r="A50" s="27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7">
        <f>'Paste from cobra outputs'!C69</f>
        <v>142.50154678571431</v>
      </c>
      <c r="G50" s="37">
        <f>'Paste from cobra outputs'!E69</f>
        <v>235.81332460714279</v>
      </c>
      <c r="H50" s="37">
        <f>'Paste from cobra outputs'!H69</f>
        <v>494.34311535714261</v>
      </c>
      <c r="I50" s="40">
        <f t="shared" si="4"/>
        <v>0.28826445106404042</v>
      </c>
      <c r="J50" s="40">
        <f t="shared" si="5"/>
        <v>0.47702358398736339</v>
      </c>
      <c r="K50" s="40">
        <v>1</v>
      </c>
      <c r="N50" s="3" t="str">
        <f>'Paste from cobra outputs'!B64</f>
        <v>Walk (20-74yrs walkers)</v>
      </c>
      <c r="O50" s="37">
        <f>'Paste from cobra outputs'!C64</f>
        <v>9.367335652785154E-2</v>
      </c>
      <c r="P50" s="37">
        <f>'Paste from cobra outputs'!E64</f>
        <v>0.1050851419106256</v>
      </c>
      <c r="Q50" s="37">
        <f>'Paste from cobra outputs'!H64</f>
        <v>0.13934670586161191</v>
      </c>
      <c r="R50" s="40">
        <f>$O50*T50/Q50</f>
        <v>0.67223229963455677</v>
      </c>
      <c r="S50" s="40">
        <f>P50*T50/Q50</f>
        <v>0.75412720566920199</v>
      </c>
      <c r="T50" s="40">
        <v>1</v>
      </c>
    </row>
    <row r="51" spans="1:20" x14ac:dyDescent="0.25">
      <c r="A51" s="27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5">
        <f>'Paste from cobra outputs'!C71</f>
        <v>125766473.8332997</v>
      </c>
      <c r="G51" s="35">
        <f>'Paste from cobra outputs'!E71</f>
        <v>171323062.52799991</v>
      </c>
      <c r="H51" s="35">
        <f>'Paste from cobra outputs'!H71</f>
        <v>201044209.2515994</v>
      </c>
      <c r="I51" s="40">
        <f t="shared" si="4"/>
        <v>0.62556625879190386</v>
      </c>
      <c r="J51" s="40">
        <f t="shared" si="5"/>
        <v>0.85216611393962327</v>
      </c>
      <c r="K51" s="40">
        <v>1</v>
      </c>
      <c r="N51" s="3" t="str">
        <f>'Paste from cobra outputs'!B65</f>
        <v>Transit (20-74yrs transit riders)</v>
      </c>
      <c r="O51" s="37">
        <f>'Paste from cobra outputs'!C65</f>
        <v>1.5905627676549239E-2</v>
      </c>
      <c r="P51" s="37">
        <f>'Paste from cobra outputs'!E65</f>
        <v>2.675340322034038E-2</v>
      </c>
      <c r="Q51" s="37">
        <f>'Paste from cobra outputs'!H65</f>
        <v>0.1027112267265798</v>
      </c>
      <c r="R51" s="40">
        <f>$O51*T51/Q51</f>
        <v>0.15485773253288534</v>
      </c>
      <c r="S51" s="40">
        <f>P51*T51/Q51</f>
        <v>0.26047204451718503</v>
      </c>
      <c r="T51" s="40">
        <v>1</v>
      </c>
    </row>
    <row r="52" spans="1:20" x14ac:dyDescent="0.25">
      <c r="A52" s="27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5">
        <f>'Paste from cobra outputs'!C72</f>
        <v>14351071.696699999</v>
      </c>
      <c r="G52" s="35">
        <f>'Paste from cobra outputs'!E72</f>
        <v>16807319.22709997</v>
      </c>
      <c r="H52" s="35">
        <f>'Paste from cobra outputs'!H72</f>
        <v>16691025.531299969</v>
      </c>
      <c r="I52" s="40">
        <f t="shared" si="4"/>
        <v>0.85980766548993925</v>
      </c>
      <c r="J52" s="40">
        <f t="shared" si="5"/>
        <v>1.0069674386143572</v>
      </c>
      <c r="K52" s="40">
        <v>1</v>
      </c>
    </row>
    <row r="53" spans="1:20" x14ac:dyDescent="0.25">
      <c r="A53" s="26" t="s">
        <v>137</v>
      </c>
      <c r="B53" s="1" t="s">
        <v>127</v>
      </c>
      <c r="C53" s="2" t="s">
        <v>11</v>
      </c>
      <c r="D53" s="2"/>
      <c r="E53" s="3" t="s">
        <v>12</v>
      </c>
      <c r="F53" s="42">
        <f t="shared" ref="F53:F71" si="6">F4</f>
        <v>357912.08010499942</v>
      </c>
      <c r="G53" s="35">
        <f>'Paste from cobra outputs'!D5</f>
        <v>641975.14433333336</v>
      </c>
      <c r="H53" s="35">
        <f>'Paste from cobra outputs'!G5</f>
        <v>895739.81733333319</v>
      </c>
      <c r="I53" s="40">
        <f t="shared" si="4"/>
        <v>0.39957147508583846</v>
      </c>
      <c r="J53" s="40">
        <f t="shared" si="5"/>
        <v>0.71669823302544344</v>
      </c>
      <c r="K53" s="40">
        <v>1</v>
      </c>
    </row>
    <row r="54" spans="1:20" x14ac:dyDescent="0.25">
      <c r="A54" s="26" t="s">
        <v>137</v>
      </c>
      <c r="B54" s="1" t="s">
        <v>127</v>
      </c>
      <c r="C54" s="2" t="s">
        <v>11</v>
      </c>
      <c r="D54" s="2"/>
      <c r="E54" s="3" t="s">
        <v>13</v>
      </c>
      <c r="F54" s="42">
        <f t="shared" si="6"/>
        <v>1933129.2165999999</v>
      </c>
      <c r="G54" s="35">
        <f>'Paste from cobra outputs'!D6</f>
        <v>138860.13716666671</v>
      </c>
      <c r="H54" s="35">
        <f>'Paste from cobra outputs'!G6</f>
        <v>427946.07966666669</v>
      </c>
      <c r="I54" s="40">
        <f t="shared" si="4"/>
        <v>4.5172261377081471</v>
      </c>
      <c r="J54" s="40">
        <f t="shared" si="5"/>
        <v>0.32448045154386473</v>
      </c>
      <c r="K54" s="40">
        <v>1</v>
      </c>
    </row>
    <row r="55" spans="1:20" x14ac:dyDescent="0.25">
      <c r="A55" s="26" t="s">
        <v>137</v>
      </c>
      <c r="B55" s="1" t="s">
        <v>127</v>
      </c>
      <c r="C55" s="2" t="s">
        <v>11</v>
      </c>
      <c r="D55" s="2"/>
      <c r="E55" s="3" t="s">
        <v>14</v>
      </c>
      <c r="F55" s="42">
        <f t="shared" si="6"/>
        <v>486549.17800000001</v>
      </c>
      <c r="G55" s="35">
        <f>'Paste from cobra outputs'!D7</f>
        <v>361434.48907833378</v>
      </c>
      <c r="H55" s="35">
        <f>'Paste from cobra outputs'!G7</f>
        <v>401639.83753999899</v>
      </c>
      <c r="I55" s="40">
        <f t="shared" si="4"/>
        <v>1.2114066696671866</v>
      </c>
      <c r="J55" s="40">
        <f t="shared" si="5"/>
        <v>0.8998970104461782</v>
      </c>
      <c r="K55" s="40">
        <v>1</v>
      </c>
    </row>
    <row r="56" spans="1:20" x14ac:dyDescent="0.25">
      <c r="A56" s="26" t="s">
        <v>137</v>
      </c>
      <c r="B56" s="1" t="s">
        <v>127</v>
      </c>
      <c r="C56" s="2" t="s">
        <v>11</v>
      </c>
      <c r="D56" s="2"/>
      <c r="E56" s="3" t="s">
        <v>15</v>
      </c>
      <c r="F56" s="42">
        <f t="shared" si="6"/>
        <v>5501144.4649103004</v>
      </c>
      <c r="G56" s="35">
        <f>'Paste from cobra outputs'!D8</f>
        <v>4789305.6289999997</v>
      </c>
      <c r="H56" s="35">
        <f>'Paste from cobra outputs'!G8</f>
        <v>5857454.739000001</v>
      </c>
      <c r="I56" s="40">
        <f t="shared" si="4"/>
        <v>0.93916977766514831</v>
      </c>
      <c r="J56" s="40">
        <f t="shared" si="5"/>
        <v>0.81764278895949982</v>
      </c>
      <c r="K56" s="40">
        <v>1</v>
      </c>
    </row>
    <row r="57" spans="1:20" x14ac:dyDescent="0.25">
      <c r="A57" s="26" t="s">
        <v>137</v>
      </c>
      <c r="B57" s="1" t="s">
        <v>127</v>
      </c>
      <c r="C57" s="2" t="s">
        <v>11</v>
      </c>
      <c r="D57" s="2"/>
      <c r="E57" s="3" t="s">
        <v>16</v>
      </c>
      <c r="F57" s="42">
        <f t="shared" si="6"/>
        <v>242947.90633333329</v>
      </c>
      <c r="G57" s="35">
        <f>'Paste from cobra outputs'!D9</f>
        <v>604934.94900000002</v>
      </c>
      <c r="H57" s="35">
        <f>'Paste from cobra outputs'!G9</f>
        <v>1589718.52</v>
      </c>
      <c r="I57" s="40">
        <f t="shared" si="4"/>
        <v>0.15282448010565625</v>
      </c>
      <c r="J57" s="40">
        <f t="shared" si="5"/>
        <v>0.38052959778061846</v>
      </c>
      <c r="K57" s="40">
        <v>1</v>
      </c>
    </row>
    <row r="58" spans="1:20" x14ac:dyDescent="0.25">
      <c r="A58" s="26" t="s">
        <v>137</v>
      </c>
      <c r="B58" s="1" t="s">
        <v>127</v>
      </c>
      <c r="C58" s="2" t="s">
        <v>11</v>
      </c>
      <c r="D58" s="2"/>
      <c r="E58" s="3" t="s">
        <v>17</v>
      </c>
      <c r="F58" s="42">
        <f t="shared" si="6"/>
        <v>105833.894</v>
      </c>
      <c r="G58" s="35">
        <f>'Paste from cobra outputs'!D10</f>
        <v>5455679.4209610997</v>
      </c>
      <c r="H58" s="35">
        <f>'Paste from cobra outputs'!G10</f>
        <v>5481273.0953252995</v>
      </c>
      <c r="I58" s="40">
        <f t="shared" si="4"/>
        <v>1.9308268746955952E-2</v>
      </c>
      <c r="J58" s="40">
        <f t="shared" si="5"/>
        <v>0.99533070622114639</v>
      </c>
      <c r="K58" s="40">
        <v>1</v>
      </c>
    </row>
    <row r="59" spans="1:20" x14ac:dyDescent="0.25">
      <c r="A59" s="26" t="s">
        <v>137</v>
      </c>
      <c r="B59" s="1" t="s">
        <v>127</v>
      </c>
      <c r="C59" s="2" t="s">
        <v>128</v>
      </c>
      <c r="D59" s="2"/>
      <c r="E59" s="3" t="s">
        <v>6</v>
      </c>
      <c r="F59" s="42">
        <f t="shared" si="6"/>
        <v>2229240.54</v>
      </c>
      <c r="G59" s="35">
        <f>'Paste from cobra outputs'!D12</f>
        <v>2397310.13</v>
      </c>
      <c r="H59" s="35">
        <f>'Paste from cobra outputs'!G12</f>
        <v>3852591.59</v>
      </c>
      <c r="I59" s="40">
        <f t="shared" si="4"/>
        <v>0.57863401503194378</v>
      </c>
      <c r="J59" s="40">
        <f t="shared" si="5"/>
        <v>0.62225908819989917</v>
      </c>
      <c r="K59" s="40">
        <v>1</v>
      </c>
    </row>
    <row r="60" spans="1:20" x14ac:dyDescent="0.25">
      <c r="A60" s="26" t="s">
        <v>137</v>
      </c>
      <c r="B60" s="1" t="s">
        <v>127</v>
      </c>
      <c r="C60" s="2" t="s">
        <v>128</v>
      </c>
      <c r="D60" s="2"/>
      <c r="E60" s="3" t="s">
        <v>7</v>
      </c>
      <c r="F60" s="42">
        <f t="shared" si="6"/>
        <v>861167.755</v>
      </c>
      <c r="G60" s="35">
        <f>'Paste from cobra outputs'!D13</f>
        <v>867980.75949999993</v>
      </c>
      <c r="H60" s="35">
        <f>'Paste from cobra outputs'!G13</f>
        <v>511564.20860000001</v>
      </c>
      <c r="I60" s="40">
        <f t="shared" si="4"/>
        <v>1.6834011068850214</v>
      </c>
      <c r="J60" s="40">
        <f t="shared" si="5"/>
        <v>1.696719091969719</v>
      </c>
      <c r="K60" s="40">
        <v>1</v>
      </c>
    </row>
    <row r="61" spans="1:20" x14ac:dyDescent="0.25">
      <c r="A61" s="26" t="s">
        <v>137</v>
      </c>
      <c r="B61" s="1" t="s">
        <v>127</v>
      </c>
      <c r="C61" s="2" t="s">
        <v>128</v>
      </c>
      <c r="D61" s="2"/>
      <c r="E61" s="3" t="s">
        <v>8</v>
      </c>
      <c r="F61" s="42">
        <f t="shared" si="6"/>
        <v>2121.1999999999998</v>
      </c>
      <c r="G61" s="35">
        <f>'Paste from cobra outputs'!D14</f>
        <v>10034.120000000001</v>
      </c>
      <c r="H61" s="35">
        <f>'Paste from cobra outputs'!G14</f>
        <v>8653.5499999999993</v>
      </c>
      <c r="I61" s="40">
        <f t="shared" si="4"/>
        <v>0.24512483316095707</v>
      </c>
      <c r="J61" s="40">
        <f t="shared" si="5"/>
        <v>1.1595379930779854</v>
      </c>
      <c r="K61" s="40">
        <v>1</v>
      </c>
    </row>
    <row r="62" spans="1:20" x14ac:dyDescent="0.25">
      <c r="A62" s="26" t="s">
        <v>137</v>
      </c>
      <c r="B62" s="1" t="s">
        <v>132</v>
      </c>
      <c r="C62" s="2" t="s">
        <v>129</v>
      </c>
      <c r="D62" s="2"/>
      <c r="E62" s="3" t="s">
        <v>9</v>
      </c>
      <c r="F62" s="42">
        <f t="shared" si="6"/>
        <v>99787.268858292591</v>
      </c>
      <c r="G62" s="35">
        <f>'Paste from cobra outputs'!D17</f>
        <v>137027.70396585879</v>
      </c>
      <c r="H62" s="35">
        <f>'Paste from cobra outputs'!G17</f>
        <v>291005.5980359072</v>
      </c>
      <c r="I62" s="40">
        <f t="shared" si="4"/>
        <v>0.34290498028831679</v>
      </c>
      <c r="J62" s="40">
        <f t="shared" si="5"/>
        <v>0.47087652227553001</v>
      </c>
      <c r="K62" s="40">
        <v>1</v>
      </c>
    </row>
    <row r="63" spans="1:20" x14ac:dyDescent="0.25">
      <c r="A63" s="26" t="s">
        <v>137</v>
      </c>
      <c r="B63" s="1" t="s">
        <v>132</v>
      </c>
      <c r="C63" s="2" t="s">
        <v>129</v>
      </c>
      <c r="D63" s="2"/>
      <c r="E63" s="3" t="s">
        <v>10</v>
      </c>
      <c r="F63" s="42">
        <f t="shared" si="6"/>
        <v>6266.2657454619603</v>
      </c>
      <c r="G63" s="35">
        <f>'Paste from cobra outputs'!D18</f>
        <v>7114.3788362510504</v>
      </c>
      <c r="H63" s="35">
        <f>'Paste from cobra outputs'!G18</f>
        <v>11652.10030053946</v>
      </c>
      <c r="I63" s="40">
        <f t="shared" si="4"/>
        <v>0.53777993527671997</v>
      </c>
      <c r="J63" s="40">
        <f t="shared" si="5"/>
        <v>0.61056622005920036</v>
      </c>
      <c r="K63" s="40">
        <v>1</v>
      </c>
    </row>
    <row r="64" spans="1:20" x14ac:dyDescent="0.25">
      <c r="A64" s="26" t="s">
        <v>137</v>
      </c>
      <c r="B64" s="1" t="s">
        <v>132</v>
      </c>
      <c r="C64" s="2" t="s">
        <v>141</v>
      </c>
      <c r="D64" s="2"/>
      <c r="E64" s="3" t="s">
        <v>201</v>
      </c>
      <c r="F64" s="42">
        <f t="shared" si="6"/>
        <v>35981.72026592301</v>
      </c>
      <c r="G64" s="35">
        <f>'Paste from cobra outputs'!D20</f>
        <v>20623.512984880828</v>
      </c>
      <c r="H64" s="35">
        <f>'Paste from cobra outputs'!G20</f>
        <v>147858.8073229375</v>
      </c>
      <c r="I64" s="40">
        <f t="shared" si="4"/>
        <v>0.24335189034316745</v>
      </c>
      <c r="J64" s="40">
        <f t="shared" si="5"/>
        <v>0.13948112634127463</v>
      </c>
      <c r="K64" s="40">
        <v>1</v>
      </c>
    </row>
    <row r="65" spans="1:11" x14ac:dyDescent="0.25">
      <c r="A65" s="26" t="s">
        <v>137</v>
      </c>
      <c r="B65" s="1" t="s">
        <v>132</v>
      </c>
      <c r="C65" s="2" t="s">
        <v>141</v>
      </c>
      <c r="D65" s="2"/>
      <c r="E65" s="3" t="s">
        <v>143</v>
      </c>
      <c r="F65" s="42">
        <f t="shared" si="6"/>
        <v>0</v>
      </c>
      <c r="G65" s="35">
        <f>'Paste from cobra outputs'!D21</f>
        <v>0</v>
      </c>
      <c r="H65" s="35">
        <f>'Paste from cobra outputs'!G21</f>
        <v>7934.5457949993652</v>
      </c>
      <c r="I65" s="54">
        <v>0</v>
      </c>
      <c r="J65" s="54">
        <v>1</v>
      </c>
      <c r="K65" s="40">
        <v>1</v>
      </c>
    </row>
    <row r="66" spans="1:11" x14ac:dyDescent="0.25">
      <c r="A66" s="26" t="s">
        <v>137</v>
      </c>
      <c r="B66" s="1" t="s">
        <v>132</v>
      </c>
      <c r="C66" s="2" t="s">
        <v>141</v>
      </c>
      <c r="D66" s="2"/>
      <c r="E66" s="3" t="s">
        <v>142</v>
      </c>
      <c r="F66" s="42">
        <f t="shared" si="6"/>
        <v>7674.5907440663595</v>
      </c>
      <c r="G66" s="35">
        <f>'Paste from cobra outputs'!D22</f>
        <v>9660.4008493107067</v>
      </c>
      <c r="H66" s="35">
        <f>'Paste from cobra outputs'!G22</f>
        <v>57301.743679509571</v>
      </c>
      <c r="I66" s="40">
        <f t="shared" si="4"/>
        <v>0.13393293556633432</v>
      </c>
      <c r="J66" s="40">
        <f t="shared" si="5"/>
        <v>0.16858825279980358</v>
      </c>
      <c r="K66" s="40">
        <v>1</v>
      </c>
    </row>
    <row r="67" spans="1:11" x14ac:dyDescent="0.25">
      <c r="A67" s="26" t="s">
        <v>137</v>
      </c>
      <c r="B67" s="1" t="s">
        <v>132</v>
      </c>
      <c r="C67" s="2" t="s">
        <v>141</v>
      </c>
      <c r="D67" s="2"/>
      <c r="E67" s="3" t="s">
        <v>144</v>
      </c>
      <c r="F67" s="42">
        <f t="shared" si="6"/>
        <v>7967.9443188510186</v>
      </c>
      <c r="G67" s="35">
        <f>'Paste from cobra outputs'!D23</f>
        <v>4774.8911988653635</v>
      </c>
      <c r="H67" s="35">
        <f>'Paste from cobra outputs'!G23</f>
        <v>2868.9650171468711</v>
      </c>
      <c r="I67" s="40">
        <f t="shared" si="4"/>
        <v>2.7772887683290683</v>
      </c>
      <c r="J67" s="40">
        <f t="shared" si="5"/>
        <v>1.6643253474083481</v>
      </c>
      <c r="K67" s="40">
        <v>1</v>
      </c>
    </row>
    <row r="68" spans="1:11" x14ac:dyDescent="0.25">
      <c r="A68" s="26" t="s">
        <v>137</v>
      </c>
      <c r="B68" s="1" t="s">
        <v>132</v>
      </c>
      <c r="C68" s="2" t="s">
        <v>141</v>
      </c>
      <c r="D68" s="2"/>
      <c r="E68" s="3" t="s">
        <v>227</v>
      </c>
      <c r="F68" s="42">
        <f t="shared" si="6"/>
        <v>0</v>
      </c>
      <c r="G68" s="35">
        <f>'Paste from cobra outputs'!D24</f>
        <v>10449.26177905957</v>
      </c>
      <c r="H68" s="35">
        <f>'Paste from cobra outputs'!G24</f>
        <v>28226.597721019021</v>
      </c>
      <c r="I68" s="40">
        <f t="shared" si="4"/>
        <v>0</v>
      </c>
      <c r="J68" s="40">
        <f t="shared" si="5"/>
        <v>0.37019203952017554</v>
      </c>
      <c r="K68" s="40">
        <v>1</v>
      </c>
    </row>
    <row r="69" spans="1:11" x14ac:dyDescent="0.25">
      <c r="A69" s="26" t="s">
        <v>137</v>
      </c>
      <c r="B69" s="1" t="s">
        <v>132</v>
      </c>
      <c r="C69" s="2" t="s">
        <v>141</v>
      </c>
      <c r="D69" s="2"/>
      <c r="E69" s="3" t="s">
        <v>30</v>
      </c>
      <c r="F69" s="42">
        <f t="shared" si="6"/>
        <v>44901.60497126462</v>
      </c>
      <c r="G69" s="35">
        <f>'Paste from cobra outputs'!D25</f>
        <v>43916.941968570623</v>
      </c>
      <c r="H69" s="35">
        <f>'Paste from cobra outputs'!G25</f>
        <v>66458.743440445571</v>
      </c>
      <c r="I69" s="40">
        <f t="shared" si="4"/>
        <v>0.67563126605758739</v>
      </c>
      <c r="J69" s="40">
        <f t="shared" si="5"/>
        <v>0.6608151116778952</v>
      </c>
      <c r="K69" s="40">
        <v>1</v>
      </c>
    </row>
    <row r="70" spans="1:11" x14ac:dyDescent="0.25">
      <c r="A70" s="26" t="s">
        <v>137</v>
      </c>
      <c r="B70" s="1" t="s">
        <v>132</v>
      </c>
      <c r="C70" s="2" t="s">
        <v>18</v>
      </c>
      <c r="D70" s="2"/>
      <c r="E70" s="3" t="s">
        <v>19</v>
      </c>
      <c r="F70" s="42">
        <f t="shared" si="6"/>
        <v>5051844</v>
      </c>
      <c r="G70" s="35">
        <f>'Paste from cobra outputs'!D27</f>
        <v>5418379</v>
      </c>
      <c r="H70" s="35">
        <f>'Paste from cobra outputs'!G27</f>
        <v>6050113</v>
      </c>
      <c r="I70" s="40">
        <f t="shared" si="4"/>
        <v>0.83499994132341004</v>
      </c>
      <c r="J70" s="40">
        <f t="shared" si="5"/>
        <v>0.89558310729072332</v>
      </c>
      <c r="K70" s="40">
        <v>1</v>
      </c>
    </row>
    <row r="71" spans="1:11" x14ac:dyDescent="0.25">
      <c r="A71" s="26" t="s">
        <v>137</v>
      </c>
      <c r="B71" s="1" t="s">
        <v>133</v>
      </c>
      <c r="C71" s="2" t="s">
        <v>28</v>
      </c>
      <c r="D71" s="2"/>
      <c r="E71" s="3" t="s">
        <v>29</v>
      </c>
      <c r="F71" s="42">
        <f t="shared" si="6"/>
        <v>33705.610029366682</v>
      </c>
      <c r="G71" s="35">
        <f>'Paste from cobra outputs'!D30</f>
        <v>38341.420698377377</v>
      </c>
      <c r="H71" s="35">
        <f>'Paste from cobra outputs'!G30</f>
        <v>36978.346959730021</v>
      </c>
      <c r="I71" s="40">
        <f t="shared" si="4"/>
        <v>0.91149585637434261</v>
      </c>
      <c r="J71" s="40">
        <f t="shared" si="5"/>
        <v>1.0368614027049874</v>
      </c>
      <c r="K71" s="40">
        <v>1</v>
      </c>
    </row>
    <row r="72" spans="1:11" x14ac:dyDescent="0.25">
      <c r="A72" s="26" t="s">
        <v>137</v>
      </c>
      <c r="B72" s="1" t="s">
        <v>133</v>
      </c>
      <c r="C72" s="2" t="s">
        <v>130</v>
      </c>
      <c r="D72" s="2"/>
      <c r="I72" s="43">
        <v>1</v>
      </c>
      <c r="J72" s="43">
        <v>1</v>
      </c>
      <c r="K72" s="43">
        <v>1</v>
      </c>
    </row>
    <row r="73" spans="1:11" x14ac:dyDescent="0.25">
      <c r="A73" s="26" t="s">
        <v>137</v>
      </c>
      <c r="B73" s="1" t="s">
        <v>133</v>
      </c>
      <c r="C73" s="2" t="s">
        <v>130</v>
      </c>
      <c r="D73" s="2"/>
      <c r="I73" s="43">
        <v>1</v>
      </c>
      <c r="J73" s="43">
        <v>1</v>
      </c>
      <c r="K73" s="43">
        <v>1</v>
      </c>
    </row>
    <row r="74" spans="1:11" x14ac:dyDescent="0.25">
      <c r="A74" s="26" t="s">
        <v>137</v>
      </c>
      <c r="B74" s="1" t="s">
        <v>133</v>
      </c>
      <c r="C74" s="2" t="s">
        <v>130</v>
      </c>
      <c r="D74" s="2"/>
      <c r="I74" s="43">
        <v>1</v>
      </c>
      <c r="J74" s="43">
        <v>1</v>
      </c>
      <c r="K74" s="43">
        <v>1</v>
      </c>
    </row>
    <row r="75" spans="1:11" x14ac:dyDescent="0.25">
      <c r="A75" s="26" t="s">
        <v>137</v>
      </c>
      <c r="B75" s="1" t="s">
        <v>133</v>
      </c>
      <c r="C75" s="2" t="s">
        <v>130</v>
      </c>
      <c r="D75" s="2"/>
      <c r="I75" s="43">
        <v>1</v>
      </c>
      <c r="J75" s="43">
        <v>1</v>
      </c>
      <c r="K75" s="43">
        <v>1</v>
      </c>
    </row>
    <row r="76" spans="1:11" x14ac:dyDescent="0.25">
      <c r="A76" s="26" t="s">
        <v>137</v>
      </c>
      <c r="B76" s="1" t="s">
        <v>134</v>
      </c>
      <c r="C76" s="2" t="s">
        <v>38</v>
      </c>
      <c r="D76" s="2"/>
      <c r="E76" s="3" t="s">
        <v>39</v>
      </c>
      <c r="F76" s="41">
        <f t="shared" ref="F76:F82" si="7">F27</f>
        <v>0.61674826354256962</v>
      </c>
      <c r="G76" s="37">
        <f>'Paste from cobra outputs'!D33</f>
        <v>0.44734633985367328</v>
      </c>
      <c r="H76" s="37">
        <f>'Paste from cobra outputs'!G33</f>
        <v>0.52062521029263342</v>
      </c>
      <c r="I76" s="40">
        <f t="shared" ref="I76:I82" si="8">$F76*K76/H76</f>
        <v>1.1846300397091936</v>
      </c>
      <c r="J76" s="40">
        <f t="shared" ref="J76:J82" si="9">G76*K76/H76</f>
        <v>0.85924832491732106</v>
      </c>
      <c r="K76" s="40">
        <v>1</v>
      </c>
    </row>
    <row r="77" spans="1:11" x14ac:dyDescent="0.25">
      <c r="A77" s="26" t="s">
        <v>137</v>
      </c>
      <c r="B77" s="1" t="s">
        <v>134</v>
      </c>
      <c r="C77" s="2" t="s">
        <v>38</v>
      </c>
      <c r="D77" s="2"/>
      <c r="E77" s="3" t="s">
        <v>21</v>
      </c>
      <c r="F77" s="41">
        <f t="shared" si="7"/>
        <v>0.22663597264519761</v>
      </c>
      <c r="G77" s="37">
        <f>'Paste from cobra outputs'!D34</f>
        <v>0.1195437590753721</v>
      </c>
      <c r="H77" s="37">
        <f>'Paste from cobra outputs'!G34</f>
        <v>0.15094072247165591</v>
      </c>
      <c r="I77" s="40">
        <f t="shared" si="8"/>
        <v>1.5014899156041603</v>
      </c>
      <c r="J77" s="40">
        <f t="shared" si="9"/>
        <v>0.79199143291380747</v>
      </c>
      <c r="K77" s="40">
        <v>1</v>
      </c>
    </row>
    <row r="78" spans="1:11" x14ac:dyDescent="0.25">
      <c r="A78" s="26" t="s">
        <v>137</v>
      </c>
      <c r="B78" s="1" t="s">
        <v>134</v>
      </c>
      <c r="C78" s="2" t="s">
        <v>38</v>
      </c>
      <c r="D78" s="2"/>
      <c r="E78" s="3" t="s">
        <v>22</v>
      </c>
      <c r="F78" s="41">
        <f t="shared" si="7"/>
        <v>4.5958103288260672E-2</v>
      </c>
      <c r="G78" s="37">
        <f>'Paste from cobra outputs'!D35</f>
        <v>3.634476188710202E-2</v>
      </c>
      <c r="H78" s="37">
        <f>'Paste from cobra outputs'!G35</f>
        <v>4.5861689369346058E-2</v>
      </c>
      <c r="I78" s="40">
        <f t="shared" si="8"/>
        <v>1.0021022757826941</v>
      </c>
      <c r="J78" s="40">
        <f t="shared" si="9"/>
        <v>0.7924863298078777</v>
      </c>
      <c r="K78" s="40">
        <v>1</v>
      </c>
    </row>
    <row r="79" spans="1:11" x14ac:dyDescent="0.25">
      <c r="A79" s="26" t="s">
        <v>137</v>
      </c>
      <c r="B79" s="1" t="s">
        <v>134</v>
      </c>
      <c r="C79" s="2" t="s">
        <v>40</v>
      </c>
      <c r="D79" s="2"/>
      <c r="E79" s="3" t="s">
        <v>39</v>
      </c>
      <c r="F79" s="41">
        <f t="shared" si="7"/>
        <v>85.672607960364147</v>
      </c>
      <c r="G79" s="37">
        <f>'Paste from cobra outputs'!D37</f>
        <v>53.888459910872648</v>
      </c>
      <c r="H79" s="37">
        <f>'Paste from cobra outputs'!G37</f>
        <v>63.475470851670842</v>
      </c>
      <c r="I79" s="40">
        <f t="shared" si="8"/>
        <v>1.3496962970241444</v>
      </c>
      <c r="J79" s="40">
        <f t="shared" si="9"/>
        <v>0.8489651071167148</v>
      </c>
      <c r="K79" s="40">
        <v>1</v>
      </c>
    </row>
    <row r="80" spans="1:11" x14ac:dyDescent="0.25">
      <c r="A80" s="26" t="s">
        <v>137</v>
      </c>
      <c r="B80" s="1" t="s">
        <v>134</v>
      </c>
      <c r="C80" s="2" t="s">
        <v>40</v>
      </c>
      <c r="D80" s="2"/>
      <c r="E80" s="3" t="s">
        <v>21</v>
      </c>
      <c r="F80" s="41">
        <f t="shared" si="7"/>
        <v>7.1765420410732252</v>
      </c>
      <c r="G80" s="37">
        <f>'Paste from cobra outputs'!D38</f>
        <v>2.964031314494314</v>
      </c>
      <c r="H80" s="37">
        <f>'Paste from cobra outputs'!G38</f>
        <v>3.7507612414516829</v>
      </c>
      <c r="I80" s="40">
        <f t="shared" si="8"/>
        <v>1.9133561373519044</v>
      </c>
      <c r="J80" s="40">
        <f t="shared" si="9"/>
        <v>0.79024793200303112</v>
      </c>
      <c r="K80" s="40">
        <v>1</v>
      </c>
    </row>
    <row r="81" spans="1:11" x14ac:dyDescent="0.25">
      <c r="A81" s="26" t="s">
        <v>137</v>
      </c>
      <c r="B81" s="1" t="s">
        <v>134</v>
      </c>
      <c r="C81" s="2" t="s">
        <v>40</v>
      </c>
      <c r="D81" s="2"/>
      <c r="E81" s="3" t="s">
        <v>22</v>
      </c>
      <c r="F81" s="41">
        <f t="shared" si="7"/>
        <v>7.5050171602199613</v>
      </c>
      <c r="G81" s="37">
        <f>'Paste from cobra outputs'!D39</f>
        <v>3.802802809523314</v>
      </c>
      <c r="H81" s="37">
        <f>'Paste from cobra outputs'!G39</f>
        <v>4.8096416685417314</v>
      </c>
      <c r="I81" s="40">
        <f t="shared" si="8"/>
        <v>1.5604108741214102</v>
      </c>
      <c r="J81" s="40">
        <f t="shared" si="9"/>
        <v>0.79066239682598061</v>
      </c>
      <c r="K81" s="40">
        <v>1</v>
      </c>
    </row>
    <row r="82" spans="1:11" x14ac:dyDescent="0.25">
      <c r="A82" s="26" t="s">
        <v>137</v>
      </c>
      <c r="B82" s="1" t="s">
        <v>134</v>
      </c>
      <c r="C82" s="2" t="s">
        <v>41</v>
      </c>
      <c r="D82" s="2"/>
      <c r="E82" s="3" t="s">
        <v>42</v>
      </c>
      <c r="F82" s="41">
        <f t="shared" si="7"/>
        <v>90.150236805019645</v>
      </c>
      <c r="G82" s="37">
        <f>'Paste from cobra outputs'!D41</f>
        <v>82.673743779587213</v>
      </c>
      <c r="H82" s="37">
        <f>'Paste from cobra outputs'!G41</f>
        <v>93.441262667038146</v>
      </c>
      <c r="I82" s="40">
        <f t="shared" si="8"/>
        <v>0.96477973683055307</v>
      </c>
      <c r="J82" s="40">
        <f t="shared" si="9"/>
        <v>0.8847669800244552</v>
      </c>
      <c r="K82" s="40">
        <v>1</v>
      </c>
    </row>
    <row r="83" spans="1:11" x14ac:dyDescent="0.25">
      <c r="A83" s="26" t="s">
        <v>137</v>
      </c>
      <c r="B83" s="1" t="s">
        <v>134</v>
      </c>
      <c r="C83" s="2" t="s">
        <v>115</v>
      </c>
      <c r="D83" s="2"/>
      <c r="I83" s="43">
        <v>1</v>
      </c>
      <c r="J83" s="43">
        <v>1</v>
      </c>
      <c r="K83" s="43">
        <v>1</v>
      </c>
    </row>
    <row r="84" spans="1:11" x14ac:dyDescent="0.25">
      <c r="A84" s="26" t="s">
        <v>137</v>
      </c>
      <c r="B84" s="1" t="s">
        <v>134</v>
      </c>
      <c r="C84" s="2" t="s">
        <v>115</v>
      </c>
      <c r="D84" s="2"/>
      <c r="I84" s="43">
        <v>1</v>
      </c>
      <c r="J84" s="43">
        <v>1</v>
      </c>
      <c r="K84" s="43">
        <v>1</v>
      </c>
    </row>
    <row r="85" spans="1:11" x14ac:dyDescent="0.25">
      <c r="A85" s="26" t="s">
        <v>137</v>
      </c>
      <c r="B85" s="1" t="s">
        <v>135</v>
      </c>
      <c r="C85" s="2" t="s">
        <v>23</v>
      </c>
      <c r="D85" s="2"/>
      <c r="E85" s="3" t="s">
        <v>24</v>
      </c>
      <c r="F85" s="41">
        <f t="shared" ref="F85:F101" si="10">F36</f>
        <v>7.9558406090634623E-2</v>
      </c>
      <c r="G85" s="37">
        <f>'Paste from cobra outputs'!D44</f>
        <v>0.14266970612942451</v>
      </c>
      <c r="H85" s="37">
        <f>'Paste from cobra outputs'!G44</f>
        <v>9.46876761782941E-2</v>
      </c>
      <c r="I85" s="40">
        <f t="shared" ref="I85:I120" si="11">$F85*K85/H85</f>
        <v>0.84021922706000818</v>
      </c>
      <c r="J85" s="40">
        <f t="shared" ref="J85:J120" si="12">G85*K85/H85</f>
        <v>1.5067399675199722</v>
      </c>
      <c r="K85" s="40">
        <v>1</v>
      </c>
    </row>
    <row r="86" spans="1:11" x14ac:dyDescent="0.25">
      <c r="A86" s="26" t="s">
        <v>137</v>
      </c>
      <c r="B86" s="1" t="s">
        <v>135</v>
      </c>
      <c r="C86" s="2" t="s">
        <v>23</v>
      </c>
      <c r="D86" s="2"/>
      <c r="E86" s="3" t="s">
        <v>25</v>
      </c>
      <c r="F86" s="41">
        <f t="shared" si="10"/>
        <v>5.432733320765798E-2</v>
      </c>
      <c r="G86" s="37">
        <f>'Paste from cobra outputs'!D45</f>
        <v>0.58833657637427295</v>
      </c>
      <c r="H86" s="37">
        <f>'Paste from cobra outputs'!G45</f>
        <v>0.36714772650678629</v>
      </c>
      <c r="I86" s="40">
        <f t="shared" si="11"/>
        <v>0.14797131858762524</v>
      </c>
      <c r="J86" s="40">
        <f t="shared" si="12"/>
        <v>1.6024519121280689</v>
      </c>
      <c r="K86" s="40">
        <v>1</v>
      </c>
    </row>
    <row r="87" spans="1:11" x14ac:dyDescent="0.25">
      <c r="A87" s="26" t="s">
        <v>137</v>
      </c>
      <c r="B87" s="1" t="s">
        <v>135</v>
      </c>
      <c r="C87" s="2" t="s">
        <v>23</v>
      </c>
      <c r="D87" s="2"/>
      <c r="E87" s="3" t="s">
        <v>26</v>
      </c>
      <c r="F87" s="41">
        <f t="shared" si="10"/>
        <v>3.0489052829997099</v>
      </c>
      <c r="G87" s="37">
        <f>'Paste from cobra outputs'!D46</f>
        <v>3.2009401309986538</v>
      </c>
      <c r="H87" s="37">
        <f>'Paste from cobra outputs'!G46</f>
        <v>3.6965921887988649</v>
      </c>
      <c r="I87" s="40">
        <f t="shared" ref="I87" si="13">$F87*K87/H87</f>
        <v>0.82478810950211734</v>
      </c>
      <c r="J87" s="40">
        <f t="shared" ref="J87" si="14">G87*K87/H87</f>
        <v>0.86591648943529709</v>
      </c>
      <c r="K87" s="40">
        <v>1</v>
      </c>
    </row>
    <row r="88" spans="1:11" x14ac:dyDescent="0.25">
      <c r="A88" s="26" t="s">
        <v>137</v>
      </c>
      <c r="B88" s="1" t="s">
        <v>135</v>
      </c>
      <c r="C88" s="2" t="s">
        <v>23</v>
      </c>
      <c r="D88" s="2"/>
      <c r="E88" s="3" t="s">
        <v>27</v>
      </c>
      <c r="F88" s="41">
        <f t="shared" si="10"/>
        <v>0.3038629989246453</v>
      </c>
      <c r="G88" s="37">
        <f>'Paste from cobra outputs'!D47</f>
        <v>0.33526077938654969</v>
      </c>
      <c r="H88" s="37">
        <f>'Paste from cobra outputs'!G47</f>
        <v>0.38471993886510292</v>
      </c>
      <c r="I88" s="40">
        <f t="shared" si="11"/>
        <v>0.78982908923571793</v>
      </c>
      <c r="J88" s="40">
        <f t="shared" si="12"/>
        <v>0.87144113293307768</v>
      </c>
      <c r="K88" s="40">
        <v>1</v>
      </c>
    </row>
    <row r="89" spans="1:11" x14ac:dyDescent="0.25">
      <c r="A89" s="26" t="s">
        <v>137</v>
      </c>
      <c r="B89" s="1" t="s">
        <v>135</v>
      </c>
      <c r="C89" s="2" t="s">
        <v>131</v>
      </c>
      <c r="D89" s="2"/>
      <c r="E89" s="3" t="s">
        <v>31</v>
      </c>
      <c r="F89" s="41">
        <f t="shared" si="10"/>
        <v>14.83431041031602</v>
      </c>
      <c r="G89" s="37">
        <f>'Paste from cobra outputs'!D49</f>
        <v>27.552816459453808</v>
      </c>
      <c r="H89" s="37">
        <f>'Paste from cobra outputs'!G49</f>
        <v>22.493104724658089</v>
      </c>
      <c r="I89" s="40">
        <f t="shared" si="11"/>
        <v>0.65950479455394573</v>
      </c>
      <c r="J89" s="40">
        <f t="shared" si="12"/>
        <v>1.2249450130043189</v>
      </c>
      <c r="K89" s="40">
        <v>1</v>
      </c>
    </row>
    <row r="90" spans="1:11" x14ac:dyDescent="0.25">
      <c r="A90" s="26" t="s">
        <v>137</v>
      </c>
      <c r="B90" s="1" t="s">
        <v>135</v>
      </c>
      <c r="C90" s="2" t="s">
        <v>131</v>
      </c>
      <c r="D90" s="2"/>
      <c r="E90" s="3" t="s">
        <v>32</v>
      </c>
      <c r="F90" s="41">
        <f t="shared" si="10"/>
        <v>0.36960632767856821</v>
      </c>
      <c r="G90" s="37">
        <f>'Paste from cobra outputs'!D50</f>
        <v>0.42003061388317492</v>
      </c>
      <c r="H90" s="37">
        <f>'Paste from cobra outputs'!G50</f>
        <v>0.40489050238049951</v>
      </c>
      <c r="I90" s="40">
        <f t="shared" si="11"/>
        <v>0.91285502007460606</v>
      </c>
      <c r="J90" s="40">
        <f t="shared" si="12"/>
        <v>1.0373931011314446</v>
      </c>
      <c r="K90" s="40">
        <v>1</v>
      </c>
    </row>
    <row r="91" spans="1:11" x14ac:dyDescent="0.25">
      <c r="A91" s="26" t="s">
        <v>137</v>
      </c>
      <c r="B91" s="1" t="s">
        <v>135</v>
      </c>
      <c r="C91" s="2" t="s">
        <v>131</v>
      </c>
      <c r="D91" s="2"/>
      <c r="E91" s="3" t="s">
        <v>33</v>
      </c>
      <c r="F91" s="41">
        <f t="shared" si="10"/>
        <v>6.4965390674631487E-2</v>
      </c>
      <c r="G91" s="37">
        <f>'Paste from cobra outputs'!D51</f>
        <v>4.7380103327237293E-2</v>
      </c>
      <c r="H91" s="37">
        <f>'Paste from cobra outputs'!G51</f>
        <v>4.6802231477323368E-2</v>
      </c>
      <c r="I91" s="40">
        <f t="shared" si="11"/>
        <v>1.3880831880015922</v>
      </c>
      <c r="J91" s="40">
        <f t="shared" si="12"/>
        <v>1.0123471003769107</v>
      </c>
      <c r="K91" s="40">
        <v>1</v>
      </c>
    </row>
    <row r="92" spans="1:11" x14ac:dyDescent="0.25">
      <c r="A92" s="26" t="s">
        <v>137</v>
      </c>
      <c r="B92" s="1" t="s">
        <v>135</v>
      </c>
      <c r="C92" s="2" t="s">
        <v>131</v>
      </c>
      <c r="D92" s="2"/>
      <c r="E92" s="3" t="s">
        <v>34</v>
      </c>
      <c r="F92" s="41">
        <f t="shared" si="10"/>
        <v>0.13774536223179079</v>
      </c>
      <c r="G92" s="37">
        <f>'Paste from cobra outputs'!D52</f>
        <v>9.0815579552622372E-2</v>
      </c>
      <c r="H92" s="37">
        <f>'Paste from cobra outputs'!G52</f>
        <v>8.9375795685823253E-2</v>
      </c>
      <c r="I92" s="40">
        <f t="shared" si="11"/>
        <v>1.541193129244945</v>
      </c>
      <c r="J92" s="40">
        <f t="shared" si="12"/>
        <v>1.0161093264205479</v>
      </c>
      <c r="K92" s="40">
        <v>1</v>
      </c>
    </row>
    <row r="93" spans="1:11" x14ac:dyDescent="0.25">
      <c r="A93" s="26" t="s">
        <v>137</v>
      </c>
      <c r="B93" s="1" t="s">
        <v>135</v>
      </c>
      <c r="C93" s="2" t="s">
        <v>131</v>
      </c>
      <c r="D93" s="2"/>
      <c r="E93" s="3" t="s">
        <v>35</v>
      </c>
      <c r="F93" s="41">
        <f t="shared" si="10"/>
        <v>3.0096057950557219E-2</v>
      </c>
      <c r="G93" s="37">
        <f>'Paste from cobra outputs'!D53</f>
        <v>1.9884285209919882E-2</v>
      </c>
      <c r="H93" s="37">
        <f>'Paste from cobra outputs'!G53</f>
        <v>1.972610250368936E-2</v>
      </c>
      <c r="I93" s="40">
        <f t="shared" si="11"/>
        <v>1.5256971287119883</v>
      </c>
      <c r="J93" s="40">
        <f t="shared" si="12"/>
        <v>1.0080189538810791</v>
      </c>
      <c r="K93" s="40">
        <v>1</v>
      </c>
    </row>
    <row r="94" spans="1:11" x14ac:dyDescent="0.25">
      <c r="A94" s="26" t="s">
        <v>137</v>
      </c>
      <c r="B94" s="1" t="s">
        <v>135</v>
      </c>
      <c r="C94" s="2" t="s">
        <v>131</v>
      </c>
      <c r="D94" s="2"/>
      <c r="E94" s="3" t="s">
        <v>36</v>
      </c>
      <c r="F94" s="41">
        <f t="shared" si="10"/>
        <v>0.17741268053966169</v>
      </c>
      <c r="G94" s="37">
        <f>'Paste from cobra outputs'!D54</f>
        <v>0.1247390694205754</v>
      </c>
      <c r="H94" s="37">
        <f>'Paste from cobra outputs'!G54</f>
        <v>0.12263082721836251</v>
      </c>
      <c r="I94" s="40">
        <f t="shared" si="11"/>
        <v>1.4467217139761432</v>
      </c>
      <c r="J94" s="40">
        <f t="shared" si="12"/>
        <v>1.0171917799955703</v>
      </c>
      <c r="K94" s="40">
        <v>1</v>
      </c>
    </row>
    <row r="95" spans="1:11" x14ac:dyDescent="0.25">
      <c r="A95" s="26" t="s">
        <v>137</v>
      </c>
      <c r="B95" s="1" t="s">
        <v>135</v>
      </c>
      <c r="C95" s="2" t="s">
        <v>131</v>
      </c>
      <c r="D95" s="2"/>
      <c r="E95" s="3" t="s">
        <v>37</v>
      </c>
      <c r="F95" s="41">
        <f t="shared" si="10"/>
        <v>0.45195506187070089</v>
      </c>
      <c r="G95" s="37">
        <f>'Paste from cobra outputs'!D55</f>
        <v>0.65513267607668002</v>
      </c>
      <c r="H95" s="37">
        <f>'Paste from cobra outputs'!G55</f>
        <v>0.28895458134638558</v>
      </c>
      <c r="I95" s="40">
        <f t="shared" si="11"/>
        <v>1.564104157009083</v>
      </c>
      <c r="J95" s="40">
        <f t="shared" si="12"/>
        <v>2.2672513895577824</v>
      </c>
      <c r="K95" s="40">
        <v>1</v>
      </c>
    </row>
    <row r="96" spans="1:11" x14ac:dyDescent="0.25">
      <c r="A96" s="26" t="s">
        <v>137</v>
      </c>
      <c r="B96" s="1" t="s">
        <v>135</v>
      </c>
      <c r="C96" s="2" t="s">
        <v>46</v>
      </c>
      <c r="D96" s="2"/>
      <c r="E96" s="3" t="s">
        <v>19</v>
      </c>
      <c r="F96" s="42">
        <f t="shared" si="10"/>
        <v>424555</v>
      </c>
      <c r="G96" s="35">
        <f>'Paste from cobra outputs'!D61</f>
        <v>476079</v>
      </c>
      <c r="H96" s="35">
        <f>'Paste from cobra outputs'!G61</f>
        <v>1445247</v>
      </c>
      <c r="I96" s="40">
        <f t="shared" si="11"/>
        <v>0.29375947502399241</v>
      </c>
      <c r="J96" s="40">
        <f t="shared" si="12"/>
        <v>0.32941012851090506</v>
      </c>
      <c r="K96" s="40">
        <v>1</v>
      </c>
    </row>
    <row r="97" spans="1:11" x14ac:dyDescent="0.25">
      <c r="A97" s="26" t="s">
        <v>137</v>
      </c>
      <c r="B97" s="1" t="s">
        <v>135</v>
      </c>
      <c r="C97" s="2" t="s">
        <v>47</v>
      </c>
      <c r="D97" s="2"/>
      <c r="E97" s="3" t="s">
        <v>43</v>
      </c>
      <c r="F97" s="41">
        <f t="shared" si="10"/>
        <v>27.128200799999991</v>
      </c>
      <c r="G97" s="37">
        <f>'Paste from cobra outputs'!D67</f>
        <v>26.074707359999991</v>
      </c>
      <c r="H97" s="37">
        <f>'Paste from cobra outputs'!G67</f>
        <v>59.099058239999977</v>
      </c>
      <c r="I97" s="40">
        <f t="shared" si="11"/>
        <v>0.45902932479622544</v>
      </c>
      <c r="J97" s="40">
        <f t="shared" si="12"/>
        <v>0.44120343261835371</v>
      </c>
      <c r="K97" s="40">
        <v>1</v>
      </c>
    </row>
    <row r="98" spans="1:11" x14ac:dyDescent="0.25">
      <c r="A98" s="26" t="s">
        <v>137</v>
      </c>
      <c r="B98" s="1" t="s">
        <v>135</v>
      </c>
      <c r="C98" s="2" t="s">
        <v>47</v>
      </c>
      <c r="D98" s="2"/>
      <c r="E98" s="3" t="s">
        <v>44</v>
      </c>
      <c r="F98" s="41">
        <f t="shared" si="10"/>
        <v>205.96200703571429</v>
      </c>
      <c r="G98" s="37">
        <f>'Paste from cobra outputs'!D68</f>
        <v>215.094506</v>
      </c>
      <c r="H98" s="37">
        <f>'Paste from cobra outputs'!G68</f>
        <v>578.40006282142838</v>
      </c>
      <c r="I98" s="40">
        <f t="shared" si="11"/>
        <v>0.35608918510664428</v>
      </c>
      <c r="J98" s="40">
        <f t="shared" si="12"/>
        <v>0.37187842779748614</v>
      </c>
      <c r="K98" s="40">
        <v>1</v>
      </c>
    </row>
    <row r="99" spans="1:11" x14ac:dyDescent="0.25">
      <c r="A99" s="26" t="s">
        <v>137</v>
      </c>
      <c r="B99" s="1" t="s">
        <v>135</v>
      </c>
      <c r="C99" s="2" t="s">
        <v>47</v>
      </c>
      <c r="D99" s="2"/>
      <c r="E99" s="3" t="s">
        <v>45</v>
      </c>
      <c r="F99" s="41">
        <f t="shared" si="10"/>
        <v>142.50154678571431</v>
      </c>
      <c r="G99" s="37">
        <f>'Paste from cobra outputs'!D69</f>
        <v>147.35270746428569</v>
      </c>
      <c r="H99" s="37">
        <f>'Paste from cobra outputs'!G69</f>
        <v>310.81549164285713</v>
      </c>
      <c r="I99" s="40">
        <f t="shared" si="11"/>
        <v>0.45847633279957573</v>
      </c>
      <c r="J99" s="40">
        <f t="shared" si="12"/>
        <v>0.47408417992756124</v>
      </c>
      <c r="K99" s="40">
        <v>1</v>
      </c>
    </row>
    <row r="100" spans="1:11" x14ac:dyDescent="0.25">
      <c r="A100" s="26" t="s">
        <v>137</v>
      </c>
      <c r="B100" s="1" t="s">
        <v>135</v>
      </c>
      <c r="C100" s="2" t="s">
        <v>48</v>
      </c>
      <c r="D100" s="2"/>
      <c r="E100" s="3" t="s">
        <v>49</v>
      </c>
      <c r="F100" s="42">
        <f t="shared" si="10"/>
        <v>125766473.8332997</v>
      </c>
      <c r="G100" s="35">
        <f>'Paste from cobra outputs'!D71</f>
        <v>142527363.61630011</v>
      </c>
      <c r="H100" s="35">
        <f>'Paste from cobra outputs'!G71</f>
        <v>166793680.9759002</v>
      </c>
      <c r="I100" s="40">
        <f t="shared" si="11"/>
        <v>0.75402421181334522</v>
      </c>
      <c r="J100" s="40">
        <f t="shared" si="12"/>
        <v>0.85451296945052546</v>
      </c>
      <c r="K100" s="40">
        <v>1</v>
      </c>
    </row>
    <row r="101" spans="1:11" x14ac:dyDescent="0.25">
      <c r="A101" s="26" t="s">
        <v>137</v>
      </c>
      <c r="B101" s="1" t="s">
        <v>135</v>
      </c>
      <c r="C101" s="2" t="s">
        <v>48</v>
      </c>
      <c r="D101" s="2"/>
      <c r="E101" s="3" t="s">
        <v>50</v>
      </c>
      <c r="F101" s="42">
        <f t="shared" si="10"/>
        <v>14351071.696699999</v>
      </c>
      <c r="G101" s="35">
        <f>'Paste from cobra outputs'!D72</f>
        <v>14250740.41840001</v>
      </c>
      <c r="H101" s="35">
        <f>'Paste from cobra outputs'!G72</f>
        <v>14260850.202899979</v>
      </c>
      <c r="I101" s="40">
        <f t="shared" si="11"/>
        <v>1.0063265157768555</v>
      </c>
      <c r="J101" s="40">
        <f t="shared" si="12"/>
        <v>0.99929108122193766</v>
      </c>
      <c r="K101" s="40">
        <v>1</v>
      </c>
    </row>
    <row r="102" spans="1:11" x14ac:dyDescent="0.25">
      <c r="A102" s="28" t="s">
        <v>139</v>
      </c>
      <c r="B102" s="1" t="s">
        <v>127</v>
      </c>
      <c r="C102" s="2" t="s">
        <v>11</v>
      </c>
      <c r="D102" s="2"/>
      <c r="E102" s="3" t="s">
        <v>12</v>
      </c>
      <c r="F102" s="42">
        <f t="shared" ref="F102:F120" si="15">F4</f>
        <v>357912.08010499942</v>
      </c>
      <c r="G102" s="35">
        <f>'Paste from cobra outputs'!F5</f>
        <v>744899.67700000003</v>
      </c>
      <c r="H102" s="35">
        <f>'Paste from cobra outputs'!I5</f>
        <v>1633190.8833333331</v>
      </c>
      <c r="I102" s="40">
        <f t="shared" si="11"/>
        <v>0.21914895788207128</v>
      </c>
      <c r="J102" s="40">
        <f t="shared" si="12"/>
        <v>0.45610080524063673</v>
      </c>
      <c r="K102" s="40">
        <v>1</v>
      </c>
    </row>
    <row r="103" spans="1:11" x14ac:dyDescent="0.25">
      <c r="A103" s="28" t="s">
        <v>139</v>
      </c>
      <c r="B103" s="1" t="s">
        <v>127</v>
      </c>
      <c r="C103" s="2" t="s">
        <v>11</v>
      </c>
      <c r="D103" s="2"/>
      <c r="E103" s="3" t="s">
        <v>13</v>
      </c>
      <c r="F103" s="42">
        <f t="shared" si="15"/>
        <v>1933129.2165999999</v>
      </c>
      <c r="G103" s="35">
        <f>'Paste from cobra outputs'!F6</f>
        <v>144518.85466666671</v>
      </c>
      <c r="H103" s="35">
        <f>'Paste from cobra outputs'!I6</f>
        <v>716039.19666666666</v>
      </c>
      <c r="I103" s="40">
        <f t="shared" si="11"/>
        <v>2.6997533453464246</v>
      </c>
      <c r="J103" s="40">
        <f t="shared" si="12"/>
        <v>0.20183092676970266</v>
      </c>
      <c r="K103" s="40">
        <v>1</v>
      </c>
    </row>
    <row r="104" spans="1:11" x14ac:dyDescent="0.25">
      <c r="A104" s="28" t="s">
        <v>139</v>
      </c>
      <c r="B104" s="1" t="s">
        <v>127</v>
      </c>
      <c r="C104" s="2" t="s">
        <v>11</v>
      </c>
      <c r="D104" s="2"/>
      <c r="E104" s="3" t="s">
        <v>14</v>
      </c>
      <c r="F104" s="42">
        <f t="shared" si="15"/>
        <v>486549.17800000001</v>
      </c>
      <c r="G104" s="35">
        <f>'Paste from cobra outputs'!F7</f>
        <v>495894.03843666578</v>
      </c>
      <c r="H104" s="35">
        <f>'Paste from cobra outputs'!I7</f>
        <v>684297.00965166593</v>
      </c>
      <c r="I104" s="40">
        <f t="shared" si="11"/>
        <v>0.71102046499906912</v>
      </c>
      <c r="J104" s="40">
        <f t="shared" si="12"/>
        <v>0.7246766118254635</v>
      </c>
      <c r="K104" s="40">
        <v>1</v>
      </c>
    </row>
    <row r="105" spans="1:11" x14ac:dyDescent="0.25">
      <c r="A105" s="28" t="s">
        <v>139</v>
      </c>
      <c r="B105" s="1" t="s">
        <v>127</v>
      </c>
      <c r="C105" s="2" t="s">
        <v>11</v>
      </c>
      <c r="D105" s="2"/>
      <c r="E105" s="3" t="s">
        <v>15</v>
      </c>
      <c r="F105" s="42">
        <f t="shared" si="15"/>
        <v>5501144.4649103004</v>
      </c>
      <c r="G105" s="35">
        <f>'Paste from cobra outputs'!F8</f>
        <v>4502247.8219999997</v>
      </c>
      <c r="H105" s="35">
        <f>'Paste from cobra outputs'!I8</f>
        <v>3816993.6919</v>
      </c>
      <c r="I105" s="40">
        <f t="shared" si="11"/>
        <v>1.441224405632165</v>
      </c>
      <c r="J105" s="40">
        <f t="shared" si="12"/>
        <v>1.1795271843268094</v>
      </c>
      <c r="K105" s="40">
        <v>1</v>
      </c>
    </row>
    <row r="106" spans="1:11" x14ac:dyDescent="0.25">
      <c r="A106" s="28" t="s">
        <v>139</v>
      </c>
      <c r="B106" s="1" t="s">
        <v>127</v>
      </c>
      <c r="C106" s="2" t="s">
        <v>11</v>
      </c>
      <c r="D106" s="2"/>
      <c r="E106" s="3" t="s">
        <v>16</v>
      </c>
      <c r="F106" s="42">
        <f t="shared" si="15"/>
        <v>242947.90633333329</v>
      </c>
      <c r="G106" s="35">
        <f>'Paste from cobra outputs'!F9</f>
        <v>526533.7855</v>
      </c>
      <c r="H106" s="35">
        <f>'Paste from cobra outputs'!I9</f>
        <v>885552.41500000004</v>
      </c>
      <c r="I106" s="40">
        <f t="shared" si="11"/>
        <v>0.27434616203190332</v>
      </c>
      <c r="J106" s="40">
        <f t="shared" si="12"/>
        <v>0.59458229301988863</v>
      </c>
      <c r="K106" s="40">
        <v>1</v>
      </c>
    </row>
    <row r="107" spans="1:11" x14ac:dyDescent="0.25">
      <c r="A107" s="28" t="s">
        <v>139</v>
      </c>
      <c r="B107" s="1" t="s">
        <v>127</v>
      </c>
      <c r="C107" s="2" t="s">
        <v>11</v>
      </c>
      <c r="D107" s="2"/>
      <c r="E107" s="3" t="s">
        <v>17</v>
      </c>
      <c r="F107" s="42">
        <f t="shared" si="15"/>
        <v>105833.894</v>
      </c>
      <c r="G107" s="35">
        <f>'Paste from cobra outputs'!F10</f>
        <v>5930907.3132480001</v>
      </c>
      <c r="H107" s="35">
        <f>'Paste from cobra outputs'!I10</f>
        <v>2990342.9777799998</v>
      </c>
      <c r="I107" s="40">
        <f t="shared" si="11"/>
        <v>3.5391891427307115E-2</v>
      </c>
      <c r="J107" s="40">
        <f t="shared" si="12"/>
        <v>1.9833535341324109</v>
      </c>
      <c r="K107" s="40">
        <v>1</v>
      </c>
    </row>
    <row r="108" spans="1:11" x14ac:dyDescent="0.25">
      <c r="A108" s="28" t="s">
        <v>139</v>
      </c>
      <c r="B108" s="1" t="s">
        <v>127</v>
      </c>
      <c r="C108" s="2" t="s">
        <v>128</v>
      </c>
      <c r="D108" s="2"/>
      <c r="E108" s="3" t="s">
        <v>6</v>
      </c>
      <c r="F108" s="42">
        <f t="shared" si="15"/>
        <v>2229240.54</v>
      </c>
      <c r="G108" s="35">
        <f>'Paste from cobra outputs'!F12</f>
        <v>2939904.6</v>
      </c>
      <c r="H108" s="35">
        <f>'Paste from cobra outputs'!I12</f>
        <v>5524607.54</v>
      </c>
      <c r="I108" s="40">
        <f t="shared" si="11"/>
        <v>0.40351111347902191</v>
      </c>
      <c r="J108" s="40">
        <f t="shared" si="12"/>
        <v>0.53214723013609766</v>
      </c>
      <c r="K108" s="40">
        <v>1</v>
      </c>
    </row>
    <row r="109" spans="1:11" x14ac:dyDescent="0.25">
      <c r="A109" s="28" t="s">
        <v>139</v>
      </c>
      <c r="B109" s="1" t="s">
        <v>127</v>
      </c>
      <c r="C109" s="2" t="s">
        <v>128</v>
      </c>
      <c r="D109" s="2"/>
      <c r="E109" s="3" t="s">
        <v>7</v>
      </c>
      <c r="F109" s="42">
        <f t="shared" si="15"/>
        <v>861167.755</v>
      </c>
      <c r="G109" s="35">
        <f>'Paste from cobra outputs'!F13</f>
        <v>1095459.6913000001</v>
      </c>
      <c r="H109" s="35">
        <f>'Paste from cobra outputs'!I13</f>
        <v>744299.83010000002</v>
      </c>
      <c r="I109" s="40">
        <f t="shared" si="11"/>
        <v>1.1570172666629499</v>
      </c>
      <c r="J109" s="40">
        <f t="shared" si="12"/>
        <v>1.4717989269899741</v>
      </c>
      <c r="K109" s="40">
        <v>1</v>
      </c>
    </row>
    <row r="110" spans="1:11" x14ac:dyDescent="0.25">
      <c r="A110" s="28" t="s">
        <v>139</v>
      </c>
      <c r="B110" s="1" t="s">
        <v>127</v>
      </c>
      <c r="C110" s="2" t="s">
        <v>128</v>
      </c>
      <c r="D110" s="2"/>
      <c r="E110" s="3" t="s">
        <v>8</v>
      </c>
      <c r="F110" s="42">
        <f t="shared" si="15"/>
        <v>2121.1999999999998</v>
      </c>
      <c r="G110" s="35">
        <f>'Paste from cobra outputs'!F14</f>
        <v>21000.52</v>
      </c>
      <c r="H110" s="35">
        <f>'Paste from cobra outputs'!I14</f>
        <v>61598.55</v>
      </c>
      <c r="I110" s="40">
        <f t="shared" si="11"/>
        <v>3.4435875519797134E-2</v>
      </c>
      <c r="J110" s="40">
        <f t="shared" si="12"/>
        <v>0.34092555750094766</v>
      </c>
      <c r="K110" s="40">
        <v>1</v>
      </c>
    </row>
    <row r="111" spans="1:11" x14ac:dyDescent="0.25">
      <c r="A111" s="28" t="s">
        <v>139</v>
      </c>
      <c r="B111" s="1" t="s">
        <v>132</v>
      </c>
      <c r="C111" s="2" t="s">
        <v>129</v>
      </c>
      <c r="D111" s="2"/>
      <c r="E111" s="3" t="s">
        <v>9</v>
      </c>
      <c r="F111" s="42">
        <f t="shared" si="15"/>
        <v>99787.268858292591</v>
      </c>
      <c r="G111" s="35">
        <f>'Paste from cobra outputs'!F17</f>
        <v>412364.58731460548</v>
      </c>
      <c r="H111" s="35">
        <f>'Paste from cobra outputs'!I17</f>
        <v>1112194.81865657</v>
      </c>
      <c r="I111" s="40">
        <f t="shared" si="11"/>
        <v>8.9721033747330814E-2</v>
      </c>
      <c r="J111" s="40">
        <f t="shared" si="12"/>
        <v>0.37076650636864528</v>
      </c>
      <c r="K111" s="40">
        <v>1</v>
      </c>
    </row>
    <row r="112" spans="1:11" x14ac:dyDescent="0.25">
      <c r="A112" s="28" t="s">
        <v>139</v>
      </c>
      <c r="B112" s="1" t="s">
        <v>132</v>
      </c>
      <c r="C112" s="2" t="s">
        <v>129</v>
      </c>
      <c r="D112" s="2"/>
      <c r="E112" s="3" t="s">
        <v>10</v>
      </c>
      <c r="F112" s="42">
        <f t="shared" si="15"/>
        <v>6266.2657454619603</v>
      </c>
      <c r="G112" s="35">
        <f>'Paste from cobra outputs'!F18</f>
        <v>21717.660596749971</v>
      </c>
      <c r="H112" s="35">
        <f>'Paste from cobra outputs'!I18</f>
        <v>28837.9730707909</v>
      </c>
      <c r="I112" s="40">
        <f t="shared" si="11"/>
        <v>0.21729216994827105</v>
      </c>
      <c r="J112" s="40">
        <f t="shared" si="12"/>
        <v>0.75309247787415146</v>
      </c>
      <c r="K112" s="40">
        <v>1</v>
      </c>
    </row>
    <row r="113" spans="1:11" x14ac:dyDescent="0.25">
      <c r="A113" s="28" t="s">
        <v>139</v>
      </c>
      <c r="B113" s="1" t="s">
        <v>132</v>
      </c>
      <c r="C113" s="2" t="s">
        <v>141</v>
      </c>
      <c r="D113" s="2"/>
      <c r="E113" s="3" t="s">
        <v>201</v>
      </c>
      <c r="F113" s="42">
        <f t="shared" si="15"/>
        <v>35981.72026592301</v>
      </c>
      <c r="G113" s="35">
        <f>'Paste from cobra outputs'!F20</f>
        <v>51810.28580577804</v>
      </c>
      <c r="H113" s="35">
        <f>'Paste from cobra outputs'!I20</f>
        <v>179104.53023923881</v>
      </c>
      <c r="I113" s="40">
        <f t="shared" si="11"/>
        <v>0.20089787912042448</v>
      </c>
      <c r="J113" s="40">
        <f t="shared" si="12"/>
        <v>0.28927401074988146</v>
      </c>
      <c r="K113" s="40">
        <v>1</v>
      </c>
    </row>
    <row r="114" spans="1:11" x14ac:dyDescent="0.25">
      <c r="A114" s="28" t="s">
        <v>139</v>
      </c>
      <c r="B114" s="1" t="s">
        <v>132</v>
      </c>
      <c r="C114" s="2" t="s">
        <v>141</v>
      </c>
      <c r="D114" s="2"/>
      <c r="E114" s="3" t="s">
        <v>143</v>
      </c>
      <c r="F114" s="42">
        <f t="shared" si="15"/>
        <v>0</v>
      </c>
      <c r="G114" s="35">
        <f>'Paste from cobra outputs'!F21</f>
        <v>0</v>
      </c>
      <c r="H114" s="35">
        <f>'Paste from cobra outputs'!I21</f>
        <v>32816.839193014923</v>
      </c>
      <c r="I114" s="54">
        <v>0</v>
      </c>
      <c r="J114" s="54">
        <v>1</v>
      </c>
      <c r="K114" s="40">
        <v>1</v>
      </c>
    </row>
    <row r="115" spans="1:11" x14ac:dyDescent="0.25">
      <c r="A115" s="28" t="s">
        <v>139</v>
      </c>
      <c r="B115" s="1" t="s">
        <v>132</v>
      </c>
      <c r="C115" s="2" t="s">
        <v>141</v>
      </c>
      <c r="D115" s="2"/>
      <c r="E115" s="3" t="s">
        <v>142</v>
      </c>
      <c r="F115" s="42">
        <f t="shared" si="15"/>
        <v>7674.5907440663595</v>
      </c>
      <c r="G115" s="35">
        <f>'Paste from cobra outputs'!F22</f>
        <v>18021.728609818481</v>
      </c>
      <c r="H115" s="35">
        <f>'Paste from cobra outputs'!I22</f>
        <v>103257.8774758572</v>
      </c>
      <c r="I115" s="40">
        <f t="shared" si="11"/>
        <v>7.4324506097471946E-2</v>
      </c>
      <c r="J115" s="40">
        <f t="shared" si="12"/>
        <v>0.17453127112778544</v>
      </c>
      <c r="K115" s="40">
        <v>1</v>
      </c>
    </row>
    <row r="116" spans="1:11" x14ac:dyDescent="0.25">
      <c r="A116" s="28" t="s">
        <v>139</v>
      </c>
      <c r="B116" s="1" t="s">
        <v>132</v>
      </c>
      <c r="C116" s="2" t="s">
        <v>141</v>
      </c>
      <c r="D116" s="2"/>
      <c r="E116" s="3" t="s">
        <v>144</v>
      </c>
      <c r="F116" s="42">
        <f t="shared" si="15"/>
        <v>7967.9443188510186</v>
      </c>
      <c r="G116" s="35">
        <f>'Paste from cobra outputs'!F23</f>
        <v>18270.67714856079</v>
      </c>
      <c r="H116" s="35">
        <f>'Paste from cobra outputs'!I23</f>
        <v>101322.4750597689</v>
      </c>
      <c r="I116" s="40">
        <f t="shared" si="11"/>
        <v>7.8639455995827431E-2</v>
      </c>
      <c r="J116" s="40">
        <f t="shared" si="12"/>
        <v>0.1803220572511986</v>
      </c>
      <c r="K116" s="40">
        <v>1</v>
      </c>
    </row>
    <row r="117" spans="1:11" x14ac:dyDescent="0.25">
      <c r="A117" s="28" t="s">
        <v>139</v>
      </c>
      <c r="B117" s="1" t="s">
        <v>132</v>
      </c>
      <c r="C117" s="2" t="s">
        <v>141</v>
      </c>
      <c r="D117" s="2"/>
      <c r="E117" s="3" t="s">
        <v>227</v>
      </c>
      <c r="F117" s="42">
        <f t="shared" si="15"/>
        <v>0</v>
      </c>
      <c r="G117" s="35">
        <f>'Paste from cobra outputs'!F24</f>
        <v>411.44590483377942</v>
      </c>
      <c r="H117" s="35">
        <f>'Paste from cobra outputs'!I24</f>
        <v>69586.496231447847</v>
      </c>
      <c r="I117" s="40">
        <f t="shared" si="11"/>
        <v>0</v>
      </c>
      <c r="J117" s="40">
        <f t="shared" si="12"/>
        <v>5.9127262775997757E-3</v>
      </c>
      <c r="K117" s="40">
        <v>1</v>
      </c>
    </row>
    <row r="118" spans="1:11" x14ac:dyDescent="0.25">
      <c r="A118" s="28" t="s">
        <v>139</v>
      </c>
      <c r="B118" s="1" t="s">
        <v>132</v>
      </c>
      <c r="C118" s="2" t="s">
        <v>141</v>
      </c>
      <c r="D118" s="2"/>
      <c r="E118" s="3" t="s">
        <v>30</v>
      </c>
      <c r="F118" s="42">
        <f t="shared" si="15"/>
        <v>44901.60497126462</v>
      </c>
      <c r="G118" s="35">
        <f>'Paste from cobra outputs'!F25</f>
        <v>31078.479118648669</v>
      </c>
      <c r="H118" s="35">
        <f>'Paste from cobra outputs'!I25</f>
        <v>175403.59594900979</v>
      </c>
      <c r="I118" s="40">
        <f t="shared" si="11"/>
        <v>0.25599021917610865</v>
      </c>
      <c r="J118" s="40">
        <f t="shared" si="12"/>
        <v>0.17718267946846</v>
      </c>
      <c r="K118" s="40">
        <v>1</v>
      </c>
    </row>
    <row r="119" spans="1:11" x14ac:dyDescent="0.25">
      <c r="A119" s="28" t="s">
        <v>139</v>
      </c>
      <c r="B119" s="1" t="s">
        <v>132</v>
      </c>
      <c r="C119" s="2" t="s">
        <v>18</v>
      </c>
      <c r="D119" s="2"/>
      <c r="E119" s="3" t="s">
        <v>19</v>
      </c>
      <c r="F119" s="42">
        <f t="shared" si="15"/>
        <v>5051844</v>
      </c>
      <c r="G119" s="35">
        <f>'Paste from cobra outputs'!F27</f>
        <v>6473619</v>
      </c>
      <c r="H119" s="35">
        <f>'Paste from cobra outputs'!I27</f>
        <v>8420638</v>
      </c>
      <c r="I119" s="40">
        <f t="shared" si="11"/>
        <v>0.5999360143495065</v>
      </c>
      <c r="J119" s="40">
        <f t="shared" si="12"/>
        <v>0.76878010906061989</v>
      </c>
      <c r="K119" s="40">
        <v>1</v>
      </c>
    </row>
    <row r="120" spans="1:11" x14ac:dyDescent="0.25">
      <c r="A120" s="28" t="s">
        <v>139</v>
      </c>
      <c r="B120" s="1" t="s">
        <v>133</v>
      </c>
      <c r="C120" s="2" t="s">
        <v>28</v>
      </c>
      <c r="D120" s="2"/>
      <c r="E120" s="3" t="s">
        <v>29</v>
      </c>
      <c r="F120" s="42">
        <f t="shared" si="15"/>
        <v>33705.610029366682</v>
      </c>
      <c r="G120" s="35">
        <f>'Paste from cobra outputs'!F30</f>
        <v>43801.502312382487</v>
      </c>
      <c r="H120" s="35">
        <f>'Paste from cobra outputs'!I30</f>
        <v>28456.205623518919</v>
      </c>
      <c r="I120" s="40">
        <f t="shared" si="11"/>
        <v>1.1844730978999236</v>
      </c>
      <c r="J120" s="40">
        <f t="shared" si="12"/>
        <v>1.539260114011151</v>
      </c>
      <c r="K120" s="40">
        <v>1</v>
      </c>
    </row>
    <row r="121" spans="1:11" x14ac:dyDescent="0.25">
      <c r="A121" s="28" t="s">
        <v>139</v>
      </c>
      <c r="B121" s="1" t="s">
        <v>133</v>
      </c>
      <c r="C121" s="2" t="s">
        <v>130</v>
      </c>
      <c r="D121" s="2"/>
      <c r="I121" s="43">
        <v>1</v>
      </c>
      <c r="J121" s="43">
        <v>1</v>
      </c>
      <c r="K121" s="43">
        <v>1</v>
      </c>
    </row>
    <row r="122" spans="1:11" x14ac:dyDescent="0.25">
      <c r="A122" s="28" t="s">
        <v>139</v>
      </c>
      <c r="B122" s="1" t="s">
        <v>133</v>
      </c>
      <c r="C122" s="2" t="s">
        <v>130</v>
      </c>
      <c r="D122" s="2"/>
      <c r="I122" s="43">
        <v>1</v>
      </c>
      <c r="J122" s="43">
        <v>1</v>
      </c>
      <c r="K122" s="43">
        <v>1</v>
      </c>
    </row>
    <row r="123" spans="1:11" x14ac:dyDescent="0.25">
      <c r="A123" s="28" t="s">
        <v>139</v>
      </c>
      <c r="B123" s="1" t="s">
        <v>133</v>
      </c>
      <c r="C123" s="2" t="s">
        <v>130</v>
      </c>
      <c r="D123" s="2"/>
      <c r="I123" s="43">
        <v>1</v>
      </c>
      <c r="J123" s="43">
        <v>1</v>
      </c>
      <c r="K123" s="43">
        <v>1</v>
      </c>
    </row>
    <row r="124" spans="1:11" x14ac:dyDescent="0.25">
      <c r="A124" s="28" t="s">
        <v>139</v>
      </c>
      <c r="B124" s="1" t="s">
        <v>133</v>
      </c>
      <c r="C124" s="2" t="s">
        <v>130</v>
      </c>
      <c r="D124" s="2"/>
      <c r="I124" s="43">
        <v>1</v>
      </c>
      <c r="J124" s="43">
        <v>1</v>
      </c>
      <c r="K124" s="43">
        <v>1</v>
      </c>
    </row>
    <row r="125" spans="1:11" x14ac:dyDescent="0.25">
      <c r="A125" s="28" t="s">
        <v>139</v>
      </c>
      <c r="B125" s="1" t="s">
        <v>134</v>
      </c>
      <c r="C125" s="2" t="s">
        <v>38</v>
      </c>
      <c r="D125" s="2"/>
      <c r="E125" s="3" t="s">
        <v>39</v>
      </c>
      <c r="F125" s="41">
        <f t="shared" ref="F125:F131" si="16">F27</f>
        <v>0.61674826354256962</v>
      </c>
      <c r="G125" s="37">
        <f>'Paste from cobra outputs'!F33</f>
        <v>0.62801940813913948</v>
      </c>
      <c r="H125" s="37">
        <f>'Paste from cobra outputs'!I33</f>
        <v>0.80839568506892689</v>
      </c>
      <c r="I125" s="40">
        <f t="shared" ref="I125:I131" si="17">$F125*K125/H125</f>
        <v>0.76292869313123968</v>
      </c>
      <c r="J125" s="40">
        <f t="shared" ref="J125:J131" si="18">G125*K125/H125</f>
        <v>0.77687130168884089</v>
      </c>
      <c r="K125" s="40">
        <v>1</v>
      </c>
    </row>
    <row r="126" spans="1:11" x14ac:dyDescent="0.25">
      <c r="A126" s="28" t="s">
        <v>139</v>
      </c>
      <c r="B126" s="1" t="s">
        <v>134</v>
      </c>
      <c r="C126" s="2" t="s">
        <v>38</v>
      </c>
      <c r="D126" s="2"/>
      <c r="E126" s="3" t="s">
        <v>21</v>
      </c>
      <c r="F126" s="41">
        <f t="shared" si="16"/>
        <v>0.22663597264519761</v>
      </c>
      <c r="G126" s="37">
        <f>'Paste from cobra outputs'!F34</f>
        <v>0.17585444904555109</v>
      </c>
      <c r="H126" s="37">
        <f>'Paste from cobra outputs'!I34</f>
        <v>0.25248646153772158</v>
      </c>
      <c r="I126" s="40">
        <f t="shared" si="17"/>
        <v>0.89761633659449935</v>
      </c>
      <c r="J126" s="40">
        <f t="shared" si="18"/>
        <v>0.69649060775196592</v>
      </c>
      <c r="K126" s="40">
        <v>1</v>
      </c>
    </row>
    <row r="127" spans="1:11" x14ac:dyDescent="0.25">
      <c r="A127" s="28" t="s">
        <v>139</v>
      </c>
      <c r="B127" s="1" t="s">
        <v>134</v>
      </c>
      <c r="C127" s="2" t="s">
        <v>38</v>
      </c>
      <c r="D127" s="2"/>
      <c r="E127" s="3" t="s">
        <v>22</v>
      </c>
      <c r="F127" s="41">
        <f t="shared" si="16"/>
        <v>4.5958103288260672E-2</v>
      </c>
      <c r="G127" s="37">
        <f>'Paste from cobra outputs'!F35</f>
        <v>5.3437656121430963E-2</v>
      </c>
      <c r="H127" s="37">
        <f>'Paste from cobra outputs'!I35</f>
        <v>7.6597588281923784E-2</v>
      </c>
      <c r="I127" s="40">
        <f t="shared" si="17"/>
        <v>0.59999412930741447</v>
      </c>
      <c r="J127" s="40">
        <f t="shared" si="18"/>
        <v>0.69764149655403285</v>
      </c>
      <c r="K127" s="40">
        <v>1</v>
      </c>
    </row>
    <row r="128" spans="1:11" x14ac:dyDescent="0.25">
      <c r="A128" s="28" t="s">
        <v>139</v>
      </c>
      <c r="B128" s="1" t="s">
        <v>134</v>
      </c>
      <c r="C128" s="2" t="s">
        <v>40</v>
      </c>
      <c r="D128" s="2"/>
      <c r="E128" s="3" t="s">
        <v>39</v>
      </c>
      <c r="F128" s="41">
        <f t="shared" si="16"/>
        <v>85.672607960364147</v>
      </c>
      <c r="G128" s="37">
        <f>'Paste from cobra outputs'!F37</f>
        <v>76.195188044139286</v>
      </c>
      <c r="H128" s="37">
        <f>'Paste from cobra outputs'!I37</f>
        <v>99.94508941394632</v>
      </c>
      <c r="I128" s="40">
        <f t="shared" si="17"/>
        <v>0.85719677137443639</v>
      </c>
      <c r="J128" s="40">
        <f t="shared" si="18"/>
        <v>0.7623705025522447</v>
      </c>
      <c r="K128" s="40">
        <v>1</v>
      </c>
    </row>
    <row r="129" spans="1:11" x14ac:dyDescent="0.25">
      <c r="A129" s="28" t="s">
        <v>139</v>
      </c>
      <c r="B129" s="1" t="s">
        <v>134</v>
      </c>
      <c r="C129" s="2" t="s">
        <v>40</v>
      </c>
      <c r="D129" s="2"/>
      <c r="E129" s="3" t="s">
        <v>21</v>
      </c>
      <c r="F129" s="41">
        <f t="shared" si="16"/>
        <v>7.1765420410732252</v>
      </c>
      <c r="G129" s="37">
        <f>'Paste from cobra outputs'!F38</f>
        <v>4.3680609862419617</v>
      </c>
      <c r="H129" s="37">
        <f>'Paste from cobra outputs'!I38</f>
        <v>6.3039910132969696</v>
      </c>
      <c r="I129" s="40">
        <f t="shared" si="17"/>
        <v>1.1384124796396107</v>
      </c>
      <c r="J129" s="40">
        <f t="shared" si="18"/>
        <v>0.69290406300206286</v>
      </c>
      <c r="K129" s="40">
        <v>1</v>
      </c>
    </row>
    <row r="130" spans="1:11" x14ac:dyDescent="0.25">
      <c r="A130" s="28" t="s">
        <v>139</v>
      </c>
      <c r="B130" s="1" t="s">
        <v>134</v>
      </c>
      <c r="C130" s="2" t="s">
        <v>40</v>
      </c>
      <c r="D130" s="2"/>
      <c r="E130" s="3" t="s">
        <v>22</v>
      </c>
      <c r="F130" s="41">
        <f t="shared" si="16"/>
        <v>7.5050171602199613</v>
      </c>
      <c r="G130" s="37">
        <f>'Paste from cobra outputs'!F39</f>
        <v>5.6017566137997177</v>
      </c>
      <c r="H130" s="37">
        <f>'Paste from cobra outputs'!I39</f>
        <v>8.0740894037847664</v>
      </c>
      <c r="I130" s="40">
        <f t="shared" si="17"/>
        <v>0.92951870915647161</v>
      </c>
      <c r="J130" s="40">
        <f t="shared" si="18"/>
        <v>0.69379422664974066</v>
      </c>
      <c r="K130" s="40">
        <v>1</v>
      </c>
    </row>
    <row r="131" spans="1:11" x14ac:dyDescent="0.25">
      <c r="A131" s="28" t="s">
        <v>139</v>
      </c>
      <c r="B131" s="1" t="s">
        <v>134</v>
      </c>
      <c r="C131" s="2" t="s">
        <v>41</v>
      </c>
      <c r="D131" s="2"/>
      <c r="E131" s="3" t="s">
        <v>42</v>
      </c>
      <c r="F131" s="41">
        <f t="shared" si="16"/>
        <v>90.150236805019645</v>
      </c>
      <c r="G131" s="37">
        <f>'Paste from cobra outputs'!F41</f>
        <v>114.2471016616534</v>
      </c>
      <c r="H131" s="37">
        <f>'Paste from cobra outputs'!I41</f>
        <v>141.44493778498989</v>
      </c>
      <c r="I131" s="40">
        <f t="shared" si="17"/>
        <v>0.6373521613198827</v>
      </c>
      <c r="J131" s="40">
        <f t="shared" si="18"/>
        <v>0.80771431944294925</v>
      </c>
      <c r="K131" s="40">
        <v>1</v>
      </c>
    </row>
    <row r="132" spans="1:11" x14ac:dyDescent="0.25">
      <c r="A132" s="28" t="s">
        <v>139</v>
      </c>
      <c r="B132" s="1" t="s">
        <v>134</v>
      </c>
      <c r="C132" s="2" t="s">
        <v>115</v>
      </c>
      <c r="D132" s="2"/>
      <c r="I132" s="43">
        <v>1</v>
      </c>
      <c r="J132" s="43">
        <v>1</v>
      </c>
      <c r="K132" s="43">
        <v>1</v>
      </c>
    </row>
    <row r="133" spans="1:11" x14ac:dyDescent="0.25">
      <c r="A133" s="28" t="s">
        <v>139</v>
      </c>
      <c r="B133" s="1" t="s">
        <v>134</v>
      </c>
      <c r="C133" s="2" t="s">
        <v>115</v>
      </c>
      <c r="D133" s="2"/>
      <c r="I133" s="43">
        <v>1</v>
      </c>
      <c r="J133" s="43">
        <v>1</v>
      </c>
      <c r="K133" s="43">
        <v>1</v>
      </c>
    </row>
    <row r="134" spans="1:11" x14ac:dyDescent="0.25">
      <c r="A134" s="28" t="s">
        <v>139</v>
      </c>
      <c r="B134" s="1" t="s">
        <v>135</v>
      </c>
      <c r="C134" s="2" t="s">
        <v>23</v>
      </c>
      <c r="D134" s="2"/>
      <c r="E134" s="3" t="s">
        <v>24</v>
      </c>
      <c r="F134" s="41">
        <f t="shared" ref="F134:F150" si="19">F36</f>
        <v>7.9558406090634623E-2</v>
      </c>
      <c r="G134" s="37">
        <f>'Paste from cobra outputs'!F44</f>
        <v>0.17017561060572209</v>
      </c>
      <c r="H134" s="37">
        <f>'Paste from cobra outputs'!I44</f>
        <v>9.8607334525826471E-2</v>
      </c>
      <c r="I134" s="40">
        <f t="shared" ref="I134:I150" si="20">$F134*K134/H134</f>
        <v>0.80682036963282178</v>
      </c>
      <c r="J134" s="40">
        <f t="shared" ref="J134:J150" si="21">G134*K134/H134</f>
        <v>1.7257905958420467</v>
      </c>
      <c r="K134" s="40">
        <v>1</v>
      </c>
    </row>
    <row r="135" spans="1:11" x14ac:dyDescent="0.25">
      <c r="A135" s="28" t="s">
        <v>139</v>
      </c>
      <c r="B135" s="1" t="s">
        <v>135</v>
      </c>
      <c r="C135" s="2" t="s">
        <v>23</v>
      </c>
      <c r="D135" s="2"/>
      <c r="E135" s="3" t="s">
        <v>25</v>
      </c>
      <c r="F135" s="41">
        <f t="shared" si="19"/>
        <v>5.432733320765798E-2</v>
      </c>
      <c r="G135" s="37">
        <f>'Paste from cobra outputs'!F45</f>
        <v>0.68440800713638206</v>
      </c>
      <c r="H135" s="37">
        <f>'Paste from cobra outputs'!I45</f>
        <v>0.28193552944049832</v>
      </c>
      <c r="I135" s="40">
        <f t="shared" si="20"/>
        <v>0.19269417130742866</v>
      </c>
      <c r="J135" s="40">
        <f t="shared" si="21"/>
        <v>2.4275337290571048</v>
      </c>
      <c r="K135" s="40">
        <v>1</v>
      </c>
    </row>
    <row r="136" spans="1:11" x14ac:dyDescent="0.25">
      <c r="A136" s="28" t="s">
        <v>139</v>
      </c>
      <c r="B136" s="1" t="s">
        <v>135</v>
      </c>
      <c r="C136" s="2" t="s">
        <v>23</v>
      </c>
      <c r="D136" s="2"/>
      <c r="E136" s="3" t="s">
        <v>26</v>
      </c>
      <c r="F136" s="41">
        <f t="shared" si="19"/>
        <v>3.0489052829997099</v>
      </c>
      <c r="G136" s="37">
        <f>'Paste from cobra outputs'!F46</f>
        <v>4.3877843422467908</v>
      </c>
      <c r="H136" s="37">
        <f>'Paste from cobra outputs'!I46</f>
        <v>7.2434442571031932</v>
      </c>
      <c r="I136" s="40">
        <f t="shared" ref="I136" si="22">$F136*K136/H136</f>
        <v>0.4209192719347345</v>
      </c>
      <c r="J136" s="40">
        <f t="shared" ref="J136" si="23">G136*K136/H136</f>
        <v>0.60575938552215192</v>
      </c>
      <c r="K136" s="40">
        <v>1</v>
      </c>
    </row>
    <row r="137" spans="1:11" x14ac:dyDescent="0.25">
      <c r="A137" s="28" t="s">
        <v>139</v>
      </c>
      <c r="B137" s="1" t="s">
        <v>135</v>
      </c>
      <c r="C137" s="2" t="s">
        <v>23</v>
      </c>
      <c r="D137" s="2"/>
      <c r="E137" s="3" t="s">
        <v>27</v>
      </c>
      <c r="F137" s="41">
        <f t="shared" si="19"/>
        <v>0.3038629989246453</v>
      </c>
      <c r="G137" s="37">
        <f>'Paste from cobra outputs'!F47</f>
        <v>0.4558360332036433</v>
      </c>
      <c r="H137" s="37">
        <f>'Paste from cobra outputs'!I47</f>
        <v>0.72937528736653967</v>
      </c>
      <c r="I137" s="40">
        <f t="shared" si="20"/>
        <v>0.41660720370957982</v>
      </c>
      <c r="J137" s="40">
        <f t="shared" si="21"/>
        <v>0.62496775130601301</v>
      </c>
      <c r="K137" s="40">
        <v>1</v>
      </c>
    </row>
    <row r="138" spans="1:11" x14ac:dyDescent="0.25">
      <c r="A138" s="28" t="s">
        <v>139</v>
      </c>
      <c r="B138" s="1" t="s">
        <v>135</v>
      </c>
      <c r="C138" s="2" t="s">
        <v>131</v>
      </c>
      <c r="D138" s="2"/>
      <c r="E138" s="3" t="s">
        <v>31</v>
      </c>
      <c r="F138" s="41">
        <f t="shared" si="19"/>
        <v>14.83431041031602</v>
      </c>
      <c r="G138" s="37">
        <f>'Paste from cobra outputs'!F49</f>
        <v>35.283990384347121</v>
      </c>
      <c r="H138" s="37">
        <f>'Paste from cobra outputs'!I49</f>
        <v>32.561391975751498</v>
      </c>
      <c r="I138" s="40">
        <f t="shared" si="20"/>
        <v>0.45557973754202974</v>
      </c>
      <c r="J138" s="40">
        <f t="shared" si="21"/>
        <v>1.083614312638205</v>
      </c>
      <c r="K138" s="40">
        <v>1</v>
      </c>
    </row>
    <row r="139" spans="1:11" x14ac:dyDescent="0.25">
      <c r="A139" s="28" t="s">
        <v>139</v>
      </c>
      <c r="B139" s="1" t="s">
        <v>135</v>
      </c>
      <c r="C139" s="2" t="s">
        <v>131</v>
      </c>
      <c r="D139" s="2"/>
      <c r="E139" s="3" t="s">
        <v>32</v>
      </c>
      <c r="F139" s="41">
        <f t="shared" si="19"/>
        <v>0.36960632767856821</v>
      </c>
      <c r="G139" s="37">
        <f>'Paste from cobra outputs'!F50</f>
        <v>0.47933194820737229</v>
      </c>
      <c r="H139" s="37">
        <f>'Paste from cobra outputs'!I50</f>
        <v>0.31022155051277861</v>
      </c>
      <c r="I139" s="40">
        <f t="shared" si="20"/>
        <v>1.1914269884462569</v>
      </c>
      <c r="J139" s="40">
        <f t="shared" si="21"/>
        <v>1.5451278204723811</v>
      </c>
      <c r="K139" s="40">
        <v>1</v>
      </c>
    </row>
    <row r="140" spans="1:11" x14ac:dyDescent="0.25">
      <c r="A140" s="28" t="s">
        <v>139</v>
      </c>
      <c r="B140" s="1" t="s">
        <v>135</v>
      </c>
      <c r="C140" s="2" t="s">
        <v>131</v>
      </c>
      <c r="D140" s="2"/>
      <c r="E140" s="3" t="s">
        <v>33</v>
      </c>
      <c r="F140" s="41">
        <f t="shared" si="19"/>
        <v>6.4965390674631487E-2</v>
      </c>
      <c r="G140" s="37">
        <f>'Paste from cobra outputs'!F51</f>
        <v>6.302898523829456E-2</v>
      </c>
      <c r="H140" s="37">
        <f>'Paste from cobra outputs'!I51</f>
        <v>8.7361855237686761E-2</v>
      </c>
      <c r="I140" s="40">
        <f t="shared" si="20"/>
        <v>0.74363565766637096</v>
      </c>
      <c r="J140" s="40">
        <f t="shared" si="21"/>
        <v>0.72147031524010818</v>
      </c>
      <c r="K140" s="40">
        <v>1</v>
      </c>
    </row>
    <row r="141" spans="1:11" x14ac:dyDescent="0.25">
      <c r="A141" s="28" t="s">
        <v>139</v>
      </c>
      <c r="B141" s="1" t="s">
        <v>135</v>
      </c>
      <c r="C141" s="2" t="s">
        <v>131</v>
      </c>
      <c r="D141" s="2"/>
      <c r="E141" s="3" t="s">
        <v>34</v>
      </c>
      <c r="F141" s="41">
        <f t="shared" si="19"/>
        <v>0.13774536223179079</v>
      </c>
      <c r="G141" s="37">
        <f>'Paste from cobra outputs'!F52</f>
        <v>0.1079228376625041</v>
      </c>
      <c r="H141" s="37">
        <f>'Paste from cobra outputs'!I52</f>
        <v>9.1278149221508648E-2</v>
      </c>
      <c r="I141" s="40">
        <f t="shared" si="20"/>
        <v>1.5090726905244116</v>
      </c>
      <c r="J141" s="40">
        <f t="shared" si="21"/>
        <v>1.1823512919899708</v>
      </c>
      <c r="K141" s="40">
        <v>1</v>
      </c>
    </row>
    <row r="142" spans="1:11" x14ac:dyDescent="0.25">
      <c r="A142" s="28" t="s">
        <v>139</v>
      </c>
      <c r="B142" s="1" t="s">
        <v>135</v>
      </c>
      <c r="C142" s="2" t="s">
        <v>131</v>
      </c>
      <c r="D142" s="2"/>
      <c r="E142" s="3" t="s">
        <v>35</v>
      </c>
      <c r="F142" s="41">
        <f t="shared" si="19"/>
        <v>3.0096057950557219E-2</v>
      </c>
      <c r="G142" s="37">
        <f>'Paste from cobra outputs'!F53</f>
        <v>2.3355511133174921E-2</v>
      </c>
      <c r="H142" s="37">
        <f>'Paste from cobra outputs'!I53</f>
        <v>1.8554791963777E-2</v>
      </c>
      <c r="I142" s="40">
        <f t="shared" si="20"/>
        <v>1.6220099912362955</v>
      </c>
      <c r="J142" s="40">
        <f t="shared" si="21"/>
        <v>1.2587320396138082</v>
      </c>
      <c r="K142" s="40">
        <v>1</v>
      </c>
    </row>
    <row r="143" spans="1:11" x14ac:dyDescent="0.25">
      <c r="A143" s="28" t="s">
        <v>139</v>
      </c>
      <c r="B143" s="1" t="s">
        <v>135</v>
      </c>
      <c r="C143" s="2" t="s">
        <v>131</v>
      </c>
      <c r="D143" s="2"/>
      <c r="E143" s="3" t="s">
        <v>36</v>
      </c>
      <c r="F143" s="41">
        <f t="shared" si="19"/>
        <v>0.17741268053966169</v>
      </c>
      <c r="G143" s="37">
        <f>'Paste from cobra outputs'!F54</f>
        <v>0.16102028455468739</v>
      </c>
      <c r="H143" s="37">
        <f>'Paste from cobra outputs'!I54</f>
        <v>0.20039071481198201</v>
      </c>
      <c r="I143" s="40">
        <f t="shared" si="20"/>
        <v>0.88533383747904881</v>
      </c>
      <c r="J143" s="40">
        <f t="shared" si="21"/>
        <v>0.80353166415802146</v>
      </c>
      <c r="K143" s="40">
        <v>1</v>
      </c>
    </row>
    <row r="144" spans="1:11" x14ac:dyDescent="0.25">
      <c r="A144" s="28" t="s">
        <v>139</v>
      </c>
      <c r="B144" s="1" t="s">
        <v>135</v>
      </c>
      <c r="C144" s="2" t="s">
        <v>131</v>
      </c>
      <c r="D144" s="2"/>
      <c r="E144" s="3" t="s">
        <v>37</v>
      </c>
      <c r="F144" s="41">
        <f t="shared" si="19"/>
        <v>0.45195506187070089</v>
      </c>
      <c r="G144" s="37">
        <f>'Paste from cobra outputs'!F55</f>
        <v>0.81521680095728388</v>
      </c>
      <c r="H144" s="37">
        <f>'Paste from cobra outputs'!I55</f>
        <v>0.49284934448915502</v>
      </c>
      <c r="I144" s="40">
        <f t="shared" si="20"/>
        <v>0.91702478033963586</v>
      </c>
      <c r="J144" s="40">
        <f t="shared" si="21"/>
        <v>1.6540892466891015</v>
      </c>
      <c r="K144" s="40">
        <v>1</v>
      </c>
    </row>
    <row r="145" spans="1:11" x14ac:dyDescent="0.25">
      <c r="A145" s="28" t="s">
        <v>139</v>
      </c>
      <c r="B145" s="1" t="s">
        <v>135</v>
      </c>
      <c r="C145" s="2" t="s">
        <v>46</v>
      </c>
      <c r="D145" s="2"/>
      <c r="E145" s="3" t="s">
        <v>19</v>
      </c>
      <c r="F145" s="42">
        <f t="shared" si="19"/>
        <v>424555</v>
      </c>
      <c r="G145" s="35">
        <f>'Paste from cobra outputs'!F61</f>
        <v>519699</v>
      </c>
      <c r="H145" s="35">
        <f>'Paste from cobra outputs'!I61</f>
        <v>2279901</v>
      </c>
      <c r="I145" s="40">
        <f t="shared" si="20"/>
        <v>0.1862164190462656</v>
      </c>
      <c r="J145" s="40">
        <f t="shared" si="21"/>
        <v>0.22794805563925802</v>
      </c>
      <c r="K145" s="40">
        <v>1</v>
      </c>
    </row>
    <row r="146" spans="1:11" x14ac:dyDescent="0.25">
      <c r="A146" s="28" t="s">
        <v>139</v>
      </c>
      <c r="B146" s="1" t="s">
        <v>135</v>
      </c>
      <c r="C146" s="2" t="s">
        <v>47</v>
      </c>
      <c r="D146" s="2"/>
      <c r="E146" s="3" t="s">
        <v>43</v>
      </c>
      <c r="F146" s="41">
        <f t="shared" si="19"/>
        <v>27.128200799999991</v>
      </c>
      <c r="G146" s="37">
        <f>'Paste from cobra outputs'!F67</f>
        <v>37.800915359999998</v>
      </c>
      <c r="H146" s="37">
        <f>'Paste from cobra outputs'!I67</f>
        <v>115.68679536</v>
      </c>
      <c r="I146" s="40">
        <f t="shared" si="20"/>
        <v>0.2344969511479775</v>
      </c>
      <c r="J146" s="40">
        <f t="shared" si="21"/>
        <v>0.32675220402094468</v>
      </c>
      <c r="K146" s="40">
        <v>1</v>
      </c>
    </row>
    <row r="147" spans="1:11" x14ac:dyDescent="0.25">
      <c r="A147" s="28" t="s">
        <v>139</v>
      </c>
      <c r="B147" s="1" t="s">
        <v>135</v>
      </c>
      <c r="C147" s="2" t="s">
        <v>47</v>
      </c>
      <c r="D147" s="2"/>
      <c r="E147" s="3" t="s">
        <v>44</v>
      </c>
      <c r="F147" s="41">
        <f t="shared" si="19"/>
        <v>205.96200703571429</v>
      </c>
      <c r="G147" s="37">
        <f>'Paste from cobra outputs'!F68</f>
        <v>248.5902131428571</v>
      </c>
      <c r="H147" s="37">
        <f>'Paste from cobra outputs'!I68</f>
        <v>998.34894814285724</v>
      </c>
      <c r="I147" s="40">
        <f t="shared" si="20"/>
        <v>0.20630262336515476</v>
      </c>
      <c r="J147" s="40">
        <f t="shared" si="21"/>
        <v>0.24900132724663868</v>
      </c>
      <c r="K147" s="40">
        <v>1</v>
      </c>
    </row>
    <row r="148" spans="1:11" x14ac:dyDescent="0.25">
      <c r="A148" s="28" t="s">
        <v>139</v>
      </c>
      <c r="B148" s="1" t="s">
        <v>135</v>
      </c>
      <c r="C148" s="2" t="s">
        <v>47</v>
      </c>
      <c r="D148" s="2"/>
      <c r="E148" s="3" t="s">
        <v>45</v>
      </c>
      <c r="F148" s="41">
        <f t="shared" si="19"/>
        <v>142.50154678571431</v>
      </c>
      <c r="G148" s="37">
        <f>'Paste from cobra outputs'!F69</f>
        <v>183.67778471428571</v>
      </c>
      <c r="H148" s="37">
        <f>'Paste from cobra outputs'!I69</f>
        <v>467.01814107142849</v>
      </c>
      <c r="I148" s="40">
        <f t="shared" si="20"/>
        <v>0.30513064537233747</v>
      </c>
      <c r="J148" s="40">
        <f t="shared" si="21"/>
        <v>0.39329903607790034</v>
      </c>
      <c r="K148" s="40">
        <v>1</v>
      </c>
    </row>
    <row r="149" spans="1:11" x14ac:dyDescent="0.25">
      <c r="A149" s="28" t="s">
        <v>139</v>
      </c>
      <c r="B149" s="1" t="s">
        <v>135</v>
      </c>
      <c r="C149" s="2" t="s">
        <v>48</v>
      </c>
      <c r="D149" s="2"/>
      <c r="E149" s="3" t="s">
        <v>49</v>
      </c>
      <c r="F149" s="42">
        <f t="shared" si="19"/>
        <v>125766473.8332997</v>
      </c>
      <c r="G149" s="35">
        <f>'Paste from cobra outputs'!F71</f>
        <v>197000840.7270996</v>
      </c>
      <c r="H149" s="35">
        <f>'Paste from cobra outputs'!I71</f>
        <v>340429119.52899969</v>
      </c>
      <c r="I149" s="40">
        <f t="shared" si="20"/>
        <v>0.36943512355025254</v>
      </c>
      <c r="J149" s="40">
        <f t="shared" si="21"/>
        <v>0.57868387110849939</v>
      </c>
      <c r="K149" s="40">
        <v>1</v>
      </c>
    </row>
    <row r="150" spans="1:11" x14ac:dyDescent="0.25">
      <c r="A150" s="28" t="s">
        <v>139</v>
      </c>
      <c r="B150" s="1" t="s">
        <v>135</v>
      </c>
      <c r="C150" s="2" t="s">
        <v>48</v>
      </c>
      <c r="D150" s="2"/>
      <c r="E150" s="3" t="s">
        <v>50</v>
      </c>
      <c r="F150" s="42">
        <f t="shared" si="19"/>
        <v>14351071.696699999</v>
      </c>
      <c r="G150" s="35">
        <f>'Paste from cobra outputs'!F72</f>
        <v>17907430.573799979</v>
      </c>
      <c r="H150" s="35">
        <f>'Paste from cobra outputs'!I72</f>
        <v>14345856.20770002</v>
      </c>
      <c r="I150" s="40">
        <f t="shared" si="20"/>
        <v>1.0003635536927507</v>
      </c>
      <c r="J150" s="40">
        <f t="shared" si="21"/>
        <v>1.2482650261187138</v>
      </c>
      <c r="K150" s="40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3" t="s">
        <v>59</v>
      </c>
      <c r="F8" t="s">
        <v>249</v>
      </c>
    </row>
    <row r="9" spans="3:9" x14ac:dyDescent="0.25">
      <c r="F9" t="s">
        <v>250</v>
      </c>
    </row>
    <row r="10" spans="3:9" x14ac:dyDescent="0.25">
      <c r="F10" t="s">
        <v>251</v>
      </c>
    </row>
    <row r="11" spans="3:9" x14ac:dyDescent="0.25">
      <c r="C11" s="24" t="s">
        <v>60</v>
      </c>
      <c r="F11" t="s">
        <v>249</v>
      </c>
    </row>
    <row r="12" spans="3:9" x14ac:dyDescent="0.25">
      <c r="F12" t="s">
        <v>250</v>
      </c>
    </row>
    <row r="13" spans="3:9" x14ac:dyDescent="0.25">
      <c r="F13" t="s">
        <v>251</v>
      </c>
    </row>
    <row r="14" spans="3:9" x14ac:dyDescent="0.25">
      <c r="C14" s="23" t="s">
        <v>91</v>
      </c>
      <c r="E14" t="s">
        <v>252</v>
      </c>
      <c r="F14" t="s">
        <v>249</v>
      </c>
    </row>
    <row r="15" spans="3:9" x14ac:dyDescent="0.25">
      <c r="F15" t="s">
        <v>250</v>
      </c>
    </row>
    <row r="16" spans="3:9" x14ac:dyDescent="0.25">
      <c r="F16" t="s">
        <v>251</v>
      </c>
    </row>
    <row r="17" spans="3:6" x14ac:dyDescent="0.25">
      <c r="C17" s="24" t="s">
        <v>61</v>
      </c>
      <c r="F17" t="s">
        <v>249</v>
      </c>
    </row>
    <row r="18" spans="3:6" x14ac:dyDescent="0.25">
      <c r="F18" t="s">
        <v>250</v>
      </c>
    </row>
    <row r="19" spans="3:6" x14ac:dyDescent="0.25">
      <c r="F19" t="s">
        <v>251</v>
      </c>
    </row>
    <row r="20" spans="3:6" x14ac:dyDescent="0.25">
      <c r="C20" s="23" t="s">
        <v>62</v>
      </c>
      <c r="F20" t="s">
        <v>249</v>
      </c>
    </row>
    <row r="21" spans="3:6" x14ac:dyDescent="0.25">
      <c r="F21" t="s">
        <v>250</v>
      </c>
    </row>
    <row r="22" spans="3:6" x14ac:dyDescent="0.25">
      <c r="F22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E39" sqref="E39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2" t="s">
        <v>92</v>
      </c>
      <c r="B1" s="22" t="s">
        <v>155</v>
      </c>
      <c r="C1" s="20"/>
      <c r="D1" s="20"/>
      <c r="E1" s="20"/>
      <c r="F1" s="20"/>
    </row>
    <row r="2" spans="1:6" x14ac:dyDescent="0.25">
      <c r="A2" s="20" t="s">
        <v>97</v>
      </c>
      <c r="B2" s="20">
        <v>20</v>
      </c>
      <c r="D2" s="20"/>
      <c r="E2" s="20"/>
      <c r="F2" s="20"/>
    </row>
    <row r="3" spans="1:6" x14ac:dyDescent="0.25">
      <c r="A3" s="20" t="s">
        <v>96</v>
      </c>
      <c r="B3" s="20">
        <v>80</v>
      </c>
      <c r="D3" s="20"/>
      <c r="E3" s="20"/>
      <c r="F3" s="20"/>
    </row>
    <row r="4" spans="1:6" x14ac:dyDescent="0.25">
      <c r="A4" s="20" t="s">
        <v>326</v>
      </c>
      <c r="B4" s="20">
        <v>125</v>
      </c>
      <c r="D4" s="20"/>
      <c r="E4" s="20"/>
      <c r="F4" s="20"/>
    </row>
    <row r="5" spans="1:6" x14ac:dyDescent="0.25">
      <c r="A5" s="20" t="s">
        <v>95</v>
      </c>
      <c r="B5" s="20">
        <v>20</v>
      </c>
      <c r="D5" s="20"/>
      <c r="E5" s="20"/>
      <c r="F5" s="20"/>
    </row>
    <row r="6" spans="1:6" x14ac:dyDescent="0.25">
      <c r="A6" t="s">
        <v>324</v>
      </c>
      <c r="B6">
        <v>20</v>
      </c>
    </row>
    <row r="7" spans="1:6" x14ac:dyDescent="0.25">
      <c r="A7" s="20" t="s">
        <v>327</v>
      </c>
      <c r="B7" s="20">
        <v>125</v>
      </c>
      <c r="D7" s="20"/>
      <c r="E7" s="20"/>
      <c r="F7" s="20"/>
    </row>
    <row r="8" spans="1:6" x14ac:dyDescent="0.25">
      <c r="A8" s="20" t="s">
        <v>322</v>
      </c>
      <c r="B8" s="20">
        <v>125</v>
      </c>
      <c r="D8" s="20"/>
      <c r="E8" s="20"/>
      <c r="F8" s="20"/>
    </row>
    <row r="9" spans="1:6" x14ac:dyDescent="0.25">
      <c r="A9" s="20" t="s">
        <v>320</v>
      </c>
      <c r="B9" s="20">
        <v>80</v>
      </c>
      <c r="D9" s="20"/>
      <c r="E9" s="20"/>
      <c r="F9" s="20"/>
    </row>
    <row r="10" spans="1:6" x14ac:dyDescent="0.25">
      <c r="A10" s="20" t="s">
        <v>321</v>
      </c>
      <c r="B10" s="20">
        <v>125</v>
      </c>
      <c r="D10" s="20"/>
      <c r="E10" s="20"/>
      <c r="F10" s="20"/>
    </row>
    <row r="11" spans="1:6" x14ac:dyDescent="0.25">
      <c r="A11" s="20" t="s">
        <v>323</v>
      </c>
      <c r="B11" s="20">
        <v>30</v>
      </c>
      <c r="D11" s="20"/>
      <c r="E11" s="20"/>
      <c r="F11" s="20"/>
    </row>
    <row r="12" spans="1:6" x14ac:dyDescent="0.25">
      <c r="A12" s="20" t="s">
        <v>98</v>
      </c>
      <c r="B12" s="20">
        <v>70</v>
      </c>
      <c r="D12" s="20"/>
      <c r="E12" s="20"/>
      <c r="F12" s="20"/>
    </row>
    <row r="13" spans="1:6" x14ac:dyDescent="0.25">
      <c r="A13" s="20" t="s">
        <v>99</v>
      </c>
      <c r="B13" s="20">
        <v>125</v>
      </c>
      <c r="D13" s="20"/>
      <c r="E13" s="20"/>
      <c r="F13" s="20"/>
    </row>
    <row r="14" spans="1:6" x14ac:dyDescent="0.25">
      <c r="A14" t="s">
        <v>325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0" t="s">
        <v>100</v>
      </c>
      <c r="B16" s="20">
        <v>70</v>
      </c>
      <c r="D16" s="20"/>
      <c r="E16" s="20"/>
      <c r="F16" s="20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2" t="s">
        <v>72</v>
      </c>
      <c r="B1" s="22" t="s">
        <v>136</v>
      </c>
      <c r="C1" s="22" t="s">
        <v>118</v>
      </c>
      <c r="D1" s="22" t="s">
        <v>119</v>
      </c>
      <c r="E1" s="22" t="s">
        <v>120</v>
      </c>
      <c r="F1" s="22" t="s">
        <v>194</v>
      </c>
      <c r="G1" s="22" t="s">
        <v>195</v>
      </c>
      <c r="H1" s="22" t="s">
        <v>196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  <c r="O1" s="22">
        <v>2021</v>
      </c>
      <c r="P1" s="22">
        <v>2022</v>
      </c>
      <c r="Q1" s="22">
        <v>2023</v>
      </c>
      <c r="R1" s="22">
        <v>2024</v>
      </c>
      <c r="S1" s="22">
        <v>2025</v>
      </c>
      <c r="T1" s="22">
        <v>2026</v>
      </c>
      <c r="U1" s="22">
        <v>2027</v>
      </c>
      <c r="V1" s="22">
        <v>2028</v>
      </c>
      <c r="W1" s="22">
        <v>2029</v>
      </c>
      <c r="X1" s="22">
        <v>2030</v>
      </c>
      <c r="Y1" s="22">
        <v>2031</v>
      </c>
      <c r="Z1" s="22">
        <v>2032</v>
      </c>
      <c r="AA1" s="22">
        <v>2033</v>
      </c>
      <c r="AB1" s="22">
        <v>2034</v>
      </c>
      <c r="AC1" s="22">
        <v>2035</v>
      </c>
      <c r="AD1" s="22">
        <v>2036</v>
      </c>
      <c r="AE1" s="22">
        <v>2037</v>
      </c>
      <c r="AF1" s="22">
        <v>2038</v>
      </c>
      <c r="AG1" s="22">
        <v>2039</v>
      </c>
      <c r="AH1" s="22">
        <v>2040</v>
      </c>
      <c r="AI1" s="22">
        <v>2041</v>
      </c>
      <c r="AJ1" s="22">
        <v>2042</v>
      </c>
      <c r="AK1" s="22">
        <v>2043</v>
      </c>
      <c r="AL1" s="22">
        <v>2044</v>
      </c>
      <c r="AM1" s="22">
        <v>2045</v>
      </c>
      <c r="AN1" s="22">
        <v>2046</v>
      </c>
      <c r="AO1" s="22">
        <v>2047</v>
      </c>
      <c r="AP1" s="22">
        <v>2048</v>
      </c>
      <c r="AQ1" s="22">
        <v>2049</v>
      </c>
      <c r="AR1" s="22">
        <v>2050</v>
      </c>
      <c r="AS1" s="22">
        <v>2051</v>
      </c>
      <c r="AT1" s="22">
        <v>2052</v>
      </c>
      <c r="AU1" s="22">
        <v>2053</v>
      </c>
      <c r="AV1" s="22">
        <v>2054</v>
      </c>
      <c r="AW1" s="22">
        <v>2055</v>
      </c>
      <c r="AX1" s="22">
        <v>2056</v>
      </c>
      <c r="AY1" s="22">
        <v>2057</v>
      </c>
      <c r="AZ1" s="22">
        <v>2058</v>
      </c>
      <c r="BA1" s="22">
        <v>2059</v>
      </c>
      <c r="BB1" s="22">
        <v>2060</v>
      </c>
      <c r="BC1" s="22">
        <v>2061</v>
      </c>
      <c r="BD1" s="22">
        <v>2062</v>
      </c>
      <c r="BE1" s="22">
        <v>2063</v>
      </c>
      <c r="BF1" s="22">
        <v>2064</v>
      </c>
      <c r="BG1" s="22">
        <v>2065</v>
      </c>
      <c r="BH1" s="22">
        <v>2066</v>
      </c>
      <c r="BI1" s="22">
        <v>2067</v>
      </c>
      <c r="BJ1" s="22">
        <v>2068</v>
      </c>
      <c r="BK1" s="22">
        <v>2069</v>
      </c>
      <c r="BL1" s="22">
        <v>2070</v>
      </c>
      <c r="BM1" s="22">
        <v>2071</v>
      </c>
      <c r="BN1" s="22">
        <v>2072</v>
      </c>
      <c r="BO1" s="22">
        <v>2073</v>
      </c>
      <c r="BP1" s="22">
        <v>2074</v>
      </c>
      <c r="BQ1" s="22">
        <v>2075</v>
      </c>
      <c r="BR1" s="22">
        <v>2076</v>
      </c>
      <c r="BS1" s="22">
        <v>2077</v>
      </c>
      <c r="BT1" s="22">
        <v>2078</v>
      </c>
      <c r="BU1" s="22">
        <v>2079</v>
      </c>
      <c r="BV1" s="22">
        <v>2080</v>
      </c>
    </row>
    <row r="2" spans="1:74" x14ac:dyDescent="0.25">
      <c r="A2" s="27" t="s">
        <v>138</v>
      </c>
      <c r="B2" s="23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7" t="s">
        <v>138</v>
      </c>
      <c r="B3" s="23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7" t="s">
        <v>138</v>
      </c>
      <c r="B4" s="23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7" t="s">
        <v>138</v>
      </c>
      <c r="B5" s="23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7" t="s">
        <v>138</v>
      </c>
      <c r="B6" s="23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7" t="s">
        <v>138</v>
      </c>
      <c r="B7" s="23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7" t="s">
        <v>138</v>
      </c>
      <c r="B8" s="23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7" t="s">
        <v>138</v>
      </c>
      <c r="B9" s="23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7" t="s">
        <v>138</v>
      </c>
      <c r="B10" s="23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7" t="s">
        <v>138</v>
      </c>
      <c r="B11" s="23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7" t="s">
        <v>138</v>
      </c>
      <c r="B12" s="23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7" t="s">
        <v>138</v>
      </c>
      <c r="B13" s="23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7" t="s">
        <v>138</v>
      </c>
      <c r="B14" s="23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7" t="s">
        <v>138</v>
      </c>
      <c r="B15" s="23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7" t="s">
        <v>138</v>
      </c>
      <c r="B16" s="23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7" t="s">
        <v>138</v>
      </c>
      <c r="B17" s="23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7" t="s">
        <v>138</v>
      </c>
      <c r="B18" s="24" t="s">
        <v>254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7" t="s">
        <v>138</v>
      </c>
      <c r="B19" s="24" t="s">
        <v>254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7" t="s">
        <v>138</v>
      </c>
      <c r="B20" s="24" t="s">
        <v>254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7" t="s">
        <v>138</v>
      </c>
      <c r="B21" s="24" t="s">
        <v>254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7" t="s">
        <v>138</v>
      </c>
      <c r="B22" s="24" t="s">
        <v>254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7" t="s">
        <v>138</v>
      </c>
      <c r="B23" s="24" t="s">
        <v>254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7" t="s">
        <v>138</v>
      </c>
      <c r="B24" s="24" t="s">
        <v>254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7" t="s">
        <v>138</v>
      </c>
      <c r="B25" s="24" t="s">
        <v>254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7" t="s">
        <v>138</v>
      </c>
      <c r="B26" s="24" t="s">
        <v>254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7" t="s">
        <v>138</v>
      </c>
      <c r="B27" s="24" t="s">
        <v>254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7" t="s">
        <v>138</v>
      </c>
      <c r="B28" s="24" t="s">
        <v>254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7" t="s">
        <v>138</v>
      </c>
      <c r="B29" s="24" t="s">
        <v>254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7" t="s">
        <v>138</v>
      </c>
      <c r="B30" s="24" t="s">
        <v>254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7" t="s">
        <v>138</v>
      </c>
      <c r="B31" s="24" t="s">
        <v>254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7" t="s">
        <v>138</v>
      </c>
      <c r="B32" s="24" t="s">
        <v>254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7" t="s">
        <v>138</v>
      </c>
      <c r="B33" s="24" t="s">
        <v>254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7" t="s">
        <v>138</v>
      </c>
      <c r="B34" s="23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7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7" t="s">
        <v>138</v>
      </c>
      <c r="B35" s="23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7" t="s">
        <v>138</v>
      </c>
      <c r="B36" s="23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7" t="s">
        <v>138</v>
      </c>
      <c r="B37" s="23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7" t="s">
        <v>138</v>
      </c>
      <c r="B38" s="23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7" t="s">
        <v>138</v>
      </c>
      <c r="B39" s="23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7" t="s">
        <v>138</v>
      </c>
      <c r="B40" s="23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7" t="s">
        <v>138</v>
      </c>
      <c r="B41" s="23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7" t="s">
        <v>138</v>
      </c>
      <c r="B42" s="23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7" t="s">
        <v>138</v>
      </c>
      <c r="B43" s="23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7" t="s">
        <v>138</v>
      </c>
      <c r="B44" s="23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7" t="s">
        <v>138</v>
      </c>
      <c r="B45" s="23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7" t="s">
        <v>138</v>
      </c>
      <c r="B46" s="23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7" t="s">
        <v>138</v>
      </c>
      <c r="B47" s="23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7" t="s">
        <v>138</v>
      </c>
      <c r="B48" s="23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7" t="s">
        <v>138</v>
      </c>
      <c r="B49" s="23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7" t="s">
        <v>138</v>
      </c>
      <c r="B50" s="24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7" t="s">
        <v>138</v>
      </c>
      <c r="B51" s="24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7" t="s">
        <v>138</v>
      </c>
      <c r="B52" s="24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7" t="s">
        <v>138</v>
      </c>
      <c r="B53" s="24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7" t="s">
        <v>138</v>
      </c>
      <c r="B54" s="24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7" t="s">
        <v>138</v>
      </c>
      <c r="B55" s="24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7" t="s">
        <v>138</v>
      </c>
      <c r="B56" s="24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7" t="s">
        <v>138</v>
      </c>
      <c r="B57" s="24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7" t="s">
        <v>138</v>
      </c>
      <c r="B58" s="24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7" t="s">
        <v>138</v>
      </c>
      <c r="B59" s="24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7" t="s">
        <v>138</v>
      </c>
      <c r="B60" s="24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7" t="s">
        <v>138</v>
      </c>
      <c r="B61" s="24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7" t="s">
        <v>138</v>
      </c>
      <c r="B62" s="24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7" t="s">
        <v>138</v>
      </c>
      <c r="B63" s="24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7" t="s">
        <v>138</v>
      </c>
      <c r="B64" s="24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7" t="s">
        <v>138</v>
      </c>
      <c r="B65" s="24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7" t="s">
        <v>138</v>
      </c>
      <c r="B66" s="23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7" t="s">
        <v>138</v>
      </c>
      <c r="B67" s="23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7" t="s">
        <v>138</v>
      </c>
      <c r="B68" s="23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7" t="s">
        <v>138</v>
      </c>
      <c r="B69" s="23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7" t="s">
        <v>138</v>
      </c>
      <c r="B70" s="23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7" t="s">
        <v>138</v>
      </c>
      <c r="B71" s="23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7" t="s">
        <v>138</v>
      </c>
      <c r="B72" s="23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7" t="s">
        <v>138</v>
      </c>
      <c r="B73" s="23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7" t="s">
        <v>138</v>
      </c>
      <c r="B74" s="23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7" t="s">
        <v>138</v>
      </c>
      <c r="B75" s="23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7" t="s">
        <v>138</v>
      </c>
      <c r="B76" s="23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7" t="s">
        <v>138</v>
      </c>
      <c r="B77" s="23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7" t="s">
        <v>138</v>
      </c>
      <c r="B78" s="23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7" t="s">
        <v>138</v>
      </c>
      <c r="B79" s="23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7" t="s">
        <v>138</v>
      </c>
      <c r="B80" s="23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7" t="s">
        <v>138</v>
      </c>
      <c r="B81" s="23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6" t="s">
        <v>137</v>
      </c>
      <c r="B82" s="23" t="s">
        <v>170</v>
      </c>
      <c r="C82" s="1" t="s">
        <v>125</v>
      </c>
      <c r="D82" s="2" t="s">
        <v>0</v>
      </c>
      <c r="E82" s="3" t="s">
        <v>1</v>
      </c>
      <c r="F82" s="58">
        <v>0.66543812245514433</v>
      </c>
      <c r="G82" s="58">
        <v>0.76658926521498971</v>
      </c>
      <c r="H82" s="57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6" t="s">
        <v>137</v>
      </c>
      <c r="B83" s="23" t="s">
        <v>170</v>
      </c>
      <c r="C83" s="1" t="s">
        <v>125</v>
      </c>
      <c r="D83" s="2" t="s">
        <v>0</v>
      </c>
      <c r="E83" s="3" t="s">
        <v>2</v>
      </c>
      <c r="F83" s="58">
        <v>0.66543812245514433</v>
      </c>
      <c r="G83" s="58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6" t="s">
        <v>137</v>
      </c>
      <c r="B84" s="23" t="s">
        <v>170</v>
      </c>
      <c r="C84" s="1" t="s">
        <v>125</v>
      </c>
      <c r="D84" s="2" t="s">
        <v>0</v>
      </c>
      <c r="E84" s="3" t="s">
        <v>3</v>
      </c>
      <c r="F84" s="58">
        <v>0.66543812245514433</v>
      </c>
      <c r="G84" s="58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6" t="s">
        <v>137</v>
      </c>
      <c r="B85" s="23" t="s">
        <v>170</v>
      </c>
      <c r="C85" s="1" t="s">
        <v>125</v>
      </c>
      <c r="D85" s="2" t="s">
        <v>0</v>
      </c>
      <c r="E85" s="3" t="s">
        <v>4</v>
      </c>
      <c r="F85" s="58">
        <v>0.66543812245514433</v>
      </c>
      <c r="G85" s="58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6" t="s">
        <v>137</v>
      </c>
      <c r="B86" s="23" t="s">
        <v>170</v>
      </c>
      <c r="C86" s="1" t="s">
        <v>125</v>
      </c>
      <c r="D86" s="2" t="s">
        <v>5</v>
      </c>
      <c r="E86" s="3" t="s">
        <v>1</v>
      </c>
      <c r="F86" s="58">
        <v>0.66543812245514433</v>
      </c>
      <c r="G86" s="58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6" t="s">
        <v>137</v>
      </c>
      <c r="B87" s="23" t="s">
        <v>170</v>
      </c>
      <c r="C87" s="1" t="s">
        <v>125</v>
      </c>
      <c r="D87" s="2" t="s">
        <v>5</v>
      </c>
      <c r="E87" s="3" t="s">
        <v>2</v>
      </c>
      <c r="F87" s="58">
        <v>0.66543812245514433</v>
      </c>
      <c r="G87" s="58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6" t="s">
        <v>137</v>
      </c>
      <c r="B88" s="23" t="s">
        <v>170</v>
      </c>
      <c r="C88" s="1" t="s">
        <v>125</v>
      </c>
      <c r="D88" s="2" t="s">
        <v>5</v>
      </c>
      <c r="E88" s="3" t="s">
        <v>3</v>
      </c>
      <c r="F88" s="58">
        <v>0.66543812245514433</v>
      </c>
      <c r="G88" s="58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6" t="s">
        <v>137</v>
      </c>
      <c r="B89" s="23" t="s">
        <v>170</v>
      </c>
      <c r="C89" s="1" t="s">
        <v>125</v>
      </c>
      <c r="D89" s="2" t="s">
        <v>5</v>
      </c>
      <c r="E89" s="3" t="s">
        <v>4</v>
      </c>
      <c r="F89" s="58">
        <v>0.66543812245514433</v>
      </c>
      <c r="G89" s="58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6" t="s">
        <v>137</v>
      </c>
      <c r="B90" s="23" t="s">
        <v>170</v>
      </c>
      <c r="C90" s="1" t="s">
        <v>126</v>
      </c>
      <c r="D90" s="2" t="s">
        <v>0</v>
      </c>
      <c r="E90" s="3" t="s">
        <v>1</v>
      </c>
      <c r="F90" s="58">
        <v>0.66543812245514433</v>
      </c>
      <c r="G90" s="58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6" t="s">
        <v>137</v>
      </c>
      <c r="B91" s="23" t="s">
        <v>170</v>
      </c>
      <c r="C91" s="1" t="s">
        <v>126</v>
      </c>
      <c r="D91" s="2" t="s">
        <v>0</v>
      </c>
      <c r="E91" s="3" t="s">
        <v>2</v>
      </c>
      <c r="F91" s="58">
        <v>0.66543812245514433</v>
      </c>
      <c r="G91" s="58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6" t="s">
        <v>137</v>
      </c>
      <c r="B92" s="23" t="s">
        <v>170</v>
      </c>
      <c r="C92" s="1" t="s">
        <v>126</v>
      </c>
      <c r="D92" s="2" t="s">
        <v>0</v>
      </c>
      <c r="E92" s="3" t="s">
        <v>3</v>
      </c>
      <c r="F92" s="58">
        <v>0.66543812245514433</v>
      </c>
      <c r="G92" s="58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6" t="s">
        <v>137</v>
      </c>
      <c r="B93" s="23" t="s">
        <v>170</v>
      </c>
      <c r="C93" s="1" t="s">
        <v>126</v>
      </c>
      <c r="D93" s="2" t="s">
        <v>0</v>
      </c>
      <c r="E93" s="3" t="s">
        <v>4</v>
      </c>
      <c r="F93" s="58">
        <v>0.66543812245514433</v>
      </c>
      <c r="G93" s="58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6" t="s">
        <v>137</v>
      </c>
      <c r="B94" s="23" t="s">
        <v>170</v>
      </c>
      <c r="C94" s="1" t="s">
        <v>126</v>
      </c>
      <c r="D94" s="2" t="s">
        <v>5</v>
      </c>
      <c r="E94" s="3" t="s">
        <v>1</v>
      </c>
      <c r="F94" s="58">
        <v>0.66543812245514433</v>
      </c>
      <c r="G94" s="58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6" t="s">
        <v>137</v>
      </c>
      <c r="B95" s="23" t="s">
        <v>170</v>
      </c>
      <c r="C95" s="1" t="s">
        <v>126</v>
      </c>
      <c r="D95" s="2" t="s">
        <v>5</v>
      </c>
      <c r="E95" s="3" t="s">
        <v>2</v>
      </c>
      <c r="F95" s="58">
        <v>0.66543812245514433</v>
      </c>
      <c r="G95" s="58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6" t="s">
        <v>137</v>
      </c>
      <c r="B96" s="23" t="s">
        <v>170</v>
      </c>
      <c r="C96" s="1" t="s">
        <v>126</v>
      </c>
      <c r="D96" s="2" t="s">
        <v>5</v>
      </c>
      <c r="E96" s="3" t="s">
        <v>3</v>
      </c>
      <c r="F96" s="58">
        <v>0.66543812245514433</v>
      </c>
      <c r="G96" s="58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6" t="s">
        <v>137</v>
      </c>
      <c r="B97" s="23" t="s">
        <v>170</v>
      </c>
      <c r="C97" s="1" t="s">
        <v>126</v>
      </c>
      <c r="D97" s="2" t="s">
        <v>5</v>
      </c>
      <c r="E97" s="3" t="s">
        <v>4</v>
      </c>
      <c r="F97" s="58">
        <v>0.66543812245514433</v>
      </c>
      <c r="G97" s="58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6" t="s">
        <v>137</v>
      </c>
      <c r="B98" s="24" t="s">
        <v>254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6" t="s">
        <v>137</v>
      </c>
      <c r="B99" s="24" t="s">
        <v>254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6" t="s">
        <v>137</v>
      </c>
      <c r="B100" s="24" t="s">
        <v>254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6" t="s">
        <v>137</v>
      </c>
      <c r="B101" s="24" t="s">
        <v>254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6" t="s">
        <v>137</v>
      </c>
      <c r="B102" s="24" t="s">
        <v>254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6" t="s">
        <v>137</v>
      </c>
      <c r="B103" s="24" t="s">
        <v>254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6" t="s">
        <v>137</v>
      </c>
      <c r="B104" s="24" t="s">
        <v>254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6" t="s">
        <v>137</v>
      </c>
      <c r="B105" s="24" t="s">
        <v>254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6" t="s">
        <v>137</v>
      </c>
      <c r="B106" s="24" t="s">
        <v>254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6" t="s">
        <v>137</v>
      </c>
      <c r="B107" s="24" t="s">
        <v>254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6" t="s">
        <v>137</v>
      </c>
      <c r="B108" s="24" t="s">
        <v>254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6" t="s">
        <v>137</v>
      </c>
      <c r="B109" s="24" t="s">
        <v>254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6" t="s">
        <v>137</v>
      </c>
      <c r="B110" s="24" t="s">
        <v>254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6" t="s">
        <v>137</v>
      </c>
      <c r="B111" s="24" t="s">
        <v>254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6" t="s">
        <v>137</v>
      </c>
      <c r="B112" s="24" t="s">
        <v>254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6" t="s">
        <v>137</v>
      </c>
      <c r="B113" s="24" t="s">
        <v>254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6" t="s">
        <v>137</v>
      </c>
      <c r="B114" s="23" t="s">
        <v>91</v>
      </c>
      <c r="C114" s="1" t="s">
        <v>125</v>
      </c>
      <c r="D114" s="2" t="s">
        <v>0</v>
      </c>
      <c r="E114" s="3" t="s">
        <v>1</v>
      </c>
      <c r="F114" s="58">
        <v>0.62966480985066575</v>
      </c>
      <c r="G114" s="58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6" t="s">
        <v>137</v>
      </c>
      <c r="B115" s="23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6" t="s">
        <v>137</v>
      </c>
      <c r="B116" s="23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6" t="s">
        <v>137</v>
      </c>
      <c r="B117" s="23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6" t="s">
        <v>137</v>
      </c>
      <c r="B118" s="23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6" t="s">
        <v>137</v>
      </c>
      <c r="B119" s="23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6" t="s">
        <v>137</v>
      </c>
      <c r="B120" s="23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6" t="s">
        <v>137</v>
      </c>
      <c r="B121" s="23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6" t="s">
        <v>137</v>
      </c>
      <c r="B122" s="23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6" t="s">
        <v>137</v>
      </c>
      <c r="B123" s="23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6" t="s">
        <v>137</v>
      </c>
      <c r="B124" s="23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6" t="s">
        <v>137</v>
      </c>
      <c r="B125" s="23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6" t="s">
        <v>137</v>
      </c>
      <c r="B126" s="23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6" t="s">
        <v>137</v>
      </c>
      <c r="B127" s="23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6" t="s">
        <v>137</v>
      </c>
      <c r="B128" s="23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6" t="s">
        <v>137</v>
      </c>
      <c r="B129" s="23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6" t="s">
        <v>137</v>
      </c>
      <c r="B130" s="24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6" t="s">
        <v>137</v>
      </c>
      <c r="B131" s="24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6" t="s">
        <v>137</v>
      </c>
      <c r="B132" s="24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6" t="s">
        <v>137</v>
      </c>
      <c r="B133" s="24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6" t="s">
        <v>137</v>
      </c>
      <c r="B134" s="24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6" t="s">
        <v>137</v>
      </c>
      <c r="B135" s="24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6" t="s">
        <v>137</v>
      </c>
      <c r="B136" s="24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6" t="s">
        <v>137</v>
      </c>
      <c r="B137" s="24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6" t="s">
        <v>137</v>
      </c>
      <c r="B138" s="24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6" t="s">
        <v>137</v>
      </c>
      <c r="B139" s="24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6" t="s">
        <v>137</v>
      </c>
      <c r="B140" s="24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6" t="s">
        <v>137</v>
      </c>
      <c r="B141" s="24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6" t="s">
        <v>137</v>
      </c>
      <c r="B142" s="24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6" t="s">
        <v>137</v>
      </c>
      <c r="B143" s="24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6" t="s">
        <v>137</v>
      </c>
      <c r="B144" s="24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6" t="s">
        <v>137</v>
      </c>
      <c r="B145" s="24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6" t="s">
        <v>137</v>
      </c>
      <c r="B146" s="23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6" t="s">
        <v>137</v>
      </c>
      <c r="B147" s="23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6" t="s">
        <v>137</v>
      </c>
      <c r="B148" s="23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6" t="s">
        <v>137</v>
      </c>
      <c r="B149" s="23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6" t="s">
        <v>137</v>
      </c>
      <c r="B150" s="23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6" t="s">
        <v>137</v>
      </c>
      <c r="B151" s="23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6" t="s">
        <v>137</v>
      </c>
      <c r="B152" s="23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6" t="s">
        <v>137</v>
      </c>
      <c r="B153" s="23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6" t="s">
        <v>137</v>
      </c>
      <c r="B154" s="23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6" t="s">
        <v>137</v>
      </c>
      <c r="B155" s="23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6" t="s">
        <v>137</v>
      </c>
      <c r="B156" s="23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6" t="s">
        <v>137</v>
      </c>
      <c r="B157" s="23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6" t="s">
        <v>137</v>
      </c>
      <c r="B158" s="23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6" t="s">
        <v>137</v>
      </c>
      <c r="B159" s="23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6" t="s">
        <v>137</v>
      </c>
      <c r="B160" s="23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6" t="s">
        <v>137</v>
      </c>
      <c r="B161" s="23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8" t="s">
        <v>139</v>
      </c>
      <c r="B162" s="23" t="s">
        <v>170</v>
      </c>
      <c r="C162" s="1" t="s">
        <v>125</v>
      </c>
      <c r="D162" s="2" t="s">
        <v>0</v>
      </c>
      <c r="E162" s="3" t="s">
        <v>1</v>
      </c>
      <c r="F162" s="57">
        <v>0.19138815109787871</v>
      </c>
      <c r="G162" s="57">
        <v>0.33570327525174759</v>
      </c>
      <c r="H162" s="57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8" t="s">
        <v>139</v>
      </c>
      <c r="B163" s="23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8" t="s">
        <v>139</v>
      </c>
      <c r="B164" s="23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8" t="s">
        <v>139</v>
      </c>
      <c r="B165" s="23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8" t="s">
        <v>139</v>
      </c>
      <c r="B166" s="23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8" t="s">
        <v>139</v>
      </c>
      <c r="B167" s="23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8" t="s">
        <v>139</v>
      </c>
      <c r="B168" s="23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8" t="s">
        <v>139</v>
      </c>
      <c r="B169" s="23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8" t="s">
        <v>139</v>
      </c>
      <c r="B170" s="23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8" t="s">
        <v>139</v>
      </c>
      <c r="B171" s="23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8" t="s">
        <v>139</v>
      </c>
      <c r="B172" s="23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8" t="s">
        <v>139</v>
      </c>
      <c r="B173" s="23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8" t="s">
        <v>139</v>
      </c>
      <c r="B174" s="23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8" t="s">
        <v>139</v>
      </c>
      <c r="B175" s="23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8" t="s">
        <v>139</v>
      </c>
      <c r="B176" s="23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8" t="s">
        <v>139</v>
      </c>
      <c r="B177" s="23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8" t="s">
        <v>139</v>
      </c>
      <c r="B178" s="24" t="s">
        <v>254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8" t="s">
        <v>139</v>
      </c>
      <c r="B179" s="24" t="s">
        <v>254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8" t="s">
        <v>139</v>
      </c>
      <c r="B180" s="24" t="s">
        <v>254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8" t="s">
        <v>139</v>
      </c>
      <c r="B181" s="24" t="s">
        <v>254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8" t="s">
        <v>139</v>
      </c>
      <c r="B182" s="24" t="s">
        <v>254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8" t="s">
        <v>139</v>
      </c>
      <c r="B183" s="24" t="s">
        <v>254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8" t="s">
        <v>139</v>
      </c>
      <c r="B184" s="24" t="s">
        <v>254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8" t="s">
        <v>139</v>
      </c>
      <c r="B185" s="24" t="s">
        <v>254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8" t="s">
        <v>139</v>
      </c>
      <c r="B186" s="24" t="s">
        <v>254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8" t="s">
        <v>139</v>
      </c>
      <c r="B187" s="24" t="s">
        <v>254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8" t="s">
        <v>139</v>
      </c>
      <c r="B188" s="24" t="s">
        <v>254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8" t="s">
        <v>139</v>
      </c>
      <c r="B189" s="24" t="s">
        <v>254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8" t="s">
        <v>139</v>
      </c>
      <c r="B190" s="24" t="s">
        <v>254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8" t="s">
        <v>139</v>
      </c>
      <c r="B191" s="24" t="s">
        <v>254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8" t="s">
        <v>139</v>
      </c>
      <c r="B192" s="24" t="s">
        <v>254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8" t="s">
        <v>139</v>
      </c>
      <c r="B193" s="24" t="s">
        <v>254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8" t="s">
        <v>139</v>
      </c>
      <c r="B194" s="23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8" t="s">
        <v>139</v>
      </c>
      <c r="B195" s="23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8" t="s">
        <v>139</v>
      </c>
      <c r="B196" s="23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8" t="s">
        <v>139</v>
      </c>
      <c r="B197" s="23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8" t="s">
        <v>139</v>
      </c>
      <c r="B198" s="23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8" t="s">
        <v>139</v>
      </c>
      <c r="B199" s="23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8" t="s">
        <v>139</v>
      </c>
      <c r="B200" s="23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8" t="s">
        <v>139</v>
      </c>
      <c r="B201" s="23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8" t="s">
        <v>139</v>
      </c>
      <c r="B202" s="23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8" t="s">
        <v>139</v>
      </c>
      <c r="B203" s="23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8" t="s">
        <v>139</v>
      </c>
      <c r="B204" s="23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8" t="s">
        <v>139</v>
      </c>
      <c r="B205" s="23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8" t="s">
        <v>139</v>
      </c>
      <c r="B206" s="23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8" t="s">
        <v>139</v>
      </c>
      <c r="B207" s="23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8" t="s">
        <v>139</v>
      </c>
      <c r="B208" s="23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8" t="s">
        <v>139</v>
      </c>
      <c r="B209" s="23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8" t="s">
        <v>139</v>
      </c>
      <c r="B210" s="24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8" t="s">
        <v>139</v>
      </c>
      <c r="B211" s="24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8" t="s">
        <v>139</v>
      </c>
      <c r="B212" s="24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8" t="s">
        <v>139</v>
      </c>
      <c r="B213" s="24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8" t="s">
        <v>139</v>
      </c>
      <c r="B214" s="24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8" t="s">
        <v>139</v>
      </c>
      <c r="B215" s="24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8" t="s">
        <v>139</v>
      </c>
      <c r="B216" s="24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8" t="s">
        <v>139</v>
      </c>
      <c r="B217" s="24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8" t="s">
        <v>139</v>
      </c>
      <c r="B218" s="24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8" t="s">
        <v>139</v>
      </c>
      <c r="B219" s="24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8" t="s">
        <v>139</v>
      </c>
      <c r="B220" s="24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8" t="s">
        <v>139</v>
      </c>
      <c r="B221" s="24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8" t="s">
        <v>139</v>
      </c>
      <c r="B222" s="24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8" t="s">
        <v>139</v>
      </c>
      <c r="B223" s="24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8" t="s">
        <v>139</v>
      </c>
      <c r="B224" s="24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8" t="s">
        <v>139</v>
      </c>
      <c r="B225" s="24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8" t="s">
        <v>139</v>
      </c>
      <c r="B226" s="23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8" t="s">
        <v>139</v>
      </c>
      <c r="B227" s="23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8" t="s">
        <v>139</v>
      </c>
      <c r="B228" s="23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8" t="s">
        <v>139</v>
      </c>
      <c r="B229" s="23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8" t="s">
        <v>139</v>
      </c>
      <c r="B230" s="23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8" t="s">
        <v>139</v>
      </c>
      <c r="B231" s="23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8" t="s">
        <v>139</v>
      </c>
      <c r="B232" s="23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8" t="s">
        <v>139</v>
      </c>
      <c r="B233" s="23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8" t="s">
        <v>139</v>
      </c>
      <c r="B234" s="23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8" t="s">
        <v>139</v>
      </c>
      <c r="B235" s="23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8" t="s">
        <v>139</v>
      </c>
      <c r="B236" s="23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8" t="s">
        <v>139</v>
      </c>
      <c r="B237" s="23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8" t="s">
        <v>139</v>
      </c>
      <c r="B238" s="23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8" t="s">
        <v>139</v>
      </c>
      <c r="B239" s="23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8" t="s">
        <v>139</v>
      </c>
      <c r="B240" s="23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8" t="s">
        <v>139</v>
      </c>
      <c r="B241" s="23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7" t="s">
        <v>138</v>
      </c>
      <c r="B242" s="25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7" t="s">
        <v>138</v>
      </c>
      <c r="B243" s="25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7" t="s">
        <v>138</v>
      </c>
      <c r="B244" s="25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7" t="s">
        <v>138</v>
      </c>
      <c r="B245" s="25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7" t="s">
        <v>138</v>
      </c>
      <c r="B246" s="25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7" t="s">
        <v>138</v>
      </c>
      <c r="B247" s="25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7" t="s">
        <v>138</v>
      </c>
      <c r="B248" s="25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7" t="s">
        <v>138</v>
      </c>
      <c r="B249" s="25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7" t="s">
        <v>138</v>
      </c>
      <c r="B250" s="25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7" t="s">
        <v>138</v>
      </c>
      <c r="B251" s="25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7" t="s">
        <v>138</v>
      </c>
      <c r="B252" s="25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7" t="s">
        <v>138</v>
      </c>
      <c r="B253" s="25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7" t="s">
        <v>138</v>
      </c>
      <c r="B254" s="25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7" t="s">
        <v>138</v>
      </c>
      <c r="B255" s="25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7" t="s">
        <v>138</v>
      </c>
      <c r="B256" s="25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7" t="s">
        <v>138</v>
      </c>
      <c r="B257" s="25" t="s">
        <v>64</v>
      </c>
      <c r="C257" s="1" t="s">
        <v>132</v>
      </c>
      <c r="D257" s="2" t="s">
        <v>200</v>
      </c>
      <c r="E257" s="3" t="s">
        <v>227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7" t="s">
        <v>138</v>
      </c>
      <c r="B258" s="25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7" t="s">
        <v>138</v>
      </c>
      <c r="B259" s="25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7" t="s">
        <v>138</v>
      </c>
      <c r="B260" s="25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7" t="s">
        <v>138</v>
      </c>
      <c r="B261" s="25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7" t="s">
        <v>138</v>
      </c>
      <c r="B262" s="25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7" t="s">
        <v>138</v>
      </c>
      <c r="B263" s="25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7" t="s">
        <v>138</v>
      </c>
      <c r="B264" s="25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7" t="s">
        <v>138</v>
      </c>
      <c r="B265" s="25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7" t="s">
        <v>138</v>
      </c>
      <c r="B266" s="25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7" t="s">
        <v>138</v>
      </c>
      <c r="B267" s="25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7" t="s">
        <v>138</v>
      </c>
      <c r="B268" s="25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7" t="s">
        <v>138</v>
      </c>
      <c r="B269" s="25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7" t="s">
        <v>138</v>
      </c>
      <c r="B270" s="25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7" t="s">
        <v>138</v>
      </c>
      <c r="B271" s="25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7" t="s">
        <v>138</v>
      </c>
      <c r="B272" s="25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7" t="s">
        <v>138</v>
      </c>
      <c r="B273" s="25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7" t="s">
        <v>138</v>
      </c>
      <c r="B274" s="25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7" t="s">
        <v>138</v>
      </c>
      <c r="B275" s="25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7" t="s">
        <v>138</v>
      </c>
      <c r="B276" s="25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7" t="s">
        <v>138</v>
      </c>
      <c r="B277" s="25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7" t="s">
        <v>138</v>
      </c>
      <c r="B278" s="25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7" t="s">
        <v>138</v>
      </c>
      <c r="B279" s="25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7" t="s">
        <v>138</v>
      </c>
      <c r="B280" s="25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7" t="s">
        <v>138</v>
      </c>
      <c r="B281" s="25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7" t="s">
        <v>138</v>
      </c>
      <c r="B282" s="25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7" t="s">
        <v>138</v>
      </c>
      <c r="B283" s="25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7" t="s">
        <v>138</v>
      </c>
      <c r="B284" s="25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7" t="s">
        <v>138</v>
      </c>
      <c r="B285" s="25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7" t="s">
        <v>138</v>
      </c>
      <c r="B286" s="25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7" t="s">
        <v>138</v>
      </c>
      <c r="B287" s="25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7" t="s">
        <v>138</v>
      </c>
      <c r="B288" s="25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7" t="s">
        <v>138</v>
      </c>
      <c r="B289" s="25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7" t="s">
        <v>138</v>
      </c>
      <c r="B290" s="25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6" t="s">
        <v>137</v>
      </c>
      <c r="B291" s="25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6" t="s">
        <v>137</v>
      </c>
      <c r="B292" s="25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6" t="s">
        <v>137</v>
      </c>
      <c r="B293" s="25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6" t="s">
        <v>137</v>
      </c>
      <c r="B294" s="25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6" t="s">
        <v>137</v>
      </c>
      <c r="B295" s="25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6" t="s">
        <v>137</v>
      </c>
      <c r="B296" s="25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6" t="s">
        <v>137</v>
      </c>
      <c r="B297" s="25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6" t="s">
        <v>137</v>
      </c>
      <c r="B298" s="25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6" t="s">
        <v>137</v>
      </c>
      <c r="B299" s="25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6" t="s">
        <v>137</v>
      </c>
      <c r="B300" s="25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6" t="s">
        <v>137</v>
      </c>
      <c r="B301" s="25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6" t="s">
        <v>137</v>
      </c>
      <c r="B302" s="25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6" t="s">
        <v>137</v>
      </c>
      <c r="B303" s="25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6" t="s">
        <v>137</v>
      </c>
      <c r="B304" s="25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6" t="s">
        <v>137</v>
      </c>
      <c r="B305" s="25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6" t="s">
        <v>137</v>
      </c>
      <c r="B306" s="25" t="s">
        <v>64</v>
      </c>
      <c r="C306" s="1" t="s">
        <v>132</v>
      </c>
      <c r="D306" s="2" t="s">
        <v>200</v>
      </c>
      <c r="E306" s="3" t="s">
        <v>227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6" t="s">
        <v>137</v>
      </c>
      <c r="B307" s="25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6" t="s">
        <v>137</v>
      </c>
      <c r="B308" s="25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6" t="s">
        <v>137</v>
      </c>
      <c r="B309" s="25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6" t="s">
        <v>137</v>
      </c>
      <c r="B310" s="25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6" t="s">
        <v>137</v>
      </c>
      <c r="B311" s="25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6" t="s">
        <v>137</v>
      </c>
      <c r="B312" s="25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6" t="s">
        <v>137</v>
      </c>
      <c r="B313" s="25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6" t="s">
        <v>137</v>
      </c>
      <c r="B314" s="25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6" t="s">
        <v>137</v>
      </c>
      <c r="B315" s="25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6" t="s">
        <v>137</v>
      </c>
      <c r="B316" s="25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6" t="s">
        <v>137</v>
      </c>
      <c r="B317" s="25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6" t="s">
        <v>137</v>
      </c>
      <c r="B318" s="25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6" t="s">
        <v>137</v>
      </c>
      <c r="B319" s="25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6" t="s">
        <v>137</v>
      </c>
      <c r="B320" s="25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6" t="s">
        <v>137</v>
      </c>
      <c r="B321" s="25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6" t="s">
        <v>137</v>
      </c>
      <c r="B322" s="25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6" t="s">
        <v>137</v>
      </c>
      <c r="B323" s="25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6" t="s">
        <v>137</v>
      </c>
      <c r="B324" s="25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6" t="s">
        <v>137</v>
      </c>
      <c r="B325" s="25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6" t="s">
        <v>137</v>
      </c>
      <c r="B326" s="25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6" t="s">
        <v>137</v>
      </c>
      <c r="B327" s="25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6" t="s">
        <v>137</v>
      </c>
      <c r="B328" s="25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6" t="s">
        <v>137</v>
      </c>
      <c r="B329" s="25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6" t="s">
        <v>137</v>
      </c>
      <c r="B330" s="25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6" t="s">
        <v>137</v>
      </c>
      <c r="B331" s="25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6" t="s">
        <v>137</v>
      </c>
      <c r="B332" s="25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6" t="s">
        <v>137</v>
      </c>
      <c r="B333" s="25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6" t="s">
        <v>137</v>
      </c>
      <c r="B334" s="25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6" t="s">
        <v>137</v>
      </c>
      <c r="B335" s="25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6" t="s">
        <v>137</v>
      </c>
      <c r="B336" s="25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6" t="s">
        <v>137</v>
      </c>
      <c r="B337" s="25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6" t="s">
        <v>137</v>
      </c>
      <c r="B338" s="25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6" t="s">
        <v>137</v>
      </c>
      <c r="B339" s="25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8" t="s">
        <v>139</v>
      </c>
      <c r="B340" s="25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8" t="s">
        <v>139</v>
      </c>
      <c r="B341" s="25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8" t="s">
        <v>139</v>
      </c>
      <c r="B342" s="25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8" t="s">
        <v>139</v>
      </c>
      <c r="B343" s="25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8" t="s">
        <v>139</v>
      </c>
      <c r="B344" s="25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8" t="s">
        <v>139</v>
      </c>
      <c r="B345" s="25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8" t="s">
        <v>139</v>
      </c>
      <c r="B346" s="25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8" t="s">
        <v>139</v>
      </c>
      <c r="B347" s="25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8" t="s">
        <v>139</v>
      </c>
      <c r="B348" s="25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8" t="s">
        <v>139</v>
      </c>
      <c r="B349" s="25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8" t="s">
        <v>139</v>
      </c>
      <c r="B350" s="25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8" t="s">
        <v>139</v>
      </c>
      <c r="B351" s="25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8" t="s">
        <v>139</v>
      </c>
      <c r="B352" s="25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8" t="s">
        <v>139</v>
      </c>
      <c r="B353" s="25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8" t="s">
        <v>139</v>
      </c>
      <c r="B354" s="25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8" t="s">
        <v>139</v>
      </c>
      <c r="B355" s="25" t="s">
        <v>64</v>
      </c>
      <c r="C355" s="1" t="s">
        <v>132</v>
      </c>
      <c r="D355" s="2" t="s">
        <v>200</v>
      </c>
      <c r="E355" s="3" t="s">
        <v>227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8" t="s">
        <v>139</v>
      </c>
      <c r="B356" s="25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8" t="s">
        <v>139</v>
      </c>
      <c r="B357" s="25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8" t="s">
        <v>139</v>
      </c>
      <c r="B358" s="25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8" t="s">
        <v>139</v>
      </c>
      <c r="B359" s="25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8" t="s">
        <v>139</v>
      </c>
      <c r="B360" s="25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8" t="s">
        <v>139</v>
      </c>
      <c r="B361" s="25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8" t="s">
        <v>139</v>
      </c>
      <c r="B362" s="25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8" t="s">
        <v>139</v>
      </c>
      <c r="B363" s="25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8" t="s">
        <v>139</v>
      </c>
      <c r="B364" s="25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8" t="s">
        <v>139</v>
      </c>
      <c r="B365" s="25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8" t="s">
        <v>139</v>
      </c>
      <c r="B366" s="25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8" t="s">
        <v>139</v>
      </c>
      <c r="B367" s="25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8" t="s">
        <v>139</v>
      </c>
      <c r="B368" s="25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8" t="s">
        <v>139</v>
      </c>
      <c r="B369" s="25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8" t="s">
        <v>139</v>
      </c>
      <c r="B370" s="25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8" t="s">
        <v>139</v>
      </c>
      <c r="B371" s="25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8" t="s">
        <v>139</v>
      </c>
      <c r="B372" s="25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8" t="s">
        <v>139</v>
      </c>
      <c r="B373" s="25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8" t="s">
        <v>139</v>
      </c>
      <c r="B374" s="25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8" t="s">
        <v>139</v>
      </c>
      <c r="B375" s="25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8" t="s">
        <v>139</v>
      </c>
      <c r="B376" s="25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8" t="s">
        <v>139</v>
      </c>
      <c r="B377" s="25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8" t="s">
        <v>139</v>
      </c>
      <c r="B378" s="25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8" t="s">
        <v>139</v>
      </c>
      <c r="B379" s="25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8" t="s">
        <v>139</v>
      </c>
      <c r="B380" s="25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8" t="s">
        <v>139</v>
      </c>
      <c r="B381" s="25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8" t="s">
        <v>139</v>
      </c>
      <c r="B382" s="25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8" t="s">
        <v>139</v>
      </c>
      <c r="B383" s="25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8" t="s">
        <v>139</v>
      </c>
      <c r="B384" s="25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8" t="s">
        <v>139</v>
      </c>
      <c r="B385" s="25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8" t="s">
        <v>139</v>
      </c>
      <c r="B386" s="25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8" t="s">
        <v>139</v>
      </c>
      <c r="B387" s="25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8" t="s">
        <v>139</v>
      </c>
      <c r="B388" s="25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40"/>
  <sheetViews>
    <sheetView zoomScale="80" zoomScaleNormal="80" workbookViewId="0">
      <selection activeCell="B32" sqref="B32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3" t="s">
        <v>167</v>
      </c>
      <c r="B1" s="22" t="s">
        <v>157</v>
      </c>
      <c r="C1" s="22" t="s">
        <v>158</v>
      </c>
      <c r="D1" s="22" t="s">
        <v>160</v>
      </c>
      <c r="E1" s="22" t="s">
        <v>136</v>
      </c>
      <c r="F1" s="22" t="s">
        <v>162</v>
      </c>
      <c r="G1" s="22" t="s">
        <v>72</v>
      </c>
      <c r="H1" s="22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218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217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216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210</v>
      </c>
      <c r="B10" t="s">
        <v>213</v>
      </c>
      <c r="C10" t="s">
        <v>219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211</v>
      </c>
      <c r="B11" t="s">
        <v>214</v>
      </c>
      <c r="C11" t="s">
        <v>220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212</v>
      </c>
      <c r="B12" t="s">
        <v>215</v>
      </c>
      <c r="C12" t="s">
        <v>221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239</v>
      </c>
      <c r="B13" t="s">
        <v>216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237</v>
      </c>
      <c r="B14" t="s">
        <v>218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238</v>
      </c>
      <c r="B15" t="s">
        <v>217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241</v>
      </c>
      <c r="B16" t="s">
        <v>243</v>
      </c>
      <c r="C16" t="s">
        <v>246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240</v>
      </c>
      <c r="B17" t="s">
        <v>244</v>
      </c>
      <c r="C17" t="s">
        <v>248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242</v>
      </c>
      <c r="B18" t="s">
        <v>245</v>
      </c>
      <c r="C18" t="s">
        <v>247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255</v>
      </c>
      <c r="B19" t="s">
        <v>258</v>
      </c>
      <c r="C19" t="s">
        <v>485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256</v>
      </c>
      <c r="B20" t="s">
        <v>259</v>
      </c>
      <c r="C20" t="s">
        <v>485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257</v>
      </c>
      <c r="B21" t="s">
        <v>260</v>
      </c>
      <c r="C21" t="s">
        <v>485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332</v>
      </c>
      <c r="B22" t="s">
        <v>484</v>
      </c>
      <c r="C22" t="s">
        <v>486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333</v>
      </c>
      <c r="B23" t="s">
        <v>482</v>
      </c>
      <c r="C23" t="s">
        <v>486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334</v>
      </c>
      <c r="B24" t="s">
        <v>483</v>
      </c>
      <c r="C24" t="s">
        <v>486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503</v>
      </c>
      <c r="B25" t="s">
        <v>505</v>
      </c>
      <c r="C25" t="s">
        <v>508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504</v>
      </c>
      <c r="B26" t="s">
        <v>506</v>
      </c>
      <c r="C26" t="s">
        <v>508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502</v>
      </c>
      <c r="B27" t="s">
        <v>507</v>
      </c>
      <c r="C27" t="s">
        <v>508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543</v>
      </c>
      <c r="B28" t="s">
        <v>547</v>
      </c>
      <c r="C28" t="s">
        <v>546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544</v>
      </c>
      <c r="B29" t="s">
        <v>548</v>
      </c>
      <c r="C29" t="s">
        <v>546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545</v>
      </c>
      <c r="B30" t="s">
        <v>549</v>
      </c>
      <c r="C30" t="s">
        <v>546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578</v>
      </c>
      <c r="B31" t="s">
        <v>582</v>
      </c>
      <c r="C31" t="s">
        <v>581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579</v>
      </c>
      <c r="B32" t="s">
        <v>583</v>
      </c>
      <c r="C32" t="s">
        <v>581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580</v>
      </c>
      <c r="B33" t="s">
        <v>584</v>
      </c>
      <c r="C33" t="s">
        <v>581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587</v>
      </c>
      <c r="B34" t="s">
        <v>589</v>
      </c>
      <c r="C34" t="s">
        <v>588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  <row r="35" spans="1:8" x14ac:dyDescent="0.25">
      <c r="A35" t="s">
        <v>637</v>
      </c>
      <c r="B35" t="s">
        <v>640</v>
      </c>
      <c r="C35" t="s">
        <v>643</v>
      </c>
      <c r="D35" t="s">
        <v>161</v>
      </c>
      <c r="E35" t="s">
        <v>169</v>
      </c>
      <c r="F35" t="s">
        <v>170</v>
      </c>
      <c r="G35" t="s">
        <v>137</v>
      </c>
      <c r="H35" t="s">
        <v>169</v>
      </c>
    </row>
    <row r="36" spans="1:8" x14ac:dyDescent="0.25">
      <c r="A36" t="s">
        <v>638</v>
      </c>
      <c r="B36" t="s">
        <v>641</v>
      </c>
      <c r="C36" t="s">
        <v>643</v>
      </c>
      <c r="D36" t="s">
        <v>161</v>
      </c>
      <c r="E36" t="s">
        <v>169</v>
      </c>
      <c r="F36" t="s">
        <v>170</v>
      </c>
      <c r="G36" t="s">
        <v>138</v>
      </c>
      <c r="H36" t="s">
        <v>169</v>
      </c>
    </row>
    <row r="37" spans="1:8" x14ac:dyDescent="0.25">
      <c r="A37" t="s">
        <v>639</v>
      </c>
      <c r="B37" t="s">
        <v>642</v>
      </c>
      <c r="C37" t="s">
        <v>643</v>
      </c>
      <c r="D37" t="s">
        <v>161</v>
      </c>
      <c r="E37" t="s">
        <v>169</v>
      </c>
      <c r="F37" t="s">
        <v>170</v>
      </c>
      <c r="G37" t="s">
        <v>139</v>
      </c>
      <c r="H37" t="s">
        <v>169</v>
      </c>
    </row>
    <row r="38" spans="1:8" x14ac:dyDescent="0.25">
      <c r="A38" t="s">
        <v>649</v>
      </c>
      <c r="B38" t="s">
        <v>651</v>
      </c>
      <c r="C38" t="s">
        <v>650</v>
      </c>
      <c r="D38" t="s">
        <v>161</v>
      </c>
      <c r="E38" t="s">
        <v>169</v>
      </c>
      <c r="F38" t="s">
        <v>170</v>
      </c>
      <c r="G38" t="s">
        <v>137</v>
      </c>
      <c r="H38" t="s">
        <v>169</v>
      </c>
    </row>
    <row r="39" spans="1:8" x14ac:dyDescent="0.25">
      <c r="A39" t="s">
        <v>653</v>
      </c>
      <c r="B39" t="s">
        <v>655</v>
      </c>
      <c r="C39" t="s">
        <v>650</v>
      </c>
      <c r="D39" t="s">
        <v>161</v>
      </c>
      <c r="E39" t="s">
        <v>169</v>
      </c>
      <c r="F39" t="s">
        <v>170</v>
      </c>
      <c r="G39" t="s">
        <v>138</v>
      </c>
      <c r="H39" t="s">
        <v>169</v>
      </c>
    </row>
    <row r="40" spans="1:8" x14ac:dyDescent="0.25">
      <c r="A40" t="s">
        <v>654</v>
      </c>
      <c r="B40" t="s">
        <v>656</v>
      </c>
      <c r="C40" t="s">
        <v>650</v>
      </c>
      <c r="D40" t="s">
        <v>161</v>
      </c>
      <c r="E40" t="s">
        <v>169</v>
      </c>
      <c r="F40" t="s">
        <v>170</v>
      </c>
      <c r="G40" t="s">
        <v>139</v>
      </c>
      <c r="H40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177"/>
  <sheetViews>
    <sheetView tabSelected="1" zoomScale="70" zoomScaleNormal="70" workbookViewId="0">
      <pane ySplit="1" topLeftCell="A129" activePane="bottomLeft" state="frozen"/>
      <selection activeCell="C39" sqref="C39"/>
      <selection pane="bottomLeft" activeCell="H167" sqref="H167"/>
    </sheetView>
  </sheetViews>
  <sheetFormatPr defaultRowHeight="15" x14ac:dyDescent="0.25"/>
  <cols>
    <col min="1" max="1" width="22.140625" style="66" customWidth="1"/>
    <col min="2" max="2" width="9.7109375" style="66" customWidth="1"/>
    <col min="3" max="3" width="34.28515625" style="66" bestFit="1" customWidth="1"/>
    <col min="4" max="5" width="10.42578125" style="66" customWidth="1"/>
    <col min="6" max="6" width="61.7109375" bestFit="1" customWidth="1"/>
    <col min="7" max="7" width="11.140625" customWidth="1"/>
    <col min="8" max="8" width="17.42578125" customWidth="1"/>
    <col min="9" max="9" width="35.28515625" customWidth="1"/>
    <col min="10" max="10" width="17.42578125" customWidth="1"/>
    <col min="11" max="11" width="23.140625" bestFit="1" customWidth="1"/>
    <col min="14" max="14" width="39.140625" bestFit="1" customWidth="1"/>
    <col min="15" max="15" width="19.42578125" bestFit="1" customWidth="1"/>
    <col min="16" max="16" width="99.7109375" bestFit="1" customWidth="1"/>
  </cols>
  <sheetData>
    <row r="1" spans="1:16" ht="30" x14ac:dyDescent="0.25">
      <c r="A1" s="53" t="s">
        <v>626</v>
      </c>
      <c r="B1" s="53" t="s">
        <v>627</v>
      </c>
      <c r="C1" s="53" t="s">
        <v>311</v>
      </c>
      <c r="D1" s="53" t="s">
        <v>632</v>
      </c>
      <c r="E1" s="53" t="s">
        <v>594</v>
      </c>
      <c r="F1" s="22" t="s">
        <v>312</v>
      </c>
      <c r="G1" s="22" t="s">
        <v>340</v>
      </c>
      <c r="H1" s="22" t="s">
        <v>157</v>
      </c>
      <c r="I1" s="22" t="s">
        <v>158</v>
      </c>
      <c r="J1" s="22" t="s">
        <v>160</v>
      </c>
      <c r="K1" s="22" t="s">
        <v>136</v>
      </c>
      <c r="L1" s="22" t="s">
        <v>162</v>
      </c>
      <c r="M1" s="22" t="s">
        <v>72</v>
      </c>
      <c r="N1" s="22" t="s">
        <v>164</v>
      </c>
      <c r="O1" s="22" t="s">
        <v>165</v>
      </c>
      <c r="P1" s="22" t="s">
        <v>636</v>
      </c>
    </row>
    <row r="2" spans="1:16" x14ac:dyDescent="0.25">
      <c r="A2" s="85" t="s">
        <v>597</v>
      </c>
      <c r="B2" s="88" t="s">
        <v>618</v>
      </c>
      <c r="C2" s="85" t="s">
        <v>304</v>
      </c>
      <c r="D2" s="88" t="s">
        <v>250</v>
      </c>
      <c r="E2" s="85" t="s">
        <v>596</v>
      </c>
      <c r="F2" s="72" t="s">
        <v>525</v>
      </c>
      <c r="G2" s="72">
        <v>1005</v>
      </c>
      <c r="H2" s="23" t="str">
        <f t="shared" ref="H2:H16" si="0">G2&amp;"_"&amp;E2&amp;"_"&amp;D2</f>
        <v>1005_00_RT</v>
      </c>
      <c r="I2" s="23" t="str">
        <f>VLOOKUP(G2,'PPA IDs'!$A$2:$B$150,2,0)</f>
        <v>Crossings 5 - Mid-Bay Crossing</v>
      </c>
      <c r="J2" s="23" t="str">
        <f>VLOOKUP($G2,'PPA IDs'!$A$2:$K$95,9,0)</f>
        <v>various</v>
      </c>
      <c r="K2" s="23" t="str">
        <f>VLOOKUP($G2,'PPA IDs'!$A$2:$K$95,10,0)</f>
        <v>road</v>
      </c>
      <c r="L2" s="23" t="str">
        <f>VLOOKUP($G2,'PPA IDs'!$A$2:$K$95,11,0)</f>
        <v>road</v>
      </c>
      <c r="M2" s="23" t="str">
        <f t="shared" ref="M2:M16" si="1">IF(D2="RT","RTFF",IF(D2="CG","CAG","BTTF"))</f>
        <v>RTFF</v>
      </c>
      <c r="N2" s="23" t="str">
        <f t="shared" ref="N2:N16" si="2">A2&amp;"_"&amp;D2&amp;"_"&amp;B2</f>
        <v>2050_TM151_PPA_RT_01</v>
      </c>
      <c r="O2" s="23" t="str">
        <f>VLOOKUP($G2,'PPA IDs'!$A$2:$M$95,12,0)</f>
        <v>scenario-baseline</v>
      </c>
      <c r="P2" s="23" t="str">
        <f t="shared" ref="P2:P101" si="3">C2&amp;"\"&amp;F2</f>
        <v>1_Crossings5\2050_TM151_PPA_RT_01_1_Crossings5_00</v>
      </c>
    </row>
    <row r="3" spans="1:16" x14ac:dyDescent="0.25">
      <c r="A3" s="85" t="s">
        <v>597</v>
      </c>
      <c r="B3" s="88" t="s">
        <v>618</v>
      </c>
      <c r="C3" s="85" t="s">
        <v>304</v>
      </c>
      <c r="D3" s="88" t="s">
        <v>249</v>
      </c>
      <c r="E3" s="85" t="s">
        <v>596</v>
      </c>
      <c r="F3" s="72" t="s">
        <v>526</v>
      </c>
      <c r="G3" s="72">
        <v>1005</v>
      </c>
      <c r="H3" s="23" t="str">
        <f t="shared" si="0"/>
        <v>1005_00_CG</v>
      </c>
      <c r="I3" s="23" t="str">
        <f>VLOOKUP(G3,'PPA IDs'!$A$2:$B$150,2,0)</f>
        <v>Crossings 5 - Mid-Bay Crossing</v>
      </c>
      <c r="J3" s="23" t="str">
        <f>VLOOKUP($G3,'PPA IDs'!$A$2:$K$95,9,0)</f>
        <v>various</v>
      </c>
      <c r="K3" s="23" t="str">
        <f>VLOOKUP($G3,'PPA IDs'!$A$2:$K$95,10,0)</f>
        <v>road</v>
      </c>
      <c r="L3" s="23" t="str">
        <f>VLOOKUP($G3,'PPA IDs'!$A$2:$K$95,11,0)</f>
        <v>road</v>
      </c>
      <c r="M3" s="23" t="str">
        <f t="shared" si="1"/>
        <v>CAG</v>
      </c>
      <c r="N3" s="23" t="str">
        <f t="shared" si="2"/>
        <v>2050_TM151_PPA_CG_01</v>
      </c>
      <c r="O3" s="23" t="str">
        <f>VLOOKUP($G3,'PPA IDs'!$A$2:$M$95,12,0)</f>
        <v>scenario-baseline</v>
      </c>
      <c r="P3" s="23" t="str">
        <f t="shared" si="3"/>
        <v>1_Crossings5\2050_TM151_PPA_CG_01_1_Crossings5_00</v>
      </c>
    </row>
    <row r="4" spans="1:16" x14ac:dyDescent="0.25">
      <c r="A4" s="85" t="s">
        <v>597</v>
      </c>
      <c r="B4" s="88" t="s">
        <v>618</v>
      </c>
      <c r="C4" s="85" t="s">
        <v>304</v>
      </c>
      <c r="D4" s="88" t="s">
        <v>251</v>
      </c>
      <c r="E4" s="85" t="s">
        <v>596</v>
      </c>
      <c r="F4" s="72" t="s">
        <v>527</v>
      </c>
      <c r="G4" s="72">
        <v>1005</v>
      </c>
      <c r="H4" s="23" t="str">
        <f t="shared" si="0"/>
        <v>1005_00_BF</v>
      </c>
      <c r="I4" s="23" t="str">
        <f>VLOOKUP(G4,'PPA IDs'!$A$2:$B$150,2,0)</f>
        <v>Crossings 5 - Mid-Bay Crossing</v>
      </c>
      <c r="J4" s="23" t="str">
        <f>VLOOKUP($G4,'PPA IDs'!$A$2:$K$95,9,0)</f>
        <v>various</v>
      </c>
      <c r="K4" s="23" t="str">
        <f>VLOOKUP($G4,'PPA IDs'!$A$2:$K$95,10,0)</f>
        <v>road</v>
      </c>
      <c r="L4" s="23" t="str">
        <f>VLOOKUP($G4,'PPA IDs'!$A$2:$K$95,11,0)</f>
        <v>road</v>
      </c>
      <c r="M4" s="23" t="str">
        <f t="shared" si="1"/>
        <v>BTTF</v>
      </c>
      <c r="N4" s="23" t="str">
        <f t="shared" si="2"/>
        <v>2050_TM151_PPA_BF_01</v>
      </c>
      <c r="O4" s="23" t="str">
        <f>VLOOKUP($G4,'PPA IDs'!$A$2:$M$95,12,0)</f>
        <v>scenario-baseline</v>
      </c>
      <c r="P4" s="23" t="str">
        <f t="shared" si="3"/>
        <v>1_Crossings5\2050_TM151_PPA_BF_01_1_Crossings5_00</v>
      </c>
    </row>
    <row r="5" spans="1:16" x14ac:dyDescent="0.25">
      <c r="A5" s="85" t="s">
        <v>597</v>
      </c>
      <c r="B5" s="88" t="s">
        <v>618</v>
      </c>
      <c r="C5" s="85" t="s">
        <v>304</v>
      </c>
      <c r="D5" s="88" t="s">
        <v>250</v>
      </c>
      <c r="E5" s="85" t="s">
        <v>618</v>
      </c>
      <c r="F5" s="72" t="s">
        <v>552</v>
      </c>
      <c r="G5" s="72">
        <v>1005</v>
      </c>
      <c r="H5" s="23" t="str">
        <f t="shared" si="0"/>
        <v>1005_01_RT</v>
      </c>
      <c r="I5" s="23" t="str">
        <f>VLOOKUP(G5,'PPA IDs'!$A$2:$B$150,2,0)</f>
        <v>Crossings 5 - Mid-Bay Crossing</v>
      </c>
      <c r="J5" s="23" t="str">
        <f>VLOOKUP($G5,'PPA IDs'!$A$2:$K$95,9,0)</f>
        <v>various</v>
      </c>
      <c r="K5" s="23" t="str">
        <f>VLOOKUP($G5,'PPA IDs'!$A$2:$K$95,10,0)</f>
        <v>road</v>
      </c>
      <c r="L5" s="23" t="str">
        <f>VLOOKUP($G5,'PPA IDs'!$A$2:$K$95,11,0)</f>
        <v>road</v>
      </c>
      <c r="M5" s="23" t="str">
        <f t="shared" si="1"/>
        <v>RTFF</v>
      </c>
      <c r="N5" s="23" t="str">
        <f t="shared" si="2"/>
        <v>2050_TM151_PPA_RT_01</v>
      </c>
      <c r="O5" s="23" t="str">
        <f>VLOOKUP($G5,'PPA IDs'!$A$2:$M$95,12,0)</f>
        <v>scenario-baseline</v>
      </c>
      <c r="P5" s="23" t="str">
        <f t="shared" si="3"/>
        <v>1_Crossings5\2050_TM151_PPA_RT_01_1_Crossings5_01</v>
      </c>
    </row>
    <row r="6" spans="1:16" x14ac:dyDescent="0.25">
      <c r="A6" s="85" t="s">
        <v>597</v>
      </c>
      <c r="B6" s="88" t="s">
        <v>618</v>
      </c>
      <c r="C6" s="85" t="s">
        <v>304</v>
      </c>
      <c r="D6" s="85" t="s">
        <v>249</v>
      </c>
      <c r="E6" s="85" t="s">
        <v>618</v>
      </c>
      <c r="F6" s="72" t="s">
        <v>553</v>
      </c>
      <c r="G6" s="72">
        <v>1005</v>
      </c>
      <c r="H6" s="23" t="str">
        <f t="shared" si="0"/>
        <v>1005_01_CG</v>
      </c>
      <c r="I6" s="23" t="str">
        <f>VLOOKUP(G6,'PPA IDs'!$A$2:$B$150,2,0)</f>
        <v>Crossings 5 - Mid-Bay Crossing</v>
      </c>
      <c r="J6" s="23" t="str">
        <f>VLOOKUP($G6,'PPA IDs'!$A$2:$K$95,9,0)</f>
        <v>various</v>
      </c>
      <c r="K6" s="23" t="str">
        <f>VLOOKUP($G6,'PPA IDs'!$A$2:$K$95,10,0)</f>
        <v>road</v>
      </c>
      <c r="L6" s="23" t="str">
        <f>VLOOKUP($G6,'PPA IDs'!$A$2:$K$95,11,0)</f>
        <v>road</v>
      </c>
      <c r="M6" s="23" t="str">
        <f t="shared" si="1"/>
        <v>CAG</v>
      </c>
      <c r="N6" s="23" t="str">
        <f t="shared" si="2"/>
        <v>2050_TM151_PPA_CG_01</v>
      </c>
      <c r="O6" s="23" t="str">
        <f>VLOOKUP($G6,'PPA IDs'!$A$2:$M$95,12,0)</f>
        <v>scenario-baseline</v>
      </c>
      <c r="P6" s="23" t="str">
        <f t="shared" si="3"/>
        <v>1_Crossings5\2050_TM151_PPA_CG_01_1_Crossings5_01</v>
      </c>
    </row>
    <row r="7" spans="1:16" x14ac:dyDescent="0.25">
      <c r="A7" s="85" t="s">
        <v>597</v>
      </c>
      <c r="B7" s="88" t="s">
        <v>618</v>
      </c>
      <c r="C7" s="85" t="s">
        <v>304</v>
      </c>
      <c r="D7" s="85" t="s">
        <v>251</v>
      </c>
      <c r="E7" s="85" t="s">
        <v>618</v>
      </c>
      <c r="F7" s="72" t="s">
        <v>554</v>
      </c>
      <c r="G7" s="72">
        <v>1005</v>
      </c>
      <c r="H7" s="23" t="str">
        <f t="shared" si="0"/>
        <v>1005_01_BF</v>
      </c>
      <c r="I7" s="23" t="str">
        <f>VLOOKUP(G7,'PPA IDs'!$A$2:$B$150,2,0)</f>
        <v>Crossings 5 - Mid-Bay Crossing</v>
      </c>
      <c r="J7" s="23" t="str">
        <f>VLOOKUP($G7,'PPA IDs'!$A$2:$K$95,9,0)</f>
        <v>various</v>
      </c>
      <c r="K7" s="23" t="str">
        <f>VLOOKUP($G7,'PPA IDs'!$A$2:$K$95,10,0)</f>
        <v>road</v>
      </c>
      <c r="L7" s="23" t="str">
        <f>VLOOKUP($G7,'PPA IDs'!$A$2:$K$95,11,0)</f>
        <v>road</v>
      </c>
      <c r="M7" s="23" t="str">
        <f t="shared" si="1"/>
        <v>BTTF</v>
      </c>
      <c r="N7" s="23" t="str">
        <f t="shared" si="2"/>
        <v>2050_TM151_PPA_BF_01</v>
      </c>
      <c r="O7" s="23" t="str">
        <f>VLOOKUP($G7,'PPA IDs'!$A$2:$M$95,12,0)</f>
        <v>scenario-baseline</v>
      </c>
      <c r="P7" s="23" t="str">
        <f t="shared" si="3"/>
        <v>1_Crossings5\2050_TM151_PPA_BF_01_1_Crossings5_01</v>
      </c>
    </row>
    <row r="8" spans="1:16" x14ac:dyDescent="0.25">
      <c r="A8" s="85" t="s">
        <v>597</v>
      </c>
      <c r="B8" s="88" t="s">
        <v>618</v>
      </c>
      <c r="C8" s="85" t="s">
        <v>309</v>
      </c>
      <c r="D8" s="85" t="s">
        <v>250</v>
      </c>
      <c r="E8" s="85" t="s">
        <v>596</v>
      </c>
      <c r="F8" s="72" t="s">
        <v>509</v>
      </c>
      <c r="G8" s="72">
        <v>1006</v>
      </c>
      <c r="H8" s="23" t="str">
        <f t="shared" si="0"/>
        <v>1006_00_RT</v>
      </c>
      <c r="I8" s="23" t="str">
        <f>VLOOKUP(G8,'PPA IDs'!$A$2:$B$150,2,0)</f>
        <v>Crossings 6 - San Mateo Bridge Widening</v>
      </c>
      <c r="J8" s="23" t="str">
        <f>VLOOKUP($G8,'PPA IDs'!$A$2:$K$95,9,0)</f>
        <v>various</v>
      </c>
      <c r="K8" s="23" t="str">
        <f>VLOOKUP($G8,'PPA IDs'!$A$2:$K$95,10,0)</f>
        <v>road</v>
      </c>
      <c r="L8" s="23" t="str">
        <f>VLOOKUP($G8,'PPA IDs'!$A$2:$K$95,11,0)</f>
        <v>road</v>
      </c>
      <c r="M8" s="23" t="str">
        <f t="shared" si="1"/>
        <v>RTFF</v>
      </c>
      <c r="N8" s="23" t="str">
        <f t="shared" si="2"/>
        <v>2050_TM151_PPA_RT_01</v>
      </c>
      <c r="O8" s="23" t="str">
        <f>VLOOKUP($G8,'PPA IDs'!$A$2:$M$95,12,0)</f>
        <v>scenario-baseline</v>
      </c>
      <c r="P8" s="23" t="str">
        <f t="shared" si="3"/>
        <v>1_Crossings6\2050_TM151_PPA_RT_01_1_Crossings6_00</v>
      </c>
    </row>
    <row r="9" spans="1:16" x14ac:dyDescent="0.25">
      <c r="A9" s="85" t="s">
        <v>597</v>
      </c>
      <c r="B9" s="88" t="s">
        <v>618</v>
      </c>
      <c r="C9" s="85" t="s">
        <v>309</v>
      </c>
      <c r="D9" s="85" t="s">
        <v>249</v>
      </c>
      <c r="E9" s="85" t="s">
        <v>596</v>
      </c>
      <c r="F9" s="72" t="s">
        <v>510</v>
      </c>
      <c r="G9" s="72">
        <v>1006</v>
      </c>
      <c r="H9" s="23" t="str">
        <f t="shared" si="0"/>
        <v>1006_00_CG</v>
      </c>
      <c r="I9" s="23" t="str">
        <f>VLOOKUP(G9,'PPA IDs'!$A$2:$B$150,2,0)</f>
        <v>Crossings 6 - San Mateo Bridge Widening</v>
      </c>
      <c r="J9" s="23" t="str">
        <f>VLOOKUP($G9,'PPA IDs'!$A$2:$K$95,9,0)</f>
        <v>various</v>
      </c>
      <c r="K9" s="23" t="str">
        <f>VLOOKUP($G9,'PPA IDs'!$A$2:$K$95,10,0)</f>
        <v>road</v>
      </c>
      <c r="L9" s="23" t="str">
        <f>VLOOKUP($G9,'PPA IDs'!$A$2:$K$95,11,0)</f>
        <v>road</v>
      </c>
      <c r="M9" s="23" t="str">
        <f t="shared" si="1"/>
        <v>CAG</v>
      </c>
      <c r="N9" s="23" t="str">
        <f t="shared" si="2"/>
        <v>2050_TM151_PPA_CG_01</v>
      </c>
      <c r="O9" s="23" t="str">
        <f>VLOOKUP($G9,'PPA IDs'!$A$2:$M$95,12,0)</f>
        <v>scenario-baseline</v>
      </c>
      <c r="P9" s="23" t="str">
        <f t="shared" si="3"/>
        <v>1_Crossings6\2050_TM151_PPA_CG_01_1_Crossings6_00</v>
      </c>
    </row>
    <row r="10" spans="1:16" x14ac:dyDescent="0.25">
      <c r="A10" s="85" t="s">
        <v>597</v>
      </c>
      <c r="B10" s="88" t="s">
        <v>618</v>
      </c>
      <c r="C10" s="85" t="s">
        <v>309</v>
      </c>
      <c r="D10" s="85" t="s">
        <v>251</v>
      </c>
      <c r="E10" s="85" t="s">
        <v>618</v>
      </c>
      <c r="F10" s="72" t="s">
        <v>511</v>
      </c>
      <c r="G10" s="72">
        <v>1006</v>
      </c>
      <c r="H10" s="23" t="str">
        <f t="shared" si="0"/>
        <v>1006_01_BF</v>
      </c>
      <c r="I10" s="23" t="str">
        <f>VLOOKUP(G10,'PPA IDs'!$A$2:$B$150,2,0)</f>
        <v>Crossings 6 - San Mateo Bridge Widening</v>
      </c>
      <c r="J10" s="23" t="str">
        <f>VLOOKUP($G10,'PPA IDs'!$A$2:$K$95,9,0)</f>
        <v>various</v>
      </c>
      <c r="K10" s="23" t="str">
        <f>VLOOKUP($G10,'PPA IDs'!$A$2:$K$95,10,0)</f>
        <v>road</v>
      </c>
      <c r="L10" s="23" t="str">
        <f>VLOOKUP($G10,'PPA IDs'!$A$2:$K$95,11,0)</f>
        <v>road</v>
      </c>
      <c r="M10" s="23" t="str">
        <f t="shared" si="1"/>
        <v>BTTF</v>
      </c>
      <c r="N10" s="23" t="str">
        <f t="shared" si="2"/>
        <v>2050_TM151_PPA_BF_01</v>
      </c>
      <c r="O10" s="23" t="str">
        <f>VLOOKUP($G10,'PPA IDs'!$A$2:$M$95,12,0)</f>
        <v>scenario-baseline</v>
      </c>
      <c r="P10" s="23" t="str">
        <f t="shared" si="3"/>
        <v>1_Crossings6\2050_TM151_PPA_BF_01_1_Crossings6_01</v>
      </c>
    </row>
    <row r="11" spans="1:16" x14ac:dyDescent="0.25">
      <c r="A11" s="85" t="s">
        <v>597</v>
      </c>
      <c r="B11" s="88" t="s">
        <v>618</v>
      </c>
      <c r="C11" s="85" t="s">
        <v>308</v>
      </c>
      <c r="D11" s="85" t="s">
        <v>250</v>
      </c>
      <c r="E11" s="85" t="s">
        <v>616</v>
      </c>
      <c r="F11" s="72" t="s">
        <v>515</v>
      </c>
      <c r="G11" s="72">
        <v>1004</v>
      </c>
      <c r="H11" s="23" t="str">
        <f t="shared" si="0"/>
        <v>1004_02_RT</v>
      </c>
      <c r="I11" s="23" t="str">
        <f>VLOOKUP(G11,'PPA IDs'!$A$2:$B$150,2,0)</f>
        <v>Crossings 4 - Regional Rail</v>
      </c>
      <c r="J11" s="23" t="str">
        <f>VLOOKUP($G11,'PPA IDs'!$A$2:$K$95,9,0)</f>
        <v>various</v>
      </c>
      <c r="K11" s="23" t="str">
        <f>VLOOKUP($G11,'PPA IDs'!$A$2:$K$95,10,0)</f>
        <v>transit</v>
      </c>
      <c r="L11" s="23" t="str">
        <f>VLOOKUP($G11,'PPA IDs'!$A$2:$K$95,11,0)</f>
        <v>com</v>
      </c>
      <c r="M11" s="23" t="str">
        <f t="shared" si="1"/>
        <v>RTFF</v>
      </c>
      <c r="N11" s="23" t="str">
        <f t="shared" si="2"/>
        <v>2050_TM151_PPA_RT_01</v>
      </c>
      <c r="O11" s="23" t="str">
        <f>VLOOKUP($G11,'PPA IDs'!$A$2:$M$95,12,0)</f>
        <v>scenario-baseline</v>
      </c>
      <c r="P11" s="23" t="str">
        <f t="shared" si="3"/>
        <v>1_Crossings4\2050_TM151_PPA_RT_01_1_Crossings4_02</v>
      </c>
    </row>
    <row r="12" spans="1:16" x14ac:dyDescent="0.25">
      <c r="A12" s="85" t="s">
        <v>597</v>
      </c>
      <c r="B12" s="88" t="s">
        <v>618</v>
      </c>
      <c r="C12" s="85" t="s">
        <v>308</v>
      </c>
      <c r="D12" s="85" t="s">
        <v>249</v>
      </c>
      <c r="E12" s="85" t="s">
        <v>618</v>
      </c>
      <c r="F12" s="72" t="s">
        <v>491</v>
      </c>
      <c r="G12" s="72">
        <v>1004</v>
      </c>
      <c r="H12" s="23" t="str">
        <f t="shared" si="0"/>
        <v>1004_01_CG</v>
      </c>
      <c r="I12" s="23" t="str">
        <f>VLOOKUP(G12,'PPA IDs'!$A$2:$B$150,2,0)</f>
        <v>Crossings 4 - Regional Rail</v>
      </c>
      <c r="J12" s="23" t="str">
        <f>VLOOKUP($G12,'PPA IDs'!$A$2:$K$95,9,0)</f>
        <v>various</v>
      </c>
      <c r="K12" s="23" t="str">
        <f>VLOOKUP($G12,'PPA IDs'!$A$2:$K$95,10,0)</f>
        <v>transit</v>
      </c>
      <c r="L12" s="23" t="str">
        <f>VLOOKUP($G12,'PPA IDs'!$A$2:$K$95,11,0)</f>
        <v>com</v>
      </c>
      <c r="M12" s="23" t="str">
        <f t="shared" si="1"/>
        <v>CAG</v>
      </c>
      <c r="N12" s="23" t="str">
        <f t="shared" si="2"/>
        <v>2050_TM151_PPA_CG_01</v>
      </c>
      <c r="O12" s="23" t="str">
        <f>VLOOKUP($G12,'PPA IDs'!$A$2:$M$95,12,0)</f>
        <v>scenario-baseline</v>
      </c>
      <c r="P12" s="23" t="str">
        <f t="shared" si="3"/>
        <v>1_Crossings4\2050_TM151_PPA_CG_01_1_Crossings4_01</v>
      </c>
    </row>
    <row r="13" spans="1:16" x14ac:dyDescent="0.25">
      <c r="A13" s="85" t="s">
        <v>597</v>
      </c>
      <c r="B13" s="88" t="s">
        <v>618</v>
      </c>
      <c r="C13" s="85" t="s">
        <v>308</v>
      </c>
      <c r="D13" s="85" t="s">
        <v>251</v>
      </c>
      <c r="E13" s="85" t="s">
        <v>616</v>
      </c>
      <c r="F13" s="72" t="s">
        <v>512</v>
      </c>
      <c r="G13" s="72">
        <v>1004</v>
      </c>
      <c r="H13" s="23" t="str">
        <f t="shared" si="0"/>
        <v>1004_02_BF</v>
      </c>
      <c r="I13" s="23" t="str">
        <f>VLOOKUP(G13,'PPA IDs'!$A$2:$B$150,2,0)</f>
        <v>Crossings 4 - Regional Rail</v>
      </c>
      <c r="J13" s="23" t="str">
        <f>VLOOKUP($G13,'PPA IDs'!$A$2:$K$95,9,0)</f>
        <v>various</v>
      </c>
      <c r="K13" s="23" t="str">
        <f>VLOOKUP($G13,'PPA IDs'!$A$2:$K$95,10,0)</f>
        <v>transit</v>
      </c>
      <c r="L13" s="23" t="str">
        <f>VLOOKUP($G13,'PPA IDs'!$A$2:$K$95,11,0)</f>
        <v>com</v>
      </c>
      <c r="M13" s="23" t="str">
        <f t="shared" si="1"/>
        <v>BTTF</v>
      </c>
      <c r="N13" s="23" t="str">
        <f t="shared" si="2"/>
        <v>2050_TM151_PPA_BF_01</v>
      </c>
      <c r="O13" s="23" t="str">
        <f>VLOOKUP($G13,'PPA IDs'!$A$2:$M$95,12,0)</f>
        <v>scenario-baseline</v>
      </c>
      <c r="P13" s="23" t="str">
        <f t="shared" si="3"/>
        <v>1_Crossings4\2050_TM151_PPA_BF_01_1_Crossings4_02</v>
      </c>
    </row>
    <row r="14" spans="1:16" x14ac:dyDescent="0.25">
      <c r="A14" s="85" t="s">
        <v>597</v>
      </c>
      <c r="B14" s="88" t="s">
        <v>618</v>
      </c>
      <c r="C14" s="85" t="s">
        <v>308</v>
      </c>
      <c r="D14" s="85" t="s">
        <v>250</v>
      </c>
      <c r="E14" s="85" t="s">
        <v>595</v>
      </c>
      <c r="F14" s="72" t="s">
        <v>513</v>
      </c>
      <c r="G14" s="72">
        <v>1004</v>
      </c>
      <c r="H14" s="23" t="str">
        <f t="shared" si="0"/>
        <v>1004_05_RT</v>
      </c>
      <c r="I14" s="80" t="s">
        <v>493</v>
      </c>
      <c r="J14" s="23" t="str">
        <f>VLOOKUP($G14,'PPA IDs'!$A$2:$K$95,9,0)</f>
        <v>various</v>
      </c>
      <c r="K14" s="23" t="str">
        <f>VLOOKUP($G14,'PPA IDs'!$A$2:$K$95,10,0)</f>
        <v>transit</v>
      </c>
      <c r="L14" s="23" t="str">
        <f>VLOOKUP($G14,'PPA IDs'!$A$2:$K$95,11,0)</f>
        <v>com</v>
      </c>
      <c r="M14" s="23" t="str">
        <f t="shared" si="1"/>
        <v>RTFF</v>
      </c>
      <c r="N14" s="23" t="str">
        <f t="shared" si="2"/>
        <v>2050_TM151_PPA_RT_01</v>
      </c>
      <c r="O14" s="23" t="str">
        <f>VLOOKUP($G14,'PPA IDs'!$A$2:$M$95,12,0)</f>
        <v>scenario-baseline</v>
      </c>
      <c r="P14" s="23" t="str">
        <f t="shared" si="3"/>
        <v>1_Crossings4\2050_TM151_PPA_RT_01_1_Crossings4_05</v>
      </c>
    </row>
    <row r="15" spans="1:16" x14ac:dyDescent="0.25">
      <c r="A15" s="85" t="s">
        <v>597</v>
      </c>
      <c r="B15" s="88" t="s">
        <v>618</v>
      </c>
      <c r="C15" s="85" t="s">
        <v>308</v>
      </c>
      <c r="D15" s="85" t="s">
        <v>249</v>
      </c>
      <c r="E15" s="85" t="s">
        <v>595</v>
      </c>
      <c r="F15" s="72" t="s">
        <v>490</v>
      </c>
      <c r="G15" s="72">
        <v>1004</v>
      </c>
      <c r="H15" s="23" t="str">
        <f t="shared" si="0"/>
        <v>1004_05_CG</v>
      </c>
      <c r="I15" s="80" t="s">
        <v>493</v>
      </c>
      <c r="J15" s="23" t="str">
        <f>VLOOKUP($G15,'PPA IDs'!$A$2:$K$95,9,0)</f>
        <v>various</v>
      </c>
      <c r="K15" s="23" t="str">
        <f>VLOOKUP($G15,'PPA IDs'!$A$2:$K$95,10,0)</f>
        <v>transit</v>
      </c>
      <c r="L15" s="23" t="str">
        <f>VLOOKUP($G15,'PPA IDs'!$A$2:$K$95,11,0)</f>
        <v>com</v>
      </c>
      <c r="M15" s="23" t="str">
        <f t="shared" si="1"/>
        <v>CAG</v>
      </c>
      <c r="N15" s="23" t="str">
        <f t="shared" si="2"/>
        <v>2050_TM151_PPA_CG_01</v>
      </c>
      <c r="O15" s="23" t="str">
        <f>VLOOKUP($G15,'PPA IDs'!$A$2:$M$95,12,0)</f>
        <v>scenario-baseline</v>
      </c>
      <c r="P15" s="23" t="str">
        <f t="shared" si="3"/>
        <v>1_Crossings4\2050_TM151_PPA_CG_01_1_Crossings4_05</v>
      </c>
    </row>
    <row r="16" spans="1:16" x14ac:dyDescent="0.25">
      <c r="A16" s="85" t="s">
        <v>597</v>
      </c>
      <c r="B16" s="88" t="s">
        <v>618</v>
      </c>
      <c r="C16" s="85" t="s">
        <v>308</v>
      </c>
      <c r="D16" s="85" t="s">
        <v>251</v>
      </c>
      <c r="E16" s="85" t="s">
        <v>595</v>
      </c>
      <c r="F16" s="72" t="s">
        <v>498</v>
      </c>
      <c r="G16" s="72">
        <v>1004</v>
      </c>
      <c r="H16" s="23" t="str">
        <f t="shared" si="0"/>
        <v>1004_05_BF</v>
      </c>
      <c r="I16" s="80" t="s">
        <v>493</v>
      </c>
      <c r="J16" s="23" t="str">
        <f>VLOOKUP($G16,'PPA IDs'!$A$2:$K$95,9,0)</f>
        <v>various</v>
      </c>
      <c r="K16" s="23" t="str">
        <f>VLOOKUP($G16,'PPA IDs'!$A$2:$K$95,10,0)</f>
        <v>transit</v>
      </c>
      <c r="L16" s="23" t="str">
        <f>VLOOKUP($G16,'PPA IDs'!$A$2:$K$95,11,0)</f>
        <v>com</v>
      </c>
      <c r="M16" s="23" t="str">
        <f t="shared" si="1"/>
        <v>BTTF</v>
      </c>
      <c r="N16" s="23" t="str">
        <f t="shared" si="2"/>
        <v>2050_TM151_PPA_BF_01</v>
      </c>
      <c r="O16" s="23" t="str">
        <f>VLOOKUP($G16,'PPA IDs'!$A$2:$M$95,12,0)</f>
        <v>scenario-baseline</v>
      </c>
      <c r="P16" s="23" t="str">
        <f t="shared" si="3"/>
        <v>1_Crossings4\2050_TM151_PPA_BF_01_1_Crossings4_05</v>
      </c>
    </row>
    <row r="17" spans="1:16" x14ac:dyDescent="0.25">
      <c r="A17" s="85" t="s">
        <v>597</v>
      </c>
      <c r="B17" s="88" t="s">
        <v>616</v>
      </c>
      <c r="C17" s="85" t="s">
        <v>305</v>
      </c>
      <c r="D17" s="85" t="s">
        <v>250</v>
      </c>
      <c r="E17" s="85" t="s">
        <v>619</v>
      </c>
      <c r="F17" s="72" t="s">
        <v>520</v>
      </c>
      <c r="G17" s="72">
        <v>1001</v>
      </c>
      <c r="H17" s="23" t="str">
        <f t="shared" ref="H17:H30" si="4">G17&amp;"_"&amp;E17&amp;"_"&amp;D17</f>
        <v>1001_03_RT</v>
      </c>
      <c r="I17" s="23" t="str">
        <f>VLOOKUP(G17,'PPA IDs'!$A$2:$B$150,2,0)</f>
        <v>Crossings 1 - BART New Markets + Highway Crossing</v>
      </c>
      <c r="J17" s="23" t="str">
        <f>VLOOKUP($G17,'PPA IDs'!$A$2:$K$95,9,0)</f>
        <v>various</v>
      </c>
      <c r="K17" s="23" t="str">
        <f>VLOOKUP($G17,'PPA IDs'!$A$2:$K$95,10,0)</f>
        <v>transit</v>
      </c>
      <c r="L17" s="23" t="str">
        <f>VLOOKUP($G17,'PPA IDs'!$A$2:$K$95,11,0)</f>
        <v>hvy</v>
      </c>
      <c r="M17" s="23" t="str">
        <f t="shared" ref="M17:M30" si="5">IF(D17="RT","RTFF",IF(D17="CG","CAG","BTTF"))</f>
        <v>RTFF</v>
      </c>
      <c r="N17" s="23" t="str">
        <f t="shared" ref="N17:N30" si="6">A17&amp;"_"&amp;D17&amp;"_"&amp;B17</f>
        <v>2050_TM151_PPA_RT_02</v>
      </c>
      <c r="O17" s="23" t="str">
        <f>VLOOKUP($G17,'PPA IDs'!$A$2:$M$95,12,0)</f>
        <v>scenario-baseline</v>
      </c>
      <c r="P17" s="23" t="str">
        <f t="shared" si="3"/>
        <v>1_Crossings1\2050_TM151_PPA_RT_02_1_Crossings1_03</v>
      </c>
    </row>
    <row r="18" spans="1:16" x14ac:dyDescent="0.25">
      <c r="A18" s="85" t="s">
        <v>597</v>
      </c>
      <c r="B18" s="88" t="s">
        <v>616</v>
      </c>
      <c r="C18" s="85" t="s">
        <v>305</v>
      </c>
      <c r="D18" s="85" t="s">
        <v>249</v>
      </c>
      <c r="E18" s="85" t="s">
        <v>616</v>
      </c>
      <c r="F18" s="72" t="s">
        <v>521</v>
      </c>
      <c r="G18" s="72">
        <v>1001</v>
      </c>
      <c r="H18" s="23" t="str">
        <f t="shared" si="4"/>
        <v>1001_02_CG</v>
      </c>
      <c r="I18" s="23" t="str">
        <f>VLOOKUP(G18,'PPA IDs'!$A$2:$B$150,2,0)</f>
        <v>Crossings 1 - BART New Markets + Highway Crossing</v>
      </c>
      <c r="J18" s="23" t="str">
        <f>VLOOKUP($G18,'PPA IDs'!$A$2:$K$95,9,0)</f>
        <v>various</v>
      </c>
      <c r="K18" s="23" t="str">
        <f>VLOOKUP($G18,'PPA IDs'!$A$2:$K$95,10,0)</f>
        <v>transit</v>
      </c>
      <c r="L18" s="23" t="str">
        <f>VLOOKUP($G18,'PPA IDs'!$A$2:$K$95,11,0)</f>
        <v>hvy</v>
      </c>
      <c r="M18" s="23" t="str">
        <f t="shared" si="5"/>
        <v>CAG</v>
      </c>
      <c r="N18" s="23" t="str">
        <f t="shared" si="6"/>
        <v>2050_TM151_PPA_CG_02</v>
      </c>
      <c r="O18" s="23" t="str">
        <f>VLOOKUP($G18,'PPA IDs'!$A$2:$M$95,12,0)</f>
        <v>scenario-baseline</v>
      </c>
      <c r="P18" s="23" t="str">
        <f t="shared" si="3"/>
        <v>1_Crossings1\2050_TM151_PPA_CG_02_1_Crossings1_02</v>
      </c>
    </row>
    <row r="19" spans="1:16" x14ac:dyDescent="0.25">
      <c r="A19" s="86" t="s">
        <v>597</v>
      </c>
      <c r="B19" s="89" t="s">
        <v>616</v>
      </c>
      <c r="C19" s="86" t="s">
        <v>305</v>
      </c>
      <c r="D19" s="86" t="s">
        <v>251</v>
      </c>
      <c r="E19" s="86" t="s">
        <v>616</v>
      </c>
      <c r="F19" s="73" t="s">
        <v>522</v>
      </c>
      <c r="G19" s="73">
        <v>1001</v>
      </c>
      <c r="H19" s="90" t="str">
        <f t="shared" si="4"/>
        <v>1001_02_BF</v>
      </c>
      <c r="I19" s="90" t="str">
        <f>VLOOKUP(G19,'PPA IDs'!$A$2:$B$150,2,0)</f>
        <v>Crossings 1 - BART New Markets + Highway Crossing</v>
      </c>
      <c r="J19" s="90" t="str">
        <f>VLOOKUP($G19,'PPA IDs'!$A$2:$K$95,9,0)</f>
        <v>various</v>
      </c>
      <c r="K19" s="90" t="str">
        <f>VLOOKUP($G19,'PPA IDs'!$A$2:$K$95,10,0)</f>
        <v>transit</v>
      </c>
      <c r="L19" s="90" t="str">
        <f>VLOOKUP($G19,'PPA IDs'!$A$2:$K$95,11,0)</f>
        <v>hvy</v>
      </c>
      <c r="M19" s="90" t="str">
        <f t="shared" si="5"/>
        <v>BTTF</v>
      </c>
      <c r="N19" s="90" t="str">
        <f t="shared" si="6"/>
        <v>2050_TM151_PPA_BF_02</v>
      </c>
      <c r="O19" s="90" t="str">
        <f>VLOOKUP($G19,'PPA IDs'!$A$2:$M$95,12,0)</f>
        <v>scenario-baseline</v>
      </c>
      <c r="P19" s="90" t="str">
        <f t="shared" si="3"/>
        <v>1_Crossings1\2050_TM151_PPA_BF_02_1_Crossings1_02</v>
      </c>
    </row>
    <row r="20" spans="1:16" x14ac:dyDescent="0.25">
      <c r="A20" s="85" t="s">
        <v>597</v>
      </c>
      <c r="B20" s="88" t="s">
        <v>616</v>
      </c>
      <c r="C20" s="85" t="s">
        <v>305</v>
      </c>
      <c r="D20" s="85" t="s">
        <v>250</v>
      </c>
      <c r="E20" s="85" t="s">
        <v>615</v>
      </c>
      <c r="F20" s="72" t="s">
        <v>556</v>
      </c>
      <c r="G20" s="72">
        <v>1001</v>
      </c>
      <c r="H20" s="23" t="str">
        <f t="shared" si="4"/>
        <v>1001_04_RT</v>
      </c>
      <c r="I20" s="23" t="str">
        <f>VLOOKUP(G20,'PPA IDs'!$A$2:$B$150,2,0)</f>
        <v>Crossings 1 - BART New Markets + Highway Crossing</v>
      </c>
      <c r="J20" s="23" t="str">
        <f>VLOOKUP($G20,'PPA IDs'!$A$2:$K$95,9,0)</f>
        <v>various</v>
      </c>
      <c r="K20" s="23" t="str">
        <f>VLOOKUP($G20,'PPA IDs'!$A$2:$K$95,10,0)</f>
        <v>transit</v>
      </c>
      <c r="L20" s="23" t="str">
        <f>VLOOKUP($G20,'PPA IDs'!$A$2:$K$95,11,0)</f>
        <v>hvy</v>
      </c>
      <c r="M20" s="23" t="str">
        <f t="shared" si="5"/>
        <v>RTFF</v>
      </c>
      <c r="N20" s="23" t="str">
        <f t="shared" si="6"/>
        <v>2050_TM151_PPA_RT_02</v>
      </c>
      <c r="O20" s="23" t="str">
        <f>VLOOKUP($G20,'PPA IDs'!$A$2:$M$95,12,0)</f>
        <v>scenario-baseline</v>
      </c>
      <c r="P20" s="23" t="str">
        <f t="shared" si="3"/>
        <v>1_Crossings1\2050_TM151_PPA_RT_02_1_Crossings1_04</v>
      </c>
    </row>
    <row r="21" spans="1:16" x14ac:dyDescent="0.25">
      <c r="A21" s="85" t="s">
        <v>597</v>
      </c>
      <c r="B21" s="88" t="s">
        <v>616</v>
      </c>
      <c r="C21" s="85" t="s">
        <v>305</v>
      </c>
      <c r="D21" s="85" t="s">
        <v>249</v>
      </c>
      <c r="E21" s="85" t="s">
        <v>619</v>
      </c>
      <c r="F21" s="72" t="s">
        <v>557</v>
      </c>
      <c r="G21" s="72">
        <v>1001</v>
      </c>
      <c r="H21" s="23" t="str">
        <f t="shared" si="4"/>
        <v>1001_03_CG</v>
      </c>
      <c r="I21" s="23" t="str">
        <f>VLOOKUP(G21,'PPA IDs'!$A$2:$B$150,2,0)</f>
        <v>Crossings 1 - BART New Markets + Highway Crossing</v>
      </c>
      <c r="J21" s="23" t="str">
        <f>VLOOKUP($G21,'PPA IDs'!$A$2:$K$95,9,0)</f>
        <v>various</v>
      </c>
      <c r="K21" s="23" t="str">
        <f>VLOOKUP($G21,'PPA IDs'!$A$2:$K$95,10,0)</f>
        <v>transit</v>
      </c>
      <c r="L21" s="23" t="str">
        <f>VLOOKUP($G21,'PPA IDs'!$A$2:$K$95,11,0)</f>
        <v>hvy</v>
      </c>
      <c r="M21" s="23" t="str">
        <f t="shared" si="5"/>
        <v>CAG</v>
      </c>
      <c r="N21" s="23" t="str">
        <f t="shared" si="6"/>
        <v>2050_TM151_PPA_CG_02</v>
      </c>
      <c r="O21" s="23" t="str">
        <f>VLOOKUP($G21,'PPA IDs'!$A$2:$M$95,12,0)</f>
        <v>scenario-baseline</v>
      </c>
      <c r="P21" s="23" t="str">
        <f t="shared" si="3"/>
        <v>1_Crossings1\2050_TM151_PPA_CG_02_1_Crossings1_03</v>
      </c>
    </row>
    <row r="22" spans="1:16" x14ac:dyDescent="0.25">
      <c r="A22" s="85" t="s">
        <v>597</v>
      </c>
      <c r="B22" s="88" t="s">
        <v>616</v>
      </c>
      <c r="C22" s="85" t="s">
        <v>305</v>
      </c>
      <c r="D22" s="85" t="s">
        <v>251</v>
      </c>
      <c r="E22" s="85" t="s">
        <v>619</v>
      </c>
      <c r="F22" s="72" t="s">
        <v>558</v>
      </c>
      <c r="G22" s="72">
        <v>1001</v>
      </c>
      <c r="H22" s="23" t="str">
        <f t="shared" si="4"/>
        <v>1001_03_BF</v>
      </c>
      <c r="I22" s="23" t="str">
        <f>VLOOKUP(G22,'PPA IDs'!$A$2:$B$150,2,0)</f>
        <v>Crossings 1 - BART New Markets + Highway Crossing</v>
      </c>
      <c r="J22" s="23" t="str">
        <f>VLOOKUP($G22,'PPA IDs'!$A$2:$K$95,9,0)</f>
        <v>various</v>
      </c>
      <c r="K22" s="23" t="str">
        <f>VLOOKUP($G22,'PPA IDs'!$A$2:$K$95,10,0)</f>
        <v>transit</v>
      </c>
      <c r="L22" s="23" t="str">
        <f>VLOOKUP($G22,'PPA IDs'!$A$2:$K$95,11,0)</f>
        <v>hvy</v>
      </c>
      <c r="M22" s="23" t="str">
        <f t="shared" si="5"/>
        <v>BTTF</v>
      </c>
      <c r="N22" s="23" t="str">
        <f t="shared" si="6"/>
        <v>2050_TM151_PPA_BF_02</v>
      </c>
      <c r="O22" s="23" t="str">
        <f>VLOOKUP($G22,'PPA IDs'!$A$2:$M$95,12,0)</f>
        <v>scenario-baseline</v>
      </c>
      <c r="P22" s="23" t="str">
        <f t="shared" si="3"/>
        <v>1_Crossings1\2050_TM151_PPA_BF_02_1_Crossings1_03</v>
      </c>
    </row>
    <row r="23" spans="1:16" x14ac:dyDescent="0.25">
      <c r="A23" s="85" t="s">
        <v>597</v>
      </c>
      <c r="B23" s="88" t="s">
        <v>616</v>
      </c>
      <c r="C23" s="85" t="s">
        <v>306</v>
      </c>
      <c r="D23" s="85" t="s">
        <v>250</v>
      </c>
      <c r="E23" s="85" t="s">
        <v>618</v>
      </c>
      <c r="F23" s="72" t="s">
        <v>518</v>
      </c>
      <c r="G23" s="72">
        <v>1002</v>
      </c>
      <c r="H23" s="23" t="str">
        <f t="shared" si="4"/>
        <v>1002_01_RT</v>
      </c>
      <c r="I23" s="23" t="str">
        <f>VLOOKUP(G23,'PPA IDs'!$A$2:$B$150,2,0)</f>
        <v>Crossings 2 - BART Mission St</v>
      </c>
      <c r="J23" s="23" t="str">
        <f>VLOOKUP($G23,'PPA IDs'!$A$2:$K$95,9,0)</f>
        <v>various</v>
      </c>
      <c r="K23" s="23" t="str">
        <f>VLOOKUP($G23,'PPA IDs'!$A$2:$K$95,10,0)</f>
        <v>transit</v>
      </c>
      <c r="L23" s="23" t="str">
        <f>VLOOKUP($G23,'PPA IDs'!$A$2:$K$95,11,0)</f>
        <v>hvy</v>
      </c>
      <c r="M23" s="23" t="str">
        <f t="shared" si="5"/>
        <v>RTFF</v>
      </c>
      <c r="N23" s="23" t="str">
        <f t="shared" si="6"/>
        <v>2050_TM151_PPA_RT_02</v>
      </c>
      <c r="O23" s="23" t="str">
        <f>VLOOKUP($G23,'PPA IDs'!$A$2:$M$95,12,0)</f>
        <v>scenario-baseline</v>
      </c>
      <c r="P23" s="23" t="str">
        <f t="shared" si="3"/>
        <v>1_Crossings2\2050_TM151_PPA_RT_02_1_Crossings2_01</v>
      </c>
    </row>
    <row r="24" spans="1:16" x14ac:dyDescent="0.25">
      <c r="A24" s="85" t="s">
        <v>597</v>
      </c>
      <c r="B24" s="88" t="s">
        <v>616</v>
      </c>
      <c r="C24" s="85" t="s">
        <v>306</v>
      </c>
      <c r="D24" s="85" t="s">
        <v>249</v>
      </c>
      <c r="E24" s="85" t="s">
        <v>618</v>
      </c>
      <c r="F24" s="72" t="s">
        <v>563</v>
      </c>
      <c r="G24" s="72">
        <v>1002</v>
      </c>
      <c r="H24" s="23" t="str">
        <f t="shared" si="4"/>
        <v>1002_01_CG</v>
      </c>
      <c r="I24" s="23" t="str">
        <f>VLOOKUP(G24,'PPA IDs'!$A$2:$B$150,2,0)</f>
        <v>Crossings 2 - BART Mission St</v>
      </c>
      <c r="J24" s="23" t="str">
        <f>VLOOKUP($G24,'PPA IDs'!$A$2:$K$95,9,0)</f>
        <v>various</v>
      </c>
      <c r="K24" s="23" t="str">
        <f>VLOOKUP($G24,'PPA IDs'!$A$2:$K$95,10,0)</f>
        <v>transit</v>
      </c>
      <c r="L24" s="23" t="str">
        <f>VLOOKUP($G24,'PPA IDs'!$A$2:$K$95,11,0)</f>
        <v>hvy</v>
      </c>
      <c r="M24" s="23" t="str">
        <f t="shared" si="5"/>
        <v>CAG</v>
      </c>
      <c r="N24" s="23" t="str">
        <f t="shared" si="6"/>
        <v>2050_TM151_PPA_CG_02</v>
      </c>
      <c r="O24" s="23" t="str">
        <f>VLOOKUP($G24,'PPA IDs'!$A$2:$M$95,12,0)</f>
        <v>scenario-baseline</v>
      </c>
      <c r="P24" s="23" t="str">
        <f t="shared" si="3"/>
        <v>1_Crossings2\2050_TM151_PPA_CG_02_1_Crossings2_01</v>
      </c>
    </row>
    <row r="25" spans="1:16" x14ac:dyDescent="0.25">
      <c r="A25" s="85" t="s">
        <v>597</v>
      </c>
      <c r="B25" s="88" t="s">
        <v>616</v>
      </c>
      <c r="C25" s="85" t="s">
        <v>306</v>
      </c>
      <c r="D25" s="85" t="s">
        <v>251</v>
      </c>
      <c r="E25" s="85" t="s">
        <v>618</v>
      </c>
      <c r="F25" s="72" t="s">
        <v>519</v>
      </c>
      <c r="G25" s="72">
        <v>1002</v>
      </c>
      <c r="H25" s="23" t="str">
        <f t="shared" si="4"/>
        <v>1002_01_BF</v>
      </c>
      <c r="I25" s="23" t="str">
        <f>VLOOKUP(G25,'PPA IDs'!$A$2:$B$150,2,0)</f>
        <v>Crossings 2 - BART Mission St</v>
      </c>
      <c r="J25" s="23" t="str">
        <f>VLOOKUP($G25,'PPA IDs'!$A$2:$K$95,9,0)</f>
        <v>various</v>
      </c>
      <c r="K25" s="23" t="str">
        <f>VLOOKUP($G25,'PPA IDs'!$A$2:$K$95,10,0)</f>
        <v>transit</v>
      </c>
      <c r="L25" s="23" t="str">
        <f>VLOOKUP($G25,'PPA IDs'!$A$2:$K$95,11,0)</f>
        <v>hvy</v>
      </c>
      <c r="M25" s="23" t="str">
        <f t="shared" si="5"/>
        <v>BTTF</v>
      </c>
      <c r="N25" s="23" t="str">
        <f t="shared" si="6"/>
        <v>2050_TM151_PPA_BF_02</v>
      </c>
      <c r="O25" s="23" t="str">
        <f>VLOOKUP($G25,'PPA IDs'!$A$2:$M$95,12,0)</f>
        <v>scenario-baseline</v>
      </c>
      <c r="P25" s="23" t="str">
        <f t="shared" si="3"/>
        <v>1_Crossings2\2050_TM151_PPA_BF_02_1_Crossings2_01</v>
      </c>
    </row>
    <row r="26" spans="1:16" x14ac:dyDescent="0.25">
      <c r="A26" s="85" t="s">
        <v>597</v>
      </c>
      <c r="B26" s="88" t="s">
        <v>616</v>
      </c>
      <c r="C26" s="85" t="s">
        <v>307</v>
      </c>
      <c r="D26" s="85" t="s">
        <v>250</v>
      </c>
      <c r="E26" s="85" t="s">
        <v>618</v>
      </c>
      <c r="F26" s="72" t="s">
        <v>516</v>
      </c>
      <c r="G26" s="72">
        <v>1003</v>
      </c>
      <c r="H26" s="23" t="str">
        <f t="shared" si="4"/>
        <v>1003_01_RT</v>
      </c>
      <c r="I26" s="23" t="str">
        <f>VLOOKUP(G26,'PPA IDs'!$A$2:$B$150,2,0)</f>
        <v>Crossings 3 - BART New Markets</v>
      </c>
      <c r="J26" s="23" t="str">
        <f>VLOOKUP($G26,'PPA IDs'!$A$2:$K$95,9,0)</f>
        <v>various</v>
      </c>
      <c r="K26" s="23" t="str">
        <f>VLOOKUP($G26,'PPA IDs'!$A$2:$K$95,10,0)</f>
        <v>transit</v>
      </c>
      <c r="L26" s="23" t="str">
        <f>VLOOKUP($G26,'PPA IDs'!$A$2:$K$95,11,0)</f>
        <v>hvy</v>
      </c>
      <c r="M26" s="23" t="str">
        <f t="shared" si="5"/>
        <v>RTFF</v>
      </c>
      <c r="N26" s="23" t="str">
        <f t="shared" si="6"/>
        <v>2050_TM151_PPA_RT_02</v>
      </c>
      <c r="O26" s="23" t="str">
        <f>VLOOKUP($G26,'PPA IDs'!$A$2:$M$95,12,0)</f>
        <v>scenario-baseline</v>
      </c>
      <c r="P26" s="23" t="str">
        <f t="shared" si="3"/>
        <v>1_Crossings3\2050_TM151_PPA_RT_02_1_Crossings3_01</v>
      </c>
    </row>
    <row r="27" spans="1:16" x14ac:dyDescent="0.25">
      <c r="A27" s="85" t="s">
        <v>597</v>
      </c>
      <c r="B27" s="88" t="s">
        <v>616</v>
      </c>
      <c r="C27" s="85" t="s">
        <v>307</v>
      </c>
      <c r="D27" s="85" t="s">
        <v>249</v>
      </c>
      <c r="E27" s="85" t="s">
        <v>619</v>
      </c>
      <c r="F27" s="72" t="s">
        <v>532</v>
      </c>
      <c r="G27" s="72">
        <v>1003</v>
      </c>
      <c r="H27" s="23" t="str">
        <f t="shared" si="4"/>
        <v>1003_03_CG</v>
      </c>
      <c r="I27" s="23" t="str">
        <f>VLOOKUP(G27,'PPA IDs'!$A$2:$B$150,2,0)</f>
        <v>Crossings 3 - BART New Markets</v>
      </c>
      <c r="J27" s="23" t="str">
        <f>VLOOKUP($G27,'PPA IDs'!$A$2:$K$95,9,0)</f>
        <v>various</v>
      </c>
      <c r="K27" s="23" t="str">
        <f>VLOOKUP($G27,'PPA IDs'!$A$2:$K$95,10,0)</f>
        <v>transit</v>
      </c>
      <c r="L27" s="23" t="str">
        <f>VLOOKUP($G27,'PPA IDs'!$A$2:$K$95,11,0)</f>
        <v>hvy</v>
      </c>
      <c r="M27" s="23" t="str">
        <f t="shared" si="5"/>
        <v>CAG</v>
      </c>
      <c r="N27" s="23" t="str">
        <f t="shared" si="6"/>
        <v>2050_TM151_PPA_CG_02</v>
      </c>
      <c r="O27" s="23" t="str">
        <f>VLOOKUP($G27,'PPA IDs'!$A$2:$M$95,12,0)</f>
        <v>scenario-baseline</v>
      </c>
      <c r="P27" s="23" t="str">
        <f t="shared" si="3"/>
        <v>1_Crossings3\2050_TM151_PPA_CG_02_1_Crossings3_03</v>
      </c>
    </row>
    <row r="28" spans="1:16" x14ac:dyDescent="0.25">
      <c r="A28" s="85" t="s">
        <v>597</v>
      </c>
      <c r="B28" s="88" t="s">
        <v>616</v>
      </c>
      <c r="C28" s="85" t="s">
        <v>307</v>
      </c>
      <c r="D28" s="85" t="s">
        <v>251</v>
      </c>
      <c r="E28" s="85" t="s">
        <v>616</v>
      </c>
      <c r="F28" s="72" t="s">
        <v>517</v>
      </c>
      <c r="G28" s="72">
        <v>1003</v>
      </c>
      <c r="H28" s="23" t="str">
        <f t="shared" si="4"/>
        <v>1003_02_BF</v>
      </c>
      <c r="I28" s="23" t="str">
        <f>VLOOKUP(G28,'PPA IDs'!$A$2:$B$150,2,0)</f>
        <v>Crossings 3 - BART New Markets</v>
      </c>
      <c r="J28" s="23" t="str">
        <f>VLOOKUP($G28,'PPA IDs'!$A$2:$K$95,9,0)</f>
        <v>various</v>
      </c>
      <c r="K28" s="23" t="str">
        <f>VLOOKUP($G28,'PPA IDs'!$A$2:$K$95,10,0)</f>
        <v>transit</v>
      </c>
      <c r="L28" s="23" t="str">
        <f>VLOOKUP($G28,'PPA IDs'!$A$2:$K$95,11,0)</f>
        <v>hvy</v>
      </c>
      <c r="M28" s="23" t="str">
        <f t="shared" si="5"/>
        <v>BTTF</v>
      </c>
      <c r="N28" s="23" t="str">
        <f t="shared" si="6"/>
        <v>2050_TM151_PPA_BF_02</v>
      </c>
      <c r="O28" s="23" t="str">
        <f>VLOOKUP($G28,'PPA IDs'!$A$2:$M$95,12,0)</f>
        <v>scenario-baseline</v>
      </c>
      <c r="P28" s="23" t="str">
        <f t="shared" si="3"/>
        <v>1_Crossings3\2050_TM151_PPA_BF_02_1_Crossings3_02</v>
      </c>
    </row>
    <row r="29" spans="1:16" x14ac:dyDescent="0.25">
      <c r="A29" s="85" t="s">
        <v>597</v>
      </c>
      <c r="B29" s="88" t="s">
        <v>616</v>
      </c>
      <c r="C29" s="85" t="s">
        <v>308</v>
      </c>
      <c r="D29" s="85" t="s">
        <v>250</v>
      </c>
      <c r="E29" s="85" t="s">
        <v>596</v>
      </c>
      <c r="F29" s="72" t="s">
        <v>564</v>
      </c>
      <c r="G29" s="72">
        <v>1004</v>
      </c>
      <c r="H29" s="23" t="str">
        <f t="shared" si="4"/>
        <v>1004_00_RT</v>
      </c>
      <c r="I29" s="23" t="str">
        <f>VLOOKUP(G29,'PPA IDs'!$A$2:$B$150,2,0)</f>
        <v>Crossings 4 - Regional Rail</v>
      </c>
      <c r="J29" s="23" t="str">
        <f>VLOOKUP($G29,'PPA IDs'!$A$2:$K$95,9,0)</f>
        <v>various</v>
      </c>
      <c r="K29" s="23" t="str">
        <f>VLOOKUP($G29,'PPA IDs'!$A$2:$K$95,10,0)</f>
        <v>transit</v>
      </c>
      <c r="L29" s="23" t="str">
        <f>VLOOKUP($G29,'PPA IDs'!$A$2:$K$95,11,0)</f>
        <v>com</v>
      </c>
      <c r="M29" s="23" t="str">
        <f t="shared" si="5"/>
        <v>RTFF</v>
      </c>
      <c r="N29" s="23" t="str">
        <f t="shared" si="6"/>
        <v>2050_TM151_PPA_RT_02</v>
      </c>
      <c r="O29" s="23" t="str">
        <f>VLOOKUP($G29,'PPA IDs'!$A$2:$M$95,12,0)</f>
        <v>scenario-baseline</v>
      </c>
      <c r="P29" s="23" t="str">
        <f t="shared" si="3"/>
        <v>1_Crossings4\2050_TM151_PPA_RT_02_1_Crossings4_00</v>
      </c>
    </row>
    <row r="30" spans="1:16" x14ac:dyDescent="0.25">
      <c r="A30" s="85" t="s">
        <v>597</v>
      </c>
      <c r="B30" s="88" t="s">
        <v>616</v>
      </c>
      <c r="C30" s="85" t="s">
        <v>308</v>
      </c>
      <c r="D30" s="85" t="s">
        <v>249</v>
      </c>
      <c r="E30" s="85" t="s">
        <v>596</v>
      </c>
      <c r="F30" s="72" t="s">
        <v>565</v>
      </c>
      <c r="G30" s="72">
        <v>1004</v>
      </c>
      <c r="H30" s="23" t="str">
        <f t="shared" si="4"/>
        <v>1004_00_CG</v>
      </c>
      <c r="I30" s="23" t="str">
        <f>VLOOKUP(G30,'PPA IDs'!$A$2:$B$150,2,0)</f>
        <v>Crossings 4 - Regional Rail</v>
      </c>
      <c r="J30" s="23" t="str">
        <f>VLOOKUP($G30,'PPA IDs'!$A$2:$K$95,9,0)</f>
        <v>various</v>
      </c>
      <c r="K30" s="23" t="str">
        <f>VLOOKUP($G30,'PPA IDs'!$A$2:$K$95,10,0)</f>
        <v>transit</v>
      </c>
      <c r="L30" s="23" t="str">
        <f>VLOOKUP($G30,'PPA IDs'!$A$2:$K$95,11,0)</f>
        <v>com</v>
      </c>
      <c r="M30" s="23" t="str">
        <f t="shared" si="5"/>
        <v>CAG</v>
      </c>
      <c r="N30" s="23" t="str">
        <f t="shared" si="6"/>
        <v>2050_TM151_PPA_CG_02</v>
      </c>
      <c r="O30" s="23" t="str">
        <f>VLOOKUP($G30,'PPA IDs'!$A$2:$M$95,12,0)</f>
        <v>scenario-baseline</v>
      </c>
      <c r="P30" s="23" t="str">
        <f t="shared" si="3"/>
        <v>1_Crossings4\2050_TM151_PPA_CG_02_1_Crossings4_00</v>
      </c>
    </row>
    <row r="31" spans="1:16" x14ac:dyDescent="0.25">
      <c r="A31" s="85" t="s">
        <v>597</v>
      </c>
      <c r="B31" s="88" t="s">
        <v>616</v>
      </c>
      <c r="C31" s="85" t="s">
        <v>308</v>
      </c>
      <c r="D31" s="85" t="s">
        <v>251</v>
      </c>
      <c r="E31" s="85" t="s">
        <v>596</v>
      </c>
      <c r="F31" s="72" t="s">
        <v>566</v>
      </c>
      <c r="G31" s="72">
        <v>1004</v>
      </c>
      <c r="H31" s="23" t="str">
        <f>G31&amp;"_"&amp;E31&amp;"_"&amp;D31</f>
        <v>1004_00_BF</v>
      </c>
      <c r="I31" s="23" t="str">
        <f>VLOOKUP(G31,'PPA IDs'!$A$2:$B$150,2,0)</f>
        <v>Crossings 4 - Regional Rail</v>
      </c>
      <c r="J31" s="23" t="str">
        <f>VLOOKUP($G31,'PPA IDs'!$A$2:$K$95,9,0)</f>
        <v>various</v>
      </c>
      <c r="K31" s="23" t="str">
        <f>VLOOKUP($G31,'PPA IDs'!$A$2:$K$95,10,0)</f>
        <v>transit</v>
      </c>
      <c r="L31" s="23" t="str">
        <f>VLOOKUP($G31,'PPA IDs'!$A$2:$K$95,11,0)</f>
        <v>com</v>
      </c>
      <c r="M31" s="23" t="str">
        <f>IF(D31="RT","RTFF",IF(D31="CG","CAG","BTTF"))</f>
        <v>BTTF</v>
      </c>
      <c r="N31" s="23" t="str">
        <f>A31&amp;"_"&amp;D31&amp;"_"&amp;B31</f>
        <v>2050_TM151_PPA_BF_02</v>
      </c>
      <c r="O31" s="23" t="str">
        <f>VLOOKUP($G31,'PPA IDs'!$A$2:$M$95,12,0)</f>
        <v>scenario-baseline</v>
      </c>
      <c r="P31" s="23" t="str">
        <f t="shared" si="3"/>
        <v>1_Crossings4\2050_TM151_PPA_BF_02_1_Crossings4_00</v>
      </c>
    </row>
    <row r="32" spans="1:16" x14ac:dyDescent="0.25">
      <c r="A32" s="85" t="s">
        <v>597</v>
      </c>
      <c r="B32" s="88" t="s">
        <v>616</v>
      </c>
      <c r="C32" s="85" t="s">
        <v>308</v>
      </c>
      <c r="D32" s="85" t="s">
        <v>250</v>
      </c>
      <c r="E32" s="85" t="s">
        <v>620</v>
      </c>
      <c r="F32" s="72" t="s">
        <v>567</v>
      </c>
      <c r="G32" s="72">
        <v>1004</v>
      </c>
      <c r="H32" s="23" t="str">
        <f>G32&amp;"_"&amp;E32&amp;"_"&amp;D32</f>
        <v>1004_06_RT</v>
      </c>
      <c r="I32" s="80" t="s">
        <v>493</v>
      </c>
      <c r="J32" s="23" t="str">
        <f>VLOOKUP($G32,'PPA IDs'!$A$2:$K$95,9,0)</f>
        <v>various</v>
      </c>
      <c r="K32" s="23" t="str">
        <f>VLOOKUP($G32,'PPA IDs'!$A$2:$K$95,10,0)</f>
        <v>transit</v>
      </c>
      <c r="L32" s="23" t="str">
        <f>VLOOKUP($G32,'PPA IDs'!$A$2:$K$95,11,0)</f>
        <v>com</v>
      </c>
      <c r="M32" s="23" t="str">
        <f>IF(D32="RT","RTFF",IF(D32="CG","CAG","BTTF"))</f>
        <v>RTFF</v>
      </c>
      <c r="N32" s="23" t="str">
        <f>A32&amp;"_"&amp;D32&amp;"_"&amp;B32</f>
        <v>2050_TM151_PPA_RT_02</v>
      </c>
      <c r="O32" s="23" t="str">
        <f>VLOOKUP($G32,'PPA IDs'!$A$2:$M$95,12,0)</f>
        <v>scenario-baseline</v>
      </c>
      <c r="P32" s="23" t="str">
        <f t="shared" si="3"/>
        <v>1_Crossings4\2050_TM151_PPA_RT_02_1_Crossings4_06</v>
      </c>
    </row>
    <row r="33" spans="1:16" x14ac:dyDescent="0.25">
      <c r="A33" s="85" t="s">
        <v>597</v>
      </c>
      <c r="B33" s="88" t="s">
        <v>616</v>
      </c>
      <c r="C33" s="85" t="s">
        <v>308</v>
      </c>
      <c r="D33" s="85" t="s">
        <v>249</v>
      </c>
      <c r="E33" s="85" t="s">
        <v>620</v>
      </c>
      <c r="F33" s="72" t="s">
        <v>569</v>
      </c>
      <c r="G33" s="72">
        <v>1004</v>
      </c>
      <c r="H33" s="23" t="str">
        <f>G33&amp;"_"&amp;E33&amp;"_"&amp;D33</f>
        <v>1004_06_CG</v>
      </c>
      <c r="I33" s="80" t="s">
        <v>493</v>
      </c>
      <c r="J33" s="23" t="str">
        <f>VLOOKUP($G33,'PPA IDs'!$A$2:$K$95,9,0)</f>
        <v>various</v>
      </c>
      <c r="K33" s="23" t="str">
        <f>VLOOKUP($G33,'PPA IDs'!$A$2:$K$95,10,0)</f>
        <v>transit</v>
      </c>
      <c r="L33" s="23" t="str">
        <f>VLOOKUP($G33,'PPA IDs'!$A$2:$K$95,11,0)</f>
        <v>com</v>
      </c>
      <c r="M33" s="23" t="str">
        <f>IF(D33="RT","RTFF",IF(D33="CG","CAG","BTTF"))</f>
        <v>CAG</v>
      </c>
      <c r="N33" s="23" t="str">
        <f>A33&amp;"_"&amp;D33&amp;"_"&amp;B33</f>
        <v>2050_TM151_PPA_CG_02</v>
      </c>
      <c r="O33" s="23" t="str">
        <f>VLOOKUP($G33,'PPA IDs'!$A$2:$M$95,12,0)</f>
        <v>scenario-baseline</v>
      </c>
      <c r="P33" s="23" t="str">
        <f t="shared" si="3"/>
        <v>1_Crossings4\2050_TM151_PPA_CG_02_1_Crossings4_06</v>
      </c>
    </row>
    <row r="34" spans="1:16" x14ac:dyDescent="0.25">
      <c r="A34" s="85" t="s">
        <v>597</v>
      </c>
      <c r="B34" s="88" t="s">
        <v>616</v>
      </c>
      <c r="C34" s="85" t="s">
        <v>308</v>
      </c>
      <c r="D34" s="85" t="s">
        <v>251</v>
      </c>
      <c r="E34" s="85" t="s">
        <v>620</v>
      </c>
      <c r="F34" s="72" t="s">
        <v>568</v>
      </c>
      <c r="G34" s="72">
        <v>1004</v>
      </c>
      <c r="H34" s="23" t="str">
        <f>G34&amp;"_"&amp;E34&amp;"_"&amp;D34</f>
        <v>1004_06_BF</v>
      </c>
      <c r="I34" s="80" t="s">
        <v>493</v>
      </c>
      <c r="J34" s="23" t="str">
        <f>VLOOKUP($G34,'PPA IDs'!$A$2:$K$95,9,0)</f>
        <v>various</v>
      </c>
      <c r="K34" s="23" t="str">
        <f>VLOOKUP($G34,'PPA IDs'!$A$2:$K$95,10,0)</f>
        <v>transit</v>
      </c>
      <c r="L34" s="23" t="str">
        <f>VLOOKUP($G34,'PPA IDs'!$A$2:$K$95,11,0)</f>
        <v>com</v>
      </c>
      <c r="M34" s="23" t="str">
        <f>IF(D34="RT","RTFF",IF(D34="CG","CAG","BTTF"))</f>
        <v>BTTF</v>
      </c>
      <c r="N34" s="23" t="str">
        <f>A34&amp;"_"&amp;D34&amp;"_"&amp;B34</f>
        <v>2050_TM151_PPA_BF_02</v>
      </c>
      <c r="O34" s="23" t="str">
        <f>VLOOKUP($G34,'PPA IDs'!$A$2:$M$95,12,0)</f>
        <v>scenario-baseline</v>
      </c>
      <c r="P34" s="23" t="str">
        <f t="shared" si="3"/>
        <v>1_Crossings4\2050_TM151_PPA_BF_02_1_Crossings4_06</v>
      </c>
    </row>
    <row r="35" spans="1:16" x14ac:dyDescent="0.25">
      <c r="A35" s="85" t="s">
        <v>597</v>
      </c>
      <c r="B35" s="88" t="s">
        <v>616</v>
      </c>
      <c r="C35" s="85" t="s">
        <v>304</v>
      </c>
      <c r="D35" s="85" t="s">
        <v>250</v>
      </c>
      <c r="E35" s="85" t="s">
        <v>596</v>
      </c>
      <c r="F35" s="72" t="s">
        <v>570</v>
      </c>
      <c r="G35" s="72">
        <v>1005</v>
      </c>
      <c r="H35" s="23" t="str">
        <f t="shared" ref="H35:H38" si="7">G35&amp;"_"&amp;E35&amp;"_"&amp;D35</f>
        <v>1005_00_RT</v>
      </c>
      <c r="I35" s="23" t="str">
        <f>VLOOKUP(G35,'PPA IDs'!$A$2:$B$150,2,0)</f>
        <v>Crossings 5 - Mid-Bay Crossing</v>
      </c>
      <c r="J35" s="23" t="str">
        <f>VLOOKUP($G35,'PPA IDs'!$A$2:$K$95,9,0)</f>
        <v>various</v>
      </c>
      <c r="K35" s="23" t="str">
        <f>VLOOKUP($G35,'PPA IDs'!$A$2:$K$95,10,0)</f>
        <v>road</v>
      </c>
      <c r="L35" s="23" t="str">
        <f>VLOOKUP($G35,'PPA IDs'!$A$2:$K$95,11,0)</f>
        <v>road</v>
      </c>
      <c r="M35" s="23" t="str">
        <f t="shared" ref="M35:M38" si="8">IF(D35="RT","RTFF",IF(D35="CG","CAG","BTTF"))</f>
        <v>RTFF</v>
      </c>
      <c r="N35" s="23" t="str">
        <f t="shared" ref="N35:N38" si="9">A35&amp;"_"&amp;D35&amp;"_"&amp;B35</f>
        <v>2050_TM151_PPA_RT_02</v>
      </c>
      <c r="O35" s="23" t="str">
        <f>VLOOKUP($G35,'PPA IDs'!$A$2:$M$95,12,0)</f>
        <v>scenario-baseline</v>
      </c>
      <c r="P35" s="23" t="str">
        <f t="shared" si="3"/>
        <v>1_Crossings5\2050_TM151_PPA_RT_02_1_Crossings5_00</v>
      </c>
    </row>
    <row r="36" spans="1:16" x14ac:dyDescent="0.25">
      <c r="A36" s="85" t="s">
        <v>597</v>
      </c>
      <c r="B36" s="88" t="s">
        <v>616</v>
      </c>
      <c r="C36" s="85" t="s">
        <v>304</v>
      </c>
      <c r="D36" s="85" t="s">
        <v>249</v>
      </c>
      <c r="E36" s="85" t="s">
        <v>596</v>
      </c>
      <c r="F36" s="72" t="s">
        <v>571</v>
      </c>
      <c r="G36" s="72">
        <v>1005</v>
      </c>
      <c r="H36" s="23" t="str">
        <f t="shared" si="7"/>
        <v>1005_00_CG</v>
      </c>
      <c r="I36" s="23" t="str">
        <f>VLOOKUP(G36,'PPA IDs'!$A$2:$B$150,2,0)</f>
        <v>Crossings 5 - Mid-Bay Crossing</v>
      </c>
      <c r="J36" s="23" t="str">
        <f>VLOOKUP($G36,'PPA IDs'!$A$2:$K$95,9,0)</f>
        <v>various</v>
      </c>
      <c r="K36" s="23" t="str">
        <f>VLOOKUP($G36,'PPA IDs'!$A$2:$K$95,10,0)</f>
        <v>road</v>
      </c>
      <c r="L36" s="23" t="str">
        <f>VLOOKUP($G36,'PPA IDs'!$A$2:$K$95,11,0)</f>
        <v>road</v>
      </c>
      <c r="M36" s="23" t="str">
        <f t="shared" si="8"/>
        <v>CAG</v>
      </c>
      <c r="N36" s="23" t="str">
        <f t="shared" si="9"/>
        <v>2050_TM151_PPA_CG_02</v>
      </c>
      <c r="O36" s="23" t="str">
        <f>VLOOKUP($G36,'PPA IDs'!$A$2:$M$95,12,0)</f>
        <v>scenario-baseline</v>
      </c>
      <c r="P36" s="23" t="str">
        <f t="shared" si="3"/>
        <v>1_Crossings5\2050_TM151_PPA_CG_02_1_Crossings5_00</v>
      </c>
    </row>
    <row r="37" spans="1:16" x14ac:dyDescent="0.25">
      <c r="A37" s="85" t="s">
        <v>597</v>
      </c>
      <c r="B37" s="88" t="s">
        <v>616</v>
      </c>
      <c r="C37" s="85" t="s">
        <v>304</v>
      </c>
      <c r="D37" s="85" t="s">
        <v>251</v>
      </c>
      <c r="E37" s="85" t="s">
        <v>596</v>
      </c>
      <c r="F37" s="72" t="s">
        <v>572</v>
      </c>
      <c r="G37" s="72">
        <v>1005</v>
      </c>
      <c r="H37" s="23" t="str">
        <f t="shared" si="7"/>
        <v>1005_00_BF</v>
      </c>
      <c r="I37" s="23" t="str">
        <f>VLOOKUP(G37,'PPA IDs'!$A$2:$B$150,2,0)</f>
        <v>Crossings 5 - Mid-Bay Crossing</v>
      </c>
      <c r="J37" s="23" t="str">
        <f>VLOOKUP($G37,'PPA IDs'!$A$2:$K$95,9,0)</f>
        <v>various</v>
      </c>
      <c r="K37" s="23" t="str">
        <f>VLOOKUP($G37,'PPA IDs'!$A$2:$K$95,10,0)</f>
        <v>road</v>
      </c>
      <c r="L37" s="23" t="str">
        <f>VLOOKUP($G37,'PPA IDs'!$A$2:$K$95,11,0)</f>
        <v>road</v>
      </c>
      <c r="M37" s="23" t="str">
        <f t="shared" si="8"/>
        <v>BTTF</v>
      </c>
      <c r="N37" s="23" t="str">
        <f t="shared" si="9"/>
        <v>2050_TM151_PPA_BF_02</v>
      </c>
      <c r="O37" s="23" t="str">
        <f>VLOOKUP($G37,'PPA IDs'!$A$2:$M$95,12,0)</f>
        <v>scenario-baseline</v>
      </c>
      <c r="P37" s="23" t="str">
        <f t="shared" si="3"/>
        <v>1_Crossings5\2050_TM151_PPA_BF_02_1_Crossings5_00</v>
      </c>
    </row>
    <row r="38" spans="1:16" x14ac:dyDescent="0.25">
      <c r="A38" s="85" t="s">
        <v>597</v>
      </c>
      <c r="B38" s="88" t="s">
        <v>616</v>
      </c>
      <c r="C38" s="85" t="s">
        <v>309</v>
      </c>
      <c r="D38" s="85" t="s">
        <v>250</v>
      </c>
      <c r="E38" s="85" t="s">
        <v>596</v>
      </c>
      <c r="F38" s="72" t="s">
        <v>573</v>
      </c>
      <c r="G38" s="72">
        <v>1006</v>
      </c>
      <c r="H38" s="23" t="str">
        <f t="shared" si="7"/>
        <v>1006_00_RT</v>
      </c>
      <c r="I38" s="23" t="str">
        <f>VLOOKUP(G38,'PPA IDs'!$A$2:$B$150,2,0)</f>
        <v>Crossings 6 - San Mateo Bridge Widening</v>
      </c>
      <c r="J38" s="23" t="str">
        <f>VLOOKUP($G38,'PPA IDs'!$A$2:$K$95,9,0)</f>
        <v>various</v>
      </c>
      <c r="K38" s="23" t="str">
        <f>VLOOKUP($G38,'PPA IDs'!$A$2:$K$95,10,0)</f>
        <v>road</v>
      </c>
      <c r="L38" s="23" t="str">
        <f>VLOOKUP($G38,'PPA IDs'!$A$2:$K$95,11,0)</f>
        <v>road</v>
      </c>
      <c r="M38" s="23" t="str">
        <f t="shared" si="8"/>
        <v>RTFF</v>
      </c>
      <c r="N38" s="23" t="str">
        <f t="shared" si="9"/>
        <v>2050_TM151_PPA_RT_02</v>
      </c>
      <c r="O38" s="23" t="str">
        <f>VLOOKUP($G38,'PPA IDs'!$A$2:$M$95,12,0)</f>
        <v>scenario-baseline</v>
      </c>
      <c r="P38" s="23" t="str">
        <f t="shared" si="3"/>
        <v>1_Crossings6\2050_TM151_PPA_RT_02_1_Crossings6_00</v>
      </c>
    </row>
    <row r="39" spans="1:16" x14ac:dyDescent="0.25">
      <c r="A39" s="85" t="s">
        <v>597</v>
      </c>
      <c r="B39" s="88" t="s">
        <v>616</v>
      </c>
      <c r="C39" s="85" t="s">
        <v>309</v>
      </c>
      <c r="D39" s="85" t="s">
        <v>249</v>
      </c>
      <c r="E39" s="85" t="s">
        <v>596</v>
      </c>
      <c r="F39" s="72" t="s">
        <v>574</v>
      </c>
      <c r="G39" s="72">
        <v>1006</v>
      </c>
      <c r="H39" s="23" t="str">
        <f t="shared" ref="H39:H81" si="10">G39&amp;"_"&amp;E39&amp;"_"&amp;D39</f>
        <v>1006_00_CG</v>
      </c>
      <c r="I39" s="23" t="str">
        <f>VLOOKUP(G39,'PPA IDs'!$A$2:$B$150,2,0)</f>
        <v>Crossings 6 - San Mateo Bridge Widening</v>
      </c>
      <c r="J39" s="23" t="str">
        <f>VLOOKUP($G39,'PPA IDs'!$A$2:$K$95,9,0)</f>
        <v>various</v>
      </c>
      <c r="K39" s="23" t="str">
        <f>VLOOKUP($G39,'PPA IDs'!$A$2:$K$95,10,0)</f>
        <v>road</v>
      </c>
      <c r="L39" s="23" t="str">
        <f>VLOOKUP($G39,'PPA IDs'!$A$2:$K$95,11,0)</f>
        <v>road</v>
      </c>
      <c r="M39" s="23" t="str">
        <f t="shared" ref="M39:M118" si="11">IF(D39="RT","RTFF",IF(D39="CG","CAG","BTTF"))</f>
        <v>CAG</v>
      </c>
      <c r="N39" s="23" t="str">
        <f t="shared" ref="N39:N118" si="12">A39&amp;"_"&amp;D39&amp;"_"&amp;B39</f>
        <v>2050_TM151_PPA_CG_02</v>
      </c>
      <c r="O39" s="23" t="str">
        <f>VLOOKUP($G39,'PPA IDs'!$A$2:$M$95,12,0)</f>
        <v>scenario-baseline</v>
      </c>
      <c r="P39" s="23" t="str">
        <f t="shared" si="3"/>
        <v>1_Crossings6\2050_TM151_PPA_CG_02_1_Crossings6_00</v>
      </c>
    </row>
    <row r="40" spans="1:16" x14ac:dyDescent="0.25">
      <c r="A40" s="85" t="s">
        <v>597</v>
      </c>
      <c r="B40" s="88" t="s">
        <v>616</v>
      </c>
      <c r="C40" s="85" t="s">
        <v>309</v>
      </c>
      <c r="D40" s="85" t="s">
        <v>251</v>
      </c>
      <c r="E40" s="85" t="s">
        <v>596</v>
      </c>
      <c r="F40" s="72" t="s">
        <v>575</v>
      </c>
      <c r="G40" s="72">
        <v>1006</v>
      </c>
      <c r="H40" s="23" t="str">
        <f t="shared" si="10"/>
        <v>1006_00_BF</v>
      </c>
      <c r="I40" s="23" t="str">
        <f>VLOOKUP(G40,'PPA IDs'!$A$2:$B$150,2,0)</f>
        <v>Crossings 6 - San Mateo Bridge Widening</v>
      </c>
      <c r="J40" s="23" t="str">
        <f>VLOOKUP($G40,'PPA IDs'!$A$2:$K$95,9,0)</f>
        <v>various</v>
      </c>
      <c r="K40" s="23" t="str">
        <f>VLOOKUP($G40,'PPA IDs'!$A$2:$K$95,10,0)</f>
        <v>road</v>
      </c>
      <c r="L40" s="23" t="str">
        <f>VLOOKUP($G40,'PPA IDs'!$A$2:$K$95,11,0)</f>
        <v>road</v>
      </c>
      <c r="M40" s="23" t="str">
        <f t="shared" si="11"/>
        <v>BTTF</v>
      </c>
      <c r="N40" s="23" t="str">
        <f t="shared" si="12"/>
        <v>2050_TM151_PPA_BF_02</v>
      </c>
      <c r="O40" s="23" t="str">
        <f>VLOOKUP($G40,'PPA IDs'!$A$2:$M$95,12,0)</f>
        <v>scenario-baseline</v>
      </c>
      <c r="P40" s="23" t="str">
        <f t="shared" si="3"/>
        <v>1_Crossings6\2050_TM151_PPA_BF_02_1_Crossings6_00</v>
      </c>
    </row>
    <row r="41" spans="1:16" x14ac:dyDescent="0.25">
      <c r="A41" s="85" t="s">
        <v>597</v>
      </c>
      <c r="B41" s="88" t="s">
        <v>616</v>
      </c>
      <c r="C41" s="85" t="s">
        <v>310</v>
      </c>
      <c r="D41" s="85" t="s">
        <v>250</v>
      </c>
      <c r="E41" s="85" t="s">
        <v>618</v>
      </c>
      <c r="F41" s="72" t="s">
        <v>523</v>
      </c>
      <c r="G41" s="72">
        <v>1007</v>
      </c>
      <c r="H41" s="23" t="str">
        <f t="shared" si="10"/>
        <v>1007_01_RT</v>
      </c>
      <c r="I41" s="23" t="str">
        <f>VLOOKUP(G41,'PPA IDs'!$A$2:$B$150,2,0)</f>
        <v>Crossings 7 - Regional Rail + BART New Markets</v>
      </c>
      <c r="J41" s="23" t="str">
        <f>VLOOKUP($G41,'PPA IDs'!$A$2:$K$95,9,0)</f>
        <v>various</v>
      </c>
      <c r="K41" s="23" t="str">
        <f>VLOOKUP($G41,'PPA IDs'!$A$2:$K$95,10,0)</f>
        <v>transit</v>
      </c>
      <c r="L41" s="23" t="str">
        <f>VLOOKUP($G41,'PPA IDs'!$A$2:$K$95,11,0)</f>
        <v>hvy</v>
      </c>
      <c r="M41" s="23" t="str">
        <f t="shared" si="11"/>
        <v>RTFF</v>
      </c>
      <c r="N41" s="23" t="str">
        <f t="shared" si="12"/>
        <v>2050_TM151_PPA_RT_02</v>
      </c>
      <c r="O41" s="23" t="str">
        <f>VLOOKUP($G41,'PPA IDs'!$A$2:$M$95,12,0)</f>
        <v>scenario-baseline</v>
      </c>
      <c r="P41" s="23" t="str">
        <f t="shared" si="3"/>
        <v>1_Crossings7\2050_TM151_PPA_RT_02_1_Crossings7_01</v>
      </c>
    </row>
    <row r="42" spans="1:16" x14ac:dyDescent="0.25">
      <c r="A42" s="85" t="s">
        <v>597</v>
      </c>
      <c r="B42" s="88" t="s">
        <v>616</v>
      </c>
      <c r="C42" s="85" t="s">
        <v>310</v>
      </c>
      <c r="D42" s="85" t="s">
        <v>249</v>
      </c>
      <c r="E42" s="85" t="s">
        <v>618</v>
      </c>
      <c r="F42" s="72" t="s">
        <v>524</v>
      </c>
      <c r="G42" s="72">
        <v>1007</v>
      </c>
      <c r="H42" s="23" t="str">
        <f t="shared" si="10"/>
        <v>1007_01_CG</v>
      </c>
      <c r="I42" s="23" t="str">
        <f>VLOOKUP(G42,'PPA IDs'!$A$2:$B$150,2,0)</f>
        <v>Crossings 7 - Regional Rail + BART New Markets</v>
      </c>
      <c r="J42" s="23" t="str">
        <f>VLOOKUP($G42,'PPA IDs'!$A$2:$K$95,9,0)</f>
        <v>various</v>
      </c>
      <c r="K42" s="23" t="str">
        <f>VLOOKUP($G42,'PPA IDs'!$A$2:$K$95,10,0)</f>
        <v>transit</v>
      </c>
      <c r="L42" s="23" t="str">
        <f>VLOOKUP($G42,'PPA IDs'!$A$2:$K$95,11,0)</f>
        <v>hvy</v>
      </c>
      <c r="M42" s="23" t="str">
        <f t="shared" si="11"/>
        <v>CAG</v>
      </c>
      <c r="N42" s="23" t="str">
        <f t="shared" si="12"/>
        <v>2050_TM151_PPA_CG_02</v>
      </c>
      <c r="O42" s="23" t="str">
        <f>VLOOKUP($G42,'PPA IDs'!$A$2:$M$95,12,0)</f>
        <v>scenario-baseline</v>
      </c>
      <c r="P42" s="23" t="str">
        <f t="shared" si="3"/>
        <v>1_Crossings7\2050_TM151_PPA_CG_02_1_Crossings7_01</v>
      </c>
    </row>
    <row r="43" spans="1:16" x14ac:dyDescent="0.25">
      <c r="A43" s="85" t="s">
        <v>597</v>
      </c>
      <c r="B43" s="88" t="s">
        <v>616</v>
      </c>
      <c r="C43" s="85" t="s">
        <v>310</v>
      </c>
      <c r="D43" s="85" t="s">
        <v>251</v>
      </c>
      <c r="E43" s="85" t="s">
        <v>619</v>
      </c>
      <c r="F43" s="72" t="s">
        <v>576</v>
      </c>
      <c r="G43" s="72">
        <v>1007</v>
      </c>
      <c r="H43" s="23" t="str">
        <f t="shared" si="10"/>
        <v>1007_03_BF</v>
      </c>
      <c r="I43" s="23" t="str">
        <f>VLOOKUP(G43,'PPA IDs'!$A$2:$B$150,2,0)</f>
        <v>Crossings 7 - Regional Rail + BART New Markets</v>
      </c>
      <c r="J43" s="23" t="str">
        <f>VLOOKUP($G43,'PPA IDs'!$A$2:$K$95,9,0)</f>
        <v>various</v>
      </c>
      <c r="K43" s="23" t="str">
        <f>VLOOKUP($G43,'PPA IDs'!$A$2:$K$95,10,0)</f>
        <v>transit</v>
      </c>
      <c r="L43" s="23" t="str">
        <f>VLOOKUP($G43,'PPA IDs'!$A$2:$K$95,11,0)</f>
        <v>hvy</v>
      </c>
      <c r="M43" s="23" t="str">
        <f t="shared" si="11"/>
        <v>BTTF</v>
      </c>
      <c r="N43" s="23" t="str">
        <f t="shared" si="12"/>
        <v>2050_TM151_PPA_BF_02</v>
      </c>
      <c r="O43" s="23" t="str">
        <f>VLOOKUP($G43,'PPA IDs'!$A$2:$M$95,12,0)</f>
        <v>scenario-baseline</v>
      </c>
      <c r="P43" s="23" t="str">
        <f t="shared" si="3"/>
        <v>1_Crossings7\2050_TM151_PPA_BF_02_1_Crossings7_03</v>
      </c>
    </row>
    <row r="44" spans="1:16" x14ac:dyDescent="0.25">
      <c r="A44" s="85" t="s">
        <v>597</v>
      </c>
      <c r="B44" s="88" t="s">
        <v>616</v>
      </c>
      <c r="C44" s="85" t="s">
        <v>559</v>
      </c>
      <c r="D44" s="85" t="s">
        <v>250</v>
      </c>
      <c r="E44" s="88" t="s">
        <v>618</v>
      </c>
      <c r="F44" s="72" t="s">
        <v>648</v>
      </c>
      <c r="G44" s="75">
        <v>1008</v>
      </c>
      <c r="H44" s="23" t="str">
        <f t="shared" si="10"/>
        <v>1008_01_RT</v>
      </c>
      <c r="I44" s="23" t="str">
        <f>VLOOKUP(G44,'PPA IDs'!$A$2:$B$150,2,0)</f>
        <v>Crossings 8 - Southern Crossing Bridge</v>
      </c>
      <c r="J44" s="23" t="str">
        <f>VLOOKUP($G44,'PPA IDs'!$A$2:$K$95,9,0)</f>
        <v>various</v>
      </c>
      <c r="K44" s="23" t="str">
        <f>VLOOKUP($G44,'PPA IDs'!$A$2:$K$95,10,0)</f>
        <v>transit</v>
      </c>
      <c r="L44" s="23" t="str">
        <f>VLOOKUP($G44,'PPA IDs'!$A$2:$K$95,11,0)</f>
        <v>hvy</v>
      </c>
      <c r="M44" s="23" t="str">
        <f t="shared" si="11"/>
        <v>RTFF</v>
      </c>
      <c r="N44" s="23" t="str">
        <f t="shared" si="12"/>
        <v>2050_TM151_PPA_RT_02</v>
      </c>
      <c r="O44" s="23" t="str">
        <f>VLOOKUP($G44,'PPA IDs'!$A$2:$M$95,12,0)</f>
        <v>scenario-baseline</v>
      </c>
      <c r="P44" s="23" t="str">
        <f t="shared" si="3"/>
        <v>1_Crossings8\2050_TM151_PPA_RT_02_1_Crossings8_01</v>
      </c>
    </row>
    <row r="45" spans="1:16" x14ac:dyDescent="0.25">
      <c r="A45" s="85" t="s">
        <v>597</v>
      </c>
      <c r="B45" s="88" t="s">
        <v>616</v>
      </c>
      <c r="C45" s="85" t="s">
        <v>559</v>
      </c>
      <c r="D45" s="85" t="s">
        <v>249</v>
      </c>
      <c r="E45" s="85" t="s">
        <v>618</v>
      </c>
      <c r="F45" s="72" t="s">
        <v>577</v>
      </c>
      <c r="G45" s="75">
        <v>1008</v>
      </c>
      <c r="H45" s="23" t="str">
        <f t="shared" si="10"/>
        <v>1008_01_CG</v>
      </c>
      <c r="I45" s="23" t="str">
        <f>VLOOKUP(G45,'PPA IDs'!$A$2:$B$150,2,0)</f>
        <v>Crossings 8 - Southern Crossing Bridge</v>
      </c>
      <c r="J45" s="23" t="str">
        <f>VLOOKUP($G45,'PPA IDs'!$A$2:$K$95,9,0)</f>
        <v>various</v>
      </c>
      <c r="K45" s="23" t="str">
        <f>VLOOKUP($G45,'PPA IDs'!$A$2:$K$95,10,0)</f>
        <v>transit</v>
      </c>
      <c r="L45" s="23" t="str">
        <f>VLOOKUP($G45,'PPA IDs'!$A$2:$K$95,11,0)</f>
        <v>hvy</v>
      </c>
      <c r="M45" s="23" t="str">
        <f t="shared" si="11"/>
        <v>CAG</v>
      </c>
      <c r="N45" s="23" t="str">
        <f t="shared" si="12"/>
        <v>2050_TM151_PPA_CG_02</v>
      </c>
      <c r="O45" s="23" t="str">
        <f>VLOOKUP($G45,'PPA IDs'!$A$2:$M$95,12,0)</f>
        <v>scenario-baseline</v>
      </c>
      <c r="P45" s="23" t="str">
        <f t="shared" si="3"/>
        <v>1_Crossings8\2050_TM151_PPA_CG_02_1_Crossings8_01</v>
      </c>
    </row>
    <row r="46" spans="1:16" x14ac:dyDescent="0.25">
      <c r="A46" s="86" t="s">
        <v>597</v>
      </c>
      <c r="B46" s="89" t="s">
        <v>616</v>
      </c>
      <c r="C46" s="86" t="s">
        <v>559</v>
      </c>
      <c r="D46" s="86" t="s">
        <v>251</v>
      </c>
      <c r="E46" s="86" t="s">
        <v>596</v>
      </c>
      <c r="F46" s="73" t="s">
        <v>561</v>
      </c>
      <c r="G46" s="76">
        <v>1008</v>
      </c>
      <c r="H46" s="90" t="str">
        <f t="shared" si="10"/>
        <v>1008_00_BF</v>
      </c>
      <c r="I46" s="90" t="str">
        <f>VLOOKUP(G46,'PPA IDs'!$A$2:$B$150,2,0)</f>
        <v>Crossings 8 - Southern Crossing Bridge</v>
      </c>
      <c r="J46" s="90" t="str">
        <f>VLOOKUP($G46,'PPA IDs'!$A$2:$K$95,9,0)</f>
        <v>various</v>
      </c>
      <c r="K46" s="90" t="str">
        <f>VLOOKUP($G46,'PPA IDs'!$A$2:$K$95,10,0)</f>
        <v>transit</v>
      </c>
      <c r="L46" s="90" t="str">
        <f>VLOOKUP($G46,'PPA IDs'!$A$2:$K$95,11,0)</f>
        <v>hvy</v>
      </c>
      <c r="M46" s="90" t="str">
        <f t="shared" si="11"/>
        <v>BTTF</v>
      </c>
      <c r="N46" s="90" t="str">
        <f t="shared" si="12"/>
        <v>2050_TM151_PPA_BF_02</v>
      </c>
      <c r="O46" s="90" t="str">
        <f>VLOOKUP($G46,'PPA IDs'!$A$2:$M$95,12,0)</f>
        <v>scenario-baseline</v>
      </c>
      <c r="P46" s="90" t="str">
        <f t="shared" si="3"/>
        <v>1_Crossings8\2050_TM151_PPA_BF_02_1_Crossings8_00</v>
      </c>
    </row>
    <row r="47" spans="1:16" x14ac:dyDescent="0.25">
      <c r="A47" s="85" t="s">
        <v>597</v>
      </c>
      <c r="B47" s="88" t="s">
        <v>616</v>
      </c>
      <c r="C47" s="85" t="s">
        <v>306</v>
      </c>
      <c r="D47" s="87" t="s">
        <v>249</v>
      </c>
      <c r="E47" s="85" t="s">
        <v>616</v>
      </c>
      <c r="F47" s="72" t="s">
        <v>586</v>
      </c>
      <c r="G47" s="75">
        <v>1002</v>
      </c>
      <c r="H47" s="23" t="str">
        <f t="shared" si="10"/>
        <v>1002_02_CG</v>
      </c>
      <c r="I47" s="23" t="str">
        <f>VLOOKUP(G47,'PPA IDs'!$A$2:$B$150,2,0)</f>
        <v>Crossings 2 - BART Mission St</v>
      </c>
      <c r="J47" s="23" t="str">
        <f>VLOOKUP($G47,'PPA IDs'!$A$2:$K$95,9,0)</f>
        <v>various</v>
      </c>
      <c r="K47" s="23" t="str">
        <f>VLOOKUP($G47,'PPA IDs'!$A$2:$K$95,10,0)</f>
        <v>transit</v>
      </c>
      <c r="L47" s="23" t="str">
        <f>VLOOKUP($G47,'PPA IDs'!$A$2:$K$95,11,0)</f>
        <v>hvy</v>
      </c>
      <c r="M47" s="23" t="str">
        <f t="shared" si="11"/>
        <v>CAG</v>
      </c>
      <c r="N47" s="23" t="str">
        <f t="shared" si="12"/>
        <v>2050_TM151_PPA_CG_02</v>
      </c>
      <c r="O47" s="23" t="str">
        <f>VLOOKUP($G47,'PPA IDs'!$A$2:$M$95,12,0)</f>
        <v>scenario-baseline</v>
      </c>
      <c r="P47" s="23" t="str">
        <f t="shared" si="3"/>
        <v>1_Crossings2\2050_TM151_PPA_CG_02_1_Crossings2_02</v>
      </c>
    </row>
    <row r="48" spans="1:16" x14ac:dyDescent="0.25">
      <c r="A48" s="86" t="s">
        <v>597</v>
      </c>
      <c r="B48" s="89" t="s">
        <v>617</v>
      </c>
      <c r="C48" s="86" t="s">
        <v>306</v>
      </c>
      <c r="D48" s="92" t="s">
        <v>249</v>
      </c>
      <c r="E48" s="86" t="s">
        <v>617</v>
      </c>
      <c r="F48" s="73" t="s">
        <v>590</v>
      </c>
      <c r="G48" s="76">
        <v>1002</v>
      </c>
      <c r="H48" s="90" t="str">
        <f t="shared" si="10"/>
        <v>1002_09_CG</v>
      </c>
      <c r="I48" s="90" t="str">
        <f>VLOOKUP(G48,'PPA IDs'!$A$2:$B$150,2,0)</f>
        <v>Crossings 2 - BART Mission St</v>
      </c>
      <c r="J48" s="90" t="str">
        <f>VLOOKUP($G48,'PPA IDs'!$A$2:$K$95,9,0)</f>
        <v>various</v>
      </c>
      <c r="K48" s="90" t="str">
        <f>VLOOKUP($G48,'PPA IDs'!$A$2:$K$95,10,0)</f>
        <v>transit</v>
      </c>
      <c r="L48" s="90" t="str">
        <f>VLOOKUP($G48,'PPA IDs'!$A$2:$K$95,11,0)</f>
        <v>hvy</v>
      </c>
      <c r="M48" s="90" t="str">
        <f t="shared" si="11"/>
        <v>CAG</v>
      </c>
      <c r="N48" s="90" t="str">
        <f t="shared" si="12"/>
        <v>2050_TM151_PPA_CG_09</v>
      </c>
      <c r="O48" s="90" t="str">
        <f>VLOOKUP($G48,'PPA IDs'!$A$2:$M$95,12,0)</f>
        <v>scenario-baseline</v>
      </c>
      <c r="P48" s="90" t="str">
        <f t="shared" si="3"/>
        <v>1_Crossings2\2050_TM151_PPA_CG_09_1_Crossings2_09</v>
      </c>
    </row>
    <row r="49" spans="1:16" x14ac:dyDescent="0.25">
      <c r="A49" s="85" t="s">
        <v>597</v>
      </c>
      <c r="B49" s="88" t="s">
        <v>620</v>
      </c>
      <c r="C49" s="85" t="s">
        <v>305</v>
      </c>
      <c r="D49" s="85" t="s">
        <v>250</v>
      </c>
      <c r="E49" s="85" t="s">
        <v>596</v>
      </c>
      <c r="F49" s="23" t="str">
        <f t="shared" ref="F49:F69" si="13">A49&amp;"_"&amp;D49&amp;"_"&amp;B49&amp;"_"&amp;C49&amp;"_"&amp;E49</f>
        <v>2050_TM151_PPA_RT_06_1_Crossings1_00</v>
      </c>
      <c r="G49" s="72">
        <v>1001</v>
      </c>
      <c r="H49" s="23" t="str">
        <f t="shared" ref="H49:H69" si="14">G49&amp;"_"&amp;E49&amp;"_"&amp;D49</f>
        <v>1001_00_RT</v>
      </c>
      <c r="I49" s="23" t="str">
        <f>VLOOKUP(G49,'PPA IDs'!$A$2:$B$150,2,0)</f>
        <v>Crossings 1 - BART New Markets + Highway Crossing</v>
      </c>
      <c r="J49" s="23" t="str">
        <f>VLOOKUP($G49,'PPA IDs'!$A$2:$K$95,9,0)</f>
        <v>various</v>
      </c>
      <c r="K49" s="23" t="str">
        <f>VLOOKUP($G49,'PPA IDs'!$A$2:$K$95,10,0)</f>
        <v>transit</v>
      </c>
      <c r="L49" s="23" t="str">
        <f>VLOOKUP($G49,'PPA IDs'!$A$2:$K$95,11,0)</f>
        <v>hvy</v>
      </c>
      <c r="M49" s="23" t="str">
        <f t="shared" ref="M49:M69" si="15">IF(D49="RT","RTFF",IF(D49="CG","CAG","BTTF"))</f>
        <v>RTFF</v>
      </c>
      <c r="N49" s="23" t="str">
        <f t="shared" ref="N49:N69" si="16">A49&amp;"_"&amp;D49&amp;"_"&amp;B49</f>
        <v>2050_TM151_PPA_RT_06</v>
      </c>
      <c r="O49" s="23" t="str">
        <f>VLOOKUP($G49,'PPA IDs'!$A$2:$M$95,12,0)</f>
        <v>scenario-baseline</v>
      </c>
      <c r="P49" s="23" t="str">
        <f t="shared" ref="P49:P69" si="17">C49&amp;"\"&amp;F49</f>
        <v>1_Crossings1\2050_TM151_PPA_RT_06_1_Crossings1_00</v>
      </c>
    </row>
    <row r="50" spans="1:16" x14ac:dyDescent="0.25">
      <c r="A50" s="85" t="s">
        <v>597</v>
      </c>
      <c r="B50" s="88" t="s">
        <v>620</v>
      </c>
      <c r="C50" s="85" t="s">
        <v>306</v>
      </c>
      <c r="D50" s="85" t="s">
        <v>250</v>
      </c>
      <c r="E50" s="85" t="s">
        <v>596</v>
      </c>
      <c r="F50" s="23" t="str">
        <f t="shared" si="13"/>
        <v>2050_TM151_PPA_RT_06_1_Crossings2_00</v>
      </c>
      <c r="G50" s="72">
        <v>1002</v>
      </c>
      <c r="H50" s="23" t="str">
        <f t="shared" si="14"/>
        <v>1002_00_RT</v>
      </c>
      <c r="I50" s="23" t="str">
        <f>VLOOKUP(G50,'PPA IDs'!$A$2:$B$150,2,0)</f>
        <v>Crossings 2 - BART Mission St</v>
      </c>
      <c r="J50" s="23" t="str">
        <f>VLOOKUP($G50,'PPA IDs'!$A$2:$K$95,9,0)</f>
        <v>various</v>
      </c>
      <c r="K50" s="23" t="str">
        <f>VLOOKUP($G50,'PPA IDs'!$A$2:$K$95,10,0)</f>
        <v>transit</v>
      </c>
      <c r="L50" s="23" t="str">
        <f>VLOOKUP($G50,'PPA IDs'!$A$2:$K$95,11,0)</f>
        <v>hvy</v>
      </c>
      <c r="M50" s="23" t="str">
        <f t="shared" si="15"/>
        <v>RTFF</v>
      </c>
      <c r="N50" s="23" t="str">
        <f t="shared" si="16"/>
        <v>2050_TM151_PPA_RT_06</v>
      </c>
      <c r="O50" s="23" t="str">
        <f>VLOOKUP($G50,'PPA IDs'!$A$2:$M$95,12,0)</f>
        <v>scenario-baseline</v>
      </c>
      <c r="P50" s="23" t="str">
        <f t="shared" si="17"/>
        <v>1_Crossings2\2050_TM151_PPA_RT_06_1_Crossings2_00</v>
      </c>
    </row>
    <row r="51" spans="1:16" x14ac:dyDescent="0.25">
      <c r="A51" s="85" t="s">
        <v>597</v>
      </c>
      <c r="B51" s="88" t="s">
        <v>620</v>
      </c>
      <c r="C51" s="85" t="s">
        <v>307</v>
      </c>
      <c r="D51" s="85" t="s">
        <v>250</v>
      </c>
      <c r="E51" s="85" t="s">
        <v>596</v>
      </c>
      <c r="F51" s="23" t="str">
        <f t="shared" si="13"/>
        <v>2050_TM151_PPA_RT_06_1_Crossings3_00</v>
      </c>
      <c r="G51" s="72">
        <v>1003</v>
      </c>
      <c r="H51" s="23" t="str">
        <f t="shared" si="14"/>
        <v>1003_00_RT</v>
      </c>
      <c r="I51" s="23" t="str">
        <f>VLOOKUP(G51,'PPA IDs'!$A$2:$B$150,2,0)</f>
        <v>Crossings 3 - BART New Markets</v>
      </c>
      <c r="J51" s="23" t="str">
        <f>VLOOKUP($G51,'PPA IDs'!$A$2:$K$95,9,0)</f>
        <v>various</v>
      </c>
      <c r="K51" s="23" t="str">
        <f>VLOOKUP($G51,'PPA IDs'!$A$2:$K$95,10,0)</f>
        <v>transit</v>
      </c>
      <c r="L51" s="23" t="str">
        <f>VLOOKUP($G51,'PPA IDs'!$A$2:$K$95,11,0)</f>
        <v>hvy</v>
      </c>
      <c r="M51" s="23" t="str">
        <f t="shared" si="15"/>
        <v>RTFF</v>
      </c>
      <c r="N51" s="23" t="str">
        <f t="shared" si="16"/>
        <v>2050_TM151_PPA_RT_06</v>
      </c>
      <c r="O51" s="23" t="str">
        <f>VLOOKUP($G51,'PPA IDs'!$A$2:$M$95,12,0)</f>
        <v>scenario-baseline</v>
      </c>
      <c r="P51" s="23" t="str">
        <f t="shared" si="17"/>
        <v>1_Crossings3\2050_TM151_PPA_RT_06_1_Crossings3_00</v>
      </c>
    </row>
    <row r="52" spans="1:16" x14ac:dyDescent="0.25">
      <c r="A52" s="85" t="s">
        <v>597</v>
      </c>
      <c r="B52" s="88" t="s">
        <v>620</v>
      </c>
      <c r="C52" s="85" t="s">
        <v>304</v>
      </c>
      <c r="D52" s="85" t="s">
        <v>250</v>
      </c>
      <c r="E52" s="85" t="s">
        <v>596</v>
      </c>
      <c r="F52" s="23" t="str">
        <f t="shared" si="13"/>
        <v>2050_TM151_PPA_RT_06_1_Crossings5_00</v>
      </c>
      <c r="G52" s="72">
        <v>1005</v>
      </c>
      <c r="H52" s="23" t="str">
        <f t="shared" si="14"/>
        <v>1005_00_RT</v>
      </c>
      <c r="I52" s="23" t="str">
        <f>VLOOKUP(G52,'PPA IDs'!$A$2:$B$150,2,0)</f>
        <v>Crossings 5 - Mid-Bay Crossing</v>
      </c>
      <c r="J52" s="23" t="str">
        <f>VLOOKUP($G52,'PPA IDs'!$A$2:$K$95,9,0)</f>
        <v>various</v>
      </c>
      <c r="K52" s="23" t="str">
        <f>VLOOKUP($G52,'PPA IDs'!$A$2:$K$95,10,0)</f>
        <v>road</v>
      </c>
      <c r="L52" s="23" t="str">
        <f>VLOOKUP($G52,'PPA IDs'!$A$2:$K$95,11,0)</f>
        <v>road</v>
      </c>
      <c r="M52" s="23" t="str">
        <f t="shared" si="15"/>
        <v>RTFF</v>
      </c>
      <c r="N52" s="23" t="str">
        <f t="shared" si="16"/>
        <v>2050_TM151_PPA_RT_06</v>
      </c>
      <c r="O52" s="23" t="str">
        <f>VLOOKUP($G52,'PPA IDs'!$A$2:$M$95,12,0)</f>
        <v>scenario-baseline</v>
      </c>
      <c r="P52" s="23" t="str">
        <f t="shared" si="17"/>
        <v>1_Crossings5\2050_TM151_PPA_RT_06_1_Crossings5_00</v>
      </c>
    </row>
    <row r="53" spans="1:16" x14ac:dyDescent="0.25">
      <c r="A53" s="86" t="s">
        <v>597</v>
      </c>
      <c r="B53" s="89" t="s">
        <v>620</v>
      </c>
      <c r="C53" s="86" t="s">
        <v>309</v>
      </c>
      <c r="D53" s="86" t="s">
        <v>250</v>
      </c>
      <c r="E53" s="86" t="s">
        <v>596</v>
      </c>
      <c r="F53" s="90" t="str">
        <f t="shared" si="13"/>
        <v>2050_TM151_PPA_RT_06_1_Crossings6_00</v>
      </c>
      <c r="G53" s="73">
        <v>1006</v>
      </c>
      <c r="H53" s="90" t="str">
        <f t="shared" si="14"/>
        <v>1006_00_RT</v>
      </c>
      <c r="I53" s="90" t="str">
        <f>VLOOKUP(G53,'PPA IDs'!$A$2:$B$150,2,0)</f>
        <v>Crossings 6 - San Mateo Bridge Widening</v>
      </c>
      <c r="J53" s="90" t="str">
        <f>VLOOKUP($G53,'PPA IDs'!$A$2:$K$95,9,0)</f>
        <v>various</v>
      </c>
      <c r="K53" s="90" t="str">
        <f>VLOOKUP($G53,'PPA IDs'!$A$2:$K$95,10,0)</f>
        <v>road</v>
      </c>
      <c r="L53" s="90" t="str">
        <f>VLOOKUP($G53,'PPA IDs'!$A$2:$K$95,11,0)</f>
        <v>road</v>
      </c>
      <c r="M53" s="90" t="str">
        <f t="shared" si="15"/>
        <v>RTFF</v>
      </c>
      <c r="N53" s="90" t="str">
        <f t="shared" si="16"/>
        <v>2050_TM151_PPA_RT_06</v>
      </c>
      <c r="O53" s="90" t="str">
        <f>VLOOKUP($G53,'PPA IDs'!$A$2:$M$95,12,0)</f>
        <v>scenario-baseline</v>
      </c>
      <c r="P53" s="90" t="str">
        <f t="shared" si="17"/>
        <v>1_Crossings6\2050_TM151_PPA_RT_06_1_Crossings6_00</v>
      </c>
    </row>
    <row r="54" spans="1:16" x14ac:dyDescent="0.25">
      <c r="A54" s="85" t="s">
        <v>597</v>
      </c>
      <c r="B54" s="88" t="s">
        <v>652</v>
      </c>
      <c r="C54" s="85" t="s">
        <v>305</v>
      </c>
      <c r="D54" s="85" t="s">
        <v>250</v>
      </c>
      <c r="E54" s="85" t="s">
        <v>596</v>
      </c>
      <c r="F54" s="23" t="str">
        <f t="shared" si="13"/>
        <v>2050_TM151_PPA_RT_07_1_Crossings1_00</v>
      </c>
      <c r="G54" s="72">
        <v>1001</v>
      </c>
      <c r="H54" s="23" t="str">
        <f t="shared" si="14"/>
        <v>1001_00_RT</v>
      </c>
      <c r="I54" s="23" t="str">
        <f>VLOOKUP(G54,'PPA IDs'!$A$2:$B$150,2,0)</f>
        <v>Crossings 1 - BART New Markets + Highway Crossing</v>
      </c>
      <c r="J54" s="23" t="str">
        <f>VLOOKUP($G54,'PPA IDs'!$A$2:$K$95,9,0)</f>
        <v>various</v>
      </c>
      <c r="K54" s="23" t="str">
        <f>VLOOKUP($G54,'PPA IDs'!$A$2:$K$95,10,0)</f>
        <v>transit</v>
      </c>
      <c r="L54" s="23" t="str">
        <f>VLOOKUP($G54,'PPA IDs'!$A$2:$K$95,11,0)</f>
        <v>hvy</v>
      </c>
      <c r="M54" s="23" t="str">
        <f t="shared" si="15"/>
        <v>RTFF</v>
      </c>
      <c r="N54" s="23" t="str">
        <f t="shared" si="16"/>
        <v>2050_TM151_PPA_RT_07</v>
      </c>
      <c r="O54" s="23" t="str">
        <f>VLOOKUP($G54,'PPA IDs'!$A$2:$M$95,12,0)</f>
        <v>scenario-baseline</v>
      </c>
      <c r="P54" s="23" t="str">
        <f t="shared" si="17"/>
        <v>1_Crossings1\2050_TM151_PPA_RT_07_1_Crossings1_00</v>
      </c>
    </row>
    <row r="55" spans="1:16" x14ac:dyDescent="0.25">
      <c r="A55" s="85" t="s">
        <v>597</v>
      </c>
      <c r="B55" s="88" t="s">
        <v>652</v>
      </c>
      <c r="C55" s="85" t="s">
        <v>306</v>
      </c>
      <c r="D55" s="85" t="s">
        <v>250</v>
      </c>
      <c r="E55" s="85" t="s">
        <v>596</v>
      </c>
      <c r="F55" s="23" t="str">
        <f t="shared" si="13"/>
        <v>2050_TM151_PPA_RT_07_1_Crossings2_00</v>
      </c>
      <c r="G55" s="72">
        <v>1002</v>
      </c>
      <c r="H55" s="23" t="str">
        <f t="shared" si="14"/>
        <v>1002_00_RT</v>
      </c>
      <c r="I55" s="23" t="str">
        <f>VLOOKUP(G55,'PPA IDs'!$A$2:$B$150,2,0)</f>
        <v>Crossings 2 - BART Mission St</v>
      </c>
      <c r="J55" s="23" t="str">
        <f>VLOOKUP($G55,'PPA IDs'!$A$2:$K$95,9,0)</f>
        <v>various</v>
      </c>
      <c r="K55" s="23" t="str">
        <f>VLOOKUP($G55,'PPA IDs'!$A$2:$K$95,10,0)</f>
        <v>transit</v>
      </c>
      <c r="L55" s="23" t="str">
        <f>VLOOKUP($G55,'PPA IDs'!$A$2:$K$95,11,0)</f>
        <v>hvy</v>
      </c>
      <c r="M55" s="23" t="str">
        <f t="shared" si="15"/>
        <v>RTFF</v>
      </c>
      <c r="N55" s="23" t="str">
        <f t="shared" si="16"/>
        <v>2050_TM151_PPA_RT_07</v>
      </c>
      <c r="O55" s="23" t="str">
        <f>VLOOKUP($G55,'PPA IDs'!$A$2:$M$95,12,0)</f>
        <v>scenario-baseline</v>
      </c>
      <c r="P55" s="23" t="str">
        <f t="shared" si="17"/>
        <v>1_Crossings2\2050_TM151_PPA_RT_07_1_Crossings2_00</v>
      </c>
    </row>
    <row r="56" spans="1:16" x14ac:dyDescent="0.25">
      <c r="A56" s="85" t="s">
        <v>597</v>
      </c>
      <c r="B56" s="88" t="s">
        <v>652</v>
      </c>
      <c r="C56" s="85" t="s">
        <v>307</v>
      </c>
      <c r="D56" s="85" t="s">
        <v>250</v>
      </c>
      <c r="E56" s="88" t="s">
        <v>618</v>
      </c>
      <c r="F56" s="23" t="str">
        <f t="shared" si="13"/>
        <v>2050_TM151_PPA_RT_07_1_Crossings3_01</v>
      </c>
      <c r="G56" s="72">
        <v>1003</v>
      </c>
      <c r="H56" s="23" t="str">
        <f t="shared" si="14"/>
        <v>1003_01_RT</v>
      </c>
      <c r="I56" s="23" t="str">
        <f>VLOOKUP(G56,'PPA IDs'!$A$2:$B$150,2,0)</f>
        <v>Crossings 3 - BART New Markets</v>
      </c>
      <c r="J56" s="23" t="str">
        <f>VLOOKUP($G56,'PPA IDs'!$A$2:$K$95,9,0)</f>
        <v>various</v>
      </c>
      <c r="K56" s="23" t="str">
        <f>VLOOKUP($G56,'PPA IDs'!$A$2:$K$95,10,0)</f>
        <v>transit</v>
      </c>
      <c r="L56" s="23" t="str">
        <f>VLOOKUP($G56,'PPA IDs'!$A$2:$K$95,11,0)</f>
        <v>hvy</v>
      </c>
      <c r="M56" s="23" t="str">
        <f t="shared" si="15"/>
        <v>RTFF</v>
      </c>
      <c r="N56" s="23" t="str">
        <f t="shared" si="16"/>
        <v>2050_TM151_PPA_RT_07</v>
      </c>
      <c r="O56" s="23" t="str">
        <f>VLOOKUP($G56,'PPA IDs'!$A$2:$M$95,12,0)</f>
        <v>scenario-baseline</v>
      </c>
      <c r="P56" s="23" t="str">
        <f t="shared" si="17"/>
        <v>1_Crossings3\2050_TM151_PPA_RT_07_1_Crossings3_01</v>
      </c>
    </row>
    <row r="57" spans="1:16" x14ac:dyDescent="0.25">
      <c r="A57" s="85" t="s">
        <v>597</v>
      </c>
      <c r="B57" s="88" t="s">
        <v>652</v>
      </c>
      <c r="C57" s="85" t="s">
        <v>308</v>
      </c>
      <c r="D57" s="85" t="s">
        <v>250</v>
      </c>
      <c r="E57" s="88" t="s">
        <v>618</v>
      </c>
      <c r="F57" s="23" t="str">
        <f t="shared" si="13"/>
        <v>2050_TM151_PPA_RT_07_1_Crossings4_01</v>
      </c>
      <c r="G57" s="72">
        <v>1004</v>
      </c>
      <c r="H57" s="23" t="str">
        <f t="shared" si="14"/>
        <v>1004_01_RT</v>
      </c>
      <c r="I57" s="23" t="str">
        <f>VLOOKUP(G57,'PPA IDs'!$A$2:$B$150,2,0)</f>
        <v>Crossings 4 - Regional Rail</v>
      </c>
      <c r="J57" s="23" t="str">
        <f>VLOOKUP($G57,'PPA IDs'!$A$2:$K$95,9,0)</f>
        <v>various</v>
      </c>
      <c r="K57" s="23" t="str">
        <f>VLOOKUP($G57,'PPA IDs'!$A$2:$K$95,10,0)</f>
        <v>transit</v>
      </c>
      <c r="L57" s="23" t="str">
        <f>VLOOKUP($G57,'PPA IDs'!$A$2:$K$95,11,0)</f>
        <v>com</v>
      </c>
      <c r="M57" s="23" t="str">
        <f t="shared" si="15"/>
        <v>RTFF</v>
      </c>
      <c r="N57" s="23" t="str">
        <f t="shared" si="16"/>
        <v>2050_TM151_PPA_RT_07</v>
      </c>
      <c r="O57" s="23" t="str">
        <f>VLOOKUP($G57,'PPA IDs'!$A$2:$M$95,12,0)</f>
        <v>scenario-baseline</v>
      </c>
      <c r="P57" s="23" t="str">
        <f t="shared" si="17"/>
        <v>1_Crossings4\2050_TM151_PPA_RT_07_1_Crossings4_01</v>
      </c>
    </row>
    <row r="58" spans="1:16" x14ac:dyDescent="0.25">
      <c r="A58" s="85" t="s">
        <v>597</v>
      </c>
      <c r="B58" s="88" t="s">
        <v>652</v>
      </c>
      <c r="C58" s="85" t="s">
        <v>308</v>
      </c>
      <c r="D58" s="85" t="s">
        <v>250</v>
      </c>
      <c r="E58" s="88" t="s">
        <v>595</v>
      </c>
      <c r="F58" s="23" t="str">
        <f t="shared" si="13"/>
        <v>2050_TM151_PPA_RT_07_1_Crossings4_05</v>
      </c>
      <c r="G58" s="72">
        <v>1004</v>
      </c>
      <c r="H58" s="23" t="str">
        <f t="shared" si="14"/>
        <v>1004_05_RT</v>
      </c>
      <c r="I58" s="80" t="s">
        <v>493</v>
      </c>
      <c r="J58" s="23" t="str">
        <f>VLOOKUP($G58,'PPA IDs'!$A$2:$K$95,9,0)</f>
        <v>various</v>
      </c>
      <c r="K58" s="23" t="str">
        <f>VLOOKUP($G58,'PPA IDs'!$A$2:$K$95,10,0)</f>
        <v>transit</v>
      </c>
      <c r="L58" s="23" t="str">
        <f>VLOOKUP($G58,'PPA IDs'!$A$2:$K$95,11,0)</f>
        <v>com</v>
      </c>
      <c r="M58" s="23" t="str">
        <f t="shared" si="15"/>
        <v>RTFF</v>
      </c>
      <c r="N58" s="23" t="str">
        <f t="shared" si="16"/>
        <v>2050_TM151_PPA_RT_07</v>
      </c>
      <c r="O58" s="23" t="str">
        <f>VLOOKUP($G58,'PPA IDs'!$A$2:$M$95,12,0)</f>
        <v>scenario-baseline</v>
      </c>
      <c r="P58" s="23" t="str">
        <f t="shared" si="17"/>
        <v>1_Crossings4\2050_TM151_PPA_RT_07_1_Crossings4_05</v>
      </c>
    </row>
    <row r="59" spans="1:16" x14ac:dyDescent="0.25">
      <c r="A59" s="85" t="s">
        <v>597</v>
      </c>
      <c r="B59" s="88" t="s">
        <v>652</v>
      </c>
      <c r="C59" s="85" t="s">
        <v>304</v>
      </c>
      <c r="D59" s="85" t="s">
        <v>250</v>
      </c>
      <c r="E59" s="85" t="s">
        <v>596</v>
      </c>
      <c r="F59" s="23" t="str">
        <f t="shared" si="13"/>
        <v>2050_TM151_PPA_RT_07_1_Crossings5_00</v>
      </c>
      <c r="G59" s="72">
        <v>1005</v>
      </c>
      <c r="H59" s="23" t="str">
        <f t="shared" si="14"/>
        <v>1005_00_RT</v>
      </c>
      <c r="I59" s="23" t="str">
        <f>VLOOKUP(G59,'PPA IDs'!$A$2:$B$150,2,0)</f>
        <v>Crossings 5 - Mid-Bay Crossing</v>
      </c>
      <c r="J59" s="23" t="str">
        <f>VLOOKUP($G59,'PPA IDs'!$A$2:$K$95,9,0)</f>
        <v>various</v>
      </c>
      <c r="K59" s="23" t="str">
        <f>VLOOKUP($G59,'PPA IDs'!$A$2:$K$95,10,0)</f>
        <v>road</v>
      </c>
      <c r="L59" s="23" t="str">
        <f>VLOOKUP($G59,'PPA IDs'!$A$2:$K$95,11,0)</f>
        <v>road</v>
      </c>
      <c r="M59" s="23" t="str">
        <f t="shared" si="15"/>
        <v>RTFF</v>
      </c>
      <c r="N59" s="23" t="str">
        <f t="shared" si="16"/>
        <v>2050_TM151_PPA_RT_07</v>
      </c>
      <c r="O59" s="23" t="str">
        <f>VLOOKUP($G59,'PPA IDs'!$A$2:$M$95,12,0)</f>
        <v>scenario-baseline</v>
      </c>
      <c r="P59" s="23" t="str">
        <f t="shared" si="17"/>
        <v>1_Crossings5\2050_TM151_PPA_RT_07_1_Crossings5_00</v>
      </c>
    </row>
    <row r="60" spans="1:16" x14ac:dyDescent="0.25">
      <c r="A60" s="85" t="s">
        <v>597</v>
      </c>
      <c r="B60" s="88" t="s">
        <v>652</v>
      </c>
      <c r="C60" s="85" t="s">
        <v>309</v>
      </c>
      <c r="D60" s="85" t="s">
        <v>250</v>
      </c>
      <c r="E60" s="85" t="s">
        <v>596</v>
      </c>
      <c r="F60" s="23" t="str">
        <f t="shared" si="13"/>
        <v>2050_TM151_PPA_RT_07_1_Crossings6_00</v>
      </c>
      <c r="G60" s="72">
        <v>1006</v>
      </c>
      <c r="H60" s="23" t="str">
        <f t="shared" si="14"/>
        <v>1006_00_RT</v>
      </c>
      <c r="I60" s="23" t="str">
        <f>VLOOKUP(G60,'PPA IDs'!$A$2:$B$150,2,0)</f>
        <v>Crossings 6 - San Mateo Bridge Widening</v>
      </c>
      <c r="J60" s="23" t="str">
        <f>VLOOKUP($G60,'PPA IDs'!$A$2:$K$95,9,0)</f>
        <v>various</v>
      </c>
      <c r="K60" s="23" t="str">
        <f>VLOOKUP($G60,'PPA IDs'!$A$2:$K$95,10,0)</f>
        <v>road</v>
      </c>
      <c r="L60" s="23" t="str">
        <f>VLOOKUP($G60,'PPA IDs'!$A$2:$K$95,11,0)</f>
        <v>road</v>
      </c>
      <c r="M60" s="23" t="str">
        <f t="shared" si="15"/>
        <v>RTFF</v>
      </c>
      <c r="N60" s="23" t="str">
        <f t="shared" si="16"/>
        <v>2050_TM151_PPA_RT_07</v>
      </c>
      <c r="O60" s="23" t="str">
        <f>VLOOKUP($G60,'PPA IDs'!$A$2:$M$95,12,0)</f>
        <v>scenario-baseline</v>
      </c>
      <c r="P60" s="23" t="str">
        <f t="shared" si="17"/>
        <v>1_Crossings6\2050_TM151_PPA_RT_07_1_Crossings6_00</v>
      </c>
    </row>
    <row r="61" spans="1:16" x14ac:dyDescent="0.25">
      <c r="A61" s="86" t="s">
        <v>597</v>
      </c>
      <c r="B61" s="89" t="s">
        <v>652</v>
      </c>
      <c r="C61" s="86" t="s">
        <v>310</v>
      </c>
      <c r="D61" s="86" t="s">
        <v>250</v>
      </c>
      <c r="E61" s="89" t="s">
        <v>618</v>
      </c>
      <c r="F61" s="90" t="str">
        <f t="shared" si="13"/>
        <v>2050_TM151_PPA_RT_07_1_Crossings7_01</v>
      </c>
      <c r="G61" s="73">
        <v>1007</v>
      </c>
      <c r="H61" s="90" t="str">
        <f t="shared" si="14"/>
        <v>1007_01_RT</v>
      </c>
      <c r="I61" s="90" t="str">
        <f>VLOOKUP(G61,'PPA IDs'!$A$2:$B$150,2,0)</f>
        <v>Crossings 7 - Regional Rail + BART New Markets</v>
      </c>
      <c r="J61" s="90" t="str">
        <f>VLOOKUP($G61,'PPA IDs'!$A$2:$K$95,9,0)</f>
        <v>various</v>
      </c>
      <c r="K61" s="90" t="str">
        <f>VLOOKUP($G61,'PPA IDs'!$A$2:$K$95,10,0)</f>
        <v>transit</v>
      </c>
      <c r="L61" s="90" t="str">
        <f>VLOOKUP($G61,'PPA IDs'!$A$2:$K$95,11,0)</f>
        <v>hvy</v>
      </c>
      <c r="M61" s="90" t="str">
        <f t="shared" si="15"/>
        <v>RTFF</v>
      </c>
      <c r="N61" s="90" t="str">
        <f t="shared" si="16"/>
        <v>2050_TM151_PPA_RT_07</v>
      </c>
      <c r="O61" s="90" t="str">
        <f>VLOOKUP($G61,'PPA IDs'!$A$2:$M$95,12,0)</f>
        <v>scenario-baseline</v>
      </c>
      <c r="P61" s="90" t="str">
        <f t="shared" si="17"/>
        <v>1_Crossings7\2050_TM151_PPA_RT_07_1_Crossings7_01</v>
      </c>
    </row>
    <row r="62" spans="1:16" x14ac:dyDescent="0.25">
      <c r="A62" s="85" t="s">
        <v>597</v>
      </c>
      <c r="B62" s="88" t="s">
        <v>652</v>
      </c>
      <c r="C62" s="85" t="s">
        <v>305</v>
      </c>
      <c r="D62" s="85" t="s">
        <v>249</v>
      </c>
      <c r="E62" s="88" t="s">
        <v>618</v>
      </c>
      <c r="F62" s="23" t="str">
        <f t="shared" si="13"/>
        <v>2050_TM151_PPA_CG_07_1_Crossings1_01</v>
      </c>
      <c r="G62" s="72">
        <v>1001</v>
      </c>
      <c r="H62" s="23" t="str">
        <f t="shared" si="14"/>
        <v>1001_01_CG</v>
      </c>
      <c r="I62" s="23" t="str">
        <f>VLOOKUP(G62,'PPA IDs'!$A$2:$B$150,2,0)</f>
        <v>Crossings 1 - BART New Markets + Highway Crossing</v>
      </c>
      <c r="J62" s="23" t="str">
        <f>VLOOKUP($G62,'PPA IDs'!$A$2:$K$95,9,0)</f>
        <v>various</v>
      </c>
      <c r="K62" s="23" t="str">
        <f>VLOOKUP($G62,'PPA IDs'!$A$2:$K$95,10,0)</f>
        <v>transit</v>
      </c>
      <c r="L62" s="23" t="str">
        <f>VLOOKUP($G62,'PPA IDs'!$A$2:$K$95,11,0)</f>
        <v>hvy</v>
      </c>
      <c r="M62" s="23" t="str">
        <f t="shared" si="15"/>
        <v>CAG</v>
      </c>
      <c r="N62" s="23" t="str">
        <f t="shared" si="16"/>
        <v>2050_TM151_PPA_CG_07</v>
      </c>
      <c r="O62" s="23" t="str">
        <f>VLOOKUP($G62,'PPA IDs'!$A$2:$M$95,12,0)</f>
        <v>scenario-baseline</v>
      </c>
      <c r="P62" s="23" t="str">
        <f t="shared" si="17"/>
        <v>1_Crossings1\2050_TM151_PPA_CG_07_1_Crossings1_01</v>
      </c>
    </row>
    <row r="63" spans="1:16" x14ac:dyDescent="0.25">
      <c r="A63" s="85" t="s">
        <v>597</v>
      </c>
      <c r="B63" s="88" t="s">
        <v>652</v>
      </c>
      <c r="C63" s="85" t="s">
        <v>306</v>
      </c>
      <c r="D63" s="85" t="s">
        <v>249</v>
      </c>
      <c r="E63" s="85" t="s">
        <v>596</v>
      </c>
      <c r="F63" s="23" t="str">
        <f t="shared" si="13"/>
        <v>2050_TM151_PPA_CG_07_1_Crossings2_00</v>
      </c>
      <c r="G63" s="72">
        <v>1002</v>
      </c>
      <c r="H63" s="23" t="str">
        <f t="shared" si="14"/>
        <v>1002_00_CG</v>
      </c>
      <c r="I63" s="23" t="str">
        <f>VLOOKUP(G63,'PPA IDs'!$A$2:$B$150,2,0)</f>
        <v>Crossings 2 - BART Mission St</v>
      </c>
      <c r="J63" s="23" t="str">
        <f>VLOOKUP($G63,'PPA IDs'!$A$2:$K$95,9,0)</f>
        <v>various</v>
      </c>
      <c r="K63" s="23" t="str">
        <f>VLOOKUP($G63,'PPA IDs'!$A$2:$K$95,10,0)</f>
        <v>transit</v>
      </c>
      <c r="L63" s="23" t="str">
        <f>VLOOKUP($G63,'PPA IDs'!$A$2:$K$95,11,0)</f>
        <v>hvy</v>
      </c>
      <c r="M63" s="23" t="str">
        <f t="shared" si="15"/>
        <v>CAG</v>
      </c>
      <c r="N63" s="23" t="str">
        <f t="shared" si="16"/>
        <v>2050_TM151_PPA_CG_07</v>
      </c>
      <c r="O63" s="23" t="str">
        <f>VLOOKUP($G63,'PPA IDs'!$A$2:$M$95,12,0)</f>
        <v>scenario-baseline</v>
      </c>
      <c r="P63" s="23" t="str">
        <f t="shared" si="17"/>
        <v>1_Crossings2\2050_TM151_PPA_CG_07_1_Crossings2_00</v>
      </c>
    </row>
    <row r="64" spans="1:16" x14ac:dyDescent="0.25">
      <c r="A64" s="85" t="s">
        <v>597</v>
      </c>
      <c r="B64" s="88" t="s">
        <v>652</v>
      </c>
      <c r="C64" s="85" t="s">
        <v>307</v>
      </c>
      <c r="D64" s="85" t="s">
        <v>249</v>
      </c>
      <c r="E64" s="85" t="s">
        <v>596</v>
      </c>
      <c r="F64" s="23" t="str">
        <f t="shared" si="13"/>
        <v>2050_TM151_PPA_CG_07_1_Crossings3_00</v>
      </c>
      <c r="G64" s="72">
        <v>1003</v>
      </c>
      <c r="H64" s="23" t="str">
        <f t="shared" si="14"/>
        <v>1003_00_CG</v>
      </c>
      <c r="I64" s="23" t="str">
        <f>VLOOKUP(G64,'PPA IDs'!$A$2:$B$150,2,0)</f>
        <v>Crossings 3 - BART New Markets</v>
      </c>
      <c r="J64" s="23" t="str">
        <f>VLOOKUP($G64,'PPA IDs'!$A$2:$K$95,9,0)</f>
        <v>various</v>
      </c>
      <c r="K64" s="23" t="str">
        <f>VLOOKUP($G64,'PPA IDs'!$A$2:$K$95,10,0)</f>
        <v>transit</v>
      </c>
      <c r="L64" s="23" t="str">
        <f>VLOOKUP($G64,'PPA IDs'!$A$2:$K$95,11,0)</f>
        <v>hvy</v>
      </c>
      <c r="M64" s="23" t="str">
        <f t="shared" si="15"/>
        <v>CAG</v>
      </c>
      <c r="N64" s="23" t="str">
        <f t="shared" si="16"/>
        <v>2050_TM151_PPA_CG_07</v>
      </c>
      <c r="O64" s="23" t="str">
        <f>VLOOKUP($G64,'PPA IDs'!$A$2:$M$95,12,0)</f>
        <v>scenario-baseline</v>
      </c>
      <c r="P64" s="23" t="str">
        <f t="shared" si="17"/>
        <v>1_Crossings3\2050_TM151_PPA_CG_07_1_Crossings3_00</v>
      </c>
    </row>
    <row r="65" spans="1:16" x14ac:dyDescent="0.25">
      <c r="A65" s="85" t="s">
        <v>597</v>
      </c>
      <c r="B65" s="88" t="s">
        <v>652</v>
      </c>
      <c r="C65" s="85" t="s">
        <v>308</v>
      </c>
      <c r="D65" s="85" t="s">
        <v>249</v>
      </c>
      <c r="E65" s="85" t="s">
        <v>596</v>
      </c>
      <c r="F65" s="23" t="str">
        <f t="shared" si="13"/>
        <v>2050_TM151_PPA_CG_07_1_Crossings4_00</v>
      </c>
      <c r="G65" s="72">
        <v>1004</v>
      </c>
      <c r="H65" s="23" t="str">
        <f t="shared" si="14"/>
        <v>1004_00_CG</v>
      </c>
      <c r="I65" s="23" t="str">
        <f>VLOOKUP(G65,'PPA IDs'!$A$2:$B$150,2,0)</f>
        <v>Crossings 4 - Regional Rail</v>
      </c>
      <c r="J65" s="23" t="str">
        <f>VLOOKUP($G65,'PPA IDs'!$A$2:$K$95,9,0)</f>
        <v>various</v>
      </c>
      <c r="K65" s="23" t="str">
        <f>VLOOKUP($G65,'PPA IDs'!$A$2:$K$95,10,0)</f>
        <v>transit</v>
      </c>
      <c r="L65" s="23" t="str">
        <f>VLOOKUP($G65,'PPA IDs'!$A$2:$K$95,11,0)</f>
        <v>com</v>
      </c>
      <c r="M65" s="23" t="str">
        <f t="shared" si="15"/>
        <v>CAG</v>
      </c>
      <c r="N65" s="23" t="str">
        <f t="shared" si="16"/>
        <v>2050_TM151_PPA_CG_07</v>
      </c>
      <c r="O65" s="23" t="str">
        <f>VLOOKUP($G65,'PPA IDs'!$A$2:$M$95,12,0)</f>
        <v>scenario-baseline</v>
      </c>
      <c r="P65" s="23" t="str">
        <f t="shared" si="17"/>
        <v>1_Crossings4\2050_TM151_PPA_CG_07_1_Crossings4_00</v>
      </c>
    </row>
    <row r="66" spans="1:16" x14ac:dyDescent="0.25">
      <c r="A66" s="85" t="s">
        <v>597</v>
      </c>
      <c r="B66" s="88" t="s">
        <v>652</v>
      </c>
      <c r="C66" s="85" t="s">
        <v>308</v>
      </c>
      <c r="D66" s="85" t="s">
        <v>249</v>
      </c>
      <c r="E66" s="88" t="s">
        <v>620</v>
      </c>
      <c r="F66" s="23" t="str">
        <f t="shared" si="13"/>
        <v>2050_TM151_PPA_CG_07_1_Crossings4_06</v>
      </c>
      <c r="G66" s="72">
        <v>1004</v>
      </c>
      <c r="H66" s="23" t="str">
        <f t="shared" si="14"/>
        <v>1004_06_CG</v>
      </c>
      <c r="I66" s="80" t="s">
        <v>493</v>
      </c>
      <c r="J66" s="23" t="str">
        <f>VLOOKUP($G66,'PPA IDs'!$A$2:$K$95,9,0)</f>
        <v>various</v>
      </c>
      <c r="K66" s="23" t="str">
        <f>VLOOKUP($G66,'PPA IDs'!$A$2:$K$95,10,0)</f>
        <v>transit</v>
      </c>
      <c r="L66" s="23" t="str">
        <f>VLOOKUP($G66,'PPA IDs'!$A$2:$K$95,11,0)</f>
        <v>com</v>
      </c>
      <c r="M66" s="23" t="str">
        <f t="shared" si="15"/>
        <v>CAG</v>
      </c>
      <c r="N66" s="23" t="str">
        <f t="shared" si="16"/>
        <v>2050_TM151_PPA_CG_07</v>
      </c>
      <c r="O66" s="23" t="str">
        <f>VLOOKUP($G66,'PPA IDs'!$A$2:$M$95,12,0)</f>
        <v>scenario-baseline</v>
      </c>
      <c r="P66" s="23" t="str">
        <f t="shared" si="17"/>
        <v>1_Crossings4\2050_TM151_PPA_CG_07_1_Crossings4_06</v>
      </c>
    </row>
    <row r="67" spans="1:16" x14ac:dyDescent="0.25">
      <c r="A67" s="85" t="s">
        <v>597</v>
      </c>
      <c r="B67" s="88" t="s">
        <v>652</v>
      </c>
      <c r="C67" s="85" t="s">
        <v>304</v>
      </c>
      <c r="D67" s="85" t="s">
        <v>249</v>
      </c>
      <c r="E67" s="85" t="s">
        <v>596</v>
      </c>
      <c r="F67" s="23" t="str">
        <f t="shared" si="13"/>
        <v>2050_TM151_PPA_CG_07_1_Crossings5_00</v>
      </c>
      <c r="G67" s="72">
        <v>1005</v>
      </c>
      <c r="H67" s="23" t="str">
        <f t="shared" si="14"/>
        <v>1005_00_CG</v>
      </c>
      <c r="I67" s="23" t="str">
        <f>VLOOKUP(G67,'PPA IDs'!$A$2:$B$150,2,0)</f>
        <v>Crossings 5 - Mid-Bay Crossing</v>
      </c>
      <c r="J67" s="23" t="str">
        <f>VLOOKUP($G67,'PPA IDs'!$A$2:$K$95,9,0)</f>
        <v>various</v>
      </c>
      <c r="K67" s="23" t="str">
        <f>VLOOKUP($G67,'PPA IDs'!$A$2:$K$95,10,0)</f>
        <v>road</v>
      </c>
      <c r="L67" s="23" t="str">
        <f>VLOOKUP($G67,'PPA IDs'!$A$2:$K$95,11,0)</f>
        <v>road</v>
      </c>
      <c r="M67" s="23" t="str">
        <f t="shared" si="15"/>
        <v>CAG</v>
      </c>
      <c r="N67" s="23" t="str">
        <f t="shared" si="16"/>
        <v>2050_TM151_PPA_CG_07</v>
      </c>
      <c r="O67" s="23" t="str">
        <f>VLOOKUP($G67,'PPA IDs'!$A$2:$M$95,12,0)</f>
        <v>scenario-baseline</v>
      </c>
      <c r="P67" s="23" t="str">
        <f t="shared" si="17"/>
        <v>1_Crossings5\2050_TM151_PPA_CG_07_1_Crossings5_00</v>
      </c>
    </row>
    <row r="68" spans="1:16" x14ac:dyDescent="0.25">
      <c r="A68" s="85" t="s">
        <v>597</v>
      </c>
      <c r="B68" s="88" t="s">
        <v>652</v>
      </c>
      <c r="C68" s="85" t="s">
        <v>309</v>
      </c>
      <c r="D68" s="85" t="s">
        <v>249</v>
      </c>
      <c r="E68" s="85" t="s">
        <v>596</v>
      </c>
      <c r="F68" s="23" t="str">
        <f t="shared" si="13"/>
        <v>2050_TM151_PPA_CG_07_1_Crossings6_00</v>
      </c>
      <c r="G68" s="72">
        <v>1006</v>
      </c>
      <c r="H68" s="23" t="str">
        <f t="shared" si="14"/>
        <v>1006_00_CG</v>
      </c>
      <c r="I68" s="23" t="str">
        <f>VLOOKUP(G68,'PPA IDs'!$A$2:$B$150,2,0)</f>
        <v>Crossings 6 - San Mateo Bridge Widening</v>
      </c>
      <c r="J68" s="23" t="str">
        <f>VLOOKUP($G68,'PPA IDs'!$A$2:$K$95,9,0)</f>
        <v>various</v>
      </c>
      <c r="K68" s="23" t="str">
        <f>VLOOKUP($G68,'PPA IDs'!$A$2:$K$95,10,0)</f>
        <v>road</v>
      </c>
      <c r="L68" s="23" t="str">
        <f>VLOOKUP($G68,'PPA IDs'!$A$2:$K$95,11,0)</f>
        <v>road</v>
      </c>
      <c r="M68" s="23" t="str">
        <f t="shared" si="15"/>
        <v>CAG</v>
      </c>
      <c r="N68" s="23" t="str">
        <f t="shared" si="16"/>
        <v>2050_TM151_PPA_CG_07</v>
      </c>
      <c r="O68" s="23" t="str">
        <f>VLOOKUP($G68,'PPA IDs'!$A$2:$M$95,12,0)</f>
        <v>scenario-baseline</v>
      </c>
      <c r="P68" s="23" t="str">
        <f t="shared" si="17"/>
        <v>1_Crossings6\2050_TM151_PPA_CG_07_1_Crossings6_00</v>
      </c>
    </row>
    <row r="69" spans="1:16" x14ac:dyDescent="0.25">
      <c r="A69" s="86" t="s">
        <v>597</v>
      </c>
      <c r="B69" s="89" t="s">
        <v>652</v>
      </c>
      <c r="C69" s="86" t="s">
        <v>310</v>
      </c>
      <c r="D69" s="86" t="s">
        <v>249</v>
      </c>
      <c r="E69" s="86" t="s">
        <v>596</v>
      </c>
      <c r="F69" s="90" t="str">
        <f t="shared" si="13"/>
        <v>2050_TM151_PPA_CG_07_1_Crossings7_00</v>
      </c>
      <c r="G69" s="73">
        <v>1007</v>
      </c>
      <c r="H69" s="90" t="str">
        <f t="shared" si="14"/>
        <v>1007_00_CG</v>
      </c>
      <c r="I69" s="90" t="str">
        <f>VLOOKUP(G69,'PPA IDs'!$A$2:$B$150,2,0)</f>
        <v>Crossings 7 - Regional Rail + BART New Markets</v>
      </c>
      <c r="J69" s="90" t="str">
        <f>VLOOKUP($G69,'PPA IDs'!$A$2:$K$95,9,0)</f>
        <v>various</v>
      </c>
      <c r="K69" s="90" t="str">
        <f>VLOOKUP($G69,'PPA IDs'!$A$2:$K$95,10,0)</f>
        <v>transit</v>
      </c>
      <c r="L69" s="90" t="str">
        <f>VLOOKUP($G69,'PPA IDs'!$A$2:$K$95,11,0)</f>
        <v>hvy</v>
      </c>
      <c r="M69" s="90" t="str">
        <f t="shared" si="15"/>
        <v>CAG</v>
      </c>
      <c r="N69" s="90" t="str">
        <f t="shared" si="16"/>
        <v>2050_TM151_PPA_CG_07</v>
      </c>
      <c r="O69" s="90" t="str">
        <f>VLOOKUP($G69,'PPA IDs'!$A$2:$M$95,12,0)</f>
        <v>scenario-baseline</v>
      </c>
      <c r="P69" s="90" t="str">
        <f t="shared" si="17"/>
        <v>1_Crossings7\2050_TM151_PPA_CG_07_1_Crossings7_00</v>
      </c>
    </row>
    <row r="70" spans="1:16" x14ac:dyDescent="0.25">
      <c r="A70" s="85" t="s">
        <v>597</v>
      </c>
      <c r="B70" s="88" t="s">
        <v>652</v>
      </c>
      <c r="C70" s="85" t="s">
        <v>305</v>
      </c>
      <c r="D70" s="85" t="s">
        <v>251</v>
      </c>
      <c r="E70" s="88" t="s">
        <v>618</v>
      </c>
      <c r="F70" s="23" t="str">
        <f t="shared" ref="F70:F80" si="18">A70&amp;"_"&amp;D70&amp;"_"&amp;B70&amp;"_"&amp;C70&amp;"_"&amp;E70</f>
        <v>2050_TM151_PPA_BF_07_1_Crossings1_01</v>
      </c>
      <c r="G70" s="72">
        <v>1001</v>
      </c>
      <c r="H70" s="23" t="str">
        <f t="shared" ref="H70:H80" si="19">G70&amp;"_"&amp;E70&amp;"_"&amp;D70</f>
        <v>1001_01_BF</v>
      </c>
      <c r="I70" s="23" t="str">
        <f>VLOOKUP(G70,'PPA IDs'!$A$2:$B$150,2,0)</f>
        <v>Crossings 1 - BART New Markets + Highway Crossing</v>
      </c>
      <c r="J70" s="23" t="str">
        <f>VLOOKUP($G70,'PPA IDs'!$A$2:$K$95,9,0)</f>
        <v>various</v>
      </c>
      <c r="K70" s="23" t="str">
        <f>VLOOKUP($G70,'PPA IDs'!$A$2:$K$95,10,0)</f>
        <v>transit</v>
      </c>
      <c r="L70" s="23" t="str">
        <f>VLOOKUP($G70,'PPA IDs'!$A$2:$K$95,11,0)</f>
        <v>hvy</v>
      </c>
      <c r="M70" s="23" t="str">
        <f t="shared" ref="M70:M80" si="20">IF(D70="RT","RTFF",IF(D70="CG","CAG","BTTF"))</f>
        <v>BTTF</v>
      </c>
      <c r="N70" s="23" t="str">
        <f t="shared" ref="N70:N80" si="21">A70&amp;"_"&amp;D70&amp;"_"&amp;B70</f>
        <v>2050_TM151_PPA_BF_07</v>
      </c>
      <c r="O70" s="23" t="str">
        <f>VLOOKUP($G70,'PPA IDs'!$A$2:$M$95,12,0)</f>
        <v>scenario-baseline</v>
      </c>
      <c r="P70" s="23" t="str">
        <f t="shared" ref="P70:P80" si="22">C70&amp;"\"&amp;F70</f>
        <v>1_Crossings1\2050_TM151_PPA_BF_07_1_Crossings1_01</v>
      </c>
    </row>
    <row r="71" spans="1:16" x14ac:dyDescent="0.25">
      <c r="A71" s="85" t="s">
        <v>597</v>
      </c>
      <c r="B71" s="88" t="s">
        <v>652</v>
      </c>
      <c r="C71" s="85" t="s">
        <v>306</v>
      </c>
      <c r="D71" s="85" t="s">
        <v>251</v>
      </c>
      <c r="E71" s="85" t="s">
        <v>596</v>
      </c>
      <c r="F71" s="23" t="str">
        <f t="shared" si="18"/>
        <v>2050_TM151_PPA_BF_07_1_Crossings2_00</v>
      </c>
      <c r="G71" s="72">
        <v>1002</v>
      </c>
      <c r="H71" s="23" t="str">
        <f t="shared" si="19"/>
        <v>1002_00_BF</v>
      </c>
      <c r="I71" s="23" t="str">
        <f>VLOOKUP(G71,'PPA IDs'!$A$2:$B$150,2,0)</f>
        <v>Crossings 2 - BART Mission St</v>
      </c>
      <c r="J71" s="23" t="str">
        <f>VLOOKUP($G71,'PPA IDs'!$A$2:$K$95,9,0)</f>
        <v>various</v>
      </c>
      <c r="K71" s="23" t="str">
        <f>VLOOKUP($G71,'PPA IDs'!$A$2:$K$95,10,0)</f>
        <v>transit</v>
      </c>
      <c r="L71" s="23" t="str">
        <f>VLOOKUP($G71,'PPA IDs'!$A$2:$K$95,11,0)</f>
        <v>hvy</v>
      </c>
      <c r="M71" s="23" t="str">
        <f t="shared" si="20"/>
        <v>BTTF</v>
      </c>
      <c r="N71" s="23" t="str">
        <f t="shared" si="21"/>
        <v>2050_TM151_PPA_BF_07</v>
      </c>
      <c r="O71" s="23" t="str">
        <f>VLOOKUP($G71,'PPA IDs'!$A$2:$M$95,12,0)</f>
        <v>scenario-baseline</v>
      </c>
      <c r="P71" s="23" t="str">
        <f t="shared" si="22"/>
        <v>1_Crossings2\2050_TM151_PPA_BF_07_1_Crossings2_00</v>
      </c>
    </row>
    <row r="72" spans="1:16" x14ac:dyDescent="0.25">
      <c r="A72" s="85" t="s">
        <v>597</v>
      </c>
      <c r="B72" s="88" t="s">
        <v>652</v>
      </c>
      <c r="C72" s="85" t="s">
        <v>307</v>
      </c>
      <c r="D72" s="85" t="s">
        <v>251</v>
      </c>
      <c r="E72" s="85" t="s">
        <v>596</v>
      </c>
      <c r="F72" s="23" t="str">
        <f t="shared" si="18"/>
        <v>2050_TM151_PPA_BF_07_1_Crossings3_00</v>
      </c>
      <c r="G72" s="72">
        <v>1003</v>
      </c>
      <c r="H72" s="23" t="str">
        <f t="shared" si="19"/>
        <v>1003_00_BF</v>
      </c>
      <c r="I72" s="23" t="str">
        <f>VLOOKUP(G72,'PPA IDs'!$A$2:$B$150,2,0)</f>
        <v>Crossings 3 - BART New Markets</v>
      </c>
      <c r="J72" s="23" t="str">
        <f>VLOOKUP($G72,'PPA IDs'!$A$2:$K$95,9,0)</f>
        <v>various</v>
      </c>
      <c r="K72" s="23" t="str">
        <f>VLOOKUP($G72,'PPA IDs'!$A$2:$K$95,10,0)</f>
        <v>transit</v>
      </c>
      <c r="L72" s="23" t="str">
        <f>VLOOKUP($G72,'PPA IDs'!$A$2:$K$95,11,0)</f>
        <v>hvy</v>
      </c>
      <c r="M72" s="23" t="str">
        <f t="shared" si="20"/>
        <v>BTTF</v>
      </c>
      <c r="N72" s="23" t="str">
        <f t="shared" si="21"/>
        <v>2050_TM151_PPA_BF_07</v>
      </c>
      <c r="O72" s="23" t="str">
        <f>VLOOKUP($G72,'PPA IDs'!$A$2:$M$95,12,0)</f>
        <v>scenario-baseline</v>
      </c>
      <c r="P72" s="23" t="str">
        <f t="shared" si="22"/>
        <v>1_Crossings3\2050_TM151_PPA_BF_07_1_Crossings3_00</v>
      </c>
    </row>
    <row r="73" spans="1:16" x14ac:dyDescent="0.25">
      <c r="A73" s="85" t="s">
        <v>597</v>
      </c>
      <c r="B73" s="88" t="s">
        <v>652</v>
      </c>
      <c r="C73" s="85" t="s">
        <v>308</v>
      </c>
      <c r="D73" s="85" t="s">
        <v>251</v>
      </c>
      <c r="E73" s="85" t="s">
        <v>596</v>
      </c>
      <c r="F73" s="23" t="str">
        <f t="shared" si="18"/>
        <v>2050_TM151_PPA_BF_07_1_Crossings4_00</v>
      </c>
      <c r="G73" s="72">
        <v>1004</v>
      </c>
      <c r="H73" s="23" t="str">
        <f t="shared" si="19"/>
        <v>1004_00_BF</v>
      </c>
      <c r="I73" s="23" t="str">
        <f>VLOOKUP(G73,'PPA IDs'!$A$2:$B$150,2,0)</f>
        <v>Crossings 4 - Regional Rail</v>
      </c>
      <c r="J73" s="23" t="str">
        <f>VLOOKUP($G73,'PPA IDs'!$A$2:$K$95,9,0)</f>
        <v>various</v>
      </c>
      <c r="K73" s="23" t="str">
        <f>VLOOKUP($G73,'PPA IDs'!$A$2:$K$95,10,0)</f>
        <v>transit</v>
      </c>
      <c r="L73" s="23" t="str">
        <f>VLOOKUP($G73,'PPA IDs'!$A$2:$K$95,11,0)</f>
        <v>com</v>
      </c>
      <c r="M73" s="23" t="str">
        <f t="shared" si="20"/>
        <v>BTTF</v>
      </c>
      <c r="N73" s="23" t="str">
        <f t="shared" si="21"/>
        <v>2050_TM151_PPA_BF_07</v>
      </c>
      <c r="O73" s="23" t="str">
        <f>VLOOKUP($G73,'PPA IDs'!$A$2:$M$95,12,0)</f>
        <v>scenario-baseline</v>
      </c>
      <c r="P73" s="23" t="str">
        <f t="shared" si="22"/>
        <v>1_Crossings4\2050_TM151_PPA_BF_07_1_Crossings4_00</v>
      </c>
    </row>
    <row r="74" spans="1:16" x14ac:dyDescent="0.25">
      <c r="A74" s="85" t="s">
        <v>597</v>
      </c>
      <c r="B74" s="88" t="s">
        <v>652</v>
      </c>
      <c r="C74" s="85" t="s">
        <v>308</v>
      </c>
      <c r="D74" s="85" t="s">
        <v>251</v>
      </c>
      <c r="E74" s="88" t="s">
        <v>620</v>
      </c>
      <c r="F74" s="23" t="str">
        <f t="shared" si="18"/>
        <v>2050_TM151_PPA_BF_07_1_Crossings4_06</v>
      </c>
      <c r="G74" s="72">
        <v>1004</v>
      </c>
      <c r="H74" s="23" t="str">
        <f t="shared" si="19"/>
        <v>1004_06_BF</v>
      </c>
      <c r="I74" s="80" t="s">
        <v>493</v>
      </c>
      <c r="J74" s="23" t="str">
        <f>VLOOKUP($G74,'PPA IDs'!$A$2:$K$95,9,0)</f>
        <v>various</v>
      </c>
      <c r="K74" s="23" t="str">
        <f>VLOOKUP($G74,'PPA IDs'!$A$2:$K$95,10,0)</f>
        <v>transit</v>
      </c>
      <c r="L74" s="23" t="str">
        <f>VLOOKUP($G74,'PPA IDs'!$A$2:$K$95,11,0)</f>
        <v>com</v>
      </c>
      <c r="M74" s="23" t="str">
        <f t="shared" si="20"/>
        <v>BTTF</v>
      </c>
      <c r="N74" s="23" t="str">
        <f t="shared" si="21"/>
        <v>2050_TM151_PPA_BF_07</v>
      </c>
      <c r="O74" s="23" t="str">
        <f>VLOOKUP($G74,'PPA IDs'!$A$2:$M$95,12,0)</f>
        <v>scenario-baseline</v>
      </c>
      <c r="P74" s="23" t="str">
        <f t="shared" si="22"/>
        <v>1_Crossings4\2050_TM151_PPA_BF_07_1_Crossings4_06</v>
      </c>
    </row>
    <row r="75" spans="1:16" x14ac:dyDescent="0.25">
      <c r="A75" s="85" t="s">
        <v>597</v>
      </c>
      <c r="B75" s="88" t="s">
        <v>652</v>
      </c>
      <c r="C75" s="85" t="s">
        <v>304</v>
      </c>
      <c r="D75" s="85" t="s">
        <v>251</v>
      </c>
      <c r="E75" s="85" t="s">
        <v>596</v>
      </c>
      <c r="F75" s="23" t="str">
        <f t="shared" si="18"/>
        <v>2050_TM151_PPA_BF_07_1_Crossings5_00</v>
      </c>
      <c r="G75" s="72">
        <v>1005</v>
      </c>
      <c r="H75" s="23" t="str">
        <f t="shared" si="19"/>
        <v>1005_00_BF</v>
      </c>
      <c r="I75" s="23" t="str">
        <f>VLOOKUP(G75,'PPA IDs'!$A$2:$B$150,2,0)</f>
        <v>Crossings 5 - Mid-Bay Crossing</v>
      </c>
      <c r="J75" s="23" t="str">
        <f>VLOOKUP($G75,'PPA IDs'!$A$2:$K$95,9,0)</f>
        <v>various</v>
      </c>
      <c r="K75" s="23" t="str">
        <f>VLOOKUP($G75,'PPA IDs'!$A$2:$K$95,10,0)</f>
        <v>road</v>
      </c>
      <c r="L75" s="23" t="str">
        <f>VLOOKUP($G75,'PPA IDs'!$A$2:$K$95,11,0)</f>
        <v>road</v>
      </c>
      <c r="M75" s="23" t="str">
        <f t="shared" si="20"/>
        <v>BTTF</v>
      </c>
      <c r="N75" s="23" t="str">
        <f t="shared" si="21"/>
        <v>2050_TM151_PPA_BF_07</v>
      </c>
      <c r="O75" s="23" t="str">
        <f>VLOOKUP($G75,'PPA IDs'!$A$2:$M$95,12,0)</f>
        <v>scenario-baseline</v>
      </c>
      <c r="P75" s="23" t="str">
        <f t="shared" si="22"/>
        <v>1_Crossings5\2050_TM151_PPA_BF_07_1_Crossings5_00</v>
      </c>
    </row>
    <row r="76" spans="1:16" x14ac:dyDescent="0.25">
      <c r="A76" s="85" t="s">
        <v>597</v>
      </c>
      <c r="B76" s="88" t="s">
        <v>652</v>
      </c>
      <c r="C76" s="85" t="s">
        <v>309</v>
      </c>
      <c r="D76" s="85" t="s">
        <v>251</v>
      </c>
      <c r="E76" s="85" t="s">
        <v>596</v>
      </c>
      <c r="F76" s="23" t="str">
        <f t="shared" si="18"/>
        <v>2050_TM151_PPA_BF_07_1_Crossings6_00</v>
      </c>
      <c r="G76" s="72">
        <v>1006</v>
      </c>
      <c r="H76" s="23" t="str">
        <f t="shared" si="19"/>
        <v>1006_00_BF</v>
      </c>
      <c r="I76" s="23" t="str">
        <f>VLOOKUP(G76,'PPA IDs'!$A$2:$B$150,2,0)</f>
        <v>Crossings 6 - San Mateo Bridge Widening</v>
      </c>
      <c r="J76" s="23" t="str">
        <f>VLOOKUP($G76,'PPA IDs'!$A$2:$K$95,9,0)</f>
        <v>various</v>
      </c>
      <c r="K76" s="23" t="str">
        <f>VLOOKUP($G76,'PPA IDs'!$A$2:$K$95,10,0)</f>
        <v>road</v>
      </c>
      <c r="L76" s="23" t="str">
        <f>VLOOKUP($G76,'PPA IDs'!$A$2:$K$95,11,0)</f>
        <v>road</v>
      </c>
      <c r="M76" s="23" t="str">
        <f t="shared" si="20"/>
        <v>BTTF</v>
      </c>
      <c r="N76" s="23" t="str">
        <f t="shared" si="21"/>
        <v>2050_TM151_PPA_BF_07</v>
      </c>
      <c r="O76" s="23" t="str">
        <f>VLOOKUP($G76,'PPA IDs'!$A$2:$M$95,12,0)</f>
        <v>scenario-baseline</v>
      </c>
      <c r="P76" s="23" t="str">
        <f t="shared" si="22"/>
        <v>1_Crossings6\2050_TM151_PPA_BF_07_1_Crossings6_00</v>
      </c>
    </row>
    <row r="77" spans="1:16" x14ac:dyDescent="0.25">
      <c r="A77" s="86" t="s">
        <v>597</v>
      </c>
      <c r="B77" s="89" t="s">
        <v>652</v>
      </c>
      <c r="C77" s="86" t="s">
        <v>310</v>
      </c>
      <c r="D77" s="86" t="s">
        <v>251</v>
      </c>
      <c r="E77" s="86" t="s">
        <v>596</v>
      </c>
      <c r="F77" s="90" t="str">
        <f t="shared" si="18"/>
        <v>2050_TM151_PPA_BF_07_1_Crossings7_00</v>
      </c>
      <c r="G77" s="73">
        <v>1007</v>
      </c>
      <c r="H77" s="90" t="str">
        <f t="shared" si="19"/>
        <v>1007_00_BF</v>
      </c>
      <c r="I77" s="90" t="str">
        <f>VLOOKUP(G77,'PPA IDs'!$A$2:$B$150,2,0)</f>
        <v>Crossings 7 - Regional Rail + BART New Markets</v>
      </c>
      <c r="J77" s="90" t="str">
        <f>VLOOKUP($G77,'PPA IDs'!$A$2:$K$95,9,0)</f>
        <v>various</v>
      </c>
      <c r="K77" s="90" t="str">
        <f>VLOOKUP($G77,'PPA IDs'!$A$2:$K$95,10,0)</f>
        <v>transit</v>
      </c>
      <c r="L77" s="90" t="str">
        <f>VLOOKUP($G77,'PPA IDs'!$A$2:$K$95,11,0)</f>
        <v>hvy</v>
      </c>
      <c r="M77" s="90" t="str">
        <f t="shared" si="20"/>
        <v>BTTF</v>
      </c>
      <c r="N77" s="90" t="str">
        <f t="shared" si="21"/>
        <v>2050_TM151_PPA_BF_07</v>
      </c>
      <c r="O77" s="90" t="str">
        <f>VLOOKUP($G77,'PPA IDs'!$A$2:$M$95,12,0)</f>
        <v>scenario-baseline</v>
      </c>
      <c r="P77" s="90" t="str">
        <f t="shared" si="22"/>
        <v>1_Crossings7\2050_TM151_PPA_BF_07_1_Crossings7_00</v>
      </c>
    </row>
    <row r="78" spans="1:16" x14ac:dyDescent="0.25">
      <c r="A78" s="85" t="s">
        <v>597</v>
      </c>
      <c r="B78" s="88" t="s">
        <v>652</v>
      </c>
      <c r="C78" s="85" t="s">
        <v>559</v>
      </c>
      <c r="D78" s="85" t="s">
        <v>250</v>
      </c>
      <c r="E78" s="88" t="s">
        <v>596</v>
      </c>
      <c r="F78" s="23" t="str">
        <f t="shared" si="18"/>
        <v>2050_TM151_PPA_RT_07_1_Crossings8_00</v>
      </c>
      <c r="G78" s="75">
        <v>1008</v>
      </c>
      <c r="H78" s="23" t="str">
        <f t="shared" si="19"/>
        <v>1008_00_RT</v>
      </c>
      <c r="I78" s="23" t="str">
        <f>VLOOKUP(G78,'PPA IDs'!$A$2:$B$150,2,0)</f>
        <v>Crossings 8 - Southern Crossing Bridge</v>
      </c>
      <c r="J78" s="23" t="str">
        <f>VLOOKUP($G78,'PPA IDs'!$A$2:$K$95,9,0)</f>
        <v>various</v>
      </c>
      <c r="K78" s="23" t="str">
        <f>VLOOKUP($G78,'PPA IDs'!$A$2:$K$95,10,0)</f>
        <v>transit</v>
      </c>
      <c r="L78" s="23" t="str">
        <f>VLOOKUP($G78,'PPA IDs'!$A$2:$K$95,11,0)</f>
        <v>hvy</v>
      </c>
      <c r="M78" s="23" t="str">
        <f t="shared" si="20"/>
        <v>RTFF</v>
      </c>
      <c r="N78" s="23" t="str">
        <f t="shared" si="21"/>
        <v>2050_TM151_PPA_RT_07</v>
      </c>
      <c r="O78" s="23" t="str">
        <f>VLOOKUP($G78,'PPA IDs'!$A$2:$M$95,12,0)</f>
        <v>scenario-baseline</v>
      </c>
      <c r="P78" s="23" t="str">
        <f t="shared" si="22"/>
        <v>1_Crossings8\2050_TM151_PPA_RT_07_1_Crossings8_00</v>
      </c>
    </row>
    <row r="79" spans="1:16" x14ac:dyDescent="0.25">
      <c r="A79" s="85" t="s">
        <v>597</v>
      </c>
      <c r="B79" s="88" t="s">
        <v>652</v>
      </c>
      <c r="C79" s="85" t="s">
        <v>559</v>
      </c>
      <c r="D79" s="85" t="s">
        <v>249</v>
      </c>
      <c r="E79" s="88" t="s">
        <v>596</v>
      </c>
      <c r="F79" s="23" t="str">
        <f t="shared" si="18"/>
        <v>2050_TM151_PPA_CG_07_1_Crossings8_00</v>
      </c>
      <c r="G79" s="75">
        <v>1008</v>
      </c>
      <c r="H79" s="23" t="str">
        <f t="shared" si="19"/>
        <v>1008_00_CG</v>
      </c>
      <c r="I79" s="23" t="str">
        <f>VLOOKUP(G79,'PPA IDs'!$A$2:$B$150,2,0)</f>
        <v>Crossings 8 - Southern Crossing Bridge</v>
      </c>
      <c r="J79" s="23" t="str">
        <f>VLOOKUP($G79,'PPA IDs'!$A$2:$K$95,9,0)</f>
        <v>various</v>
      </c>
      <c r="K79" s="23" t="str">
        <f>VLOOKUP($G79,'PPA IDs'!$A$2:$K$95,10,0)</f>
        <v>transit</v>
      </c>
      <c r="L79" s="23" t="str">
        <f>VLOOKUP($G79,'PPA IDs'!$A$2:$K$95,11,0)</f>
        <v>hvy</v>
      </c>
      <c r="M79" s="23" t="str">
        <f t="shared" si="20"/>
        <v>CAG</v>
      </c>
      <c r="N79" s="23" t="str">
        <f t="shared" si="21"/>
        <v>2050_TM151_PPA_CG_07</v>
      </c>
      <c r="O79" s="23" t="str">
        <f>VLOOKUP($G79,'PPA IDs'!$A$2:$M$95,12,0)</f>
        <v>scenario-baseline</v>
      </c>
      <c r="P79" s="23" t="str">
        <f t="shared" si="22"/>
        <v>1_Crossings8\2050_TM151_PPA_CG_07_1_Crossings8_00</v>
      </c>
    </row>
    <row r="80" spans="1:16" x14ac:dyDescent="0.25">
      <c r="A80" s="86" t="s">
        <v>597</v>
      </c>
      <c r="B80" s="89" t="s">
        <v>652</v>
      </c>
      <c r="C80" s="86" t="s">
        <v>559</v>
      </c>
      <c r="D80" s="86" t="s">
        <v>251</v>
      </c>
      <c r="E80" s="86" t="s">
        <v>596</v>
      </c>
      <c r="F80" s="90" t="str">
        <f t="shared" si="18"/>
        <v>2050_TM151_PPA_BF_07_1_Crossings8_00</v>
      </c>
      <c r="G80" s="76">
        <v>1008</v>
      </c>
      <c r="H80" s="90" t="str">
        <f t="shared" si="19"/>
        <v>1008_00_BF</v>
      </c>
      <c r="I80" s="90" t="str">
        <f>VLOOKUP(G80,'PPA IDs'!$A$2:$B$150,2,0)</f>
        <v>Crossings 8 - Southern Crossing Bridge</v>
      </c>
      <c r="J80" s="90" t="str">
        <f>VLOOKUP($G80,'PPA IDs'!$A$2:$K$95,9,0)</f>
        <v>various</v>
      </c>
      <c r="K80" s="90" t="str">
        <f>VLOOKUP($G80,'PPA IDs'!$A$2:$K$95,10,0)</f>
        <v>transit</v>
      </c>
      <c r="L80" s="90" t="str">
        <f>VLOOKUP($G80,'PPA IDs'!$A$2:$K$95,11,0)</f>
        <v>hvy</v>
      </c>
      <c r="M80" s="90" t="str">
        <f t="shared" si="20"/>
        <v>BTTF</v>
      </c>
      <c r="N80" s="90" t="str">
        <f t="shared" si="21"/>
        <v>2050_TM151_PPA_BF_07</v>
      </c>
      <c r="O80" s="90" t="str">
        <f>VLOOKUP($G80,'PPA IDs'!$A$2:$M$95,12,0)</f>
        <v>scenario-baseline</v>
      </c>
      <c r="P80" s="90" t="str">
        <f t="shared" si="22"/>
        <v>1_Crossings8\2050_TM151_PPA_BF_07_1_Crossings8_00</v>
      </c>
    </row>
    <row r="81" spans="1:16" x14ac:dyDescent="0.25">
      <c r="A81" s="85" t="s">
        <v>597</v>
      </c>
      <c r="B81" s="88" t="s">
        <v>616</v>
      </c>
      <c r="C81" s="85" t="s">
        <v>540</v>
      </c>
      <c r="D81" s="85" t="s">
        <v>250</v>
      </c>
      <c r="E81" s="85" t="s">
        <v>596</v>
      </c>
      <c r="F81" s="23" t="str">
        <f t="shared" ref="F81:F118" si="23">A81&amp;"_"&amp;D81&amp;"_"&amp;B81&amp;"_"&amp;C81&amp;"_"&amp;E81</f>
        <v>2050_TM151_PPA_RT_02_21021_El_Camino_Real_BRT_test_00</v>
      </c>
      <c r="G81" s="84">
        <f t="shared" ref="G81:G105" si="24">_xlfn.NUMBERVALUE(LEFT(C81,4))</f>
        <v>2102</v>
      </c>
      <c r="H81" s="23" t="str">
        <f t="shared" si="10"/>
        <v>2102_00_RT</v>
      </c>
      <c r="I81" s="23" t="str">
        <f>VLOOKUP(G81,'PPA IDs'!$A$2:$B$150,2,0)</f>
        <v>El Camino Real BRT</v>
      </c>
      <c r="J81" s="23" t="str">
        <f>VLOOKUP($G81,'PPA IDs'!$A$2:$K$95,9,0)</f>
        <v>various</v>
      </c>
      <c r="K81" s="23" t="str">
        <f>VLOOKUP($G81,'PPA IDs'!$A$2:$K$95,10,0)</f>
        <v>transit</v>
      </c>
      <c r="L81" s="23" t="str">
        <f>VLOOKUP($G81,'PPA IDs'!$A$2:$K$95,11,0)</f>
        <v>loc</v>
      </c>
      <c r="M81" s="23" t="str">
        <f t="shared" si="11"/>
        <v>RTFF</v>
      </c>
      <c r="N81" s="23" t="str">
        <f t="shared" si="12"/>
        <v>2050_TM151_PPA_RT_02</v>
      </c>
      <c r="O81" s="23" t="str">
        <f>VLOOKUP($G81,'PPA IDs'!$A$2:$M$95,12,0)</f>
        <v>scenario-baseline</v>
      </c>
      <c r="P81" s="23" t="str">
        <f t="shared" si="3"/>
        <v>21021_El_Camino_Real_BRT_test\2050_TM151_PPA_RT_02_21021_El_Camino_Real_BRT_test_00</v>
      </c>
    </row>
    <row r="82" spans="1:16" x14ac:dyDescent="0.25">
      <c r="A82" s="85" t="s">
        <v>597</v>
      </c>
      <c r="B82" s="88" t="s">
        <v>616</v>
      </c>
      <c r="C82" s="85" t="s">
        <v>540</v>
      </c>
      <c r="D82" s="85" t="s">
        <v>249</v>
      </c>
      <c r="E82" s="85" t="s">
        <v>596</v>
      </c>
      <c r="F82" s="23" t="str">
        <f t="shared" si="23"/>
        <v>2050_TM151_PPA_CG_02_21021_El_Camino_Real_BRT_test_00</v>
      </c>
      <c r="G82" s="84">
        <f t="shared" si="24"/>
        <v>2102</v>
      </c>
      <c r="H82" s="23" t="str">
        <f t="shared" ref="H82:H118" si="25">G82&amp;"_"&amp;E82&amp;"_"&amp;D82</f>
        <v>2102_00_CG</v>
      </c>
      <c r="I82" s="23" t="str">
        <f>VLOOKUP(G82,'PPA IDs'!$A$2:$B$150,2,0)</f>
        <v>El Camino Real BRT</v>
      </c>
      <c r="J82" s="23" t="str">
        <f>VLOOKUP($G82,'PPA IDs'!$A$2:$K$95,9,0)</f>
        <v>various</v>
      </c>
      <c r="K82" s="23" t="str">
        <f>VLOOKUP($G82,'PPA IDs'!$A$2:$K$95,10,0)</f>
        <v>transit</v>
      </c>
      <c r="L82" s="23" t="str">
        <f>VLOOKUP($G82,'PPA IDs'!$A$2:$K$95,11,0)</f>
        <v>loc</v>
      </c>
      <c r="M82" s="23" t="str">
        <f t="shared" si="11"/>
        <v>CAG</v>
      </c>
      <c r="N82" s="23" t="str">
        <f t="shared" si="12"/>
        <v>2050_TM151_PPA_CG_02</v>
      </c>
      <c r="O82" s="23" t="str">
        <f>VLOOKUP($G82,'PPA IDs'!$A$2:$M$95,12,0)</f>
        <v>scenario-baseline</v>
      </c>
      <c r="P82" s="23" t="str">
        <f t="shared" si="3"/>
        <v>21021_El_Camino_Real_BRT_test\2050_TM151_PPA_CG_02_21021_El_Camino_Real_BRT_test_00</v>
      </c>
    </row>
    <row r="83" spans="1:16" x14ac:dyDescent="0.25">
      <c r="A83" s="85" t="s">
        <v>597</v>
      </c>
      <c r="B83" s="88" t="s">
        <v>616</v>
      </c>
      <c r="C83" s="85" t="s">
        <v>540</v>
      </c>
      <c r="D83" s="85" t="s">
        <v>251</v>
      </c>
      <c r="E83" s="85" t="s">
        <v>596</v>
      </c>
      <c r="F83" s="23" t="str">
        <f t="shared" si="23"/>
        <v>2050_TM151_PPA_BF_02_21021_El_Camino_Real_BRT_test_00</v>
      </c>
      <c r="G83" s="84">
        <f t="shared" si="24"/>
        <v>2102</v>
      </c>
      <c r="H83" s="23" t="str">
        <f t="shared" si="25"/>
        <v>2102_00_BF</v>
      </c>
      <c r="I83" s="23" t="str">
        <f>VLOOKUP(G83,'PPA IDs'!$A$2:$B$150,2,0)</f>
        <v>El Camino Real BRT</v>
      </c>
      <c r="J83" s="23" t="str">
        <f>VLOOKUP($G83,'PPA IDs'!$A$2:$K$95,9,0)</f>
        <v>various</v>
      </c>
      <c r="K83" s="23" t="str">
        <f>VLOOKUP($G83,'PPA IDs'!$A$2:$K$95,10,0)</f>
        <v>transit</v>
      </c>
      <c r="L83" s="23" t="str">
        <f>VLOOKUP($G83,'PPA IDs'!$A$2:$K$95,11,0)</f>
        <v>loc</v>
      </c>
      <c r="M83" s="23" t="str">
        <f t="shared" si="11"/>
        <v>BTTF</v>
      </c>
      <c r="N83" s="23" t="str">
        <f t="shared" si="12"/>
        <v>2050_TM151_PPA_BF_02</v>
      </c>
      <c r="O83" s="23" t="str">
        <f>VLOOKUP($G83,'PPA IDs'!$A$2:$M$95,12,0)</f>
        <v>scenario-baseline</v>
      </c>
      <c r="P83" s="23" t="str">
        <f t="shared" si="3"/>
        <v>21021_El_Camino_Real_BRT_test\2050_TM151_PPA_BF_02_21021_El_Camino_Real_BRT_test_00</v>
      </c>
    </row>
    <row r="84" spans="1:16" x14ac:dyDescent="0.25">
      <c r="A84" s="85" t="s">
        <v>597</v>
      </c>
      <c r="B84" s="88" t="s">
        <v>618</v>
      </c>
      <c r="C84" s="85" t="s">
        <v>541</v>
      </c>
      <c r="D84" s="85" t="s">
        <v>250</v>
      </c>
      <c r="E84" s="85" t="s">
        <v>596</v>
      </c>
      <c r="F84" s="23" t="str">
        <f t="shared" si="23"/>
        <v>2050_TM151_PPA_RT_01_2303_Caltrain_16tph_00</v>
      </c>
      <c r="G84" s="84">
        <f t="shared" si="24"/>
        <v>2303</v>
      </c>
      <c r="H84" s="23" t="str">
        <f t="shared" si="25"/>
        <v>2303_00_RT</v>
      </c>
      <c r="I84" s="23" t="str">
        <f>VLOOKUP(G84,'PPA IDs'!$A$2:$B$150,2,0)</f>
        <v>Caltrain PCBB 16tphpd</v>
      </c>
      <c r="J84" s="23" t="str">
        <f>VLOOKUP($G84,'PPA IDs'!$A$2:$K$95,9,0)</f>
        <v>various</v>
      </c>
      <c r="K84" s="23" t="str">
        <f>VLOOKUP($G84,'PPA IDs'!$A$2:$K$95,10,0)</f>
        <v>transit</v>
      </c>
      <c r="L84" s="23" t="str">
        <f>VLOOKUP($G84,'PPA IDs'!$A$2:$K$95,11,0)</f>
        <v>com</v>
      </c>
      <c r="M84" s="23" t="str">
        <f t="shared" si="11"/>
        <v>RTFF</v>
      </c>
      <c r="N84" s="23" t="str">
        <f t="shared" si="12"/>
        <v>2050_TM151_PPA_RT_01</v>
      </c>
      <c r="O84" s="23" t="str">
        <f>VLOOKUP($G84,'PPA IDs'!$A$2:$M$95,12,0)</f>
        <v>scenario-baseline</v>
      </c>
      <c r="P84" s="23" t="str">
        <f t="shared" si="3"/>
        <v>2303_Caltrain_16tph\2050_TM151_PPA_RT_01_2303_Caltrain_16tph_00</v>
      </c>
    </row>
    <row r="85" spans="1:16" x14ac:dyDescent="0.25">
      <c r="A85" s="85" t="s">
        <v>597</v>
      </c>
      <c r="B85" s="88" t="s">
        <v>618</v>
      </c>
      <c r="C85" s="85" t="s">
        <v>541</v>
      </c>
      <c r="D85" s="85" t="s">
        <v>249</v>
      </c>
      <c r="E85" s="85" t="s">
        <v>596</v>
      </c>
      <c r="F85" s="23" t="str">
        <f t="shared" si="23"/>
        <v>2050_TM151_PPA_CG_01_2303_Caltrain_16tph_00</v>
      </c>
      <c r="G85" s="84">
        <f t="shared" si="24"/>
        <v>2303</v>
      </c>
      <c r="H85" s="23" t="str">
        <f t="shared" si="25"/>
        <v>2303_00_CG</v>
      </c>
      <c r="I85" s="23" t="str">
        <f>VLOOKUP(G85,'PPA IDs'!$A$2:$B$150,2,0)</f>
        <v>Caltrain PCBB 16tphpd</v>
      </c>
      <c r="J85" s="23" t="str">
        <f>VLOOKUP($G85,'PPA IDs'!$A$2:$K$95,9,0)</f>
        <v>various</v>
      </c>
      <c r="K85" s="23" t="str">
        <f>VLOOKUP($G85,'PPA IDs'!$A$2:$K$95,10,0)</f>
        <v>transit</v>
      </c>
      <c r="L85" s="23" t="str">
        <f>VLOOKUP($G85,'PPA IDs'!$A$2:$K$95,11,0)</f>
        <v>com</v>
      </c>
      <c r="M85" s="23" t="str">
        <f t="shared" si="11"/>
        <v>CAG</v>
      </c>
      <c r="N85" s="23" t="str">
        <f t="shared" si="12"/>
        <v>2050_TM151_PPA_CG_01</v>
      </c>
      <c r="O85" s="23" t="str">
        <f>VLOOKUP($G85,'PPA IDs'!$A$2:$M$95,12,0)</f>
        <v>scenario-baseline</v>
      </c>
      <c r="P85" s="23" t="str">
        <f t="shared" si="3"/>
        <v>2303_Caltrain_16tph\2050_TM151_PPA_CG_01_2303_Caltrain_16tph_00</v>
      </c>
    </row>
    <row r="86" spans="1:16" x14ac:dyDescent="0.25">
      <c r="A86" s="85" t="s">
        <v>597</v>
      </c>
      <c r="B86" s="88" t="s">
        <v>618</v>
      </c>
      <c r="C86" s="85" t="s">
        <v>541</v>
      </c>
      <c r="D86" s="85" t="s">
        <v>251</v>
      </c>
      <c r="E86" s="85" t="s">
        <v>596</v>
      </c>
      <c r="F86" s="23" t="str">
        <f t="shared" si="23"/>
        <v>2050_TM151_PPA_BF_01_2303_Caltrain_16tph_00</v>
      </c>
      <c r="G86" s="84">
        <f t="shared" si="24"/>
        <v>2303</v>
      </c>
      <c r="H86" s="23" t="str">
        <f t="shared" si="25"/>
        <v>2303_00_BF</v>
      </c>
      <c r="I86" s="23" t="str">
        <f>VLOOKUP(G86,'PPA IDs'!$A$2:$B$150,2,0)</f>
        <v>Caltrain PCBB 16tphpd</v>
      </c>
      <c r="J86" s="23" t="str">
        <f>VLOOKUP($G86,'PPA IDs'!$A$2:$K$95,9,0)</f>
        <v>various</v>
      </c>
      <c r="K86" s="23" t="str">
        <f>VLOOKUP($G86,'PPA IDs'!$A$2:$K$95,10,0)</f>
        <v>transit</v>
      </c>
      <c r="L86" s="23" t="str">
        <f>VLOOKUP($G86,'PPA IDs'!$A$2:$K$95,11,0)</f>
        <v>com</v>
      </c>
      <c r="M86" s="23" t="str">
        <f t="shared" si="11"/>
        <v>BTTF</v>
      </c>
      <c r="N86" s="23" t="str">
        <f t="shared" si="12"/>
        <v>2050_TM151_PPA_BF_01</v>
      </c>
      <c r="O86" s="23" t="str">
        <f>VLOOKUP($G86,'PPA IDs'!$A$2:$M$95,12,0)</f>
        <v>scenario-baseline</v>
      </c>
      <c r="P86" s="23" t="str">
        <f t="shared" si="3"/>
        <v>2303_Caltrain_16tph\2050_TM151_PPA_BF_01_2303_Caltrain_16tph_00</v>
      </c>
    </row>
    <row r="87" spans="1:16" x14ac:dyDescent="0.25">
      <c r="A87" s="88" t="s">
        <v>597</v>
      </c>
      <c r="B87" s="88" t="s">
        <v>616</v>
      </c>
      <c r="C87" s="85" t="s">
        <v>541</v>
      </c>
      <c r="D87" s="85" t="s">
        <v>249</v>
      </c>
      <c r="E87" s="85" t="s">
        <v>596</v>
      </c>
      <c r="F87" s="23" t="str">
        <f>A87&amp;"_"&amp;D87&amp;"_"&amp;B87&amp;"_"&amp;C87&amp;"_"&amp;E87</f>
        <v>2050_TM151_PPA_CG_02_2303_Caltrain_16tph_00</v>
      </c>
      <c r="G87" s="84">
        <f>_xlfn.NUMBERVALUE(LEFT(C87,4))</f>
        <v>2303</v>
      </c>
      <c r="H87" s="23" t="str">
        <f>G87&amp;"_"&amp;E87&amp;"_"&amp;D87</f>
        <v>2303_00_CG</v>
      </c>
      <c r="I87" s="23" t="str">
        <f>VLOOKUP(G87,'PPA IDs'!$A$2:$B$150,2,0)</f>
        <v>Caltrain PCBB 16tphpd</v>
      </c>
      <c r="J87" s="23" t="str">
        <f>VLOOKUP($G87,'PPA IDs'!$A$2:$K$95,9,0)</f>
        <v>various</v>
      </c>
      <c r="K87" s="23" t="str">
        <f>VLOOKUP($G87,'PPA IDs'!$A$2:$K$95,10,0)</f>
        <v>transit</v>
      </c>
      <c r="L87" s="23" t="str">
        <f>VLOOKUP($G87,'PPA IDs'!$A$2:$K$95,11,0)</f>
        <v>com</v>
      </c>
      <c r="M87" s="23" t="str">
        <f>IF(D87="RT","RTFF",IF(D87="CG","CAG","BTTF"))</f>
        <v>CAG</v>
      </c>
      <c r="N87" s="23" t="str">
        <f>A87&amp;"_"&amp;D87&amp;"_"&amp;B87</f>
        <v>2050_TM151_PPA_CG_02</v>
      </c>
      <c r="O87" s="23" t="str">
        <f>VLOOKUP($G87,'PPA IDs'!$A$2:$M$95,12,0)</f>
        <v>scenario-baseline</v>
      </c>
      <c r="P87" s="23" t="str">
        <f>C87&amp;"\"&amp;F87</f>
        <v>2303_Caltrain_16tph\2050_TM151_PPA_CG_02_2303_Caltrain_16tph_00</v>
      </c>
    </row>
    <row r="88" spans="1:16" x14ac:dyDescent="0.25">
      <c r="A88" s="85" t="s">
        <v>597</v>
      </c>
      <c r="B88" s="88" t="s">
        <v>616</v>
      </c>
      <c r="C88" s="85" t="s">
        <v>555</v>
      </c>
      <c r="D88" s="85" t="s">
        <v>250</v>
      </c>
      <c r="E88" s="85" t="s">
        <v>596</v>
      </c>
      <c r="F88" s="23" t="str">
        <f t="shared" si="23"/>
        <v>2050_TM151_PPA_RT_02_2201_BART_CoreCap_TEST_00</v>
      </c>
      <c r="G88" s="84">
        <f t="shared" si="24"/>
        <v>2201</v>
      </c>
      <c r="H88" s="23" t="str">
        <f t="shared" si="25"/>
        <v>2201_00_RT</v>
      </c>
      <c r="I88" s="23" t="str">
        <f>VLOOKUP(G88,'PPA IDs'!$A$2:$B$150,2,0)</f>
        <v>BART Core Capacity</v>
      </c>
      <c r="J88" s="23" t="str">
        <f>VLOOKUP($G88,'PPA IDs'!$A$2:$K$95,9,0)</f>
        <v>various</v>
      </c>
      <c r="K88" s="23" t="str">
        <f>VLOOKUP($G88,'PPA IDs'!$A$2:$K$95,10,0)</f>
        <v>transit</v>
      </c>
      <c r="L88" s="23" t="str">
        <f>VLOOKUP($G88,'PPA IDs'!$A$2:$K$95,11,0)</f>
        <v>hvy</v>
      </c>
      <c r="M88" s="23" t="str">
        <f t="shared" si="11"/>
        <v>RTFF</v>
      </c>
      <c r="N88" s="23" t="str">
        <f t="shared" si="12"/>
        <v>2050_TM151_PPA_RT_02</v>
      </c>
      <c r="O88" s="23" t="str">
        <f>VLOOKUP($G88,'PPA IDs'!$A$2:$M$95,12,0)</f>
        <v>scenario-baseline</v>
      </c>
      <c r="P88" s="23" t="str">
        <f t="shared" si="3"/>
        <v>2201_BART_CoreCap_TEST\2050_TM151_PPA_RT_02_2201_BART_CoreCap_TEST_00</v>
      </c>
    </row>
    <row r="89" spans="1:16" x14ac:dyDescent="0.25">
      <c r="A89" s="85" t="s">
        <v>597</v>
      </c>
      <c r="B89" s="88" t="s">
        <v>616</v>
      </c>
      <c r="C89" s="85" t="s">
        <v>555</v>
      </c>
      <c r="D89" s="85" t="s">
        <v>249</v>
      </c>
      <c r="E89" s="85" t="s">
        <v>596</v>
      </c>
      <c r="F89" s="23" t="str">
        <f t="shared" si="23"/>
        <v>2050_TM151_PPA_CG_02_2201_BART_CoreCap_TEST_00</v>
      </c>
      <c r="G89" s="84">
        <f t="shared" si="24"/>
        <v>2201</v>
      </c>
      <c r="H89" s="23" t="str">
        <f t="shared" si="25"/>
        <v>2201_00_CG</v>
      </c>
      <c r="I89" s="23" t="str">
        <f>VLOOKUP(G89,'PPA IDs'!$A$2:$B$150,2,0)</f>
        <v>BART Core Capacity</v>
      </c>
      <c r="J89" s="23" t="str">
        <f>VLOOKUP($G89,'PPA IDs'!$A$2:$K$95,9,0)</f>
        <v>various</v>
      </c>
      <c r="K89" s="23" t="str">
        <f>VLOOKUP($G89,'PPA IDs'!$A$2:$K$95,10,0)</f>
        <v>transit</v>
      </c>
      <c r="L89" s="23" t="str">
        <f>VLOOKUP($G89,'PPA IDs'!$A$2:$K$95,11,0)</f>
        <v>hvy</v>
      </c>
      <c r="M89" s="23" t="str">
        <f t="shared" si="11"/>
        <v>CAG</v>
      </c>
      <c r="N89" s="23" t="str">
        <f t="shared" si="12"/>
        <v>2050_TM151_PPA_CG_02</v>
      </c>
      <c r="O89" s="23" t="str">
        <f>VLOOKUP($G89,'PPA IDs'!$A$2:$M$95,12,0)</f>
        <v>scenario-baseline</v>
      </c>
      <c r="P89" s="23" t="str">
        <f t="shared" si="3"/>
        <v>2201_BART_CoreCap_TEST\2050_TM151_PPA_CG_02_2201_BART_CoreCap_TEST_00</v>
      </c>
    </row>
    <row r="90" spans="1:16" x14ac:dyDescent="0.25">
      <c r="A90" s="85" t="s">
        <v>597</v>
      </c>
      <c r="B90" s="88" t="s">
        <v>616</v>
      </c>
      <c r="C90" s="85" t="s">
        <v>555</v>
      </c>
      <c r="D90" s="85" t="s">
        <v>251</v>
      </c>
      <c r="E90" s="85" t="s">
        <v>596</v>
      </c>
      <c r="F90" s="23" t="str">
        <f t="shared" si="23"/>
        <v>2050_TM151_PPA_BF_02_2201_BART_CoreCap_TEST_00</v>
      </c>
      <c r="G90" s="84">
        <f t="shared" si="24"/>
        <v>2201</v>
      </c>
      <c r="H90" s="23" t="str">
        <f t="shared" si="25"/>
        <v>2201_00_BF</v>
      </c>
      <c r="I90" s="23" t="str">
        <f>VLOOKUP(G90,'PPA IDs'!$A$2:$B$150,2,0)</f>
        <v>BART Core Capacity</v>
      </c>
      <c r="J90" s="23" t="str">
        <f>VLOOKUP($G90,'PPA IDs'!$A$2:$K$95,9,0)</f>
        <v>various</v>
      </c>
      <c r="K90" s="23" t="str">
        <f>VLOOKUP($G90,'PPA IDs'!$A$2:$K$95,10,0)</f>
        <v>transit</v>
      </c>
      <c r="L90" s="23" t="str">
        <f>VLOOKUP($G90,'PPA IDs'!$A$2:$K$95,11,0)</f>
        <v>hvy</v>
      </c>
      <c r="M90" s="23" t="str">
        <f t="shared" si="11"/>
        <v>BTTF</v>
      </c>
      <c r="N90" s="23" t="str">
        <f t="shared" si="12"/>
        <v>2050_TM151_PPA_BF_02</v>
      </c>
      <c r="O90" s="23" t="str">
        <f>VLOOKUP($G90,'PPA IDs'!$A$2:$M$95,12,0)</f>
        <v>scenario-baseline</v>
      </c>
      <c r="P90" s="23" t="str">
        <f t="shared" si="3"/>
        <v>2201_BART_CoreCap_TEST\2050_TM151_PPA_BF_02_2201_BART_CoreCap_TEST_00</v>
      </c>
    </row>
    <row r="91" spans="1:16" x14ac:dyDescent="0.25">
      <c r="A91" s="85" t="s">
        <v>597</v>
      </c>
      <c r="B91" s="88" t="s">
        <v>615</v>
      </c>
      <c r="C91" s="85" t="s">
        <v>647</v>
      </c>
      <c r="D91" s="85" t="s">
        <v>250</v>
      </c>
      <c r="E91" s="85" t="s">
        <v>596</v>
      </c>
      <c r="F91" s="23" t="str">
        <f t="shared" ref="F91:F93" si="26">A91&amp;"_"&amp;D91&amp;"_"&amp;B91&amp;"_"&amp;C91&amp;"_"&amp;E91</f>
        <v>2050_TM151_PPA_RT_04_2300_CaltrainDTX_00</v>
      </c>
      <c r="G91" s="84">
        <f t="shared" ref="G91:G93" si="27">_xlfn.NUMBERVALUE(LEFT(C91,4))</f>
        <v>2300</v>
      </c>
      <c r="H91" s="23" t="str">
        <f t="shared" ref="H91:H93" si="28">G91&amp;"_"&amp;E91&amp;"_"&amp;D91</f>
        <v>2300_00_RT</v>
      </c>
      <c r="I91" s="23" t="str">
        <f>VLOOKUP(G91,'PPA IDs'!$A$2:$B$150,2,0)</f>
        <v>Caltrain Downtown Extension</v>
      </c>
      <c r="J91" s="23" t="str">
        <f>VLOOKUP($G91,'PPA IDs'!$A$2:$K$95,9,0)</f>
        <v>sf</v>
      </c>
      <c r="K91" s="23" t="str">
        <f>VLOOKUP($G91,'PPA IDs'!$A$2:$K$95,10,0)</f>
        <v>transit</v>
      </c>
      <c r="L91" s="23" t="str">
        <f>VLOOKUP($G91,'PPA IDs'!$A$2:$K$95,11,0)</f>
        <v>com</v>
      </c>
      <c r="M91" s="23" t="str">
        <f t="shared" ref="M91:M93" si="29">IF(D91="RT","RTFF",IF(D91="CG","CAG","BTTF"))</f>
        <v>RTFF</v>
      </c>
      <c r="N91" s="23" t="str">
        <f t="shared" ref="N91:N93" si="30">A91&amp;"_"&amp;D91&amp;"_"&amp;B91</f>
        <v>2050_TM151_PPA_RT_04</v>
      </c>
      <c r="O91" s="23" t="str">
        <f>VLOOKUP($G91,'PPA IDs'!$A$2:$M$95,12,0)</f>
        <v>scenario-baseline</v>
      </c>
      <c r="P91" s="23" t="str">
        <f t="shared" ref="P91:P93" si="31">C91&amp;"\"&amp;F91</f>
        <v>2300_CaltrainDTX\2050_TM151_PPA_RT_04_2300_CaltrainDTX_00</v>
      </c>
    </row>
    <row r="92" spans="1:16" x14ac:dyDescent="0.25">
      <c r="A92" s="85" t="s">
        <v>597</v>
      </c>
      <c r="B92" s="88" t="s">
        <v>615</v>
      </c>
      <c r="C92" s="85" t="s">
        <v>647</v>
      </c>
      <c r="D92" s="85" t="s">
        <v>249</v>
      </c>
      <c r="E92" s="88" t="s">
        <v>618</v>
      </c>
      <c r="F92" s="23" t="str">
        <f t="shared" si="26"/>
        <v>2050_TM151_PPA_CG_04_2300_CaltrainDTX_01</v>
      </c>
      <c r="G92" s="84">
        <f t="shared" si="27"/>
        <v>2300</v>
      </c>
      <c r="H92" s="23" t="str">
        <f t="shared" si="28"/>
        <v>2300_01_CG</v>
      </c>
      <c r="I92" s="23" t="str">
        <f>VLOOKUP(G92,'PPA IDs'!$A$2:$B$150,2,0)</f>
        <v>Caltrain Downtown Extension</v>
      </c>
      <c r="J92" s="23" t="str">
        <f>VLOOKUP($G92,'PPA IDs'!$A$2:$K$95,9,0)</f>
        <v>sf</v>
      </c>
      <c r="K92" s="23" t="str">
        <f>VLOOKUP($G92,'PPA IDs'!$A$2:$K$95,10,0)</f>
        <v>transit</v>
      </c>
      <c r="L92" s="23" t="str">
        <f>VLOOKUP($G92,'PPA IDs'!$A$2:$K$95,11,0)</f>
        <v>com</v>
      </c>
      <c r="M92" s="23" t="str">
        <f t="shared" si="29"/>
        <v>CAG</v>
      </c>
      <c r="N92" s="23" t="str">
        <f t="shared" si="30"/>
        <v>2050_TM151_PPA_CG_04</v>
      </c>
      <c r="O92" s="23" t="str">
        <f>VLOOKUP($G92,'PPA IDs'!$A$2:$M$95,12,0)</f>
        <v>scenario-baseline</v>
      </c>
      <c r="P92" s="23" t="str">
        <f t="shared" si="31"/>
        <v>2300_CaltrainDTX\2050_TM151_PPA_CG_04_2300_CaltrainDTX_01</v>
      </c>
    </row>
    <row r="93" spans="1:16" x14ac:dyDescent="0.25">
      <c r="A93" s="85" t="s">
        <v>597</v>
      </c>
      <c r="B93" s="88" t="s">
        <v>615</v>
      </c>
      <c r="C93" s="85" t="s">
        <v>647</v>
      </c>
      <c r="D93" s="85" t="s">
        <v>251</v>
      </c>
      <c r="E93" s="88" t="s">
        <v>618</v>
      </c>
      <c r="F93" s="23" t="str">
        <f t="shared" si="26"/>
        <v>2050_TM151_PPA_BF_04_2300_CaltrainDTX_01</v>
      </c>
      <c r="G93" s="84">
        <f t="shared" si="27"/>
        <v>2300</v>
      </c>
      <c r="H93" s="23" t="str">
        <f t="shared" si="28"/>
        <v>2300_01_BF</v>
      </c>
      <c r="I93" s="23" t="str">
        <f>VLOOKUP(G93,'PPA IDs'!$A$2:$B$150,2,0)</f>
        <v>Caltrain Downtown Extension</v>
      </c>
      <c r="J93" s="23" t="str">
        <f>VLOOKUP($G93,'PPA IDs'!$A$2:$K$95,9,0)</f>
        <v>sf</v>
      </c>
      <c r="K93" s="23" t="str">
        <f>VLOOKUP($G93,'PPA IDs'!$A$2:$K$95,10,0)</f>
        <v>transit</v>
      </c>
      <c r="L93" s="23" t="str">
        <f>VLOOKUP($G93,'PPA IDs'!$A$2:$K$95,11,0)</f>
        <v>com</v>
      </c>
      <c r="M93" s="23" t="str">
        <f t="shared" si="29"/>
        <v>BTTF</v>
      </c>
      <c r="N93" s="23" t="str">
        <f t="shared" si="30"/>
        <v>2050_TM151_PPA_BF_04</v>
      </c>
      <c r="O93" s="23" t="str">
        <f>VLOOKUP($G93,'PPA IDs'!$A$2:$M$95,12,0)</f>
        <v>scenario-baseline</v>
      </c>
      <c r="P93" s="23" t="str">
        <f t="shared" si="31"/>
        <v>2300_CaltrainDTX\2050_TM151_PPA_BF_04_2300_CaltrainDTX_01</v>
      </c>
    </row>
    <row r="94" spans="1:16" x14ac:dyDescent="0.25">
      <c r="A94" s="85" t="s">
        <v>597</v>
      </c>
      <c r="B94" s="88" t="s">
        <v>615</v>
      </c>
      <c r="C94" s="85" t="s">
        <v>562</v>
      </c>
      <c r="D94" s="85" t="s">
        <v>250</v>
      </c>
      <c r="E94" s="85" t="s">
        <v>596</v>
      </c>
      <c r="F94" s="23" t="str">
        <f t="shared" si="23"/>
        <v>2050_TM151_PPA_RT_04_2301_Caltrain_10tph_00</v>
      </c>
      <c r="G94" s="84">
        <f t="shared" si="24"/>
        <v>2301</v>
      </c>
      <c r="H94" s="23" t="str">
        <f t="shared" si="25"/>
        <v>2301_00_RT</v>
      </c>
      <c r="I94" s="23" t="str">
        <f>VLOOKUP(G94,'PPA IDs'!$A$2:$B$150,2,0)</f>
        <v>Caltrain PCBB 10tphpd</v>
      </c>
      <c r="J94" s="23" t="str">
        <f>VLOOKUP($G94,'PPA IDs'!$A$2:$K$95,9,0)</f>
        <v>various</v>
      </c>
      <c r="K94" s="23" t="str">
        <f>VLOOKUP($G94,'PPA IDs'!$A$2:$K$95,10,0)</f>
        <v>transit</v>
      </c>
      <c r="L94" s="23" t="str">
        <f>VLOOKUP($G94,'PPA IDs'!$A$2:$K$95,11,0)</f>
        <v>com</v>
      </c>
      <c r="M94" s="23" t="str">
        <f t="shared" si="11"/>
        <v>RTFF</v>
      </c>
      <c r="N94" s="23" t="str">
        <f t="shared" si="12"/>
        <v>2050_TM151_PPA_RT_04</v>
      </c>
      <c r="O94" s="23" t="str">
        <f>VLOOKUP($G94,'PPA IDs'!$A$2:$M$95,12,0)</f>
        <v>scenario-baseline</v>
      </c>
      <c r="P94" s="23" t="str">
        <f t="shared" si="3"/>
        <v>2301_Caltrain_10tph\2050_TM151_PPA_RT_04_2301_Caltrain_10tph_00</v>
      </c>
    </row>
    <row r="95" spans="1:16" x14ac:dyDescent="0.25">
      <c r="A95" s="85" t="s">
        <v>597</v>
      </c>
      <c r="B95" s="88" t="s">
        <v>615</v>
      </c>
      <c r="C95" s="85" t="s">
        <v>562</v>
      </c>
      <c r="D95" s="85" t="s">
        <v>249</v>
      </c>
      <c r="E95" s="85" t="s">
        <v>596</v>
      </c>
      <c r="F95" s="23" t="str">
        <f t="shared" si="23"/>
        <v>2050_TM151_PPA_CG_04_2301_Caltrain_10tph_00</v>
      </c>
      <c r="G95" s="84">
        <f t="shared" si="24"/>
        <v>2301</v>
      </c>
      <c r="H95" s="23" t="str">
        <f t="shared" si="25"/>
        <v>2301_00_CG</v>
      </c>
      <c r="I95" s="23" t="str">
        <f>VLOOKUP(G95,'PPA IDs'!$A$2:$B$150,2,0)</f>
        <v>Caltrain PCBB 10tphpd</v>
      </c>
      <c r="J95" s="23" t="str">
        <f>VLOOKUP($G95,'PPA IDs'!$A$2:$K$95,9,0)</f>
        <v>various</v>
      </c>
      <c r="K95" s="23" t="str">
        <f>VLOOKUP($G95,'PPA IDs'!$A$2:$K$95,10,0)</f>
        <v>transit</v>
      </c>
      <c r="L95" s="23" t="str">
        <f>VLOOKUP($G95,'PPA IDs'!$A$2:$K$95,11,0)</f>
        <v>com</v>
      </c>
      <c r="M95" s="23" t="str">
        <f t="shared" si="11"/>
        <v>CAG</v>
      </c>
      <c r="N95" s="23" t="str">
        <f t="shared" si="12"/>
        <v>2050_TM151_PPA_CG_04</v>
      </c>
      <c r="O95" s="23" t="str">
        <f>VLOOKUP($G95,'PPA IDs'!$A$2:$M$95,12,0)</f>
        <v>scenario-baseline</v>
      </c>
      <c r="P95" s="23" t="str">
        <f t="shared" si="3"/>
        <v>2301_Caltrain_10tph\2050_TM151_PPA_CG_04_2301_Caltrain_10tph_00</v>
      </c>
    </row>
    <row r="96" spans="1:16" x14ac:dyDescent="0.25">
      <c r="A96" s="85" t="s">
        <v>597</v>
      </c>
      <c r="B96" s="88" t="s">
        <v>615</v>
      </c>
      <c r="C96" s="85" t="s">
        <v>562</v>
      </c>
      <c r="D96" s="85" t="s">
        <v>251</v>
      </c>
      <c r="E96" s="85" t="s">
        <v>596</v>
      </c>
      <c r="F96" s="23" t="str">
        <f t="shared" si="23"/>
        <v>2050_TM151_PPA_BF_04_2301_Caltrain_10tph_00</v>
      </c>
      <c r="G96" s="84">
        <f t="shared" si="24"/>
        <v>2301</v>
      </c>
      <c r="H96" s="23" t="str">
        <f t="shared" si="25"/>
        <v>2301_00_BF</v>
      </c>
      <c r="I96" s="23" t="str">
        <f>VLOOKUP(G96,'PPA IDs'!$A$2:$B$150,2,0)</f>
        <v>Caltrain PCBB 10tphpd</v>
      </c>
      <c r="J96" s="23" t="str">
        <f>VLOOKUP($G96,'PPA IDs'!$A$2:$K$95,9,0)</f>
        <v>various</v>
      </c>
      <c r="K96" s="23" t="str">
        <f>VLOOKUP($G96,'PPA IDs'!$A$2:$K$95,10,0)</f>
        <v>transit</v>
      </c>
      <c r="L96" s="23" t="str">
        <f>VLOOKUP($G96,'PPA IDs'!$A$2:$K$95,11,0)</f>
        <v>com</v>
      </c>
      <c r="M96" s="23" t="str">
        <f t="shared" si="11"/>
        <v>BTTF</v>
      </c>
      <c r="N96" s="23" t="str">
        <f t="shared" si="12"/>
        <v>2050_TM151_PPA_BF_04</v>
      </c>
      <c r="O96" s="23" t="str">
        <f>VLOOKUP($G96,'PPA IDs'!$A$2:$M$95,12,0)</f>
        <v>scenario-baseline</v>
      </c>
      <c r="P96" s="23" t="str">
        <f t="shared" si="3"/>
        <v>2301_Caltrain_10tph\2050_TM151_PPA_BF_04_2301_Caltrain_10tph_00</v>
      </c>
    </row>
    <row r="97" spans="1:16" x14ac:dyDescent="0.25">
      <c r="A97" s="85" t="s">
        <v>597</v>
      </c>
      <c r="B97" s="88" t="s">
        <v>615</v>
      </c>
      <c r="C97" s="85" t="s">
        <v>542</v>
      </c>
      <c r="D97" s="85" t="s">
        <v>250</v>
      </c>
      <c r="E97" s="85" t="s">
        <v>596</v>
      </c>
      <c r="F97" s="23" t="str">
        <f t="shared" si="23"/>
        <v>2050_TM151_PPA_RT_04_2302_Caltrain_12tph_00</v>
      </c>
      <c r="G97" s="84">
        <f t="shared" si="24"/>
        <v>2302</v>
      </c>
      <c r="H97" s="23" t="str">
        <f t="shared" si="25"/>
        <v>2302_00_RT</v>
      </c>
      <c r="I97" s="23" t="str">
        <f>VLOOKUP(G97,'PPA IDs'!$A$2:$B$150,2,0)</f>
        <v>Caltrain PCBB 12tphpd</v>
      </c>
      <c r="J97" s="23" t="str">
        <f>VLOOKUP($G97,'PPA IDs'!$A$2:$K$95,9,0)</f>
        <v>various</v>
      </c>
      <c r="K97" s="23" t="str">
        <f>VLOOKUP($G97,'PPA IDs'!$A$2:$K$95,10,0)</f>
        <v>transit</v>
      </c>
      <c r="L97" s="23" t="str">
        <f>VLOOKUP($G97,'PPA IDs'!$A$2:$K$95,11,0)</f>
        <v>com</v>
      </c>
      <c r="M97" s="23" t="str">
        <f t="shared" si="11"/>
        <v>RTFF</v>
      </c>
      <c r="N97" s="23" t="str">
        <f t="shared" si="12"/>
        <v>2050_TM151_PPA_RT_04</v>
      </c>
      <c r="O97" s="23" t="str">
        <f>VLOOKUP($G97,'PPA IDs'!$A$2:$M$95,12,0)</f>
        <v>scenario-baseline</v>
      </c>
      <c r="P97" s="23" t="str">
        <f t="shared" si="3"/>
        <v>2302_Caltrain_12tph\2050_TM151_PPA_RT_04_2302_Caltrain_12tph_00</v>
      </c>
    </row>
    <row r="98" spans="1:16" x14ac:dyDescent="0.25">
      <c r="A98" s="85" t="s">
        <v>597</v>
      </c>
      <c r="B98" s="88" t="s">
        <v>615</v>
      </c>
      <c r="C98" s="85" t="s">
        <v>542</v>
      </c>
      <c r="D98" s="85" t="s">
        <v>249</v>
      </c>
      <c r="E98" s="85" t="s">
        <v>596</v>
      </c>
      <c r="F98" s="23" t="str">
        <f t="shared" si="23"/>
        <v>2050_TM151_PPA_CG_04_2302_Caltrain_12tph_00</v>
      </c>
      <c r="G98" s="84">
        <f t="shared" si="24"/>
        <v>2302</v>
      </c>
      <c r="H98" s="23" t="str">
        <f t="shared" si="25"/>
        <v>2302_00_CG</v>
      </c>
      <c r="I98" s="23" t="str">
        <f>VLOOKUP(G98,'PPA IDs'!$A$2:$B$150,2,0)</f>
        <v>Caltrain PCBB 12tphpd</v>
      </c>
      <c r="J98" s="23" t="str">
        <f>VLOOKUP($G98,'PPA IDs'!$A$2:$K$95,9,0)</f>
        <v>various</v>
      </c>
      <c r="K98" s="23" t="str">
        <f>VLOOKUP($G98,'PPA IDs'!$A$2:$K$95,10,0)</f>
        <v>transit</v>
      </c>
      <c r="L98" s="23" t="str">
        <f>VLOOKUP($G98,'PPA IDs'!$A$2:$K$95,11,0)</f>
        <v>com</v>
      </c>
      <c r="M98" s="23" t="str">
        <f t="shared" si="11"/>
        <v>CAG</v>
      </c>
      <c r="N98" s="23" t="str">
        <f t="shared" si="12"/>
        <v>2050_TM151_PPA_CG_04</v>
      </c>
      <c r="O98" s="23" t="str">
        <f>VLOOKUP($G98,'PPA IDs'!$A$2:$M$95,12,0)</f>
        <v>scenario-baseline</v>
      </c>
      <c r="P98" s="23" t="str">
        <f t="shared" si="3"/>
        <v>2302_Caltrain_12tph\2050_TM151_PPA_CG_04_2302_Caltrain_12tph_00</v>
      </c>
    </row>
    <row r="99" spans="1:16" x14ac:dyDescent="0.25">
      <c r="A99" s="85" t="s">
        <v>597</v>
      </c>
      <c r="B99" s="88" t="s">
        <v>615</v>
      </c>
      <c r="C99" s="85" t="s">
        <v>542</v>
      </c>
      <c r="D99" s="85" t="s">
        <v>251</v>
      </c>
      <c r="E99" s="85" t="s">
        <v>596</v>
      </c>
      <c r="F99" s="23" t="str">
        <f t="shared" si="23"/>
        <v>2050_TM151_PPA_BF_04_2302_Caltrain_12tph_00</v>
      </c>
      <c r="G99" s="84">
        <f t="shared" si="24"/>
        <v>2302</v>
      </c>
      <c r="H99" s="23" t="str">
        <f t="shared" si="25"/>
        <v>2302_00_BF</v>
      </c>
      <c r="I99" s="23" t="str">
        <f>VLOOKUP(G99,'PPA IDs'!$A$2:$B$150,2,0)</f>
        <v>Caltrain PCBB 12tphpd</v>
      </c>
      <c r="J99" s="23" t="str">
        <f>VLOOKUP($G99,'PPA IDs'!$A$2:$K$95,9,0)</f>
        <v>various</v>
      </c>
      <c r="K99" s="23" t="str">
        <f>VLOOKUP($G99,'PPA IDs'!$A$2:$K$95,10,0)</f>
        <v>transit</v>
      </c>
      <c r="L99" s="23" t="str">
        <f>VLOOKUP($G99,'PPA IDs'!$A$2:$K$95,11,0)</f>
        <v>com</v>
      </c>
      <c r="M99" s="23" t="str">
        <f t="shared" si="11"/>
        <v>BTTF</v>
      </c>
      <c r="N99" s="23" t="str">
        <f t="shared" si="12"/>
        <v>2050_TM151_PPA_BF_04</v>
      </c>
      <c r="O99" s="23" t="str">
        <f>VLOOKUP($G99,'PPA IDs'!$A$2:$M$95,12,0)</f>
        <v>scenario-baseline</v>
      </c>
      <c r="P99" s="23" t="str">
        <f t="shared" si="3"/>
        <v>2302_Caltrain_12tph\2050_TM151_PPA_BF_04_2302_Caltrain_12tph_00</v>
      </c>
    </row>
    <row r="100" spans="1:16" x14ac:dyDescent="0.25">
      <c r="A100" s="85" t="s">
        <v>597</v>
      </c>
      <c r="B100" s="88" t="s">
        <v>615</v>
      </c>
      <c r="C100" s="85" t="s">
        <v>541</v>
      </c>
      <c r="D100" s="85" t="s">
        <v>250</v>
      </c>
      <c r="E100" s="85" t="s">
        <v>596</v>
      </c>
      <c r="F100" s="23" t="str">
        <f t="shared" si="23"/>
        <v>2050_TM151_PPA_RT_04_2303_Caltrain_16tph_00</v>
      </c>
      <c r="G100" s="84">
        <f t="shared" si="24"/>
        <v>2303</v>
      </c>
      <c r="H100" s="23" t="str">
        <f t="shared" si="25"/>
        <v>2303_00_RT</v>
      </c>
      <c r="I100" s="23" t="str">
        <f>VLOOKUP(G100,'PPA IDs'!$A$2:$B$150,2,0)</f>
        <v>Caltrain PCBB 16tphpd</v>
      </c>
      <c r="J100" s="23" t="str">
        <f>VLOOKUP($G100,'PPA IDs'!$A$2:$K$95,9,0)</f>
        <v>various</v>
      </c>
      <c r="K100" s="23" t="str">
        <f>VLOOKUP($G100,'PPA IDs'!$A$2:$K$95,10,0)</f>
        <v>transit</v>
      </c>
      <c r="L100" s="23" t="str">
        <f>VLOOKUP($G100,'PPA IDs'!$A$2:$K$95,11,0)</f>
        <v>com</v>
      </c>
      <c r="M100" s="23" t="str">
        <f t="shared" si="11"/>
        <v>RTFF</v>
      </c>
      <c r="N100" s="23" t="str">
        <f t="shared" si="12"/>
        <v>2050_TM151_PPA_RT_04</v>
      </c>
      <c r="O100" s="23" t="str">
        <f>VLOOKUP($G100,'PPA IDs'!$A$2:$M$95,12,0)</f>
        <v>scenario-baseline</v>
      </c>
      <c r="P100" s="23" t="str">
        <f t="shared" si="3"/>
        <v>2303_Caltrain_16tph\2050_TM151_PPA_RT_04_2303_Caltrain_16tph_00</v>
      </c>
    </row>
    <row r="101" spans="1:16" x14ac:dyDescent="0.25">
      <c r="A101" s="85" t="s">
        <v>597</v>
      </c>
      <c r="B101" s="88" t="s">
        <v>615</v>
      </c>
      <c r="C101" s="85" t="s">
        <v>541</v>
      </c>
      <c r="D101" s="85" t="s">
        <v>249</v>
      </c>
      <c r="E101" s="85" t="s">
        <v>596</v>
      </c>
      <c r="F101" s="23" t="str">
        <f t="shared" si="23"/>
        <v>2050_TM151_PPA_CG_04_2303_Caltrain_16tph_00</v>
      </c>
      <c r="G101" s="84">
        <f t="shared" si="24"/>
        <v>2303</v>
      </c>
      <c r="H101" s="23" t="str">
        <f t="shared" si="25"/>
        <v>2303_00_CG</v>
      </c>
      <c r="I101" s="23" t="str">
        <f>VLOOKUP(G101,'PPA IDs'!$A$2:$B$150,2,0)</f>
        <v>Caltrain PCBB 16tphpd</v>
      </c>
      <c r="J101" s="23" t="str">
        <f>VLOOKUP($G101,'PPA IDs'!$A$2:$K$95,9,0)</f>
        <v>various</v>
      </c>
      <c r="K101" s="23" t="str">
        <f>VLOOKUP($G101,'PPA IDs'!$A$2:$K$95,10,0)</f>
        <v>transit</v>
      </c>
      <c r="L101" s="23" t="str">
        <f>VLOOKUP($G101,'PPA IDs'!$A$2:$K$95,11,0)</f>
        <v>com</v>
      </c>
      <c r="M101" s="23" t="str">
        <f t="shared" si="11"/>
        <v>CAG</v>
      </c>
      <c r="N101" s="23" t="str">
        <f t="shared" si="12"/>
        <v>2050_TM151_PPA_CG_04</v>
      </c>
      <c r="O101" s="23" t="str">
        <f>VLOOKUP($G101,'PPA IDs'!$A$2:$M$95,12,0)</f>
        <v>scenario-baseline</v>
      </c>
      <c r="P101" s="23" t="str">
        <f t="shared" si="3"/>
        <v>2303_Caltrain_16tph\2050_TM151_PPA_CG_04_2303_Caltrain_16tph_00</v>
      </c>
    </row>
    <row r="102" spans="1:16" x14ac:dyDescent="0.25">
      <c r="A102" s="85" t="s">
        <v>597</v>
      </c>
      <c r="B102" s="88" t="s">
        <v>615</v>
      </c>
      <c r="C102" s="85" t="s">
        <v>541</v>
      </c>
      <c r="D102" s="85" t="s">
        <v>251</v>
      </c>
      <c r="E102" s="85" t="s">
        <v>596</v>
      </c>
      <c r="F102" s="23" t="str">
        <f t="shared" si="23"/>
        <v>2050_TM151_PPA_BF_04_2303_Caltrain_16tph_00</v>
      </c>
      <c r="G102" s="84">
        <f t="shared" si="24"/>
        <v>2303</v>
      </c>
      <c r="H102" s="23" t="str">
        <f t="shared" si="25"/>
        <v>2303_00_BF</v>
      </c>
      <c r="I102" s="23" t="str">
        <f>VLOOKUP(G102,'PPA IDs'!$A$2:$B$150,2,0)</f>
        <v>Caltrain PCBB 16tphpd</v>
      </c>
      <c r="J102" s="23" t="str">
        <f>VLOOKUP($G102,'PPA IDs'!$A$2:$K$95,9,0)</f>
        <v>various</v>
      </c>
      <c r="K102" s="23" t="str">
        <f>VLOOKUP($G102,'PPA IDs'!$A$2:$K$95,10,0)</f>
        <v>transit</v>
      </c>
      <c r="L102" s="23" t="str">
        <f>VLOOKUP($G102,'PPA IDs'!$A$2:$K$95,11,0)</f>
        <v>com</v>
      </c>
      <c r="M102" s="23" t="str">
        <f t="shared" si="11"/>
        <v>BTTF</v>
      </c>
      <c r="N102" s="23" t="str">
        <f t="shared" si="12"/>
        <v>2050_TM151_PPA_BF_04</v>
      </c>
      <c r="O102" s="23" t="str">
        <f>VLOOKUP($G102,'PPA IDs'!$A$2:$M$95,12,0)</f>
        <v>scenario-baseline</v>
      </c>
      <c r="P102" s="23" t="str">
        <f t="shared" ref="P102:P122" si="32">C102&amp;"\"&amp;F102</f>
        <v>2303_Caltrain_16tph\2050_TM151_PPA_BF_04_2303_Caltrain_16tph_00</v>
      </c>
    </row>
    <row r="103" spans="1:16" x14ac:dyDescent="0.25">
      <c r="A103" s="85" t="s">
        <v>597</v>
      </c>
      <c r="B103" s="88" t="s">
        <v>615</v>
      </c>
      <c r="C103" s="85" t="s">
        <v>550</v>
      </c>
      <c r="D103" s="85" t="s">
        <v>250</v>
      </c>
      <c r="E103" s="85" t="s">
        <v>596</v>
      </c>
      <c r="F103" s="23" t="str">
        <f t="shared" si="23"/>
        <v>2050_TM151_PPA_RT_04_2601_WETA_NetExpansion_00</v>
      </c>
      <c r="G103" s="84">
        <f t="shared" si="24"/>
        <v>2601</v>
      </c>
      <c r="H103" s="23" t="str">
        <f t="shared" si="25"/>
        <v>2601_00_RT</v>
      </c>
      <c r="I103" s="23" t="str">
        <f>VLOOKUP(G103,'PPA IDs'!$A$2:$B$150,2,0)</f>
        <v>WETA Ferry Network Expansion (Berkeley, Alameda Point, Redwood City, Mission Bay)</v>
      </c>
      <c r="J103" s="23" t="str">
        <f>VLOOKUP($G103,'PPA IDs'!$A$2:$K$95,9,0)</f>
        <v>various</v>
      </c>
      <c r="K103" s="23" t="str">
        <f>VLOOKUP($G103,'PPA IDs'!$A$2:$K$95,10,0)</f>
        <v>transit</v>
      </c>
      <c r="L103" s="23" t="str">
        <f>VLOOKUP($G103,'PPA IDs'!$A$2:$K$95,11,0)</f>
        <v>lrf</v>
      </c>
      <c r="M103" s="23" t="str">
        <f t="shared" si="11"/>
        <v>RTFF</v>
      </c>
      <c r="N103" s="23" t="str">
        <f t="shared" si="12"/>
        <v>2050_TM151_PPA_RT_04</v>
      </c>
      <c r="O103" s="23" t="str">
        <f>VLOOKUP($G103,'PPA IDs'!$A$2:$M$95,12,0)</f>
        <v>scenario-baseline</v>
      </c>
      <c r="P103" s="23" t="str">
        <f t="shared" si="32"/>
        <v>2601_WETA_NetExpansion\2050_TM151_PPA_RT_04_2601_WETA_NetExpansion_00</v>
      </c>
    </row>
    <row r="104" spans="1:16" x14ac:dyDescent="0.25">
      <c r="A104" s="85" t="s">
        <v>597</v>
      </c>
      <c r="B104" s="88" t="s">
        <v>615</v>
      </c>
      <c r="C104" s="85" t="s">
        <v>550</v>
      </c>
      <c r="D104" s="85" t="s">
        <v>249</v>
      </c>
      <c r="E104" s="85" t="s">
        <v>596</v>
      </c>
      <c r="F104" s="23" t="str">
        <f t="shared" si="23"/>
        <v>2050_TM151_PPA_CG_04_2601_WETA_NetExpansion_00</v>
      </c>
      <c r="G104" s="84">
        <f t="shared" si="24"/>
        <v>2601</v>
      </c>
      <c r="H104" s="23" t="str">
        <f t="shared" si="25"/>
        <v>2601_00_CG</v>
      </c>
      <c r="I104" s="23" t="str">
        <f>VLOOKUP(G104,'PPA IDs'!$A$2:$B$150,2,0)</f>
        <v>WETA Ferry Network Expansion (Berkeley, Alameda Point, Redwood City, Mission Bay)</v>
      </c>
      <c r="J104" s="23" t="str">
        <f>VLOOKUP($G104,'PPA IDs'!$A$2:$K$95,9,0)</f>
        <v>various</v>
      </c>
      <c r="K104" s="23" t="str">
        <f>VLOOKUP($G104,'PPA IDs'!$A$2:$K$95,10,0)</f>
        <v>transit</v>
      </c>
      <c r="L104" s="23" t="str">
        <f>VLOOKUP($G104,'PPA IDs'!$A$2:$K$95,11,0)</f>
        <v>lrf</v>
      </c>
      <c r="M104" s="23" t="str">
        <f t="shared" si="11"/>
        <v>CAG</v>
      </c>
      <c r="N104" s="23" t="str">
        <f t="shared" si="12"/>
        <v>2050_TM151_PPA_CG_04</v>
      </c>
      <c r="O104" s="23" t="str">
        <f>VLOOKUP($G104,'PPA IDs'!$A$2:$M$95,12,0)</f>
        <v>scenario-baseline</v>
      </c>
      <c r="P104" s="23" t="str">
        <f t="shared" si="32"/>
        <v>2601_WETA_NetExpansion\2050_TM151_PPA_CG_04_2601_WETA_NetExpansion_00</v>
      </c>
    </row>
    <row r="105" spans="1:16" x14ac:dyDescent="0.25">
      <c r="A105" s="86" t="s">
        <v>597</v>
      </c>
      <c r="B105" s="89" t="s">
        <v>615</v>
      </c>
      <c r="C105" s="86" t="s">
        <v>550</v>
      </c>
      <c r="D105" s="86" t="s">
        <v>251</v>
      </c>
      <c r="E105" s="86" t="s">
        <v>596</v>
      </c>
      <c r="F105" s="90" t="str">
        <f t="shared" si="23"/>
        <v>2050_TM151_PPA_BF_04_2601_WETA_NetExpansion_00</v>
      </c>
      <c r="G105" s="91">
        <f t="shared" si="24"/>
        <v>2601</v>
      </c>
      <c r="H105" s="90" t="str">
        <f t="shared" si="25"/>
        <v>2601_00_BF</v>
      </c>
      <c r="I105" s="90" t="str">
        <f>VLOOKUP(G105,'PPA IDs'!$A$2:$B$150,2,0)</f>
        <v>WETA Ferry Network Expansion (Berkeley, Alameda Point, Redwood City, Mission Bay)</v>
      </c>
      <c r="J105" s="90" t="str">
        <f>VLOOKUP($G105,'PPA IDs'!$A$2:$K$95,9,0)</f>
        <v>various</v>
      </c>
      <c r="K105" s="90" t="str">
        <f>VLOOKUP($G105,'PPA IDs'!$A$2:$K$95,10,0)</f>
        <v>transit</v>
      </c>
      <c r="L105" s="90" t="str">
        <f>VLOOKUP($G105,'PPA IDs'!$A$2:$K$95,11,0)</f>
        <v>lrf</v>
      </c>
      <c r="M105" s="90" t="str">
        <f t="shared" si="11"/>
        <v>BTTF</v>
      </c>
      <c r="N105" s="90" t="str">
        <f t="shared" si="12"/>
        <v>2050_TM151_PPA_BF_04</v>
      </c>
      <c r="O105" s="90" t="str">
        <f>VLOOKUP($G105,'PPA IDs'!$A$2:$M$95,12,0)</f>
        <v>scenario-baseline</v>
      </c>
      <c r="P105" s="90" t="str">
        <f t="shared" si="32"/>
        <v>2601_WETA_NetExpansion\2050_TM151_PPA_BF_04_2601_WETA_NetExpansion_00</v>
      </c>
    </row>
    <row r="106" spans="1:16" x14ac:dyDescent="0.25">
      <c r="A106" s="87" t="s">
        <v>597</v>
      </c>
      <c r="B106" s="88" t="s">
        <v>595</v>
      </c>
      <c r="C106" s="87" t="s">
        <v>585</v>
      </c>
      <c r="D106" s="87" t="s">
        <v>250</v>
      </c>
      <c r="E106" s="85" t="s">
        <v>596</v>
      </c>
      <c r="F106" s="23" t="str">
        <f t="shared" si="23"/>
        <v>2050_TM151_PPA_RT_05_2205_BARTtoSV_Phase2_00</v>
      </c>
      <c r="G106" s="84">
        <f t="shared" ref="G106:G108" si="33">_xlfn.NUMBERVALUE(LEFT(C106,4))</f>
        <v>2205</v>
      </c>
      <c r="H106" s="23" t="str">
        <f t="shared" si="25"/>
        <v>2205_00_RT</v>
      </c>
      <c r="I106" s="23" t="str">
        <f>VLOOKUP(G106,'PPA IDs'!$A$2:$B$150,2,0)</f>
        <v>BART to Silicon Valley (Phase 2)</v>
      </c>
      <c r="J106" s="23" t="str">
        <f>VLOOKUP($G106,'PPA IDs'!$A$2:$K$95,9,0)</f>
        <v>scl</v>
      </c>
      <c r="K106" s="23" t="str">
        <f>VLOOKUP($G106,'PPA IDs'!$A$2:$K$95,10,0)</f>
        <v>transit</v>
      </c>
      <c r="L106" s="23" t="str">
        <f>VLOOKUP($G106,'PPA IDs'!$A$2:$K$95,11,0)</f>
        <v>hvy</v>
      </c>
      <c r="M106" s="23" t="str">
        <f t="shared" si="11"/>
        <v>RTFF</v>
      </c>
      <c r="N106" s="23" t="str">
        <f t="shared" si="12"/>
        <v>2050_TM151_PPA_RT_05</v>
      </c>
      <c r="O106" s="23" t="str">
        <f>VLOOKUP($G106,'PPA IDs'!$A$2:$M$95,12,0)</f>
        <v>scenario-baseline</v>
      </c>
      <c r="P106" s="23" t="str">
        <f t="shared" si="32"/>
        <v>2205_BARTtoSV_Phase2\2050_TM151_PPA_RT_05_2205_BARTtoSV_Phase2_00</v>
      </c>
    </row>
    <row r="107" spans="1:16" x14ac:dyDescent="0.25">
      <c r="A107" s="87" t="s">
        <v>597</v>
      </c>
      <c r="B107" s="88" t="s">
        <v>595</v>
      </c>
      <c r="C107" s="87" t="s">
        <v>585</v>
      </c>
      <c r="D107" s="87" t="s">
        <v>249</v>
      </c>
      <c r="E107" s="85" t="s">
        <v>596</v>
      </c>
      <c r="F107" s="23" t="str">
        <f t="shared" si="23"/>
        <v>2050_TM151_PPA_CG_05_2205_BARTtoSV_Phase2_00</v>
      </c>
      <c r="G107" s="84">
        <f t="shared" si="33"/>
        <v>2205</v>
      </c>
      <c r="H107" s="23" t="str">
        <f t="shared" si="25"/>
        <v>2205_00_CG</v>
      </c>
      <c r="I107" s="23" t="str">
        <f>VLOOKUP(G107,'PPA IDs'!$A$2:$B$150,2,0)</f>
        <v>BART to Silicon Valley (Phase 2)</v>
      </c>
      <c r="J107" s="23" t="str">
        <f>VLOOKUP($G107,'PPA IDs'!$A$2:$K$95,9,0)</f>
        <v>scl</v>
      </c>
      <c r="K107" s="23" t="str">
        <f>VLOOKUP($G107,'PPA IDs'!$A$2:$K$95,10,0)</f>
        <v>transit</v>
      </c>
      <c r="L107" s="23" t="str">
        <f>VLOOKUP($G107,'PPA IDs'!$A$2:$K$95,11,0)</f>
        <v>hvy</v>
      </c>
      <c r="M107" s="23" t="str">
        <f t="shared" si="11"/>
        <v>CAG</v>
      </c>
      <c r="N107" s="23" t="str">
        <f t="shared" si="12"/>
        <v>2050_TM151_PPA_CG_05</v>
      </c>
      <c r="O107" s="23" t="str">
        <f>VLOOKUP($G107,'PPA IDs'!$A$2:$M$95,12,0)</f>
        <v>scenario-baseline</v>
      </c>
      <c r="P107" s="23" t="str">
        <f t="shared" si="32"/>
        <v>2205_BARTtoSV_Phase2\2050_TM151_PPA_CG_05_2205_BARTtoSV_Phase2_00</v>
      </c>
    </row>
    <row r="108" spans="1:16" x14ac:dyDescent="0.25">
      <c r="A108" s="87" t="s">
        <v>597</v>
      </c>
      <c r="B108" s="88" t="s">
        <v>595</v>
      </c>
      <c r="C108" s="87" t="s">
        <v>585</v>
      </c>
      <c r="D108" s="87" t="s">
        <v>251</v>
      </c>
      <c r="E108" s="85" t="s">
        <v>596</v>
      </c>
      <c r="F108" s="23" t="str">
        <f t="shared" si="23"/>
        <v>2050_TM151_PPA_BF_05_2205_BARTtoSV_Phase2_00</v>
      </c>
      <c r="G108" s="84">
        <f t="shared" si="33"/>
        <v>2205</v>
      </c>
      <c r="H108" s="23" t="str">
        <f t="shared" si="25"/>
        <v>2205_00_BF</v>
      </c>
      <c r="I108" s="23" t="str">
        <f>VLOOKUP(G108,'PPA IDs'!$A$2:$B$150,2,0)</f>
        <v>BART to Silicon Valley (Phase 2)</v>
      </c>
      <c r="J108" s="23" t="str">
        <f>VLOOKUP($G108,'PPA IDs'!$A$2:$K$95,9,0)</f>
        <v>scl</v>
      </c>
      <c r="K108" s="23" t="str">
        <f>VLOOKUP($G108,'PPA IDs'!$A$2:$K$95,10,0)</f>
        <v>transit</v>
      </c>
      <c r="L108" s="23" t="str">
        <f>VLOOKUP($G108,'PPA IDs'!$A$2:$K$95,11,0)</f>
        <v>hvy</v>
      </c>
      <c r="M108" s="23" t="str">
        <f t="shared" si="11"/>
        <v>BTTF</v>
      </c>
      <c r="N108" s="23" t="str">
        <f t="shared" si="12"/>
        <v>2050_TM151_PPA_BF_05</v>
      </c>
      <c r="O108" s="23" t="str">
        <f>VLOOKUP($G108,'PPA IDs'!$A$2:$M$95,12,0)</f>
        <v>scenario-baseline</v>
      </c>
      <c r="P108" s="23" t="str">
        <f t="shared" si="32"/>
        <v>2205_BARTtoSV_Phase2\2050_TM151_PPA_BF_05_2205_BARTtoSV_Phase2_00</v>
      </c>
    </row>
    <row r="109" spans="1:16" x14ac:dyDescent="0.25">
      <c r="A109" s="85" t="s">
        <v>597</v>
      </c>
      <c r="B109" s="88" t="s">
        <v>615</v>
      </c>
      <c r="C109" s="85" t="s">
        <v>591</v>
      </c>
      <c r="D109" s="85" t="s">
        <v>249</v>
      </c>
      <c r="E109" s="85" t="s">
        <v>596</v>
      </c>
      <c r="F109" s="23" t="str">
        <f t="shared" si="23"/>
        <v>2050_TM151_PPA_CG_04_3103_SR4_Widen_00</v>
      </c>
      <c r="G109" s="84">
        <f t="shared" ref="G109:G116" si="34">_xlfn.NUMBERVALUE(LEFT(C109,4))</f>
        <v>3103</v>
      </c>
      <c r="H109" s="23" t="str">
        <f t="shared" si="25"/>
        <v>3103_00_CG</v>
      </c>
      <c r="I109" s="23" t="str">
        <f>VLOOKUP(G109,'PPA IDs'!$A$2:$B$150,2,0)</f>
        <v>SR-4 Widening (Brentwood to Discovery Bay)</v>
      </c>
      <c r="J109" s="23" t="str">
        <f>VLOOKUP($G109,'PPA IDs'!$A$2:$K$95,9,0)</f>
        <v>cc</v>
      </c>
      <c r="K109" s="23" t="str">
        <f>VLOOKUP($G109,'PPA IDs'!$A$2:$K$95,10,0)</f>
        <v>road</v>
      </c>
      <c r="L109" s="23" t="str">
        <f>VLOOKUP($G109,'PPA IDs'!$A$2:$K$95,11,0)</f>
        <v>road</v>
      </c>
      <c r="M109" s="23" t="str">
        <f t="shared" si="11"/>
        <v>CAG</v>
      </c>
      <c r="N109" s="23" t="str">
        <f t="shared" si="12"/>
        <v>2050_TM151_PPA_CG_04</v>
      </c>
      <c r="O109" s="23" t="str">
        <f>VLOOKUP($G109,'PPA IDs'!$A$2:$M$95,12,0)</f>
        <v>scenario-baseline</v>
      </c>
      <c r="P109" s="23" t="str">
        <f t="shared" si="32"/>
        <v>3103_SR4_Widen\2050_TM151_PPA_CG_04_3103_SR4_Widen_00</v>
      </c>
    </row>
    <row r="110" spans="1:16" x14ac:dyDescent="0.25">
      <c r="A110" s="85" t="s">
        <v>597</v>
      </c>
      <c r="B110" s="88" t="s">
        <v>615</v>
      </c>
      <c r="C110" s="85" t="s">
        <v>592</v>
      </c>
      <c r="D110" s="87" t="s">
        <v>249</v>
      </c>
      <c r="E110" s="85" t="s">
        <v>596</v>
      </c>
      <c r="F110" s="23" t="str">
        <f t="shared" si="23"/>
        <v>2050_TM151_PPA_CG_04_3102_SR4_Op_00</v>
      </c>
      <c r="G110" s="84">
        <f t="shared" si="34"/>
        <v>3102</v>
      </c>
      <c r="H110" s="23" t="str">
        <f t="shared" si="25"/>
        <v>3102_00_CG</v>
      </c>
      <c r="I110" s="23" t="str">
        <f>VLOOKUP(G110,'PPA IDs'!$A$2:$B$150,2,0)</f>
        <v>SR-4 Operational Improvements</v>
      </c>
      <c r="J110" s="23" t="str">
        <f>VLOOKUP($G110,'PPA IDs'!$A$2:$K$95,9,0)</f>
        <v>cc</v>
      </c>
      <c r="K110" s="23" t="str">
        <f>VLOOKUP($G110,'PPA IDs'!$A$2:$K$95,10,0)</f>
        <v>road</v>
      </c>
      <c r="L110" s="23" t="str">
        <f>VLOOKUP($G110,'PPA IDs'!$A$2:$K$95,11,0)</f>
        <v>road</v>
      </c>
      <c r="M110" s="23" t="str">
        <f t="shared" si="11"/>
        <v>CAG</v>
      </c>
      <c r="N110" s="23" t="str">
        <f t="shared" si="12"/>
        <v>2050_TM151_PPA_CG_04</v>
      </c>
      <c r="O110" s="23" t="str">
        <f>VLOOKUP($G110,'PPA IDs'!$A$2:$M$95,12,0)</f>
        <v>scenario-baseline</v>
      </c>
      <c r="P110" s="23" t="str">
        <f t="shared" si="32"/>
        <v>3102_SR4_Op\2050_TM151_PPA_CG_04_3102_SR4_Op_00</v>
      </c>
    </row>
    <row r="111" spans="1:16" x14ac:dyDescent="0.25">
      <c r="A111" s="85" t="s">
        <v>597</v>
      </c>
      <c r="B111" s="88" t="s">
        <v>615</v>
      </c>
      <c r="C111" s="85" t="s">
        <v>592</v>
      </c>
      <c r="D111" s="87" t="s">
        <v>251</v>
      </c>
      <c r="E111" s="85" t="s">
        <v>596</v>
      </c>
      <c r="F111" s="23" t="str">
        <f t="shared" si="23"/>
        <v>2050_TM151_PPA_BF_04_3102_SR4_Op_00</v>
      </c>
      <c r="G111" s="84">
        <f t="shared" si="34"/>
        <v>3102</v>
      </c>
      <c r="H111" s="23" t="str">
        <f t="shared" si="25"/>
        <v>3102_00_BF</v>
      </c>
      <c r="I111" s="23" t="str">
        <f>VLOOKUP(G111,'PPA IDs'!$A$2:$B$150,2,0)</f>
        <v>SR-4 Operational Improvements</v>
      </c>
      <c r="J111" s="23" t="str">
        <f>VLOOKUP($G111,'PPA IDs'!$A$2:$K$95,9,0)</f>
        <v>cc</v>
      </c>
      <c r="K111" s="23" t="str">
        <f>VLOOKUP($G111,'PPA IDs'!$A$2:$K$95,10,0)</f>
        <v>road</v>
      </c>
      <c r="L111" s="23" t="str">
        <f>VLOOKUP($G111,'PPA IDs'!$A$2:$K$95,11,0)</f>
        <v>road</v>
      </c>
      <c r="M111" s="23" t="str">
        <f t="shared" si="11"/>
        <v>BTTF</v>
      </c>
      <c r="N111" s="23" t="str">
        <f t="shared" si="12"/>
        <v>2050_TM151_PPA_BF_04</v>
      </c>
      <c r="O111" s="23" t="str">
        <f>VLOOKUP($G111,'PPA IDs'!$A$2:$M$95,12,0)</f>
        <v>scenario-baseline</v>
      </c>
      <c r="P111" s="23" t="str">
        <f t="shared" si="32"/>
        <v>3102_SR4_Op\2050_TM151_PPA_BF_04_3102_SR4_Op_00</v>
      </c>
    </row>
    <row r="112" spans="1:16" x14ac:dyDescent="0.25">
      <c r="A112" s="85" t="s">
        <v>597</v>
      </c>
      <c r="B112" s="88" t="s">
        <v>615</v>
      </c>
      <c r="C112" s="85" t="s">
        <v>593</v>
      </c>
      <c r="D112" s="87" t="s">
        <v>249</v>
      </c>
      <c r="E112" s="85" t="s">
        <v>596</v>
      </c>
      <c r="F112" s="23" t="str">
        <f t="shared" si="23"/>
        <v>2050_TM151_PPA_CG_04_2202_BART_DMU_Brentwood_00</v>
      </c>
      <c r="G112" s="84">
        <f t="shared" si="34"/>
        <v>2202</v>
      </c>
      <c r="H112" s="23" t="str">
        <f t="shared" si="25"/>
        <v>2202_00_CG</v>
      </c>
      <c r="I112" s="23" t="str">
        <f>VLOOKUP(G112,'PPA IDs'!$A$2:$B$150,2,0)</f>
        <v>BART DMU to Brentwood</v>
      </c>
      <c r="J112" s="23" t="str">
        <f>VLOOKUP($G112,'PPA IDs'!$A$2:$K$95,9,0)</f>
        <v>cc</v>
      </c>
      <c r="K112" s="23" t="str">
        <f>VLOOKUP($G112,'PPA IDs'!$A$2:$K$95,10,0)</f>
        <v>transit</v>
      </c>
      <c r="L112" s="23" t="str">
        <f>VLOOKUP($G112,'PPA IDs'!$A$2:$K$95,11,0)</f>
        <v>hvy</v>
      </c>
      <c r="M112" s="23" t="str">
        <f t="shared" si="11"/>
        <v>CAG</v>
      </c>
      <c r="N112" s="23" t="str">
        <f t="shared" si="12"/>
        <v>2050_TM151_PPA_CG_04</v>
      </c>
      <c r="O112" s="23" t="str">
        <f>VLOOKUP($G112,'PPA IDs'!$A$2:$M$95,12,0)</f>
        <v>scenario-baseline</v>
      </c>
      <c r="P112" s="23" t="str">
        <f t="shared" si="32"/>
        <v>2202_BART_DMU_Brentwood\2050_TM151_PPA_CG_04_2202_BART_DMU_Brentwood_00</v>
      </c>
    </row>
    <row r="113" spans="1:16" x14ac:dyDescent="0.25">
      <c r="A113" s="85" t="s">
        <v>597</v>
      </c>
      <c r="B113" s="88" t="s">
        <v>615</v>
      </c>
      <c r="C113" s="85" t="s">
        <v>593</v>
      </c>
      <c r="D113" s="87" t="s">
        <v>251</v>
      </c>
      <c r="E113" s="85" t="s">
        <v>596</v>
      </c>
      <c r="F113" s="23" t="str">
        <f t="shared" si="23"/>
        <v>2050_TM151_PPA_BF_04_2202_BART_DMU_Brentwood_00</v>
      </c>
      <c r="G113" s="84">
        <f t="shared" si="34"/>
        <v>2202</v>
      </c>
      <c r="H113" s="23" t="str">
        <f t="shared" si="25"/>
        <v>2202_00_BF</v>
      </c>
      <c r="I113" s="23" t="str">
        <f>VLOOKUP(G113,'PPA IDs'!$A$2:$B$150,2,0)</f>
        <v>BART DMU to Brentwood</v>
      </c>
      <c r="J113" s="23" t="str">
        <f>VLOOKUP($G113,'PPA IDs'!$A$2:$K$95,9,0)</f>
        <v>cc</v>
      </c>
      <c r="K113" s="23" t="str">
        <f>VLOOKUP($G113,'PPA IDs'!$A$2:$K$95,10,0)</f>
        <v>transit</v>
      </c>
      <c r="L113" s="23" t="str">
        <f>VLOOKUP($G113,'PPA IDs'!$A$2:$K$95,11,0)</f>
        <v>hvy</v>
      </c>
      <c r="M113" s="23" t="str">
        <f t="shared" si="11"/>
        <v>BTTF</v>
      </c>
      <c r="N113" s="23" t="str">
        <f t="shared" si="12"/>
        <v>2050_TM151_PPA_BF_04</v>
      </c>
      <c r="O113" s="23" t="str">
        <f>VLOOKUP($G113,'PPA IDs'!$A$2:$M$95,12,0)</f>
        <v>scenario-baseline</v>
      </c>
      <c r="P113" s="23" t="str">
        <f t="shared" si="32"/>
        <v>2202_BART_DMU_Brentwood\2050_TM151_PPA_BF_04_2202_BART_DMU_Brentwood_00</v>
      </c>
    </row>
    <row r="114" spans="1:16" x14ac:dyDescent="0.25">
      <c r="A114" s="85" t="s">
        <v>597</v>
      </c>
      <c r="B114" s="88" t="s">
        <v>615</v>
      </c>
      <c r="C114" s="85" t="s">
        <v>555</v>
      </c>
      <c r="D114" s="87" t="s">
        <v>250</v>
      </c>
      <c r="E114" s="85" t="s">
        <v>596</v>
      </c>
      <c r="F114" s="23" t="str">
        <f t="shared" si="23"/>
        <v>2050_TM151_PPA_RT_04_2201_BART_CoreCap_TEST_00</v>
      </c>
      <c r="G114" s="84">
        <f t="shared" si="34"/>
        <v>2201</v>
      </c>
      <c r="H114" s="23" t="str">
        <f t="shared" si="25"/>
        <v>2201_00_RT</v>
      </c>
      <c r="I114" s="23" t="str">
        <f>VLOOKUP(G114,'PPA IDs'!$A$2:$B$150,2,0)</f>
        <v>BART Core Capacity</v>
      </c>
      <c r="J114" s="23" t="str">
        <f>VLOOKUP($G114,'PPA IDs'!$A$2:$K$95,9,0)</f>
        <v>various</v>
      </c>
      <c r="K114" s="23" t="str">
        <f>VLOOKUP($G114,'PPA IDs'!$A$2:$K$95,10,0)</f>
        <v>transit</v>
      </c>
      <c r="L114" s="23" t="str">
        <f>VLOOKUP($G114,'PPA IDs'!$A$2:$K$95,11,0)</f>
        <v>hvy</v>
      </c>
      <c r="M114" s="23" t="str">
        <f t="shared" si="11"/>
        <v>RTFF</v>
      </c>
      <c r="N114" s="23" t="str">
        <f t="shared" si="12"/>
        <v>2050_TM151_PPA_RT_04</v>
      </c>
      <c r="O114" s="23" t="str">
        <f>VLOOKUP($G114,'PPA IDs'!$A$2:$M$95,12,0)</f>
        <v>scenario-baseline</v>
      </c>
      <c r="P114" s="23" t="str">
        <f t="shared" si="32"/>
        <v>2201_BART_CoreCap_TEST\2050_TM151_PPA_RT_04_2201_BART_CoreCap_TEST_00</v>
      </c>
    </row>
    <row r="115" spans="1:16" x14ac:dyDescent="0.25">
      <c r="A115" s="85" t="s">
        <v>597</v>
      </c>
      <c r="B115" s="88" t="s">
        <v>615</v>
      </c>
      <c r="C115" s="85" t="s">
        <v>555</v>
      </c>
      <c r="D115" s="87" t="s">
        <v>250</v>
      </c>
      <c r="E115" s="85" t="s">
        <v>596</v>
      </c>
      <c r="F115" s="23" t="str">
        <f t="shared" si="23"/>
        <v>2050_TM151_PPA_RT_04_2201_BART_CoreCap_TEST_00</v>
      </c>
      <c r="G115" s="84">
        <f t="shared" si="34"/>
        <v>2201</v>
      </c>
      <c r="H115" s="23" t="str">
        <f t="shared" si="25"/>
        <v>2201_00_RT</v>
      </c>
      <c r="I115" s="23" t="str">
        <f>VLOOKUP(G115,'PPA IDs'!$A$2:$B$150,2,0)</f>
        <v>BART Core Capacity</v>
      </c>
      <c r="J115" s="23" t="str">
        <f>VLOOKUP($G115,'PPA IDs'!$A$2:$K$95,9,0)</f>
        <v>various</v>
      </c>
      <c r="K115" s="23" t="str">
        <f>VLOOKUP($G115,'PPA IDs'!$A$2:$K$95,10,0)</f>
        <v>transit</v>
      </c>
      <c r="L115" s="23" t="str">
        <f>VLOOKUP($G115,'PPA IDs'!$A$2:$K$95,11,0)</f>
        <v>hvy</v>
      </c>
      <c r="M115" s="23" t="str">
        <f t="shared" si="11"/>
        <v>RTFF</v>
      </c>
      <c r="N115" s="23" t="str">
        <f t="shared" si="12"/>
        <v>2050_TM151_PPA_RT_04</v>
      </c>
      <c r="O115" s="23" t="str">
        <f>VLOOKUP($G115,'PPA IDs'!$A$2:$M$95,12,0)</f>
        <v>scenario-baseline</v>
      </c>
      <c r="P115" s="23" t="str">
        <f t="shared" si="32"/>
        <v>2201_BART_CoreCap_TEST\2050_TM151_PPA_RT_04_2201_BART_CoreCap_TEST_00</v>
      </c>
    </row>
    <row r="116" spans="1:16" x14ac:dyDescent="0.25">
      <c r="A116" s="88" t="s">
        <v>597</v>
      </c>
      <c r="B116" s="88" t="s">
        <v>595</v>
      </c>
      <c r="C116" s="85" t="s">
        <v>555</v>
      </c>
      <c r="D116" s="88" t="s">
        <v>250</v>
      </c>
      <c r="E116" s="88" t="s">
        <v>596</v>
      </c>
      <c r="F116" s="23" t="str">
        <f t="shared" si="23"/>
        <v>2050_TM151_PPA_RT_05_2201_BART_CoreCap_TEST_00</v>
      </c>
      <c r="G116" s="84">
        <f t="shared" si="34"/>
        <v>2201</v>
      </c>
      <c r="H116" s="23" t="str">
        <f t="shared" si="25"/>
        <v>2201_00_RT</v>
      </c>
      <c r="I116" s="23" t="str">
        <f>VLOOKUP(G116,'PPA IDs'!$A$2:$B$150,2,0)</f>
        <v>BART Core Capacity</v>
      </c>
      <c r="J116" s="23" t="str">
        <f>VLOOKUP($G116,'PPA IDs'!$A$2:$K$95,9,0)</f>
        <v>various</v>
      </c>
      <c r="K116" s="23" t="str">
        <f>VLOOKUP($G116,'PPA IDs'!$A$2:$K$95,10,0)</f>
        <v>transit</v>
      </c>
      <c r="L116" s="23" t="str">
        <f>VLOOKUP($G116,'PPA IDs'!$A$2:$K$95,11,0)</f>
        <v>hvy</v>
      </c>
      <c r="M116" s="23" t="str">
        <f t="shared" si="11"/>
        <v>RTFF</v>
      </c>
      <c r="N116" s="23" t="str">
        <f t="shared" si="12"/>
        <v>2050_TM151_PPA_RT_05</v>
      </c>
      <c r="O116" s="23" t="str">
        <f>VLOOKUP($G116,'PPA IDs'!$A$2:$M$95,12,0)</f>
        <v>scenario-baseline</v>
      </c>
      <c r="P116" s="23" t="str">
        <f t="shared" si="32"/>
        <v>2201_BART_CoreCap_TEST\2050_TM151_PPA_RT_05_2201_BART_CoreCap_TEST_00</v>
      </c>
    </row>
    <row r="117" spans="1:16" x14ac:dyDescent="0.25">
      <c r="A117" s="88" t="s">
        <v>597</v>
      </c>
      <c r="B117" s="88" t="s">
        <v>595</v>
      </c>
      <c r="C117" s="85" t="s">
        <v>555</v>
      </c>
      <c r="D117" s="88" t="s">
        <v>249</v>
      </c>
      <c r="E117" s="88" t="s">
        <v>596</v>
      </c>
      <c r="F117" s="23" t="str">
        <f t="shared" si="23"/>
        <v>2050_TM151_PPA_CG_05_2201_BART_CoreCap_TEST_00</v>
      </c>
      <c r="G117" s="84">
        <f t="shared" ref="G117:G118" si="35">_xlfn.NUMBERVALUE(LEFT(C117,4))</f>
        <v>2201</v>
      </c>
      <c r="H117" s="23" t="str">
        <f t="shared" si="25"/>
        <v>2201_00_CG</v>
      </c>
      <c r="I117" s="23" t="str">
        <f>VLOOKUP(G117,'PPA IDs'!$A$2:$B$150,2,0)</f>
        <v>BART Core Capacity</v>
      </c>
      <c r="J117" s="23" t="str">
        <f>VLOOKUP($G117,'PPA IDs'!$A$2:$K$95,9,0)</f>
        <v>various</v>
      </c>
      <c r="K117" s="23" t="str">
        <f>VLOOKUP($G117,'PPA IDs'!$A$2:$K$95,10,0)</f>
        <v>transit</v>
      </c>
      <c r="L117" s="23" t="str">
        <f>VLOOKUP($G117,'PPA IDs'!$A$2:$K$95,11,0)</f>
        <v>hvy</v>
      </c>
      <c r="M117" s="23" t="str">
        <f t="shared" si="11"/>
        <v>CAG</v>
      </c>
      <c r="N117" s="23" t="str">
        <f t="shared" si="12"/>
        <v>2050_TM151_PPA_CG_05</v>
      </c>
      <c r="O117" s="23" t="str">
        <f>VLOOKUP($G117,'PPA IDs'!$A$2:$M$95,12,0)</f>
        <v>scenario-baseline</v>
      </c>
      <c r="P117" s="23" t="str">
        <f t="shared" si="32"/>
        <v>2201_BART_CoreCap_TEST\2050_TM151_PPA_CG_05_2201_BART_CoreCap_TEST_00</v>
      </c>
    </row>
    <row r="118" spans="1:16" x14ac:dyDescent="0.25">
      <c r="A118" s="88" t="s">
        <v>597</v>
      </c>
      <c r="B118" s="88" t="s">
        <v>595</v>
      </c>
      <c r="C118" s="85" t="s">
        <v>555</v>
      </c>
      <c r="D118" s="88" t="s">
        <v>251</v>
      </c>
      <c r="E118" s="88" t="s">
        <v>596</v>
      </c>
      <c r="F118" s="23" t="str">
        <f t="shared" si="23"/>
        <v>2050_TM151_PPA_BF_05_2201_BART_CoreCap_TEST_00</v>
      </c>
      <c r="G118" s="84">
        <f t="shared" si="35"/>
        <v>2201</v>
      </c>
      <c r="H118" s="23" t="str">
        <f t="shared" si="25"/>
        <v>2201_00_BF</v>
      </c>
      <c r="I118" s="23" t="str">
        <f>VLOOKUP(G118,'PPA IDs'!$A$2:$B$150,2,0)</f>
        <v>BART Core Capacity</v>
      </c>
      <c r="J118" s="23" t="str">
        <f>VLOOKUP($G118,'PPA IDs'!$A$2:$K$95,9,0)</f>
        <v>various</v>
      </c>
      <c r="K118" s="23" t="str">
        <f>VLOOKUP($G118,'PPA IDs'!$A$2:$K$95,10,0)</f>
        <v>transit</v>
      </c>
      <c r="L118" s="23" t="str">
        <f>VLOOKUP($G118,'PPA IDs'!$A$2:$K$95,11,0)</f>
        <v>hvy</v>
      </c>
      <c r="M118" s="23" t="str">
        <f t="shared" si="11"/>
        <v>BTTF</v>
      </c>
      <c r="N118" s="23" t="str">
        <f t="shared" si="12"/>
        <v>2050_TM151_PPA_BF_05</v>
      </c>
      <c r="O118" s="23" t="str">
        <f>VLOOKUP($G118,'PPA IDs'!$A$2:$M$95,12,0)</f>
        <v>scenario-baseline</v>
      </c>
      <c r="P118" s="23" t="str">
        <f t="shared" si="32"/>
        <v>2201_BART_CoreCap_TEST\2050_TM151_PPA_BF_05_2201_BART_CoreCap_TEST_00</v>
      </c>
    </row>
    <row r="119" spans="1:16" x14ac:dyDescent="0.25">
      <c r="A119" s="88" t="s">
        <v>597</v>
      </c>
      <c r="B119" s="88" t="s">
        <v>595</v>
      </c>
      <c r="C119" s="85" t="s">
        <v>628</v>
      </c>
      <c r="D119" s="88" t="s">
        <v>250</v>
      </c>
      <c r="E119" s="88" t="s">
        <v>596</v>
      </c>
      <c r="F119" s="23" t="str">
        <f t="shared" ref="F119:F122" si="36">A119&amp;"_"&amp;D119&amp;"_"&amp;B119&amp;"_"&amp;C119&amp;"_"&amp;E119</f>
        <v>2050_TM151_PPA_RT_05_2101_Geary_BRT_Phase2_00</v>
      </c>
      <c r="G119" s="84">
        <f t="shared" ref="G119:G122" si="37">_xlfn.NUMBERVALUE(LEFT(C119,4))</f>
        <v>2101</v>
      </c>
      <c r="H119" s="23" t="str">
        <f t="shared" ref="H119:H122" si="38">G119&amp;"_"&amp;E119&amp;"_"&amp;D119</f>
        <v>2101_00_RT</v>
      </c>
      <c r="I119" s="23" t="str">
        <f>VLOOKUP(G119,'PPA IDs'!$A$2:$B$150,2,0)</f>
        <v>Geary BRT (Phase 2)</v>
      </c>
      <c r="J119" s="23" t="str">
        <f>VLOOKUP($G119,'PPA IDs'!$A$2:$K$95,9,0)</f>
        <v>sf</v>
      </c>
      <c r="K119" s="23" t="str">
        <f>VLOOKUP($G119,'PPA IDs'!$A$2:$K$95,10,0)</f>
        <v>transit</v>
      </c>
      <c r="L119" s="23" t="str">
        <f>VLOOKUP($G119,'PPA IDs'!$A$2:$K$95,11,0)</f>
        <v>loc</v>
      </c>
      <c r="M119" s="23" t="str">
        <f t="shared" ref="M119:M122" si="39">IF(D119="RT","RTFF",IF(D119="CG","CAG","BTTF"))</f>
        <v>RTFF</v>
      </c>
      <c r="N119" s="23" t="str">
        <f t="shared" ref="N119:N122" si="40">A119&amp;"_"&amp;D119&amp;"_"&amp;B119</f>
        <v>2050_TM151_PPA_RT_05</v>
      </c>
      <c r="O119" s="23" t="str">
        <f>VLOOKUP($G119,'PPA IDs'!$A$2:$M$95,12,0)</f>
        <v>scenario-baseline</v>
      </c>
      <c r="P119" s="23" t="str">
        <f t="shared" si="32"/>
        <v>2101_Geary_BRT_Phase2\2050_TM151_PPA_RT_05_2101_Geary_BRT_Phase2_00</v>
      </c>
    </row>
    <row r="120" spans="1:16" x14ac:dyDescent="0.25">
      <c r="A120" s="88" t="s">
        <v>597</v>
      </c>
      <c r="B120" s="88" t="s">
        <v>595</v>
      </c>
      <c r="C120" s="66" t="s">
        <v>629</v>
      </c>
      <c r="D120" s="88" t="s">
        <v>250</v>
      </c>
      <c r="E120" s="88" t="s">
        <v>596</v>
      </c>
      <c r="F120" s="23" t="str">
        <f t="shared" si="36"/>
        <v>2050_TM151_PPA_RT_05_2102_ElCaminoReal_BRT_00</v>
      </c>
      <c r="G120" s="84">
        <f t="shared" si="37"/>
        <v>2102</v>
      </c>
      <c r="H120" s="23" t="str">
        <f t="shared" si="38"/>
        <v>2102_00_RT</v>
      </c>
      <c r="I120" s="23" t="str">
        <f>VLOOKUP(G120,'PPA IDs'!$A$2:$B$150,2,0)</f>
        <v>El Camino Real BRT</v>
      </c>
      <c r="J120" s="23" t="str">
        <f>VLOOKUP($G120,'PPA IDs'!$A$2:$K$95,9,0)</f>
        <v>various</v>
      </c>
      <c r="K120" s="23" t="str">
        <f>VLOOKUP($G120,'PPA IDs'!$A$2:$K$95,10,0)</f>
        <v>transit</v>
      </c>
      <c r="L120" s="23" t="str">
        <f>VLOOKUP($G120,'PPA IDs'!$A$2:$K$95,11,0)</f>
        <v>loc</v>
      </c>
      <c r="M120" s="23" t="str">
        <f t="shared" si="39"/>
        <v>RTFF</v>
      </c>
      <c r="N120" s="23" t="str">
        <f t="shared" si="40"/>
        <v>2050_TM151_PPA_RT_05</v>
      </c>
      <c r="O120" s="23" t="str">
        <f>VLOOKUP($G120,'PPA IDs'!$A$2:$M$95,12,0)</f>
        <v>scenario-baseline</v>
      </c>
      <c r="P120" s="23" t="str">
        <f t="shared" si="32"/>
        <v>2102_ElCaminoReal_BRT\2050_TM151_PPA_RT_05_2102_ElCaminoReal_BRT_00</v>
      </c>
    </row>
    <row r="121" spans="1:16" x14ac:dyDescent="0.25">
      <c r="A121" s="88" t="s">
        <v>597</v>
      </c>
      <c r="B121" s="88" t="s">
        <v>595</v>
      </c>
      <c r="C121" s="66" t="s">
        <v>630</v>
      </c>
      <c r="D121" s="88" t="s">
        <v>250</v>
      </c>
      <c r="E121" s="88" t="s">
        <v>596</v>
      </c>
      <c r="F121" s="23" t="str">
        <f t="shared" si="36"/>
        <v>2050_TM151_PPA_RT_05_2402_SJC_People_Mover_00</v>
      </c>
      <c r="G121" s="84">
        <f t="shared" si="37"/>
        <v>2402</v>
      </c>
      <c r="H121" s="23" t="str">
        <f t="shared" si="38"/>
        <v>2402_00_RT</v>
      </c>
      <c r="I121" s="23" t="str">
        <f>VLOOKUP(G121,'PPA IDs'!$A$2:$B$150,2,0)</f>
        <v>San Jose Airport People Mover</v>
      </c>
      <c r="J121" s="23" t="str">
        <f>VLOOKUP($G121,'PPA IDs'!$A$2:$K$95,9,0)</f>
        <v>scl</v>
      </c>
      <c r="K121" s="23" t="str">
        <f>VLOOKUP($G121,'PPA IDs'!$A$2:$K$95,10,0)</f>
        <v>transit</v>
      </c>
      <c r="L121" s="23" t="str">
        <f>VLOOKUP($G121,'PPA IDs'!$A$2:$K$95,11,0)</f>
        <v>lrf</v>
      </c>
      <c r="M121" s="23" t="str">
        <f t="shared" si="39"/>
        <v>RTFF</v>
      </c>
      <c r="N121" s="23" t="str">
        <f t="shared" si="40"/>
        <v>2050_TM151_PPA_RT_05</v>
      </c>
      <c r="O121" s="23" t="str">
        <f>VLOOKUP($G121,'PPA IDs'!$A$2:$M$95,12,0)</f>
        <v>scenario-baseline</v>
      </c>
      <c r="P121" s="23" t="str">
        <f t="shared" si="32"/>
        <v>2402_SJC_People_Mover\2050_TM151_PPA_RT_05_2402_SJC_People_Mover_00</v>
      </c>
    </row>
    <row r="122" spans="1:16" x14ac:dyDescent="0.25">
      <c r="A122" s="88" t="s">
        <v>597</v>
      </c>
      <c r="B122" s="88" t="s">
        <v>595</v>
      </c>
      <c r="C122" s="66" t="s">
        <v>631</v>
      </c>
      <c r="D122" s="88" t="s">
        <v>250</v>
      </c>
      <c r="E122" s="88" t="s">
        <v>596</v>
      </c>
      <c r="F122" s="23" t="str">
        <f t="shared" si="36"/>
        <v>2050_TM151_PPA_RT_05_2403_Vasona_LRT_Phase2_00</v>
      </c>
      <c r="G122" s="84">
        <f t="shared" si="37"/>
        <v>2403</v>
      </c>
      <c r="H122" s="23" t="str">
        <f t="shared" si="38"/>
        <v>2403_00_RT</v>
      </c>
      <c r="I122" s="23" t="str">
        <f>VLOOKUP(G122,'PPA IDs'!$A$2:$B$150,2,0)</f>
        <v>Vasona LRT (Phase 2)</v>
      </c>
      <c r="J122" s="23" t="str">
        <f>VLOOKUP($G122,'PPA IDs'!$A$2:$K$95,9,0)</f>
        <v>scl</v>
      </c>
      <c r="K122" s="23" t="str">
        <f>VLOOKUP($G122,'PPA IDs'!$A$2:$K$95,10,0)</f>
        <v>transit</v>
      </c>
      <c r="L122" s="23" t="str">
        <f>VLOOKUP($G122,'PPA IDs'!$A$2:$K$95,11,0)</f>
        <v>lrf</v>
      </c>
      <c r="M122" s="23" t="str">
        <f t="shared" si="39"/>
        <v>RTFF</v>
      </c>
      <c r="N122" s="23" t="str">
        <f t="shared" si="40"/>
        <v>2050_TM151_PPA_RT_05</v>
      </c>
      <c r="O122" s="23" t="str">
        <f>VLOOKUP($G122,'PPA IDs'!$A$2:$M$95,12,0)</f>
        <v>scenario-baseline</v>
      </c>
      <c r="P122" s="23" t="str">
        <f t="shared" si="32"/>
        <v>2403_Vasona_LRT_Phase2\2050_TM151_PPA_RT_05_2403_Vasona_LRT_Phase2_00</v>
      </c>
    </row>
    <row r="123" spans="1:16" x14ac:dyDescent="0.25">
      <c r="A123" s="89" t="s">
        <v>597</v>
      </c>
      <c r="B123" s="89" t="s">
        <v>595</v>
      </c>
      <c r="C123" s="86" t="s">
        <v>635</v>
      </c>
      <c r="D123" s="89" t="s">
        <v>250</v>
      </c>
      <c r="E123" s="89" t="s">
        <v>596</v>
      </c>
      <c r="F123" s="90" t="str">
        <f t="shared" ref="F123:F127" si="41">A123&amp;"_"&amp;D123&amp;"_"&amp;B123&amp;"_"&amp;C123&amp;"_"&amp;E123</f>
        <v>2050_TM151_PPA_RT_05_2201_BART_CoreCap_00</v>
      </c>
      <c r="G123" s="91">
        <f t="shared" ref="G123:G127" si="42">_xlfn.NUMBERVALUE(LEFT(C123,4))</f>
        <v>2201</v>
      </c>
      <c r="H123" s="90" t="str">
        <f t="shared" ref="H123:H127" si="43">G123&amp;"_"&amp;E123&amp;"_"&amp;D123</f>
        <v>2201_00_RT</v>
      </c>
      <c r="I123" s="90" t="str">
        <f>VLOOKUP(G123,'PPA IDs'!$A$2:$B$150,2,0)</f>
        <v>BART Core Capacity</v>
      </c>
      <c r="J123" s="90" t="str">
        <f>VLOOKUP($G123,'PPA IDs'!$A$2:$K$95,9,0)</f>
        <v>various</v>
      </c>
      <c r="K123" s="90" t="str">
        <f>VLOOKUP($G123,'PPA IDs'!$A$2:$K$95,10,0)</f>
        <v>transit</v>
      </c>
      <c r="L123" s="90" t="str">
        <f>VLOOKUP($G123,'PPA IDs'!$A$2:$K$95,11,0)</f>
        <v>hvy</v>
      </c>
      <c r="M123" s="90" t="str">
        <f t="shared" ref="M123:M127" si="44">IF(D123="RT","RTFF",IF(D123="CG","CAG","BTTF"))</f>
        <v>RTFF</v>
      </c>
      <c r="N123" s="90" t="str">
        <f t="shared" ref="N123:N127" si="45">A123&amp;"_"&amp;D123&amp;"_"&amp;B123</f>
        <v>2050_TM151_PPA_RT_05</v>
      </c>
      <c r="O123" s="90" t="str">
        <f>VLOOKUP($G123,'PPA IDs'!$A$2:$M$95,12,0)</f>
        <v>scenario-baseline</v>
      </c>
      <c r="P123" s="90" t="str">
        <f t="shared" ref="P123:P127" si="46">C123&amp;"\"&amp;F123</f>
        <v>2201_BART_CoreCap\2050_TM151_PPA_RT_05_2201_BART_CoreCap_00</v>
      </c>
    </row>
    <row r="124" spans="1:16" x14ac:dyDescent="0.25">
      <c r="A124" s="88" t="s">
        <v>597</v>
      </c>
      <c r="B124" s="88" t="s">
        <v>620</v>
      </c>
      <c r="C124" s="85" t="s">
        <v>647</v>
      </c>
      <c r="D124" s="85" t="s">
        <v>250</v>
      </c>
      <c r="E124" s="85" t="s">
        <v>596</v>
      </c>
      <c r="F124" s="23" t="str">
        <f t="shared" ref="F124" si="47">A124&amp;"_"&amp;D124&amp;"_"&amp;B124&amp;"_"&amp;C124&amp;"_"&amp;E124</f>
        <v>2050_TM151_PPA_RT_06_2300_CaltrainDTX_00</v>
      </c>
      <c r="G124" s="84">
        <f t="shared" ref="G124" si="48">_xlfn.NUMBERVALUE(LEFT(C124,4))</f>
        <v>2300</v>
      </c>
      <c r="H124" s="23" t="str">
        <f t="shared" ref="H124" si="49">G124&amp;"_"&amp;E124&amp;"_"&amp;D124</f>
        <v>2300_00_RT</v>
      </c>
      <c r="I124" s="23" t="str">
        <f>VLOOKUP(G124,'PPA IDs'!$A$2:$B$150,2,0)</f>
        <v>Caltrain Downtown Extension</v>
      </c>
      <c r="J124" s="23" t="str">
        <f>VLOOKUP($G124,'PPA IDs'!$A$2:$K$95,9,0)</f>
        <v>sf</v>
      </c>
      <c r="K124" s="23" t="str">
        <f>VLOOKUP($G124,'PPA IDs'!$A$2:$K$95,10,0)</f>
        <v>transit</v>
      </c>
      <c r="L124" s="23" t="str">
        <f>VLOOKUP($G124,'PPA IDs'!$A$2:$K$95,11,0)</f>
        <v>com</v>
      </c>
      <c r="M124" s="23" t="str">
        <f t="shared" ref="M124" si="50">IF(D124="RT","RTFF",IF(D124="CG","CAG","BTTF"))</f>
        <v>RTFF</v>
      </c>
      <c r="N124" s="23" t="str">
        <f t="shared" ref="N124" si="51">A124&amp;"_"&amp;D124&amp;"_"&amp;B124</f>
        <v>2050_TM151_PPA_RT_06</v>
      </c>
      <c r="O124" s="23" t="str">
        <f>VLOOKUP($G124,'PPA IDs'!$A$2:$M$95,12,0)</f>
        <v>scenario-baseline</v>
      </c>
      <c r="P124" s="23" t="str">
        <f t="shared" ref="P124" si="52">C124&amp;"\"&amp;F124</f>
        <v>2300_CaltrainDTX\2050_TM151_PPA_RT_06_2300_CaltrainDTX_00</v>
      </c>
    </row>
    <row r="125" spans="1:16" x14ac:dyDescent="0.25">
      <c r="A125" s="88" t="s">
        <v>597</v>
      </c>
      <c r="B125" s="88" t="s">
        <v>620</v>
      </c>
      <c r="C125" s="85" t="s">
        <v>562</v>
      </c>
      <c r="D125" s="85" t="s">
        <v>250</v>
      </c>
      <c r="E125" s="85" t="s">
        <v>596</v>
      </c>
      <c r="F125" s="23" t="str">
        <f t="shared" si="41"/>
        <v>2050_TM151_PPA_RT_06_2301_Caltrain_10tph_00</v>
      </c>
      <c r="G125" s="84">
        <f t="shared" si="42"/>
        <v>2301</v>
      </c>
      <c r="H125" s="23" t="str">
        <f t="shared" si="43"/>
        <v>2301_00_RT</v>
      </c>
      <c r="I125" s="23" t="str">
        <f>VLOOKUP(G125,'PPA IDs'!$A$2:$B$150,2,0)</f>
        <v>Caltrain PCBB 10tphpd</v>
      </c>
      <c r="J125" s="23" t="str">
        <f>VLOOKUP($G125,'PPA IDs'!$A$2:$K$95,9,0)</f>
        <v>various</v>
      </c>
      <c r="K125" s="23" t="str">
        <f>VLOOKUP($G125,'PPA IDs'!$A$2:$K$95,10,0)</f>
        <v>transit</v>
      </c>
      <c r="L125" s="23" t="str">
        <f>VLOOKUP($G125,'PPA IDs'!$A$2:$K$95,11,0)</f>
        <v>com</v>
      </c>
      <c r="M125" s="23" t="str">
        <f t="shared" si="44"/>
        <v>RTFF</v>
      </c>
      <c r="N125" s="23" t="str">
        <f t="shared" si="45"/>
        <v>2050_TM151_PPA_RT_06</v>
      </c>
      <c r="O125" s="23" t="str">
        <f>VLOOKUP($G125,'PPA IDs'!$A$2:$M$95,12,0)</f>
        <v>scenario-baseline</v>
      </c>
      <c r="P125" s="23" t="str">
        <f t="shared" si="46"/>
        <v>2301_Caltrain_10tph\2050_TM151_PPA_RT_06_2301_Caltrain_10tph_00</v>
      </c>
    </row>
    <row r="126" spans="1:16" x14ac:dyDescent="0.25">
      <c r="A126" s="88" t="s">
        <v>597</v>
      </c>
      <c r="B126" s="88" t="s">
        <v>620</v>
      </c>
      <c r="C126" s="85" t="s">
        <v>542</v>
      </c>
      <c r="D126" s="85" t="s">
        <v>250</v>
      </c>
      <c r="E126" s="85" t="s">
        <v>596</v>
      </c>
      <c r="F126" s="23" t="str">
        <f t="shared" si="41"/>
        <v>2050_TM151_PPA_RT_06_2302_Caltrain_12tph_00</v>
      </c>
      <c r="G126" s="84">
        <f t="shared" si="42"/>
        <v>2302</v>
      </c>
      <c r="H126" s="23" t="str">
        <f t="shared" si="43"/>
        <v>2302_00_RT</v>
      </c>
      <c r="I126" s="23" t="str">
        <f>VLOOKUP(G126,'PPA IDs'!$A$2:$B$150,2,0)</f>
        <v>Caltrain PCBB 12tphpd</v>
      </c>
      <c r="J126" s="23" t="str">
        <f>VLOOKUP($G126,'PPA IDs'!$A$2:$K$95,9,0)</f>
        <v>various</v>
      </c>
      <c r="K126" s="23" t="str">
        <f>VLOOKUP($G126,'PPA IDs'!$A$2:$K$95,10,0)</f>
        <v>transit</v>
      </c>
      <c r="L126" s="23" t="str">
        <f>VLOOKUP($G126,'PPA IDs'!$A$2:$K$95,11,0)</f>
        <v>com</v>
      </c>
      <c r="M126" s="23" t="str">
        <f t="shared" si="44"/>
        <v>RTFF</v>
      </c>
      <c r="N126" s="23" t="str">
        <f t="shared" si="45"/>
        <v>2050_TM151_PPA_RT_06</v>
      </c>
      <c r="O126" s="23" t="str">
        <f>VLOOKUP($G126,'PPA IDs'!$A$2:$M$95,12,0)</f>
        <v>scenario-baseline</v>
      </c>
      <c r="P126" s="23" t="str">
        <f t="shared" si="46"/>
        <v>2302_Caltrain_12tph\2050_TM151_PPA_RT_06_2302_Caltrain_12tph_00</v>
      </c>
    </row>
    <row r="127" spans="1:16" x14ac:dyDescent="0.25">
      <c r="A127" s="88" t="s">
        <v>597</v>
      </c>
      <c r="B127" s="88" t="s">
        <v>620</v>
      </c>
      <c r="C127" s="85" t="s">
        <v>541</v>
      </c>
      <c r="D127" s="85" t="s">
        <v>250</v>
      </c>
      <c r="E127" s="85" t="s">
        <v>596</v>
      </c>
      <c r="F127" s="23" t="str">
        <f t="shared" si="41"/>
        <v>2050_TM151_PPA_RT_06_2303_Caltrain_16tph_00</v>
      </c>
      <c r="G127" s="84">
        <f t="shared" si="42"/>
        <v>2303</v>
      </c>
      <c r="H127" s="23" t="str">
        <f t="shared" si="43"/>
        <v>2303_00_RT</v>
      </c>
      <c r="I127" s="23" t="str">
        <f>VLOOKUP(G127,'PPA IDs'!$A$2:$B$150,2,0)</f>
        <v>Caltrain PCBB 16tphpd</v>
      </c>
      <c r="J127" s="23" t="str">
        <f>VLOOKUP($G127,'PPA IDs'!$A$2:$K$95,9,0)</f>
        <v>various</v>
      </c>
      <c r="K127" s="23" t="str">
        <f>VLOOKUP($G127,'PPA IDs'!$A$2:$K$95,10,0)</f>
        <v>transit</v>
      </c>
      <c r="L127" s="23" t="str">
        <f>VLOOKUP($G127,'PPA IDs'!$A$2:$K$95,11,0)</f>
        <v>com</v>
      </c>
      <c r="M127" s="23" t="str">
        <f t="shared" si="44"/>
        <v>RTFF</v>
      </c>
      <c r="N127" s="23" t="str">
        <f t="shared" si="45"/>
        <v>2050_TM151_PPA_RT_06</v>
      </c>
      <c r="O127" s="23" t="str">
        <f>VLOOKUP($G127,'PPA IDs'!$A$2:$M$95,12,0)</f>
        <v>scenario-baseline</v>
      </c>
      <c r="P127" s="23" t="str">
        <f t="shared" si="46"/>
        <v>2303_Caltrain_16tph\2050_TM151_PPA_RT_06_2303_Caltrain_16tph_00</v>
      </c>
    </row>
    <row r="128" spans="1:16" x14ac:dyDescent="0.25">
      <c r="A128" s="88" t="s">
        <v>597</v>
      </c>
      <c r="B128" s="88" t="s">
        <v>620</v>
      </c>
      <c r="C128" s="85" t="s">
        <v>645</v>
      </c>
      <c r="D128" s="85" t="s">
        <v>250</v>
      </c>
      <c r="E128" s="85" t="s">
        <v>596</v>
      </c>
      <c r="F128" s="23" t="str">
        <f t="shared" ref="F128:F130" si="53">A128&amp;"_"&amp;D128&amp;"_"&amp;B128&amp;"_"&amp;C128&amp;"_"&amp;E128</f>
        <v>2050_TM151_PPA_RT_06_2101_GearyBRT_Phase2_00</v>
      </c>
      <c r="G128" s="84">
        <f t="shared" ref="G128:G130" si="54">_xlfn.NUMBERVALUE(LEFT(C128,4))</f>
        <v>2101</v>
      </c>
      <c r="H128" s="23" t="str">
        <f t="shared" ref="H128:H130" si="55">G128&amp;"_"&amp;E128&amp;"_"&amp;D128</f>
        <v>2101_00_RT</v>
      </c>
      <c r="I128" s="23" t="str">
        <f>VLOOKUP(G128,'PPA IDs'!$A$2:$B$150,2,0)</f>
        <v>Geary BRT (Phase 2)</v>
      </c>
      <c r="J128" s="23" t="str">
        <f>VLOOKUP($G128,'PPA IDs'!$A$2:$K$95,9,0)</f>
        <v>sf</v>
      </c>
      <c r="K128" s="23" t="str">
        <f>VLOOKUP($G128,'PPA IDs'!$A$2:$K$95,10,0)</f>
        <v>transit</v>
      </c>
      <c r="L128" s="23" t="str">
        <f>VLOOKUP($G128,'PPA IDs'!$A$2:$K$95,11,0)</f>
        <v>loc</v>
      </c>
      <c r="M128" s="23" t="str">
        <f t="shared" ref="M128:M130" si="56">IF(D128="RT","RTFF",IF(D128="CG","CAG","BTTF"))</f>
        <v>RTFF</v>
      </c>
      <c r="N128" s="23" t="str">
        <f t="shared" ref="N128:N130" si="57">A128&amp;"_"&amp;D128&amp;"_"&amp;B128</f>
        <v>2050_TM151_PPA_RT_06</v>
      </c>
      <c r="O128" s="23" t="str">
        <f>VLOOKUP($G128,'PPA IDs'!$A$2:$M$95,12,0)</f>
        <v>scenario-baseline</v>
      </c>
      <c r="P128" s="23" t="str">
        <f t="shared" ref="P128:P130" si="58">C128&amp;"\"&amp;F128</f>
        <v>2101_GearyBRT_Phase2\2050_TM151_PPA_RT_06_2101_GearyBRT_Phase2_00</v>
      </c>
    </row>
    <row r="129" spans="1:16" x14ac:dyDescent="0.25">
      <c r="A129" s="88" t="s">
        <v>597</v>
      </c>
      <c r="B129" s="88" t="s">
        <v>620</v>
      </c>
      <c r="C129" s="66" t="s">
        <v>644</v>
      </c>
      <c r="D129" s="85" t="s">
        <v>250</v>
      </c>
      <c r="E129" s="85" t="s">
        <v>596</v>
      </c>
      <c r="F129" s="23" t="str">
        <f t="shared" si="53"/>
        <v>2050_TM151_PPA_RT_06_2100_SanPablo_BRT_00</v>
      </c>
      <c r="G129" s="84">
        <f t="shared" si="54"/>
        <v>2100</v>
      </c>
      <c r="H129" s="23" t="str">
        <f t="shared" si="55"/>
        <v>2100_00_RT</v>
      </c>
      <c r="I129" s="23" t="str">
        <f>VLOOKUP(G129,'PPA IDs'!$A$2:$B$150,2,0)</f>
        <v>San Pablo BRT</v>
      </c>
      <c r="J129" s="23" t="str">
        <f>VLOOKUP($G129,'PPA IDs'!$A$2:$K$95,9,0)</f>
        <v>various</v>
      </c>
      <c r="K129" s="23" t="str">
        <f>VLOOKUP($G129,'PPA IDs'!$A$2:$K$95,10,0)</f>
        <v>transit</v>
      </c>
      <c r="L129" s="23" t="str">
        <f>VLOOKUP($G129,'PPA IDs'!$A$2:$K$95,11,0)</f>
        <v>loc</v>
      </c>
      <c r="M129" s="23" t="str">
        <f t="shared" si="56"/>
        <v>RTFF</v>
      </c>
      <c r="N129" s="23" t="str">
        <f t="shared" si="57"/>
        <v>2050_TM151_PPA_RT_06</v>
      </c>
      <c r="O129" s="23" t="str">
        <f>VLOOKUP($G129,'PPA IDs'!$A$2:$M$95,12,0)</f>
        <v>scenario-baseline</v>
      </c>
      <c r="P129" s="23" t="str">
        <f t="shared" si="58"/>
        <v>2100_SanPablo_BRT\2050_TM151_PPA_RT_06_2100_SanPablo_BRT_00</v>
      </c>
    </row>
    <row r="130" spans="1:16" x14ac:dyDescent="0.25">
      <c r="A130" s="88" t="s">
        <v>597</v>
      </c>
      <c r="B130" s="88" t="s">
        <v>620</v>
      </c>
      <c r="C130" s="85" t="s">
        <v>593</v>
      </c>
      <c r="D130" s="85" t="s">
        <v>250</v>
      </c>
      <c r="E130" s="85" t="s">
        <v>596</v>
      </c>
      <c r="F130" s="23" t="str">
        <f t="shared" si="53"/>
        <v>2050_TM151_PPA_RT_06_2202_BART_DMU_Brentwood_00</v>
      </c>
      <c r="G130" s="84">
        <f t="shared" si="54"/>
        <v>2202</v>
      </c>
      <c r="H130" s="23" t="str">
        <f t="shared" si="55"/>
        <v>2202_00_RT</v>
      </c>
      <c r="I130" s="23" t="str">
        <f>VLOOKUP(G130,'PPA IDs'!$A$2:$B$150,2,0)</f>
        <v>BART DMU to Brentwood</v>
      </c>
      <c r="J130" s="23" t="str">
        <f>VLOOKUP($G130,'PPA IDs'!$A$2:$K$95,9,0)</f>
        <v>cc</v>
      </c>
      <c r="K130" s="23" t="str">
        <f>VLOOKUP($G130,'PPA IDs'!$A$2:$K$95,10,0)</f>
        <v>transit</v>
      </c>
      <c r="L130" s="23" t="str">
        <f>VLOOKUP($G130,'PPA IDs'!$A$2:$K$95,11,0)</f>
        <v>hvy</v>
      </c>
      <c r="M130" s="23" t="str">
        <f t="shared" si="56"/>
        <v>RTFF</v>
      </c>
      <c r="N130" s="23" t="str">
        <f t="shared" si="57"/>
        <v>2050_TM151_PPA_RT_06</v>
      </c>
      <c r="O130" s="23" t="str">
        <f>VLOOKUP($G130,'PPA IDs'!$A$2:$M$95,12,0)</f>
        <v>scenario-baseline</v>
      </c>
      <c r="P130" s="23" t="str">
        <f t="shared" si="58"/>
        <v>2202_BART_DMU_Brentwood\2050_TM151_PPA_RT_06_2202_BART_DMU_Brentwood_00</v>
      </c>
    </row>
    <row r="131" spans="1:16" x14ac:dyDescent="0.25">
      <c r="A131" s="88" t="s">
        <v>597</v>
      </c>
      <c r="B131" s="88" t="s">
        <v>620</v>
      </c>
      <c r="C131" s="85" t="s">
        <v>635</v>
      </c>
      <c r="D131" s="88" t="s">
        <v>250</v>
      </c>
      <c r="E131" s="88" t="s">
        <v>596</v>
      </c>
      <c r="F131" s="23" t="str">
        <f t="shared" ref="F131" si="59">A131&amp;"_"&amp;D131&amp;"_"&amp;B131&amp;"_"&amp;C131&amp;"_"&amp;E131</f>
        <v>2050_TM151_PPA_RT_06_2201_BART_CoreCap_00</v>
      </c>
      <c r="G131" s="84">
        <f t="shared" ref="G131" si="60">_xlfn.NUMBERVALUE(LEFT(C131,4))</f>
        <v>2201</v>
      </c>
      <c r="H131" s="23" t="str">
        <f t="shared" ref="H131" si="61">G131&amp;"_"&amp;E131&amp;"_"&amp;D131</f>
        <v>2201_00_RT</v>
      </c>
      <c r="I131" s="23" t="str">
        <f>VLOOKUP(G131,'PPA IDs'!$A$2:$B$150,2,0)</f>
        <v>BART Core Capacity</v>
      </c>
      <c r="J131" s="23" t="str">
        <f>VLOOKUP($G131,'PPA IDs'!$A$2:$K$95,9,0)</f>
        <v>various</v>
      </c>
      <c r="K131" s="23" t="str">
        <f>VLOOKUP($G131,'PPA IDs'!$A$2:$K$95,10,0)</f>
        <v>transit</v>
      </c>
      <c r="L131" s="23" t="str">
        <f>VLOOKUP($G131,'PPA IDs'!$A$2:$K$95,11,0)</f>
        <v>hvy</v>
      </c>
      <c r="M131" s="23" t="str">
        <f t="shared" ref="M131" si="62">IF(D131="RT","RTFF",IF(D131="CG","CAG","BTTF"))</f>
        <v>RTFF</v>
      </c>
      <c r="N131" s="23" t="str">
        <f t="shared" ref="N131" si="63">A131&amp;"_"&amp;D131&amp;"_"&amp;B131</f>
        <v>2050_TM151_PPA_RT_06</v>
      </c>
      <c r="O131" s="23" t="str">
        <f>VLOOKUP($G131,'PPA IDs'!$A$2:$M$95,12,0)</f>
        <v>scenario-baseline</v>
      </c>
      <c r="P131" s="23" t="str">
        <f t="shared" ref="P131" si="64">C131&amp;"\"&amp;F131</f>
        <v>2201_BART_CoreCap\2050_TM151_PPA_RT_06_2201_BART_CoreCap_00</v>
      </c>
    </row>
    <row r="132" spans="1:16" x14ac:dyDescent="0.25">
      <c r="A132" s="88" t="s">
        <v>597</v>
      </c>
      <c r="B132" s="88" t="s">
        <v>620</v>
      </c>
      <c r="C132" s="66" t="s">
        <v>646</v>
      </c>
      <c r="D132" s="85" t="s">
        <v>250</v>
      </c>
      <c r="E132" s="85" t="s">
        <v>596</v>
      </c>
      <c r="F132" s="23" t="str">
        <f t="shared" ref="F132:F136" si="65">A132&amp;"_"&amp;D132&amp;"_"&amp;B132&amp;"_"&amp;C132&amp;"_"&amp;E132</f>
        <v>2050_TM151_PPA_RT_06_3100_SR_239_00</v>
      </c>
      <c r="G132" s="84">
        <f t="shared" ref="G132:G136" si="66">_xlfn.NUMBERVALUE(LEFT(C132,4))</f>
        <v>3100</v>
      </c>
      <c r="H132" s="23" t="str">
        <f t="shared" ref="H132:H136" si="67">G132&amp;"_"&amp;E132&amp;"_"&amp;D132</f>
        <v>3100_00_RT</v>
      </c>
      <c r="I132" s="23" t="str">
        <f>VLOOKUP(G132,'PPA IDs'!$A$2:$B$150,2,0)</f>
        <v>SR-239</v>
      </c>
      <c r="J132" s="23" t="str">
        <f>VLOOKUP($G132,'PPA IDs'!$A$2:$K$95,9,0)</f>
        <v>cc</v>
      </c>
      <c r="K132" s="23" t="str">
        <f>VLOOKUP($G132,'PPA IDs'!$A$2:$K$95,10,0)</f>
        <v>road</v>
      </c>
      <c r="L132" s="23" t="str">
        <f>VLOOKUP($G132,'PPA IDs'!$A$2:$K$95,11,0)</f>
        <v>road</v>
      </c>
      <c r="M132" s="23" t="str">
        <f t="shared" ref="M132:M136" si="68">IF(D132="RT","RTFF",IF(D132="CG","CAG","BTTF"))</f>
        <v>RTFF</v>
      </c>
      <c r="N132" s="23" t="str">
        <f t="shared" ref="N132:N136" si="69">A132&amp;"_"&amp;D132&amp;"_"&amp;B132</f>
        <v>2050_TM151_PPA_RT_06</v>
      </c>
      <c r="O132" s="23" t="str">
        <f>VLOOKUP($G132,'PPA IDs'!$A$2:$M$95,12,0)</f>
        <v>scenario-baseline</v>
      </c>
      <c r="P132" s="23" t="str">
        <f t="shared" ref="P132:P136" si="70">C132&amp;"\"&amp;F132</f>
        <v>3100_SR_239\2050_TM151_PPA_RT_06_3100_SR_239_00</v>
      </c>
    </row>
    <row r="133" spans="1:16" x14ac:dyDescent="0.25">
      <c r="A133" s="89" t="s">
        <v>597</v>
      </c>
      <c r="B133" s="89" t="s">
        <v>620</v>
      </c>
      <c r="C133" s="86" t="s">
        <v>592</v>
      </c>
      <c r="D133" s="86" t="s">
        <v>250</v>
      </c>
      <c r="E133" s="86" t="s">
        <v>596</v>
      </c>
      <c r="F133" s="90" t="str">
        <f t="shared" si="65"/>
        <v>2050_TM151_PPA_RT_06_3102_SR4_Op_00</v>
      </c>
      <c r="G133" s="91">
        <f t="shared" si="66"/>
        <v>3102</v>
      </c>
      <c r="H133" s="90" t="str">
        <f t="shared" si="67"/>
        <v>3102_00_RT</v>
      </c>
      <c r="I133" s="90" t="str">
        <f>VLOOKUP(G133,'PPA IDs'!$A$2:$B$150,2,0)</f>
        <v>SR-4 Operational Improvements</v>
      </c>
      <c r="J133" s="90" t="str">
        <f>VLOOKUP($G133,'PPA IDs'!$A$2:$K$95,9,0)</f>
        <v>cc</v>
      </c>
      <c r="K133" s="90" t="str">
        <f>VLOOKUP($G133,'PPA IDs'!$A$2:$K$95,10,0)</f>
        <v>road</v>
      </c>
      <c r="L133" s="90" t="str">
        <f>VLOOKUP($G133,'PPA IDs'!$A$2:$K$95,11,0)</f>
        <v>road</v>
      </c>
      <c r="M133" s="90" t="str">
        <f t="shared" si="68"/>
        <v>RTFF</v>
      </c>
      <c r="N133" s="90" t="str">
        <f t="shared" si="69"/>
        <v>2050_TM151_PPA_RT_06</v>
      </c>
      <c r="O133" s="90" t="str">
        <f>VLOOKUP($G133,'PPA IDs'!$A$2:$M$95,12,0)</f>
        <v>scenario-baseline</v>
      </c>
      <c r="P133" s="90" t="str">
        <f t="shared" si="70"/>
        <v>3102_SR4_Op\2050_TM151_PPA_RT_06_3102_SR4_Op_00</v>
      </c>
    </row>
    <row r="134" spans="1:16" x14ac:dyDescent="0.25">
      <c r="A134" s="94" t="s">
        <v>597</v>
      </c>
      <c r="B134" s="95" t="s">
        <v>652</v>
      </c>
      <c r="C134" s="94" t="s">
        <v>541</v>
      </c>
      <c r="D134" s="94" t="s">
        <v>250</v>
      </c>
      <c r="E134" s="94" t="s">
        <v>596</v>
      </c>
      <c r="F134" s="96" t="str">
        <f t="shared" si="65"/>
        <v>2050_TM151_PPA_RT_07_2303_Caltrain_16tph_00</v>
      </c>
      <c r="G134" s="97">
        <f t="shared" si="66"/>
        <v>2303</v>
      </c>
      <c r="H134" s="96" t="str">
        <f t="shared" si="67"/>
        <v>2303_00_RT</v>
      </c>
      <c r="I134" s="96" t="str">
        <f>VLOOKUP(G134,'PPA IDs'!$A$2:$B$150,2,0)</f>
        <v>Caltrain PCBB 16tphpd</v>
      </c>
      <c r="J134" s="96" t="str">
        <f>VLOOKUP($G134,'PPA IDs'!$A$2:$K$95,9,0)</f>
        <v>various</v>
      </c>
      <c r="K134" s="96" t="str">
        <f>VLOOKUP($G134,'PPA IDs'!$A$2:$K$95,10,0)</f>
        <v>transit</v>
      </c>
      <c r="L134" s="96" t="str">
        <f>VLOOKUP($G134,'PPA IDs'!$A$2:$K$95,11,0)</f>
        <v>com</v>
      </c>
      <c r="M134" s="96" t="str">
        <f t="shared" si="68"/>
        <v>RTFF</v>
      </c>
      <c r="N134" s="96" t="str">
        <f t="shared" si="69"/>
        <v>2050_TM151_PPA_RT_07</v>
      </c>
      <c r="O134" s="96" t="str">
        <f>VLOOKUP($G134,'PPA IDs'!$A$2:$M$95,12,0)</f>
        <v>scenario-baseline</v>
      </c>
      <c r="P134" s="96" t="str">
        <f t="shared" si="70"/>
        <v>2303_Caltrain_16tph\2050_TM151_PPA_RT_07_2303_Caltrain_16tph_00</v>
      </c>
    </row>
    <row r="135" spans="1:16" x14ac:dyDescent="0.25">
      <c r="A135" s="85" t="s">
        <v>597</v>
      </c>
      <c r="B135" s="88" t="s">
        <v>652</v>
      </c>
      <c r="C135" s="85" t="s">
        <v>541</v>
      </c>
      <c r="D135" s="85" t="s">
        <v>249</v>
      </c>
      <c r="E135" s="85" t="s">
        <v>596</v>
      </c>
      <c r="F135" s="23" t="str">
        <f t="shared" si="65"/>
        <v>2050_TM151_PPA_CG_07_2303_Caltrain_16tph_00</v>
      </c>
      <c r="G135" s="84">
        <f t="shared" si="66"/>
        <v>2303</v>
      </c>
      <c r="H135" s="23" t="str">
        <f t="shared" si="67"/>
        <v>2303_00_CG</v>
      </c>
      <c r="I135" s="23" t="str">
        <f>VLOOKUP(G135,'PPA IDs'!$A$2:$B$150,2,0)</f>
        <v>Caltrain PCBB 16tphpd</v>
      </c>
      <c r="J135" s="23" t="str">
        <f>VLOOKUP($G135,'PPA IDs'!$A$2:$K$95,9,0)</f>
        <v>various</v>
      </c>
      <c r="K135" s="23" t="str">
        <f>VLOOKUP($G135,'PPA IDs'!$A$2:$K$95,10,0)</f>
        <v>transit</v>
      </c>
      <c r="L135" s="23" t="str">
        <f>VLOOKUP($G135,'PPA IDs'!$A$2:$K$95,11,0)</f>
        <v>com</v>
      </c>
      <c r="M135" s="23" t="str">
        <f t="shared" si="68"/>
        <v>CAG</v>
      </c>
      <c r="N135" s="23" t="str">
        <f t="shared" si="69"/>
        <v>2050_TM151_PPA_CG_07</v>
      </c>
      <c r="O135" s="23" t="str">
        <f>VLOOKUP($G135,'PPA IDs'!$A$2:$M$95,12,0)</f>
        <v>scenario-baseline</v>
      </c>
      <c r="P135" s="23" t="str">
        <f t="shared" si="70"/>
        <v>2303_Caltrain_16tph\2050_TM151_PPA_CG_07_2303_Caltrain_16tph_00</v>
      </c>
    </row>
    <row r="136" spans="1:16" x14ac:dyDescent="0.25">
      <c r="A136" s="85" t="s">
        <v>597</v>
      </c>
      <c r="B136" s="88" t="s">
        <v>652</v>
      </c>
      <c r="C136" s="85" t="s">
        <v>541</v>
      </c>
      <c r="D136" s="85" t="s">
        <v>251</v>
      </c>
      <c r="E136" s="85" t="s">
        <v>596</v>
      </c>
      <c r="F136" s="23" t="str">
        <f t="shared" si="65"/>
        <v>2050_TM151_PPA_BF_07_2303_Caltrain_16tph_00</v>
      </c>
      <c r="G136" s="84">
        <f t="shared" si="66"/>
        <v>2303</v>
      </c>
      <c r="H136" s="23" t="str">
        <f t="shared" si="67"/>
        <v>2303_00_BF</v>
      </c>
      <c r="I136" s="23" t="str">
        <f>VLOOKUP(G136,'PPA IDs'!$A$2:$B$150,2,0)</f>
        <v>Caltrain PCBB 16tphpd</v>
      </c>
      <c r="J136" s="23" t="str">
        <f>VLOOKUP($G136,'PPA IDs'!$A$2:$K$95,9,0)</f>
        <v>various</v>
      </c>
      <c r="K136" s="23" t="str">
        <f>VLOOKUP($G136,'PPA IDs'!$A$2:$K$95,10,0)</f>
        <v>transit</v>
      </c>
      <c r="L136" s="23" t="str">
        <f>VLOOKUP($G136,'PPA IDs'!$A$2:$K$95,11,0)</f>
        <v>com</v>
      </c>
      <c r="M136" s="23" t="str">
        <f t="shared" si="68"/>
        <v>BTTF</v>
      </c>
      <c r="N136" s="23" t="str">
        <f t="shared" si="69"/>
        <v>2050_TM151_PPA_BF_07</v>
      </c>
      <c r="O136" s="23" t="str">
        <f>VLOOKUP($G136,'PPA IDs'!$A$2:$M$95,12,0)</f>
        <v>scenario-baseline</v>
      </c>
      <c r="P136" s="23" t="str">
        <f t="shared" si="70"/>
        <v>2303_Caltrain_16tph\2050_TM151_PPA_BF_07_2303_Caltrain_16tph_00</v>
      </c>
    </row>
    <row r="137" spans="1:16" x14ac:dyDescent="0.25">
      <c r="A137" s="85" t="s">
        <v>597</v>
      </c>
      <c r="B137" s="88" t="s">
        <v>652</v>
      </c>
      <c r="C137" s="85" t="s">
        <v>635</v>
      </c>
      <c r="D137" s="85" t="s">
        <v>250</v>
      </c>
      <c r="E137" s="85" t="s">
        <v>596</v>
      </c>
      <c r="F137" s="23" t="str">
        <f t="shared" ref="F137:F145" si="71">A137&amp;"_"&amp;D137&amp;"_"&amp;B137&amp;"_"&amp;C137&amp;"_"&amp;E137</f>
        <v>2050_TM151_PPA_RT_07_2201_BART_CoreCap_00</v>
      </c>
      <c r="G137" s="84">
        <f t="shared" ref="G137:G145" si="72">_xlfn.NUMBERVALUE(LEFT(C137,4))</f>
        <v>2201</v>
      </c>
      <c r="H137" s="23" t="str">
        <f t="shared" ref="H137:H145" si="73">G137&amp;"_"&amp;E137&amp;"_"&amp;D137</f>
        <v>2201_00_RT</v>
      </c>
      <c r="I137" s="23" t="str">
        <f>VLOOKUP(G137,'PPA IDs'!$A$2:$B$150,2,0)</f>
        <v>BART Core Capacity</v>
      </c>
      <c r="J137" s="23" t="str">
        <f>VLOOKUP($G137,'PPA IDs'!$A$2:$K$95,9,0)</f>
        <v>various</v>
      </c>
      <c r="K137" s="23" t="str">
        <f>VLOOKUP($G137,'PPA IDs'!$A$2:$K$95,10,0)</f>
        <v>transit</v>
      </c>
      <c r="L137" s="23" t="str">
        <f>VLOOKUP($G137,'PPA IDs'!$A$2:$K$95,11,0)</f>
        <v>hvy</v>
      </c>
      <c r="M137" s="23" t="str">
        <f t="shared" ref="M137:M145" si="74">IF(D137="RT","RTFF",IF(D137="CG","CAG","BTTF"))</f>
        <v>RTFF</v>
      </c>
      <c r="N137" s="23" t="str">
        <f t="shared" ref="N137:N145" si="75">A137&amp;"_"&amp;D137&amp;"_"&amp;B137</f>
        <v>2050_TM151_PPA_RT_07</v>
      </c>
      <c r="O137" s="23" t="str">
        <f>VLOOKUP($G137,'PPA IDs'!$A$2:$M$95,12,0)</f>
        <v>scenario-baseline</v>
      </c>
      <c r="P137" s="23" t="str">
        <f t="shared" ref="P137:P145" si="76">C137&amp;"\"&amp;F137</f>
        <v>2201_BART_CoreCap\2050_TM151_PPA_RT_07_2201_BART_CoreCap_00</v>
      </c>
    </row>
    <row r="138" spans="1:16" x14ac:dyDescent="0.25">
      <c r="A138" s="85" t="s">
        <v>597</v>
      </c>
      <c r="B138" s="88" t="s">
        <v>652</v>
      </c>
      <c r="C138" s="85" t="s">
        <v>635</v>
      </c>
      <c r="D138" s="85" t="s">
        <v>249</v>
      </c>
      <c r="E138" s="85" t="s">
        <v>596</v>
      </c>
      <c r="F138" s="23" t="str">
        <f t="shared" si="71"/>
        <v>2050_TM151_PPA_CG_07_2201_BART_CoreCap_00</v>
      </c>
      <c r="G138" s="84">
        <f t="shared" si="72"/>
        <v>2201</v>
      </c>
      <c r="H138" s="23" t="str">
        <f t="shared" si="73"/>
        <v>2201_00_CG</v>
      </c>
      <c r="I138" s="23" t="str">
        <f>VLOOKUP(G138,'PPA IDs'!$A$2:$B$150,2,0)</f>
        <v>BART Core Capacity</v>
      </c>
      <c r="J138" s="23" t="str">
        <f>VLOOKUP($G138,'PPA IDs'!$A$2:$K$95,9,0)</f>
        <v>various</v>
      </c>
      <c r="K138" s="23" t="str">
        <f>VLOOKUP($G138,'PPA IDs'!$A$2:$K$95,10,0)</f>
        <v>transit</v>
      </c>
      <c r="L138" s="23" t="str">
        <f>VLOOKUP($G138,'PPA IDs'!$A$2:$K$95,11,0)</f>
        <v>hvy</v>
      </c>
      <c r="M138" s="23" t="str">
        <f t="shared" si="74"/>
        <v>CAG</v>
      </c>
      <c r="N138" s="23" t="str">
        <f t="shared" si="75"/>
        <v>2050_TM151_PPA_CG_07</v>
      </c>
      <c r="O138" s="23" t="str">
        <f>VLOOKUP($G138,'PPA IDs'!$A$2:$M$95,12,0)</f>
        <v>scenario-baseline</v>
      </c>
      <c r="P138" s="23" t="str">
        <f t="shared" si="76"/>
        <v>2201_BART_CoreCap\2050_TM151_PPA_CG_07_2201_BART_CoreCap_00</v>
      </c>
    </row>
    <row r="139" spans="1:16" x14ac:dyDescent="0.25">
      <c r="A139" s="85" t="s">
        <v>597</v>
      </c>
      <c r="B139" s="88" t="s">
        <v>652</v>
      </c>
      <c r="C139" s="85" t="s">
        <v>635</v>
      </c>
      <c r="D139" s="85" t="s">
        <v>251</v>
      </c>
      <c r="E139" s="85" t="s">
        <v>596</v>
      </c>
      <c r="F139" s="23" t="str">
        <f t="shared" si="71"/>
        <v>2050_TM151_PPA_BF_07_2201_BART_CoreCap_00</v>
      </c>
      <c r="G139" s="84">
        <f t="shared" si="72"/>
        <v>2201</v>
      </c>
      <c r="H139" s="23" t="str">
        <f t="shared" si="73"/>
        <v>2201_00_BF</v>
      </c>
      <c r="I139" s="23" t="str">
        <f>VLOOKUP(G139,'PPA IDs'!$A$2:$B$150,2,0)</f>
        <v>BART Core Capacity</v>
      </c>
      <c r="J139" s="23" t="str">
        <f>VLOOKUP($G139,'PPA IDs'!$A$2:$K$95,9,0)</f>
        <v>various</v>
      </c>
      <c r="K139" s="23" t="str">
        <f>VLOOKUP($G139,'PPA IDs'!$A$2:$K$95,10,0)</f>
        <v>transit</v>
      </c>
      <c r="L139" s="23" t="str">
        <f>VLOOKUP($G139,'PPA IDs'!$A$2:$K$95,11,0)</f>
        <v>hvy</v>
      </c>
      <c r="M139" s="23" t="str">
        <f t="shared" si="74"/>
        <v>BTTF</v>
      </c>
      <c r="N139" s="23" t="str">
        <f t="shared" si="75"/>
        <v>2050_TM151_PPA_BF_07</v>
      </c>
      <c r="O139" s="23" t="str">
        <f>VLOOKUP($G139,'PPA IDs'!$A$2:$M$95,12,0)</f>
        <v>scenario-baseline</v>
      </c>
      <c r="P139" s="23" t="str">
        <f t="shared" si="76"/>
        <v>2201_BART_CoreCap\2050_TM151_PPA_BF_07_2201_BART_CoreCap_00</v>
      </c>
    </row>
    <row r="140" spans="1:16" x14ac:dyDescent="0.25">
      <c r="A140" s="85" t="s">
        <v>597</v>
      </c>
      <c r="B140" s="88" t="s">
        <v>652</v>
      </c>
      <c r="C140" s="85" t="s">
        <v>658</v>
      </c>
      <c r="D140" s="85" t="s">
        <v>250</v>
      </c>
      <c r="E140" s="85" t="s">
        <v>616</v>
      </c>
      <c r="F140" s="23" t="str">
        <f t="shared" si="71"/>
        <v>2050_TM151_PPA_RT_07_2306_Dumbarton_Rail_02</v>
      </c>
      <c r="G140" s="84">
        <f t="shared" si="72"/>
        <v>2306</v>
      </c>
      <c r="H140" s="23" t="str">
        <f t="shared" si="73"/>
        <v>2306_02_RT</v>
      </c>
      <c r="I140" s="23" t="str">
        <f>VLOOKUP(G140,'PPA IDs'!$A$2:$B$150,2,0)</f>
        <v>Dumbarton Rail (Redwood City to Union City)</v>
      </c>
      <c r="J140" s="23" t="str">
        <f>VLOOKUP($G140,'PPA IDs'!$A$2:$K$95,9,0)</f>
        <v>various</v>
      </c>
      <c r="K140" s="23" t="str">
        <f>VLOOKUP($G140,'PPA IDs'!$A$2:$K$95,10,0)</f>
        <v>transit</v>
      </c>
      <c r="L140" s="23" t="str">
        <f>VLOOKUP($G140,'PPA IDs'!$A$2:$K$95,11,0)</f>
        <v>com</v>
      </c>
      <c r="M140" s="23" t="str">
        <f t="shared" si="74"/>
        <v>RTFF</v>
      </c>
      <c r="N140" s="23" t="str">
        <f t="shared" si="75"/>
        <v>2050_TM151_PPA_RT_07</v>
      </c>
      <c r="O140" s="23" t="str">
        <f>VLOOKUP($G140,'PPA IDs'!$A$2:$M$95,12,0)</f>
        <v>scenario-baseline</v>
      </c>
      <c r="P140" s="23" t="str">
        <f t="shared" si="76"/>
        <v>2306_Dumbarton_Rail\2050_TM151_PPA_RT_07_2306_Dumbarton_Rail_02</v>
      </c>
    </row>
    <row r="141" spans="1:16" x14ac:dyDescent="0.25">
      <c r="A141" s="85" t="s">
        <v>597</v>
      </c>
      <c r="B141" s="88" t="s">
        <v>652</v>
      </c>
      <c r="C141" s="85" t="s">
        <v>658</v>
      </c>
      <c r="D141" s="85" t="s">
        <v>249</v>
      </c>
      <c r="E141" s="88" t="s">
        <v>618</v>
      </c>
      <c r="F141" s="23" t="str">
        <f t="shared" si="71"/>
        <v>2050_TM151_PPA_CG_07_2306_Dumbarton_Rail_01</v>
      </c>
      <c r="G141" s="84">
        <f t="shared" si="72"/>
        <v>2306</v>
      </c>
      <c r="H141" s="23" t="str">
        <f t="shared" si="73"/>
        <v>2306_01_CG</v>
      </c>
      <c r="I141" s="23" t="str">
        <f>VLOOKUP(G141,'PPA IDs'!$A$2:$B$150,2,0)</f>
        <v>Dumbarton Rail (Redwood City to Union City)</v>
      </c>
      <c r="J141" s="23" t="str">
        <f>VLOOKUP($G141,'PPA IDs'!$A$2:$K$95,9,0)</f>
        <v>various</v>
      </c>
      <c r="K141" s="23" t="str">
        <f>VLOOKUP($G141,'PPA IDs'!$A$2:$K$95,10,0)</f>
        <v>transit</v>
      </c>
      <c r="L141" s="23" t="str">
        <f>VLOOKUP($G141,'PPA IDs'!$A$2:$K$95,11,0)</f>
        <v>com</v>
      </c>
      <c r="M141" s="23" t="str">
        <f t="shared" si="74"/>
        <v>CAG</v>
      </c>
      <c r="N141" s="23" t="str">
        <f t="shared" si="75"/>
        <v>2050_TM151_PPA_CG_07</v>
      </c>
      <c r="O141" s="23" t="str">
        <f>VLOOKUP($G141,'PPA IDs'!$A$2:$M$95,12,0)</f>
        <v>scenario-baseline</v>
      </c>
      <c r="P141" s="23" t="str">
        <f t="shared" si="76"/>
        <v>2306_Dumbarton_Rail\2050_TM151_PPA_CG_07_2306_Dumbarton_Rail_01</v>
      </c>
    </row>
    <row r="142" spans="1:16" x14ac:dyDescent="0.25">
      <c r="A142" s="85" t="s">
        <v>597</v>
      </c>
      <c r="B142" s="88" t="s">
        <v>652</v>
      </c>
      <c r="C142" s="85" t="s">
        <v>658</v>
      </c>
      <c r="D142" s="85" t="s">
        <v>251</v>
      </c>
      <c r="E142" s="85" t="s">
        <v>616</v>
      </c>
      <c r="F142" s="23" t="str">
        <f t="shared" si="71"/>
        <v>2050_TM151_PPA_BF_07_2306_Dumbarton_Rail_02</v>
      </c>
      <c r="G142" s="84">
        <f t="shared" si="72"/>
        <v>2306</v>
      </c>
      <c r="H142" s="23" t="str">
        <f t="shared" si="73"/>
        <v>2306_02_BF</v>
      </c>
      <c r="I142" s="23" t="str">
        <f>VLOOKUP(G142,'PPA IDs'!$A$2:$B$150,2,0)</f>
        <v>Dumbarton Rail (Redwood City to Union City)</v>
      </c>
      <c r="J142" s="23" t="str">
        <f>VLOOKUP($G142,'PPA IDs'!$A$2:$K$95,9,0)</f>
        <v>various</v>
      </c>
      <c r="K142" s="23" t="str">
        <f>VLOOKUP($G142,'PPA IDs'!$A$2:$K$95,10,0)</f>
        <v>transit</v>
      </c>
      <c r="L142" s="23" t="str">
        <f>VLOOKUP($G142,'PPA IDs'!$A$2:$K$95,11,0)</f>
        <v>com</v>
      </c>
      <c r="M142" s="23" t="str">
        <f t="shared" si="74"/>
        <v>BTTF</v>
      </c>
      <c r="N142" s="23" t="str">
        <f t="shared" si="75"/>
        <v>2050_TM151_PPA_BF_07</v>
      </c>
      <c r="O142" s="23" t="str">
        <f>VLOOKUP($G142,'PPA IDs'!$A$2:$M$95,12,0)</f>
        <v>scenario-baseline</v>
      </c>
      <c r="P142" s="23" t="str">
        <f t="shared" si="76"/>
        <v>2306_Dumbarton_Rail\2050_TM151_PPA_BF_07_2306_Dumbarton_Rail_02</v>
      </c>
    </row>
    <row r="143" spans="1:16" x14ac:dyDescent="0.25">
      <c r="A143" s="85" t="s">
        <v>597</v>
      </c>
      <c r="B143" s="88" t="s">
        <v>652</v>
      </c>
      <c r="C143" s="85" t="s">
        <v>657</v>
      </c>
      <c r="D143" s="85" t="s">
        <v>250</v>
      </c>
      <c r="E143" s="85" t="s">
        <v>596</v>
      </c>
      <c r="F143" s="23" t="str">
        <f t="shared" si="71"/>
        <v>2050_TM151_PPA_RT_07_2308_Valley_Link_00</v>
      </c>
      <c r="G143" s="84">
        <f t="shared" si="72"/>
        <v>2308</v>
      </c>
      <c r="H143" s="23" t="str">
        <f t="shared" si="73"/>
        <v>2308_00_RT</v>
      </c>
      <c r="I143" s="23" t="str">
        <f>VLOOKUP(G143,'PPA IDs'!$A$2:$B$150,2,0)</f>
        <v>Valley Link (Dublin to San Joaquin Valley)</v>
      </c>
      <c r="J143" s="23" t="str">
        <f>VLOOKUP($G143,'PPA IDs'!$A$2:$K$95,9,0)</f>
        <v>ala</v>
      </c>
      <c r="K143" s="23" t="str">
        <f>VLOOKUP($G143,'PPA IDs'!$A$2:$K$95,10,0)</f>
        <v>transit</v>
      </c>
      <c r="L143" s="23" t="str">
        <f>VLOOKUP($G143,'PPA IDs'!$A$2:$K$95,11,0)</f>
        <v>com</v>
      </c>
      <c r="M143" s="23" t="str">
        <f t="shared" si="74"/>
        <v>RTFF</v>
      </c>
      <c r="N143" s="23" t="str">
        <f t="shared" si="75"/>
        <v>2050_TM151_PPA_RT_07</v>
      </c>
      <c r="O143" s="23" t="str">
        <f>VLOOKUP($G143,'PPA IDs'!$A$2:$M$95,12,0)</f>
        <v>scenario-baseline</v>
      </c>
      <c r="P143" s="23" t="str">
        <f t="shared" si="76"/>
        <v>2308_Valley_Link\2050_TM151_PPA_RT_07_2308_Valley_Link_00</v>
      </c>
    </row>
    <row r="144" spans="1:16" x14ac:dyDescent="0.25">
      <c r="A144" s="85" t="s">
        <v>597</v>
      </c>
      <c r="B144" s="88" t="s">
        <v>652</v>
      </c>
      <c r="C144" s="85" t="s">
        <v>657</v>
      </c>
      <c r="D144" s="85" t="s">
        <v>249</v>
      </c>
      <c r="E144" s="85" t="s">
        <v>596</v>
      </c>
      <c r="F144" s="23" t="str">
        <f t="shared" si="71"/>
        <v>2050_TM151_PPA_CG_07_2308_Valley_Link_00</v>
      </c>
      <c r="G144" s="84">
        <f t="shared" si="72"/>
        <v>2308</v>
      </c>
      <c r="H144" s="23" t="str">
        <f t="shared" si="73"/>
        <v>2308_00_CG</v>
      </c>
      <c r="I144" s="23" t="str">
        <f>VLOOKUP(G144,'PPA IDs'!$A$2:$B$150,2,0)</f>
        <v>Valley Link (Dublin to San Joaquin Valley)</v>
      </c>
      <c r="J144" s="23" t="str">
        <f>VLOOKUP($G144,'PPA IDs'!$A$2:$K$95,9,0)</f>
        <v>ala</v>
      </c>
      <c r="K144" s="23" t="str">
        <f>VLOOKUP($G144,'PPA IDs'!$A$2:$K$95,10,0)</f>
        <v>transit</v>
      </c>
      <c r="L144" s="23" t="str">
        <f>VLOOKUP($G144,'PPA IDs'!$A$2:$K$95,11,0)</f>
        <v>com</v>
      </c>
      <c r="M144" s="23" t="str">
        <f t="shared" si="74"/>
        <v>CAG</v>
      </c>
      <c r="N144" s="23" t="str">
        <f t="shared" si="75"/>
        <v>2050_TM151_PPA_CG_07</v>
      </c>
      <c r="O144" s="23" t="str">
        <f>VLOOKUP($G144,'PPA IDs'!$A$2:$M$95,12,0)</f>
        <v>scenario-baseline</v>
      </c>
      <c r="P144" s="23" t="str">
        <f t="shared" si="76"/>
        <v>2308_Valley_Link\2050_TM151_PPA_CG_07_2308_Valley_Link_00</v>
      </c>
    </row>
    <row r="145" spans="1:16" x14ac:dyDescent="0.25">
      <c r="A145" s="86" t="s">
        <v>597</v>
      </c>
      <c r="B145" s="89" t="s">
        <v>652</v>
      </c>
      <c r="C145" s="86" t="s">
        <v>657</v>
      </c>
      <c r="D145" s="86" t="s">
        <v>251</v>
      </c>
      <c r="E145" s="86" t="s">
        <v>596</v>
      </c>
      <c r="F145" s="90" t="str">
        <f t="shared" si="71"/>
        <v>2050_TM151_PPA_BF_07_2308_Valley_Link_00</v>
      </c>
      <c r="G145" s="91">
        <f t="shared" si="72"/>
        <v>2308</v>
      </c>
      <c r="H145" s="90" t="str">
        <f t="shared" si="73"/>
        <v>2308_00_BF</v>
      </c>
      <c r="I145" s="90" t="str">
        <f>VLOOKUP(G145,'PPA IDs'!$A$2:$B$150,2,0)</f>
        <v>Valley Link (Dublin to San Joaquin Valley)</v>
      </c>
      <c r="J145" s="90" t="str">
        <f>VLOOKUP($G145,'PPA IDs'!$A$2:$K$95,9,0)</f>
        <v>ala</v>
      </c>
      <c r="K145" s="90" t="str">
        <f>VLOOKUP($G145,'PPA IDs'!$A$2:$K$95,10,0)</f>
        <v>transit</v>
      </c>
      <c r="L145" s="90" t="str">
        <f>VLOOKUP($G145,'PPA IDs'!$A$2:$K$95,11,0)</f>
        <v>com</v>
      </c>
      <c r="M145" s="90" t="str">
        <f t="shared" si="74"/>
        <v>BTTF</v>
      </c>
      <c r="N145" s="90" t="str">
        <f t="shared" si="75"/>
        <v>2050_TM151_PPA_BF_07</v>
      </c>
      <c r="O145" s="90" t="str">
        <f>VLOOKUP($G145,'PPA IDs'!$A$2:$M$95,12,0)</f>
        <v>scenario-baseline</v>
      </c>
      <c r="P145" s="90" t="str">
        <f t="shared" si="76"/>
        <v>2308_Valley_Link\2050_TM151_PPA_BF_07_2308_Valley_Link_00</v>
      </c>
    </row>
    <row r="146" spans="1:16" x14ac:dyDescent="0.25">
      <c r="A146" s="85" t="s">
        <v>597</v>
      </c>
      <c r="B146" s="88" t="s">
        <v>652</v>
      </c>
      <c r="C146" s="85" t="s">
        <v>644</v>
      </c>
      <c r="D146" s="85" t="s">
        <v>250</v>
      </c>
      <c r="E146" s="85" t="s">
        <v>596</v>
      </c>
      <c r="F146" s="23" t="str">
        <f t="shared" ref="F146" si="77">A146&amp;"_"&amp;D146&amp;"_"&amp;B146&amp;"_"&amp;C146&amp;"_"&amp;E146</f>
        <v>2050_TM151_PPA_RT_07_2100_SanPablo_BRT_00</v>
      </c>
      <c r="G146" s="84">
        <f t="shared" ref="G146" si="78">_xlfn.NUMBERVALUE(LEFT(C146,4))</f>
        <v>2100</v>
      </c>
      <c r="H146" s="23" t="str">
        <f t="shared" ref="H146" si="79">G146&amp;"_"&amp;E146&amp;"_"&amp;D146</f>
        <v>2100_00_RT</v>
      </c>
      <c r="I146" s="23" t="str">
        <f>VLOOKUP(G146,'PPA IDs'!$A$2:$B$150,2,0)</f>
        <v>San Pablo BRT</v>
      </c>
      <c r="J146" s="23" t="str">
        <f>VLOOKUP($G146,'PPA IDs'!$A$2:$K$95,9,0)</f>
        <v>various</v>
      </c>
      <c r="K146" s="23" t="str">
        <f>VLOOKUP($G146,'PPA IDs'!$A$2:$K$95,10,0)</f>
        <v>transit</v>
      </c>
      <c r="L146" s="23" t="str">
        <f>VLOOKUP($G146,'PPA IDs'!$A$2:$K$95,11,0)</f>
        <v>loc</v>
      </c>
      <c r="M146" s="23" t="str">
        <f t="shared" ref="M146" si="80">IF(D146="RT","RTFF",IF(D146="CG","CAG","BTTF"))</f>
        <v>RTFF</v>
      </c>
      <c r="N146" s="23" t="str">
        <f t="shared" ref="N146" si="81">A146&amp;"_"&amp;D146&amp;"_"&amp;B146</f>
        <v>2050_TM151_PPA_RT_07</v>
      </c>
      <c r="O146" s="23" t="str">
        <f>VLOOKUP($G146,'PPA IDs'!$A$2:$M$95,12,0)</f>
        <v>scenario-baseline</v>
      </c>
      <c r="P146" s="23" t="str">
        <f t="shared" ref="P146" si="82">C146&amp;"\"&amp;F146</f>
        <v>2100_SanPablo_BRT\2050_TM151_PPA_RT_07_2100_SanPablo_BRT_00</v>
      </c>
    </row>
    <row r="147" spans="1:16" x14ac:dyDescent="0.25">
      <c r="A147" s="85" t="s">
        <v>597</v>
      </c>
      <c r="B147" s="88" t="s">
        <v>652</v>
      </c>
      <c r="C147" s="85" t="s">
        <v>628</v>
      </c>
      <c r="D147" s="85" t="s">
        <v>250</v>
      </c>
      <c r="E147" s="85" t="s">
        <v>596</v>
      </c>
      <c r="F147" s="23" t="str">
        <f t="shared" ref="F147:F162" si="83">A147&amp;"_"&amp;D147&amp;"_"&amp;B147&amp;"_"&amp;C147&amp;"_"&amp;E147</f>
        <v>2050_TM151_PPA_RT_07_2101_Geary_BRT_Phase2_00</v>
      </c>
      <c r="G147" s="84">
        <f t="shared" ref="G147:G162" si="84">_xlfn.NUMBERVALUE(LEFT(C147,4))</f>
        <v>2101</v>
      </c>
      <c r="H147" s="23" t="str">
        <f t="shared" ref="H147:H162" si="85">G147&amp;"_"&amp;E147&amp;"_"&amp;D147</f>
        <v>2101_00_RT</v>
      </c>
      <c r="I147" s="23" t="str">
        <f>VLOOKUP(G147,'PPA IDs'!$A$2:$B$150,2,0)</f>
        <v>Geary BRT (Phase 2)</v>
      </c>
      <c r="J147" s="23" t="str">
        <f>VLOOKUP($G147,'PPA IDs'!$A$2:$K$95,9,0)</f>
        <v>sf</v>
      </c>
      <c r="K147" s="23" t="str">
        <f>VLOOKUP($G147,'PPA IDs'!$A$2:$K$95,10,0)</f>
        <v>transit</v>
      </c>
      <c r="L147" s="23" t="str">
        <f>VLOOKUP($G147,'PPA IDs'!$A$2:$K$95,11,0)</f>
        <v>loc</v>
      </c>
      <c r="M147" s="23" t="str">
        <f t="shared" ref="M147:M162" si="86">IF(D147="RT","RTFF",IF(D147="CG","CAG","BTTF"))</f>
        <v>RTFF</v>
      </c>
      <c r="N147" s="23" t="str">
        <f t="shared" ref="N147:N162" si="87">A147&amp;"_"&amp;D147&amp;"_"&amp;B147</f>
        <v>2050_TM151_PPA_RT_07</v>
      </c>
      <c r="O147" s="23" t="str">
        <f>VLOOKUP($G147,'PPA IDs'!$A$2:$M$95,12,0)</f>
        <v>scenario-baseline</v>
      </c>
      <c r="P147" s="23" t="str">
        <f t="shared" ref="P147:P162" si="88">C147&amp;"\"&amp;F147</f>
        <v>2101_Geary_BRT_Phase2\2050_TM151_PPA_RT_07_2101_Geary_BRT_Phase2_00</v>
      </c>
    </row>
    <row r="148" spans="1:16" x14ac:dyDescent="0.25">
      <c r="A148" s="85" t="s">
        <v>597</v>
      </c>
      <c r="B148" s="88" t="s">
        <v>652</v>
      </c>
      <c r="C148" s="85" t="s">
        <v>647</v>
      </c>
      <c r="D148" s="85" t="s">
        <v>250</v>
      </c>
      <c r="E148" s="85" t="s">
        <v>596</v>
      </c>
      <c r="F148" s="23" t="str">
        <f t="shared" si="83"/>
        <v>2050_TM151_PPA_RT_07_2300_CaltrainDTX_00</v>
      </c>
      <c r="G148" s="84">
        <f t="shared" si="84"/>
        <v>2300</v>
      </c>
      <c r="H148" s="23" t="str">
        <f t="shared" si="85"/>
        <v>2300_00_RT</v>
      </c>
      <c r="I148" s="23" t="str">
        <f>VLOOKUP(G148,'PPA IDs'!$A$2:$B$150,2,0)</f>
        <v>Caltrain Downtown Extension</v>
      </c>
      <c r="J148" s="23" t="str">
        <f>VLOOKUP($G148,'PPA IDs'!$A$2:$K$95,9,0)</f>
        <v>sf</v>
      </c>
      <c r="K148" s="23" t="str">
        <f>VLOOKUP($G148,'PPA IDs'!$A$2:$K$95,10,0)</f>
        <v>transit</v>
      </c>
      <c r="L148" s="23" t="str">
        <f>VLOOKUP($G148,'PPA IDs'!$A$2:$K$95,11,0)</f>
        <v>com</v>
      </c>
      <c r="M148" s="23" t="str">
        <f t="shared" si="86"/>
        <v>RTFF</v>
      </c>
      <c r="N148" s="23" t="str">
        <f t="shared" si="87"/>
        <v>2050_TM151_PPA_RT_07</v>
      </c>
      <c r="O148" s="23" t="str">
        <f>VLOOKUP($G148,'PPA IDs'!$A$2:$M$95,12,0)</f>
        <v>scenario-baseline</v>
      </c>
      <c r="P148" s="23" t="str">
        <f t="shared" si="88"/>
        <v>2300_CaltrainDTX\2050_TM151_PPA_RT_07_2300_CaltrainDTX_00</v>
      </c>
    </row>
    <row r="149" spans="1:16" x14ac:dyDescent="0.25">
      <c r="A149" s="85" t="s">
        <v>597</v>
      </c>
      <c r="B149" s="88" t="s">
        <v>652</v>
      </c>
      <c r="C149" s="85" t="s">
        <v>562</v>
      </c>
      <c r="D149" s="85" t="s">
        <v>250</v>
      </c>
      <c r="E149" s="85" t="s">
        <v>596</v>
      </c>
      <c r="F149" s="23" t="str">
        <f t="shared" si="83"/>
        <v>2050_TM151_PPA_RT_07_2301_Caltrain_10tph_00</v>
      </c>
      <c r="G149" s="84">
        <f t="shared" si="84"/>
        <v>2301</v>
      </c>
      <c r="H149" s="23" t="str">
        <f t="shared" si="85"/>
        <v>2301_00_RT</v>
      </c>
      <c r="I149" s="23" t="str">
        <f>VLOOKUP(G149,'PPA IDs'!$A$2:$B$150,2,0)</f>
        <v>Caltrain PCBB 10tphpd</v>
      </c>
      <c r="J149" s="23" t="str">
        <f>VLOOKUP($G149,'PPA IDs'!$A$2:$K$95,9,0)</f>
        <v>various</v>
      </c>
      <c r="K149" s="23" t="str">
        <f>VLOOKUP($G149,'PPA IDs'!$A$2:$K$95,10,0)</f>
        <v>transit</v>
      </c>
      <c r="L149" s="23" t="str">
        <f>VLOOKUP($G149,'PPA IDs'!$A$2:$K$95,11,0)</f>
        <v>com</v>
      </c>
      <c r="M149" s="23" t="str">
        <f t="shared" si="86"/>
        <v>RTFF</v>
      </c>
      <c r="N149" s="23" t="str">
        <f t="shared" si="87"/>
        <v>2050_TM151_PPA_RT_07</v>
      </c>
      <c r="O149" s="23" t="str">
        <f>VLOOKUP($G149,'PPA IDs'!$A$2:$M$95,12,0)</f>
        <v>scenario-baseline</v>
      </c>
      <c r="P149" s="23" t="str">
        <f t="shared" si="88"/>
        <v>2301_Caltrain_10tph\2050_TM151_PPA_RT_07_2301_Caltrain_10tph_00</v>
      </c>
    </row>
    <row r="150" spans="1:16" x14ac:dyDescent="0.25">
      <c r="A150" s="85" t="s">
        <v>597</v>
      </c>
      <c r="B150" s="88" t="s">
        <v>652</v>
      </c>
      <c r="C150" s="85" t="s">
        <v>542</v>
      </c>
      <c r="D150" s="85" t="s">
        <v>250</v>
      </c>
      <c r="E150" s="85" t="s">
        <v>596</v>
      </c>
      <c r="F150" s="23" t="str">
        <f t="shared" si="83"/>
        <v>2050_TM151_PPA_RT_07_2302_Caltrain_12tph_00</v>
      </c>
      <c r="G150" s="84">
        <f t="shared" si="84"/>
        <v>2302</v>
      </c>
      <c r="H150" s="23" t="str">
        <f t="shared" si="85"/>
        <v>2302_00_RT</v>
      </c>
      <c r="I150" s="23" t="str">
        <f>VLOOKUP(G150,'PPA IDs'!$A$2:$B$150,2,0)</f>
        <v>Caltrain PCBB 12tphpd</v>
      </c>
      <c r="J150" s="23" t="str">
        <f>VLOOKUP($G150,'PPA IDs'!$A$2:$K$95,9,0)</f>
        <v>various</v>
      </c>
      <c r="K150" s="23" t="str">
        <f>VLOOKUP($G150,'PPA IDs'!$A$2:$K$95,10,0)</f>
        <v>transit</v>
      </c>
      <c r="L150" s="23" t="str">
        <f>VLOOKUP($G150,'PPA IDs'!$A$2:$K$95,11,0)</f>
        <v>com</v>
      </c>
      <c r="M150" s="23" t="str">
        <f t="shared" si="86"/>
        <v>RTFF</v>
      </c>
      <c r="N150" s="23" t="str">
        <f t="shared" si="87"/>
        <v>2050_TM151_PPA_RT_07</v>
      </c>
      <c r="O150" s="23" t="str">
        <f>VLOOKUP($G150,'PPA IDs'!$A$2:$M$95,12,0)</f>
        <v>scenario-baseline</v>
      </c>
      <c r="P150" s="23" t="str">
        <f t="shared" si="88"/>
        <v>2302_Caltrain_12tph\2050_TM151_PPA_RT_07_2302_Caltrain_12tph_00</v>
      </c>
    </row>
    <row r="151" spans="1:16" x14ac:dyDescent="0.25">
      <c r="A151" s="85" t="s">
        <v>597</v>
      </c>
      <c r="B151" s="88" t="s">
        <v>652</v>
      </c>
      <c r="C151" s="85" t="s">
        <v>541</v>
      </c>
      <c r="D151" s="85" t="s">
        <v>250</v>
      </c>
      <c r="E151" s="85" t="s">
        <v>596</v>
      </c>
      <c r="F151" s="23" t="str">
        <f t="shared" si="83"/>
        <v>2050_TM151_PPA_RT_07_2303_Caltrain_16tph_00</v>
      </c>
      <c r="G151" s="84">
        <f t="shared" si="84"/>
        <v>2303</v>
      </c>
      <c r="H151" s="23" t="str">
        <f t="shared" si="85"/>
        <v>2303_00_RT</v>
      </c>
      <c r="I151" s="23" t="str">
        <f>VLOOKUP(G151,'PPA IDs'!$A$2:$B$150,2,0)</f>
        <v>Caltrain PCBB 16tphpd</v>
      </c>
      <c r="J151" s="23" t="str">
        <f>VLOOKUP($G151,'PPA IDs'!$A$2:$K$95,9,0)</f>
        <v>various</v>
      </c>
      <c r="K151" s="23" t="str">
        <f>VLOOKUP($G151,'PPA IDs'!$A$2:$K$95,10,0)</f>
        <v>transit</v>
      </c>
      <c r="L151" s="23" t="str">
        <f>VLOOKUP($G151,'PPA IDs'!$A$2:$K$95,11,0)</f>
        <v>com</v>
      </c>
      <c r="M151" s="23" t="str">
        <f t="shared" si="86"/>
        <v>RTFF</v>
      </c>
      <c r="N151" s="23" t="str">
        <f t="shared" si="87"/>
        <v>2050_TM151_PPA_RT_07</v>
      </c>
      <c r="O151" s="23" t="str">
        <f>VLOOKUP($G151,'PPA IDs'!$A$2:$M$95,12,0)</f>
        <v>scenario-baseline</v>
      </c>
      <c r="P151" s="23" t="str">
        <f t="shared" si="88"/>
        <v>2303_Caltrain_16tph\2050_TM151_PPA_RT_07_2303_Caltrain_16tph_00</v>
      </c>
    </row>
    <row r="152" spans="1:16" x14ac:dyDescent="0.25">
      <c r="A152" s="85" t="s">
        <v>597</v>
      </c>
      <c r="B152" s="88" t="s">
        <v>652</v>
      </c>
      <c r="C152" s="85" t="s">
        <v>635</v>
      </c>
      <c r="D152" s="85" t="s">
        <v>250</v>
      </c>
      <c r="E152" s="85" t="s">
        <v>596</v>
      </c>
      <c r="F152" s="23" t="str">
        <f t="shared" si="83"/>
        <v>2050_TM151_PPA_RT_07_2201_BART_CoreCap_00</v>
      </c>
      <c r="G152" s="84">
        <f t="shared" si="84"/>
        <v>2201</v>
      </c>
      <c r="H152" s="23" t="str">
        <f t="shared" si="85"/>
        <v>2201_00_RT</v>
      </c>
      <c r="I152" s="23" t="str">
        <f>VLOOKUP(G152,'PPA IDs'!$A$2:$B$150,2,0)</f>
        <v>BART Core Capacity</v>
      </c>
      <c r="J152" s="23" t="str">
        <f>VLOOKUP($G152,'PPA IDs'!$A$2:$K$95,9,0)</f>
        <v>various</v>
      </c>
      <c r="K152" s="23" t="str">
        <f>VLOOKUP($G152,'PPA IDs'!$A$2:$K$95,10,0)</f>
        <v>transit</v>
      </c>
      <c r="L152" s="23" t="str">
        <f>VLOOKUP($G152,'PPA IDs'!$A$2:$K$95,11,0)</f>
        <v>hvy</v>
      </c>
      <c r="M152" s="23" t="str">
        <f t="shared" si="86"/>
        <v>RTFF</v>
      </c>
      <c r="N152" s="23" t="str">
        <f t="shared" si="87"/>
        <v>2050_TM151_PPA_RT_07</v>
      </c>
      <c r="O152" s="23" t="str">
        <f>VLOOKUP($G152,'PPA IDs'!$A$2:$M$95,12,0)</f>
        <v>scenario-baseline</v>
      </c>
      <c r="P152" s="23" t="str">
        <f t="shared" si="88"/>
        <v>2201_BART_CoreCap\2050_TM151_PPA_RT_07_2201_BART_CoreCap_00</v>
      </c>
    </row>
    <row r="153" spans="1:16" x14ac:dyDescent="0.25">
      <c r="A153" s="85" t="s">
        <v>597</v>
      </c>
      <c r="B153" s="88" t="s">
        <v>652</v>
      </c>
      <c r="C153" s="85" t="s">
        <v>593</v>
      </c>
      <c r="D153" s="85" t="s">
        <v>250</v>
      </c>
      <c r="E153" s="85" t="s">
        <v>596</v>
      </c>
      <c r="F153" s="23" t="str">
        <f t="shared" si="83"/>
        <v>2050_TM151_PPA_RT_07_2202_BART_DMU_Brentwood_00</v>
      </c>
      <c r="G153" s="84">
        <f t="shared" si="84"/>
        <v>2202</v>
      </c>
      <c r="H153" s="23" t="str">
        <f t="shared" si="85"/>
        <v>2202_00_RT</v>
      </c>
      <c r="I153" s="23" t="str">
        <f>VLOOKUP(G153,'PPA IDs'!$A$2:$B$150,2,0)</f>
        <v>BART DMU to Brentwood</v>
      </c>
      <c r="J153" s="23" t="str">
        <f>VLOOKUP($G153,'PPA IDs'!$A$2:$K$95,9,0)</f>
        <v>cc</v>
      </c>
      <c r="K153" s="23" t="str">
        <f>VLOOKUP($G153,'PPA IDs'!$A$2:$K$95,10,0)</f>
        <v>transit</v>
      </c>
      <c r="L153" s="23" t="str">
        <f>VLOOKUP($G153,'PPA IDs'!$A$2:$K$95,11,0)</f>
        <v>hvy</v>
      </c>
      <c r="M153" s="23" t="str">
        <f t="shared" si="86"/>
        <v>RTFF</v>
      </c>
      <c r="N153" s="23" t="str">
        <f t="shared" si="87"/>
        <v>2050_TM151_PPA_RT_07</v>
      </c>
      <c r="O153" s="23" t="str">
        <f>VLOOKUP($G153,'PPA IDs'!$A$2:$M$95,12,0)</f>
        <v>scenario-baseline</v>
      </c>
      <c r="P153" s="23" t="str">
        <f t="shared" si="88"/>
        <v>2202_BART_DMU_Brentwood\2050_TM151_PPA_RT_07_2202_BART_DMU_Brentwood_00</v>
      </c>
    </row>
    <row r="154" spans="1:16" x14ac:dyDescent="0.25">
      <c r="A154" s="85" t="s">
        <v>597</v>
      </c>
      <c r="B154" s="88" t="s">
        <v>652</v>
      </c>
      <c r="C154" s="87" t="s">
        <v>585</v>
      </c>
      <c r="D154" s="85" t="s">
        <v>250</v>
      </c>
      <c r="E154" s="85" t="s">
        <v>596</v>
      </c>
      <c r="F154" s="23" t="str">
        <f t="shared" si="83"/>
        <v>2050_TM151_PPA_RT_07_2205_BARTtoSV_Phase2_00</v>
      </c>
      <c r="G154" s="84">
        <f t="shared" si="84"/>
        <v>2205</v>
      </c>
      <c r="H154" s="23" t="str">
        <f t="shared" si="85"/>
        <v>2205_00_RT</v>
      </c>
      <c r="I154" s="23" t="str">
        <f>VLOOKUP(G154,'PPA IDs'!$A$2:$B$150,2,0)</f>
        <v>BART to Silicon Valley (Phase 2)</v>
      </c>
      <c r="J154" s="23" t="str">
        <f>VLOOKUP($G154,'PPA IDs'!$A$2:$K$95,9,0)</f>
        <v>scl</v>
      </c>
      <c r="K154" s="23" t="str">
        <f>VLOOKUP($G154,'PPA IDs'!$A$2:$K$95,10,0)</f>
        <v>transit</v>
      </c>
      <c r="L154" s="23" t="str">
        <f>VLOOKUP($G154,'PPA IDs'!$A$2:$K$95,11,0)</f>
        <v>hvy</v>
      </c>
      <c r="M154" s="23" t="str">
        <f t="shared" si="86"/>
        <v>RTFF</v>
      </c>
      <c r="N154" s="23" t="str">
        <f t="shared" si="87"/>
        <v>2050_TM151_PPA_RT_07</v>
      </c>
      <c r="O154" s="23" t="str">
        <f>VLOOKUP($G154,'PPA IDs'!$A$2:$M$95,12,0)</f>
        <v>scenario-baseline</v>
      </c>
      <c r="P154" s="23" t="str">
        <f t="shared" si="88"/>
        <v>2205_BARTtoSV_Phase2\2050_TM151_PPA_RT_07_2205_BARTtoSV_Phase2_00</v>
      </c>
    </row>
    <row r="155" spans="1:16" x14ac:dyDescent="0.25">
      <c r="A155" s="85" t="s">
        <v>597</v>
      </c>
      <c r="B155" s="88" t="s">
        <v>652</v>
      </c>
      <c r="C155" s="85" t="s">
        <v>659</v>
      </c>
      <c r="D155" s="85" t="s">
        <v>250</v>
      </c>
      <c r="E155" s="85" t="s">
        <v>596</v>
      </c>
      <c r="F155" s="23" t="str">
        <f t="shared" si="83"/>
        <v>2050_TM151_PPA_RT_07_2400_DowntownSJ_Subway_00</v>
      </c>
      <c r="G155" s="84">
        <f t="shared" si="84"/>
        <v>2400</v>
      </c>
      <c r="H155" s="23" t="str">
        <f t="shared" si="85"/>
        <v>2400_00_RT</v>
      </c>
      <c r="I155" s="23" t="str">
        <f>VLOOKUP(G155,'PPA IDs'!$A$2:$B$150,2,0)</f>
        <v>Downtown San Jose LRT Subway</v>
      </c>
      <c r="J155" s="23" t="str">
        <f>VLOOKUP($G155,'PPA IDs'!$A$2:$K$95,9,0)</f>
        <v>scl</v>
      </c>
      <c r="K155" s="23" t="str">
        <f>VLOOKUP($G155,'PPA IDs'!$A$2:$K$95,10,0)</f>
        <v>transit</v>
      </c>
      <c r="L155" s="23" t="str">
        <f>VLOOKUP($G155,'PPA IDs'!$A$2:$K$95,11,0)</f>
        <v>lrf</v>
      </c>
      <c r="M155" s="23" t="str">
        <f t="shared" si="86"/>
        <v>RTFF</v>
      </c>
      <c r="N155" s="23" t="str">
        <f t="shared" si="87"/>
        <v>2050_TM151_PPA_RT_07</v>
      </c>
      <c r="O155" s="23" t="str">
        <f>VLOOKUP($G155,'PPA IDs'!$A$2:$M$95,12,0)</f>
        <v>scenario-baseline</v>
      </c>
      <c r="P155" s="23" t="str">
        <f t="shared" si="88"/>
        <v>2400_DowntownSJ_Subway\2050_TM151_PPA_RT_07_2400_DowntownSJ_Subway_00</v>
      </c>
    </row>
    <row r="156" spans="1:16" x14ac:dyDescent="0.25">
      <c r="A156" s="85" t="s">
        <v>597</v>
      </c>
      <c r="B156" s="88" t="s">
        <v>652</v>
      </c>
      <c r="C156" s="85" t="s">
        <v>660</v>
      </c>
      <c r="D156" s="85" t="s">
        <v>250</v>
      </c>
      <c r="E156" s="85" t="s">
        <v>596</v>
      </c>
      <c r="F156" s="23" t="str">
        <f t="shared" si="83"/>
        <v>2050_TM151_PPA_RT_07_2401_NorthSJ_Subway_00</v>
      </c>
      <c r="G156" s="84">
        <f t="shared" si="84"/>
        <v>2401</v>
      </c>
      <c r="H156" s="23" t="str">
        <f t="shared" si="85"/>
        <v>2401_00_RT</v>
      </c>
      <c r="I156" s="23" t="str">
        <f>VLOOKUP(G156,'PPA IDs'!$A$2:$B$150,2,0)</f>
        <v>North San Jose LRT Subway</v>
      </c>
      <c r="J156" s="23" t="str">
        <f>VLOOKUP($G156,'PPA IDs'!$A$2:$K$95,9,0)</f>
        <v>scl</v>
      </c>
      <c r="K156" s="23" t="str">
        <f>VLOOKUP($G156,'PPA IDs'!$A$2:$K$95,10,0)</f>
        <v>transit</v>
      </c>
      <c r="L156" s="23" t="str">
        <f>VLOOKUP($G156,'PPA IDs'!$A$2:$K$95,11,0)</f>
        <v>lrf</v>
      </c>
      <c r="M156" s="23" t="str">
        <f t="shared" si="86"/>
        <v>RTFF</v>
      </c>
      <c r="N156" s="23" t="str">
        <f t="shared" si="87"/>
        <v>2050_TM151_PPA_RT_07</v>
      </c>
      <c r="O156" s="23" t="str">
        <f>VLOOKUP($G156,'PPA IDs'!$A$2:$M$95,12,0)</f>
        <v>scenario-baseline</v>
      </c>
      <c r="P156" s="23" t="str">
        <f t="shared" si="88"/>
        <v>2401_NorthSJ_Subway\2050_TM151_PPA_RT_07_2401_NorthSJ_Subway_00</v>
      </c>
    </row>
    <row r="157" spans="1:16" x14ac:dyDescent="0.25">
      <c r="A157" s="85" t="s">
        <v>597</v>
      </c>
      <c r="B157" s="88" t="s">
        <v>652</v>
      </c>
      <c r="C157" s="85" t="s">
        <v>630</v>
      </c>
      <c r="D157" s="85" t="s">
        <v>250</v>
      </c>
      <c r="E157" s="85" t="s">
        <v>596</v>
      </c>
      <c r="F157" s="23" t="str">
        <f t="shared" si="83"/>
        <v>2050_TM151_PPA_RT_07_2402_SJC_People_Mover_00</v>
      </c>
      <c r="G157" s="84">
        <f t="shared" si="84"/>
        <v>2402</v>
      </c>
      <c r="H157" s="23" t="str">
        <f t="shared" si="85"/>
        <v>2402_00_RT</v>
      </c>
      <c r="I157" s="23" t="str">
        <f>VLOOKUP(G157,'PPA IDs'!$A$2:$B$150,2,0)</f>
        <v>San Jose Airport People Mover</v>
      </c>
      <c r="J157" s="23" t="str">
        <f>VLOOKUP($G157,'PPA IDs'!$A$2:$K$95,9,0)</f>
        <v>scl</v>
      </c>
      <c r="K157" s="23" t="str">
        <f>VLOOKUP($G157,'PPA IDs'!$A$2:$K$95,10,0)</f>
        <v>transit</v>
      </c>
      <c r="L157" s="23" t="str">
        <f>VLOOKUP($G157,'PPA IDs'!$A$2:$K$95,11,0)</f>
        <v>lrf</v>
      </c>
      <c r="M157" s="23" t="str">
        <f t="shared" si="86"/>
        <v>RTFF</v>
      </c>
      <c r="N157" s="23" t="str">
        <f t="shared" si="87"/>
        <v>2050_TM151_PPA_RT_07</v>
      </c>
      <c r="O157" s="23" t="str">
        <f>VLOOKUP($G157,'PPA IDs'!$A$2:$M$95,12,0)</f>
        <v>scenario-baseline</v>
      </c>
      <c r="P157" s="23" t="str">
        <f t="shared" si="88"/>
        <v>2402_SJC_People_Mover\2050_TM151_PPA_RT_07_2402_SJC_People_Mover_00</v>
      </c>
    </row>
    <row r="158" spans="1:16" x14ac:dyDescent="0.25">
      <c r="A158" s="85" t="s">
        <v>597</v>
      </c>
      <c r="B158" s="88" t="s">
        <v>652</v>
      </c>
      <c r="C158" s="85" t="s">
        <v>631</v>
      </c>
      <c r="D158" s="85" t="s">
        <v>250</v>
      </c>
      <c r="E158" s="85" t="s">
        <v>596</v>
      </c>
      <c r="F158" s="23" t="str">
        <f t="shared" si="83"/>
        <v>2050_TM151_PPA_RT_07_2403_Vasona_LRT_Phase2_00</v>
      </c>
      <c r="G158" s="84">
        <f t="shared" si="84"/>
        <v>2403</v>
      </c>
      <c r="H158" s="23" t="str">
        <f t="shared" si="85"/>
        <v>2403_00_RT</v>
      </c>
      <c r="I158" s="23" t="str">
        <f>VLOOKUP(G158,'PPA IDs'!$A$2:$B$150,2,0)</f>
        <v>Vasona LRT (Phase 2)</v>
      </c>
      <c r="J158" s="23" t="str">
        <f>VLOOKUP($G158,'PPA IDs'!$A$2:$K$95,9,0)</f>
        <v>scl</v>
      </c>
      <c r="K158" s="23" t="str">
        <f>VLOOKUP($G158,'PPA IDs'!$A$2:$K$95,10,0)</f>
        <v>transit</v>
      </c>
      <c r="L158" s="23" t="str">
        <f>VLOOKUP($G158,'PPA IDs'!$A$2:$K$95,11,0)</f>
        <v>lrf</v>
      </c>
      <c r="M158" s="23" t="str">
        <f t="shared" si="86"/>
        <v>RTFF</v>
      </c>
      <c r="N158" s="23" t="str">
        <f t="shared" si="87"/>
        <v>2050_TM151_PPA_RT_07</v>
      </c>
      <c r="O158" s="23" t="str">
        <f>VLOOKUP($G158,'PPA IDs'!$A$2:$M$95,12,0)</f>
        <v>scenario-baseline</v>
      </c>
      <c r="P158" s="23" t="str">
        <f t="shared" si="88"/>
        <v>2403_Vasona_LRT_Phase2\2050_TM151_PPA_RT_07_2403_Vasona_LRT_Phase2_00</v>
      </c>
    </row>
    <row r="159" spans="1:16" x14ac:dyDescent="0.25">
      <c r="A159" s="85" t="s">
        <v>597</v>
      </c>
      <c r="B159" s="88" t="s">
        <v>652</v>
      </c>
      <c r="C159" s="85" t="s">
        <v>646</v>
      </c>
      <c r="D159" s="85" t="s">
        <v>250</v>
      </c>
      <c r="E159" s="85" t="s">
        <v>596</v>
      </c>
      <c r="F159" s="23" t="str">
        <f t="shared" si="83"/>
        <v>2050_TM151_PPA_RT_07_3100_SR_239_00</v>
      </c>
      <c r="G159" s="84">
        <f t="shared" si="84"/>
        <v>3100</v>
      </c>
      <c r="H159" s="23" t="str">
        <f t="shared" si="85"/>
        <v>3100_00_RT</v>
      </c>
      <c r="I159" s="23" t="str">
        <f>VLOOKUP(G159,'PPA IDs'!$A$2:$B$150,2,0)</f>
        <v>SR-239</v>
      </c>
      <c r="J159" s="23" t="str">
        <f>VLOOKUP($G159,'PPA IDs'!$A$2:$K$95,9,0)</f>
        <v>cc</v>
      </c>
      <c r="K159" s="23" t="str">
        <f>VLOOKUP($G159,'PPA IDs'!$A$2:$K$95,10,0)</f>
        <v>road</v>
      </c>
      <c r="L159" s="23" t="str">
        <f>VLOOKUP($G159,'PPA IDs'!$A$2:$K$95,11,0)</f>
        <v>road</v>
      </c>
      <c r="M159" s="23" t="str">
        <f t="shared" si="86"/>
        <v>RTFF</v>
      </c>
      <c r="N159" s="23" t="str">
        <f t="shared" si="87"/>
        <v>2050_TM151_PPA_RT_07</v>
      </c>
      <c r="O159" s="23" t="str">
        <f>VLOOKUP($G159,'PPA IDs'!$A$2:$M$95,12,0)</f>
        <v>scenario-baseline</v>
      </c>
      <c r="P159" s="23" t="str">
        <f t="shared" si="88"/>
        <v>3100_SR_239\2050_TM151_PPA_RT_07_3100_SR_239_00</v>
      </c>
    </row>
    <row r="160" spans="1:16" x14ac:dyDescent="0.25">
      <c r="A160" s="85" t="s">
        <v>597</v>
      </c>
      <c r="B160" s="88" t="s">
        <v>652</v>
      </c>
      <c r="C160" s="85" t="s">
        <v>592</v>
      </c>
      <c r="D160" s="85" t="s">
        <v>250</v>
      </c>
      <c r="E160" s="85" t="s">
        <v>596</v>
      </c>
      <c r="F160" s="23" t="str">
        <f t="shared" si="83"/>
        <v>2050_TM151_PPA_RT_07_3102_SR4_Op_00</v>
      </c>
      <c r="G160" s="84">
        <f t="shared" si="84"/>
        <v>3102</v>
      </c>
      <c r="H160" s="23" t="str">
        <f t="shared" si="85"/>
        <v>3102_00_RT</v>
      </c>
      <c r="I160" s="23" t="str">
        <f>VLOOKUP(G160,'PPA IDs'!$A$2:$B$150,2,0)</f>
        <v>SR-4 Operational Improvements</v>
      </c>
      <c r="J160" s="23" t="str">
        <f>VLOOKUP($G160,'PPA IDs'!$A$2:$K$95,9,0)</f>
        <v>cc</v>
      </c>
      <c r="K160" s="23" t="str">
        <f>VLOOKUP($G160,'PPA IDs'!$A$2:$K$95,10,0)</f>
        <v>road</v>
      </c>
      <c r="L160" s="23" t="str">
        <f>VLOOKUP($G160,'PPA IDs'!$A$2:$K$95,11,0)</f>
        <v>road</v>
      </c>
      <c r="M160" s="23" t="str">
        <f t="shared" si="86"/>
        <v>RTFF</v>
      </c>
      <c r="N160" s="23" t="str">
        <f t="shared" si="87"/>
        <v>2050_TM151_PPA_RT_07</v>
      </c>
      <c r="O160" s="23" t="str">
        <f>VLOOKUP($G160,'PPA IDs'!$A$2:$M$95,12,0)</f>
        <v>scenario-baseline</v>
      </c>
      <c r="P160" s="23" t="str">
        <f t="shared" si="88"/>
        <v>3102_SR4_Op\2050_TM151_PPA_RT_07_3102_SR4_Op_00</v>
      </c>
    </row>
    <row r="161" spans="1:16" x14ac:dyDescent="0.25">
      <c r="A161" s="86" t="s">
        <v>597</v>
      </c>
      <c r="B161" s="89" t="s">
        <v>652</v>
      </c>
      <c r="C161" s="86" t="s">
        <v>591</v>
      </c>
      <c r="D161" s="86" t="s">
        <v>250</v>
      </c>
      <c r="E161" s="86" t="s">
        <v>596</v>
      </c>
      <c r="F161" s="90" t="str">
        <f t="shared" si="83"/>
        <v>2050_TM151_PPA_RT_07_3103_SR4_Widen_00</v>
      </c>
      <c r="G161" s="91">
        <f t="shared" si="84"/>
        <v>3103</v>
      </c>
      <c r="H161" s="90" t="str">
        <f t="shared" si="85"/>
        <v>3103_00_RT</v>
      </c>
      <c r="I161" s="90" t="str">
        <f>VLOOKUP(G161,'PPA IDs'!$A$2:$B$150,2,0)</f>
        <v>SR-4 Widening (Brentwood to Discovery Bay)</v>
      </c>
      <c r="J161" s="90" t="str">
        <f>VLOOKUP($G161,'PPA IDs'!$A$2:$K$95,9,0)</f>
        <v>cc</v>
      </c>
      <c r="K161" s="90" t="str">
        <f>VLOOKUP($G161,'PPA IDs'!$A$2:$K$95,10,0)</f>
        <v>road</v>
      </c>
      <c r="L161" s="90" t="str">
        <f>VLOOKUP($G161,'PPA IDs'!$A$2:$K$95,11,0)</f>
        <v>road</v>
      </c>
      <c r="M161" s="90" t="str">
        <f t="shared" si="86"/>
        <v>RTFF</v>
      </c>
      <c r="N161" s="90" t="str">
        <f t="shared" si="87"/>
        <v>2050_TM151_PPA_RT_07</v>
      </c>
      <c r="O161" s="90" t="str">
        <f>VLOOKUP($G161,'PPA IDs'!$A$2:$M$95,12,0)</f>
        <v>scenario-baseline</v>
      </c>
      <c r="P161" s="90" t="str">
        <f t="shared" si="88"/>
        <v>3103_SR4_Widen\2050_TM151_PPA_RT_07_3103_SR4_Widen_00</v>
      </c>
    </row>
    <row r="162" spans="1:16" x14ac:dyDescent="0.25">
      <c r="A162" s="85" t="s">
        <v>597</v>
      </c>
      <c r="B162" s="88" t="s">
        <v>652</v>
      </c>
      <c r="C162" s="85" t="s">
        <v>644</v>
      </c>
      <c r="D162" s="85" t="s">
        <v>249</v>
      </c>
      <c r="E162" s="85" t="s">
        <v>596</v>
      </c>
      <c r="F162" s="23" t="str">
        <f t="shared" si="83"/>
        <v>2050_TM151_PPA_CG_07_2100_SanPablo_BRT_00</v>
      </c>
      <c r="G162" s="84">
        <f t="shared" si="84"/>
        <v>2100</v>
      </c>
      <c r="H162" s="23" t="str">
        <f t="shared" si="85"/>
        <v>2100_00_CG</v>
      </c>
      <c r="I162" s="23" t="str">
        <f>VLOOKUP(G162,'PPA IDs'!$A$2:$B$150,2,0)</f>
        <v>San Pablo BRT</v>
      </c>
      <c r="J162" s="23" t="str">
        <f>VLOOKUP($G162,'PPA IDs'!$A$2:$K$95,9,0)</f>
        <v>various</v>
      </c>
      <c r="K162" s="23" t="str">
        <f>VLOOKUP($G162,'PPA IDs'!$A$2:$K$95,10,0)</f>
        <v>transit</v>
      </c>
      <c r="L162" s="23" t="str">
        <f>VLOOKUP($G162,'PPA IDs'!$A$2:$K$95,11,0)</f>
        <v>loc</v>
      </c>
      <c r="M162" s="23" t="str">
        <f t="shared" si="86"/>
        <v>CAG</v>
      </c>
      <c r="N162" s="23" t="str">
        <f t="shared" si="87"/>
        <v>2050_TM151_PPA_CG_07</v>
      </c>
      <c r="O162" s="23" t="str">
        <f>VLOOKUP($G162,'PPA IDs'!$A$2:$M$95,12,0)</f>
        <v>scenario-baseline</v>
      </c>
      <c r="P162" s="23" t="str">
        <f t="shared" si="88"/>
        <v>2100_SanPablo_BRT\2050_TM151_PPA_CG_07_2100_SanPablo_BRT_00</v>
      </c>
    </row>
    <row r="163" spans="1:16" x14ac:dyDescent="0.25">
      <c r="A163" s="85" t="s">
        <v>597</v>
      </c>
      <c r="B163" s="88" t="s">
        <v>652</v>
      </c>
      <c r="C163" s="85" t="s">
        <v>628</v>
      </c>
      <c r="D163" s="85" t="s">
        <v>249</v>
      </c>
      <c r="E163" s="85" t="s">
        <v>596</v>
      </c>
      <c r="F163" s="23" t="str">
        <f t="shared" ref="F163:F177" si="89">A163&amp;"_"&amp;D163&amp;"_"&amp;B163&amp;"_"&amp;C163&amp;"_"&amp;E163</f>
        <v>2050_TM151_PPA_CG_07_2101_Geary_BRT_Phase2_00</v>
      </c>
      <c r="G163" s="84">
        <f t="shared" ref="G163:G177" si="90">_xlfn.NUMBERVALUE(LEFT(C163,4))</f>
        <v>2101</v>
      </c>
      <c r="H163" s="23" t="str">
        <f t="shared" ref="H163:H177" si="91">G163&amp;"_"&amp;E163&amp;"_"&amp;D163</f>
        <v>2101_00_CG</v>
      </c>
      <c r="I163" s="23" t="str">
        <f>VLOOKUP(G163,'PPA IDs'!$A$2:$B$150,2,0)</f>
        <v>Geary BRT (Phase 2)</v>
      </c>
      <c r="J163" s="23" t="str">
        <f>VLOOKUP($G163,'PPA IDs'!$A$2:$K$95,9,0)</f>
        <v>sf</v>
      </c>
      <c r="K163" s="23" t="str">
        <f>VLOOKUP($G163,'PPA IDs'!$A$2:$K$95,10,0)</f>
        <v>transit</v>
      </c>
      <c r="L163" s="23" t="str">
        <f>VLOOKUP($G163,'PPA IDs'!$A$2:$K$95,11,0)</f>
        <v>loc</v>
      </c>
      <c r="M163" s="23" t="str">
        <f t="shared" ref="M163:M177" si="92">IF(D163="RT","RTFF",IF(D163="CG","CAG","BTTF"))</f>
        <v>CAG</v>
      </c>
      <c r="N163" s="23" t="str">
        <f t="shared" ref="N163:N177" si="93">A163&amp;"_"&amp;D163&amp;"_"&amp;B163</f>
        <v>2050_TM151_PPA_CG_07</v>
      </c>
      <c r="O163" s="23" t="str">
        <f>VLOOKUP($G163,'PPA IDs'!$A$2:$M$95,12,0)</f>
        <v>scenario-baseline</v>
      </c>
      <c r="P163" s="23" t="str">
        <f t="shared" ref="P163:P177" si="94">C163&amp;"\"&amp;F163</f>
        <v>2101_Geary_BRT_Phase2\2050_TM151_PPA_CG_07_2101_Geary_BRT_Phase2_00</v>
      </c>
    </row>
    <row r="164" spans="1:16" x14ac:dyDescent="0.25">
      <c r="A164" s="85" t="s">
        <v>597</v>
      </c>
      <c r="B164" s="88" t="s">
        <v>652</v>
      </c>
      <c r="C164" s="85" t="s">
        <v>647</v>
      </c>
      <c r="D164" s="85" t="s">
        <v>249</v>
      </c>
      <c r="E164" s="85" t="s">
        <v>596</v>
      </c>
      <c r="F164" s="23" t="str">
        <f t="shared" si="89"/>
        <v>2050_TM151_PPA_CG_07_2300_CaltrainDTX_00</v>
      </c>
      <c r="G164" s="84">
        <f t="shared" si="90"/>
        <v>2300</v>
      </c>
      <c r="H164" s="23" t="str">
        <f t="shared" si="91"/>
        <v>2300_00_CG</v>
      </c>
      <c r="I164" s="23" t="str">
        <f>VLOOKUP(G164,'PPA IDs'!$A$2:$B$150,2,0)</f>
        <v>Caltrain Downtown Extension</v>
      </c>
      <c r="J164" s="23" t="str">
        <f>VLOOKUP($G164,'PPA IDs'!$A$2:$K$95,9,0)</f>
        <v>sf</v>
      </c>
      <c r="K164" s="23" t="str">
        <f>VLOOKUP($G164,'PPA IDs'!$A$2:$K$95,10,0)</f>
        <v>transit</v>
      </c>
      <c r="L164" s="23" t="str">
        <f>VLOOKUP($G164,'PPA IDs'!$A$2:$K$95,11,0)</f>
        <v>com</v>
      </c>
      <c r="M164" s="23" t="str">
        <f t="shared" si="92"/>
        <v>CAG</v>
      </c>
      <c r="N164" s="23" t="str">
        <f t="shared" si="93"/>
        <v>2050_TM151_PPA_CG_07</v>
      </c>
      <c r="O164" s="23" t="str">
        <f>VLOOKUP($G164,'PPA IDs'!$A$2:$M$95,12,0)</f>
        <v>scenario-baseline</v>
      </c>
      <c r="P164" s="23" t="str">
        <f t="shared" si="94"/>
        <v>2300_CaltrainDTX\2050_TM151_PPA_CG_07_2300_CaltrainDTX_00</v>
      </c>
    </row>
    <row r="165" spans="1:16" x14ac:dyDescent="0.25">
      <c r="A165" s="85" t="s">
        <v>597</v>
      </c>
      <c r="B165" s="88" t="s">
        <v>652</v>
      </c>
      <c r="C165" s="85" t="s">
        <v>562</v>
      </c>
      <c r="D165" s="85" t="s">
        <v>249</v>
      </c>
      <c r="E165" s="85" t="s">
        <v>596</v>
      </c>
      <c r="F165" s="23" t="str">
        <f t="shared" si="89"/>
        <v>2050_TM151_PPA_CG_07_2301_Caltrain_10tph_00</v>
      </c>
      <c r="G165" s="84">
        <f t="shared" si="90"/>
        <v>2301</v>
      </c>
      <c r="H165" s="23" t="str">
        <f t="shared" si="91"/>
        <v>2301_00_CG</v>
      </c>
      <c r="I165" s="23" t="str">
        <f>VLOOKUP(G165,'PPA IDs'!$A$2:$B$150,2,0)</f>
        <v>Caltrain PCBB 10tphpd</v>
      </c>
      <c r="J165" s="23" t="str">
        <f>VLOOKUP($G165,'PPA IDs'!$A$2:$K$95,9,0)</f>
        <v>various</v>
      </c>
      <c r="K165" s="23" t="str">
        <f>VLOOKUP($G165,'PPA IDs'!$A$2:$K$95,10,0)</f>
        <v>transit</v>
      </c>
      <c r="L165" s="23" t="str">
        <f>VLOOKUP($G165,'PPA IDs'!$A$2:$K$95,11,0)</f>
        <v>com</v>
      </c>
      <c r="M165" s="23" t="str">
        <f t="shared" si="92"/>
        <v>CAG</v>
      </c>
      <c r="N165" s="23" t="str">
        <f t="shared" si="93"/>
        <v>2050_TM151_PPA_CG_07</v>
      </c>
      <c r="O165" s="23" t="str">
        <f>VLOOKUP($G165,'PPA IDs'!$A$2:$M$95,12,0)</f>
        <v>scenario-baseline</v>
      </c>
      <c r="P165" s="23" t="str">
        <f t="shared" si="94"/>
        <v>2301_Caltrain_10tph\2050_TM151_PPA_CG_07_2301_Caltrain_10tph_00</v>
      </c>
    </row>
    <row r="166" spans="1:16" x14ac:dyDescent="0.25">
      <c r="A166" s="85" t="s">
        <v>597</v>
      </c>
      <c r="B166" s="88" t="s">
        <v>652</v>
      </c>
      <c r="C166" s="85" t="s">
        <v>542</v>
      </c>
      <c r="D166" s="85" t="s">
        <v>249</v>
      </c>
      <c r="E166" s="85" t="s">
        <v>596</v>
      </c>
      <c r="F166" s="23" t="str">
        <f t="shared" si="89"/>
        <v>2050_TM151_PPA_CG_07_2302_Caltrain_12tph_00</v>
      </c>
      <c r="G166" s="84">
        <f t="shared" si="90"/>
        <v>2302</v>
      </c>
      <c r="H166" s="23" t="str">
        <f t="shared" si="91"/>
        <v>2302_00_CG</v>
      </c>
      <c r="I166" s="23" t="str">
        <f>VLOOKUP(G166,'PPA IDs'!$A$2:$B$150,2,0)</f>
        <v>Caltrain PCBB 12tphpd</v>
      </c>
      <c r="J166" s="23" t="str">
        <f>VLOOKUP($G166,'PPA IDs'!$A$2:$K$95,9,0)</f>
        <v>various</v>
      </c>
      <c r="K166" s="23" t="str">
        <f>VLOOKUP($G166,'PPA IDs'!$A$2:$K$95,10,0)</f>
        <v>transit</v>
      </c>
      <c r="L166" s="23" t="str">
        <f>VLOOKUP($G166,'PPA IDs'!$A$2:$K$95,11,0)</f>
        <v>com</v>
      </c>
      <c r="M166" s="23" t="str">
        <f t="shared" si="92"/>
        <v>CAG</v>
      </c>
      <c r="N166" s="23" t="str">
        <f t="shared" si="93"/>
        <v>2050_TM151_PPA_CG_07</v>
      </c>
      <c r="O166" s="23" t="str">
        <f>VLOOKUP($G166,'PPA IDs'!$A$2:$M$95,12,0)</f>
        <v>scenario-baseline</v>
      </c>
      <c r="P166" s="23" t="str">
        <f t="shared" si="94"/>
        <v>2302_Caltrain_12tph\2050_TM151_PPA_CG_07_2302_Caltrain_12tph_00</v>
      </c>
    </row>
    <row r="167" spans="1:16" x14ac:dyDescent="0.25">
      <c r="A167" s="85" t="s">
        <v>597</v>
      </c>
      <c r="B167" s="88" t="s">
        <v>652</v>
      </c>
      <c r="C167" s="85" t="s">
        <v>541</v>
      </c>
      <c r="D167" s="85" t="s">
        <v>249</v>
      </c>
      <c r="E167" s="85" t="s">
        <v>596</v>
      </c>
      <c r="F167" s="23" t="str">
        <f t="shared" si="89"/>
        <v>2050_TM151_PPA_CG_07_2303_Caltrain_16tph_00</v>
      </c>
      <c r="G167" s="84">
        <f t="shared" si="90"/>
        <v>2303</v>
      </c>
      <c r="H167" s="23" t="str">
        <f t="shared" si="91"/>
        <v>2303_00_CG</v>
      </c>
      <c r="I167" s="23" t="str">
        <f>VLOOKUP(G167,'PPA IDs'!$A$2:$B$150,2,0)</f>
        <v>Caltrain PCBB 16tphpd</v>
      </c>
      <c r="J167" s="23" t="str">
        <f>VLOOKUP($G167,'PPA IDs'!$A$2:$K$95,9,0)</f>
        <v>various</v>
      </c>
      <c r="K167" s="23" t="str">
        <f>VLOOKUP($G167,'PPA IDs'!$A$2:$K$95,10,0)</f>
        <v>transit</v>
      </c>
      <c r="L167" s="23" t="str">
        <f>VLOOKUP($G167,'PPA IDs'!$A$2:$K$95,11,0)</f>
        <v>com</v>
      </c>
      <c r="M167" s="23" t="str">
        <f t="shared" si="92"/>
        <v>CAG</v>
      </c>
      <c r="N167" s="23" t="str">
        <f t="shared" si="93"/>
        <v>2050_TM151_PPA_CG_07</v>
      </c>
      <c r="O167" s="23" t="str">
        <f>VLOOKUP($G167,'PPA IDs'!$A$2:$M$95,12,0)</f>
        <v>scenario-baseline</v>
      </c>
      <c r="P167" s="23" t="str">
        <f t="shared" si="94"/>
        <v>2303_Caltrain_16tph\2050_TM151_PPA_CG_07_2303_Caltrain_16tph_00</v>
      </c>
    </row>
    <row r="168" spans="1:16" x14ac:dyDescent="0.25">
      <c r="A168" s="85" t="s">
        <v>597</v>
      </c>
      <c r="B168" s="88" t="s">
        <v>652</v>
      </c>
      <c r="C168" s="85" t="s">
        <v>635</v>
      </c>
      <c r="D168" s="85" t="s">
        <v>249</v>
      </c>
      <c r="E168" s="85" t="s">
        <v>596</v>
      </c>
      <c r="F168" s="23" t="str">
        <f t="shared" si="89"/>
        <v>2050_TM151_PPA_CG_07_2201_BART_CoreCap_00</v>
      </c>
      <c r="G168" s="84">
        <f t="shared" si="90"/>
        <v>2201</v>
      </c>
      <c r="H168" s="23" t="str">
        <f t="shared" si="91"/>
        <v>2201_00_CG</v>
      </c>
      <c r="I168" s="23" t="str">
        <f>VLOOKUP(G168,'PPA IDs'!$A$2:$B$150,2,0)</f>
        <v>BART Core Capacity</v>
      </c>
      <c r="J168" s="23" t="str">
        <f>VLOOKUP($G168,'PPA IDs'!$A$2:$K$95,9,0)</f>
        <v>various</v>
      </c>
      <c r="K168" s="23" t="str">
        <f>VLOOKUP($G168,'PPA IDs'!$A$2:$K$95,10,0)</f>
        <v>transit</v>
      </c>
      <c r="L168" s="23" t="str">
        <f>VLOOKUP($G168,'PPA IDs'!$A$2:$K$95,11,0)</f>
        <v>hvy</v>
      </c>
      <c r="M168" s="23" t="str">
        <f t="shared" si="92"/>
        <v>CAG</v>
      </c>
      <c r="N168" s="23" t="str">
        <f t="shared" si="93"/>
        <v>2050_TM151_PPA_CG_07</v>
      </c>
      <c r="O168" s="23" t="str">
        <f>VLOOKUP($G168,'PPA IDs'!$A$2:$M$95,12,0)</f>
        <v>scenario-baseline</v>
      </c>
      <c r="P168" s="23" t="str">
        <f t="shared" si="94"/>
        <v>2201_BART_CoreCap\2050_TM151_PPA_CG_07_2201_BART_CoreCap_00</v>
      </c>
    </row>
    <row r="169" spans="1:16" x14ac:dyDescent="0.25">
      <c r="A169" s="85" t="s">
        <v>597</v>
      </c>
      <c r="B169" s="88" t="s">
        <v>652</v>
      </c>
      <c r="C169" s="85" t="s">
        <v>593</v>
      </c>
      <c r="D169" s="85" t="s">
        <v>249</v>
      </c>
      <c r="E169" s="85" t="s">
        <v>596</v>
      </c>
      <c r="F169" s="23" t="str">
        <f t="shared" si="89"/>
        <v>2050_TM151_PPA_CG_07_2202_BART_DMU_Brentwood_00</v>
      </c>
      <c r="G169" s="84">
        <f t="shared" si="90"/>
        <v>2202</v>
      </c>
      <c r="H169" s="23" t="str">
        <f t="shared" si="91"/>
        <v>2202_00_CG</v>
      </c>
      <c r="I169" s="23" t="str">
        <f>VLOOKUP(G169,'PPA IDs'!$A$2:$B$150,2,0)</f>
        <v>BART DMU to Brentwood</v>
      </c>
      <c r="J169" s="23" t="str">
        <f>VLOOKUP($G169,'PPA IDs'!$A$2:$K$95,9,0)</f>
        <v>cc</v>
      </c>
      <c r="K169" s="23" t="str">
        <f>VLOOKUP($G169,'PPA IDs'!$A$2:$K$95,10,0)</f>
        <v>transit</v>
      </c>
      <c r="L169" s="23" t="str">
        <f>VLOOKUP($G169,'PPA IDs'!$A$2:$K$95,11,0)</f>
        <v>hvy</v>
      </c>
      <c r="M169" s="23" t="str">
        <f t="shared" si="92"/>
        <v>CAG</v>
      </c>
      <c r="N169" s="23" t="str">
        <f t="shared" si="93"/>
        <v>2050_TM151_PPA_CG_07</v>
      </c>
      <c r="O169" s="23" t="str">
        <f>VLOOKUP($G169,'PPA IDs'!$A$2:$M$95,12,0)</f>
        <v>scenario-baseline</v>
      </c>
      <c r="P169" s="23" t="str">
        <f t="shared" si="94"/>
        <v>2202_BART_DMU_Brentwood\2050_TM151_PPA_CG_07_2202_BART_DMU_Brentwood_00</v>
      </c>
    </row>
    <row r="170" spans="1:16" x14ac:dyDescent="0.25">
      <c r="A170" s="85" t="s">
        <v>597</v>
      </c>
      <c r="B170" s="88" t="s">
        <v>652</v>
      </c>
      <c r="C170" s="87" t="s">
        <v>585</v>
      </c>
      <c r="D170" s="85" t="s">
        <v>249</v>
      </c>
      <c r="E170" s="85" t="s">
        <v>596</v>
      </c>
      <c r="F170" s="23" t="str">
        <f t="shared" si="89"/>
        <v>2050_TM151_PPA_CG_07_2205_BARTtoSV_Phase2_00</v>
      </c>
      <c r="G170" s="84">
        <f t="shared" si="90"/>
        <v>2205</v>
      </c>
      <c r="H170" s="23" t="str">
        <f t="shared" si="91"/>
        <v>2205_00_CG</v>
      </c>
      <c r="I170" s="23" t="str">
        <f>VLOOKUP(G170,'PPA IDs'!$A$2:$B$150,2,0)</f>
        <v>BART to Silicon Valley (Phase 2)</v>
      </c>
      <c r="J170" s="23" t="str">
        <f>VLOOKUP($G170,'PPA IDs'!$A$2:$K$95,9,0)</f>
        <v>scl</v>
      </c>
      <c r="K170" s="23" t="str">
        <f>VLOOKUP($G170,'PPA IDs'!$A$2:$K$95,10,0)</f>
        <v>transit</v>
      </c>
      <c r="L170" s="23" t="str">
        <f>VLOOKUP($G170,'PPA IDs'!$A$2:$K$95,11,0)</f>
        <v>hvy</v>
      </c>
      <c r="M170" s="23" t="str">
        <f t="shared" si="92"/>
        <v>CAG</v>
      </c>
      <c r="N170" s="23" t="str">
        <f t="shared" si="93"/>
        <v>2050_TM151_PPA_CG_07</v>
      </c>
      <c r="O170" s="23" t="str">
        <f>VLOOKUP($G170,'PPA IDs'!$A$2:$M$95,12,0)</f>
        <v>scenario-baseline</v>
      </c>
      <c r="P170" s="23" t="str">
        <f t="shared" si="94"/>
        <v>2205_BARTtoSV_Phase2\2050_TM151_PPA_CG_07_2205_BARTtoSV_Phase2_00</v>
      </c>
    </row>
    <row r="171" spans="1:16" x14ac:dyDescent="0.25">
      <c r="A171" s="85" t="s">
        <v>597</v>
      </c>
      <c r="B171" s="88" t="s">
        <v>652</v>
      </c>
      <c r="C171" s="85" t="s">
        <v>659</v>
      </c>
      <c r="D171" s="85" t="s">
        <v>249</v>
      </c>
      <c r="E171" s="85" t="s">
        <v>596</v>
      </c>
      <c r="F171" s="23" t="str">
        <f t="shared" si="89"/>
        <v>2050_TM151_PPA_CG_07_2400_DowntownSJ_Subway_00</v>
      </c>
      <c r="G171" s="84">
        <f t="shared" si="90"/>
        <v>2400</v>
      </c>
      <c r="H171" s="23" t="str">
        <f t="shared" si="91"/>
        <v>2400_00_CG</v>
      </c>
      <c r="I171" s="23" t="str">
        <f>VLOOKUP(G171,'PPA IDs'!$A$2:$B$150,2,0)</f>
        <v>Downtown San Jose LRT Subway</v>
      </c>
      <c r="J171" s="23" t="str">
        <f>VLOOKUP($G171,'PPA IDs'!$A$2:$K$95,9,0)</f>
        <v>scl</v>
      </c>
      <c r="K171" s="23" t="str">
        <f>VLOOKUP($G171,'PPA IDs'!$A$2:$K$95,10,0)</f>
        <v>transit</v>
      </c>
      <c r="L171" s="23" t="str">
        <f>VLOOKUP($G171,'PPA IDs'!$A$2:$K$95,11,0)</f>
        <v>lrf</v>
      </c>
      <c r="M171" s="23" t="str">
        <f t="shared" si="92"/>
        <v>CAG</v>
      </c>
      <c r="N171" s="23" t="str">
        <f t="shared" si="93"/>
        <v>2050_TM151_PPA_CG_07</v>
      </c>
      <c r="O171" s="23" t="str">
        <f>VLOOKUP($G171,'PPA IDs'!$A$2:$M$95,12,0)</f>
        <v>scenario-baseline</v>
      </c>
      <c r="P171" s="23" t="str">
        <f t="shared" si="94"/>
        <v>2400_DowntownSJ_Subway\2050_TM151_PPA_CG_07_2400_DowntownSJ_Subway_00</v>
      </c>
    </row>
    <row r="172" spans="1:16" x14ac:dyDescent="0.25">
      <c r="A172" s="85" t="s">
        <v>597</v>
      </c>
      <c r="B172" s="88" t="s">
        <v>652</v>
      </c>
      <c r="C172" s="85" t="s">
        <v>660</v>
      </c>
      <c r="D172" s="85" t="s">
        <v>249</v>
      </c>
      <c r="E172" s="85" t="s">
        <v>596</v>
      </c>
      <c r="F172" s="23" t="str">
        <f t="shared" si="89"/>
        <v>2050_TM151_PPA_CG_07_2401_NorthSJ_Subway_00</v>
      </c>
      <c r="G172" s="84">
        <f t="shared" si="90"/>
        <v>2401</v>
      </c>
      <c r="H172" s="23" t="str">
        <f t="shared" si="91"/>
        <v>2401_00_CG</v>
      </c>
      <c r="I172" s="23" t="str">
        <f>VLOOKUP(G172,'PPA IDs'!$A$2:$B$150,2,0)</f>
        <v>North San Jose LRT Subway</v>
      </c>
      <c r="J172" s="23" t="str">
        <f>VLOOKUP($G172,'PPA IDs'!$A$2:$K$95,9,0)</f>
        <v>scl</v>
      </c>
      <c r="K172" s="23" t="str">
        <f>VLOOKUP($G172,'PPA IDs'!$A$2:$K$95,10,0)</f>
        <v>transit</v>
      </c>
      <c r="L172" s="23" t="str">
        <f>VLOOKUP($G172,'PPA IDs'!$A$2:$K$95,11,0)</f>
        <v>lrf</v>
      </c>
      <c r="M172" s="23" t="str">
        <f t="shared" si="92"/>
        <v>CAG</v>
      </c>
      <c r="N172" s="23" t="str">
        <f t="shared" si="93"/>
        <v>2050_TM151_PPA_CG_07</v>
      </c>
      <c r="O172" s="23" t="str">
        <f>VLOOKUP($G172,'PPA IDs'!$A$2:$M$95,12,0)</f>
        <v>scenario-baseline</v>
      </c>
      <c r="P172" s="23" t="str">
        <f t="shared" si="94"/>
        <v>2401_NorthSJ_Subway\2050_TM151_PPA_CG_07_2401_NorthSJ_Subway_00</v>
      </c>
    </row>
    <row r="173" spans="1:16" x14ac:dyDescent="0.25">
      <c r="A173" s="85" t="s">
        <v>597</v>
      </c>
      <c r="B173" s="88" t="s">
        <v>652</v>
      </c>
      <c r="C173" s="85" t="s">
        <v>630</v>
      </c>
      <c r="D173" s="85" t="s">
        <v>249</v>
      </c>
      <c r="E173" s="85" t="s">
        <v>596</v>
      </c>
      <c r="F173" s="23" t="str">
        <f t="shared" si="89"/>
        <v>2050_TM151_PPA_CG_07_2402_SJC_People_Mover_00</v>
      </c>
      <c r="G173" s="84">
        <f t="shared" si="90"/>
        <v>2402</v>
      </c>
      <c r="H173" s="23" t="str">
        <f t="shared" si="91"/>
        <v>2402_00_CG</v>
      </c>
      <c r="I173" s="23" t="str">
        <f>VLOOKUP(G173,'PPA IDs'!$A$2:$B$150,2,0)</f>
        <v>San Jose Airport People Mover</v>
      </c>
      <c r="J173" s="23" t="str">
        <f>VLOOKUP($G173,'PPA IDs'!$A$2:$K$95,9,0)</f>
        <v>scl</v>
      </c>
      <c r="K173" s="23" t="str">
        <f>VLOOKUP($G173,'PPA IDs'!$A$2:$K$95,10,0)</f>
        <v>transit</v>
      </c>
      <c r="L173" s="23" t="str">
        <f>VLOOKUP($G173,'PPA IDs'!$A$2:$K$95,11,0)</f>
        <v>lrf</v>
      </c>
      <c r="M173" s="23" t="str">
        <f t="shared" si="92"/>
        <v>CAG</v>
      </c>
      <c r="N173" s="23" t="str">
        <f t="shared" si="93"/>
        <v>2050_TM151_PPA_CG_07</v>
      </c>
      <c r="O173" s="23" t="str">
        <f>VLOOKUP($G173,'PPA IDs'!$A$2:$M$95,12,0)</f>
        <v>scenario-baseline</v>
      </c>
      <c r="P173" s="23" t="str">
        <f t="shared" si="94"/>
        <v>2402_SJC_People_Mover\2050_TM151_PPA_CG_07_2402_SJC_People_Mover_00</v>
      </c>
    </row>
    <row r="174" spans="1:16" x14ac:dyDescent="0.25">
      <c r="A174" s="85" t="s">
        <v>597</v>
      </c>
      <c r="B174" s="88" t="s">
        <v>652</v>
      </c>
      <c r="C174" s="85" t="s">
        <v>631</v>
      </c>
      <c r="D174" s="85" t="s">
        <v>249</v>
      </c>
      <c r="E174" s="85" t="s">
        <v>596</v>
      </c>
      <c r="F174" s="23" t="str">
        <f t="shared" si="89"/>
        <v>2050_TM151_PPA_CG_07_2403_Vasona_LRT_Phase2_00</v>
      </c>
      <c r="G174" s="84">
        <f t="shared" si="90"/>
        <v>2403</v>
      </c>
      <c r="H174" s="23" t="str">
        <f t="shared" si="91"/>
        <v>2403_00_CG</v>
      </c>
      <c r="I174" s="23" t="str">
        <f>VLOOKUP(G174,'PPA IDs'!$A$2:$B$150,2,0)</f>
        <v>Vasona LRT (Phase 2)</v>
      </c>
      <c r="J174" s="23" t="str">
        <f>VLOOKUP($G174,'PPA IDs'!$A$2:$K$95,9,0)</f>
        <v>scl</v>
      </c>
      <c r="K174" s="23" t="str">
        <f>VLOOKUP($G174,'PPA IDs'!$A$2:$K$95,10,0)</f>
        <v>transit</v>
      </c>
      <c r="L174" s="23" t="str">
        <f>VLOOKUP($G174,'PPA IDs'!$A$2:$K$95,11,0)</f>
        <v>lrf</v>
      </c>
      <c r="M174" s="23" t="str">
        <f t="shared" si="92"/>
        <v>CAG</v>
      </c>
      <c r="N174" s="23" t="str">
        <f t="shared" si="93"/>
        <v>2050_TM151_PPA_CG_07</v>
      </c>
      <c r="O174" s="23" t="str">
        <f>VLOOKUP($G174,'PPA IDs'!$A$2:$M$95,12,0)</f>
        <v>scenario-baseline</v>
      </c>
      <c r="P174" s="23" t="str">
        <f t="shared" si="94"/>
        <v>2403_Vasona_LRT_Phase2\2050_TM151_PPA_CG_07_2403_Vasona_LRT_Phase2_00</v>
      </c>
    </row>
    <row r="175" spans="1:16" x14ac:dyDescent="0.25">
      <c r="A175" s="85" t="s">
        <v>597</v>
      </c>
      <c r="B175" s="88" t="s">
        <v>652</v>
      </c>
      <c r="C175" s="85" t="s">
        <v>646</v>
      </c>
      <c r="D175" s="85" t="s">
        <v>249</v>
      </c>
      <c r="E175" s="85" t="s">
        <v>596</v>
      </c>
      <c r="F175" s="23" t="str">
        <f t="shared" si="89"/>
        <v>2050_TM151_PPA_CG_07_3100_SR_239_00</v>
      </c>
      <c r="G175" s="84">
        <f t="shared" si="90"/>
        <v>3100</v>
      </c>
      <c r="H175" s="23" t="str">
        <f t="shared" si="91"/>
        <v>3100_00_CG</v>
      </c>
      <c r="I175" s="23" t="str">
        <f>VLOOKUP(G175,'PPA IDs'!$A$2:$B$150,2,0)</f>
        <v>SR-239</v>
      </c>
      <c r="J175" s="23" t="str">
        <f>VLOOKUP($G175,'PPA IDs'!$A$2:$K$95,9,0)</f>
        <v>cc</v>
      </c>
      <c r="K175" s="23" t="str">
        <f>VLOOKUP($G175,'PPA IDs'!$A$2:$K$95,10,0)</f>
        <v>road</v>
      </c>
      <c r="L175" s="23" t="str">
        <f>VLOOKUP($G175,'PPA IDs'!$A$2:$K$95,11,0)</f>
        <v>road</v>
      </c>
      <c r="M175" s="23" t="str">
        <f t="shared" si="92"/>
        <v>CAG</v>
      </c>
      <c r="N175" s="23" t="str">
        <f t="shared" si="93"/>
        <v>2050_TM151_PPA_CG_07</v>
      </c>
      <c r="O175" s="23" t="str">
        <f>VLOOKUP($G175,'PPA IDs'!$A$2:$M$95,12,0)</f>
        <v>scenario-baseline</v>
      </c>
      <c r="P175" s="23" t="str">
        <f t="shared" si="94"/>
        <v>3100_SR_239\2050_TM151_PPA_CG_07_3100_SR_239_00</v>
      </c>
    </row>
    <row r="176" spans="1:16" x14ac:dyDescent="0.25">
      <c r="A176" s="85" t="s">
        <v>597</v>
      </c>
      <c r="B176" s="88" t="s">
        <v>652</v>
      </c>
      <c r="C176" s="85" t="s">
        <v>592</v>
      </c>
      <c r="D176" s="85" t="s">
        <v>249</v>
      </c>
      <c r="E176" s="85" t="s">
        <v>596</v>
      </c>
      <c r="F176" s="23" t="str">
        <f t="shared" si="89"/>
        <v>2050_TM151_PPA_CG_07_3102_SR4_Op_00</v>
      </c>
      <c r="G176" s="84">
        <f t="shared" si="90"/>
        <v>3102</v>
      </c>
      <c r="H176" s="23" t="str">
        <f t="shared" si="91"/>
        <v>3102_00_CG</v>
      </c>
      <c r="I176" s="23" t="str">
        <f>VLOOKUP(G176,'PPA IDs'!$A$2:$B$150,2,0)</f>
        <v>SR-4 Operational Improvements</v>
      </c>
      <c r="J176" s="23" t="str">
        <f>VLOOKUP($G176,'PPA IDs'!$A$2:$K$95,9,0)</f>
        <v>cc</v>
      </c>
      <c r="K176" s="23" t="str">
        <f>VLOOKUP($G176,'PPA IDs'!$A$2:$K$95,10,0)</f>
        <v>road</v>
      </c>
      <c r="L176" s="23" t="str">
        <f>VLOOKUP($G176,'PPA IDs'!$A$2:$K$95,11,0)</f>
        <v>road</v>
      </c>
      <c r="M176" s="23" t="str">
        <f t="shared" si="92"/>
        <v>CAG</v>
      </c>
      <c r="N176" s="23" t="str">
        <f t="shared" si="93"/>
        <v>2050_TM151_PPA_CG_07</v>
      </c>
      <c r="O176" s="23" t="str">
        <f>VLOOKUP($G176,'PPA IDs'!$A$2:$M$95,12,0)</f>
        <v>scenario-baseline</v>
      </c>
      <c r="P176" s="23" t="str">
        <f t="shared" si="94"/>
        <v>3102_SR4_Op\2050_TM151_PPA_CG_07_3102_SR4_Op_00</v>
      </c>
    </row>
    <row r="177" spans="1:16" x14ac:dyDescent="0.25">
      <c r="A177" s="86" t="s">
        <v>597</v>
      </c>
      <c r="B177" s="89" t="s">
        <v>652</v>
      </c>
      <c r="C177" s="86" t="s">
        <v>591</v>
      </c>
      <c r="D177" s="85" t="s">
        <v>249</v>
      </c>
      <c r="E177" s="86" t="s">
        <v>596</v>
      </c>
      <c r="F177" s="90" t="str">
        <f t="shared" si="89"/>
        <v>2050_TM151_PPA_CG_07_3103_SR4_Widen_00</v>
      </c>
      <c r="G177" s="91">
        <f t="shared" si="90"/>
        <v>3103</v>
      </c>
      <c r="H177" s="90" t="str">
        <f t="shared" si="91"/>
        <v>3103_00_CG</v>
      </c>
      <c r="I177" s="90" t="str">
        <f>VLOOKUP(G177,'PPA IDs'!$A$2:$B$150,2,0)</f>
        <v>SR-4 Widening (Brentwood to Discovery Bay)</v>
      </c>
      <c r="J177" s="90" t="str">
        <f>VLOOKUP($G177,'PPA IDs'!$A$2:$K$95,9,0)</f>
        <v>cc</v>
      </c>
      <c r="K177" s="90" t="str">
        <f>VLOOKUP($G177,'PPA IDs'!$A$2:$K$95,10,0)</f>
        <v>road</v>
      </c>
      <c r="L177" s="90" t="str">
        <f>VLOOKUP($G177,'PPA IDs'!$A$2:$K$95,11,0)</f>
        <v>road</v>
      </c>
      <c r="M177" s="90" t="str">
        <f t="shared" si="92"/>
        <v>CAG</v>
      </c>
      <c r="N177" s="90" t="str">
        <f t="shared" si="93"/>
        <v>2050_TM151_PPA_CG_07</v>
      </c>
      <c r="O177" s="90" t="str">
        <f>VLOOKUP($G177,'PPA IDs'!$A$2:$M$95,12,0)</f>
        <v>scenario-baseline</v>
      </c>
      <c r="P177" s="90" t="str">
        <f t="shared" si="94"/>
        <v>3103_SR4_Widen\2050_TM151_PPA_CG_07_3103_SR4_Widen_00</v>
      </c>
    </row>
  </sheetData>
  <autoFilter ref="A1:P145"/>
  <pageMargins left="0.7" right="0.7" top="0.75" bottom="0.75" header="0.3" footer="0.3"/>
  <pageSetup orientation="portrait" verticalDpi="0" r:id="rId1"/>
  <ignoredErrors>
    <ignoredError sqref="E106:E118 E2:E43 B2:C48 B106:C118 E45:E4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107"/>
  <sheetViews>
    <sheetView workbookViewId="0">
      <pane xSplit="4" ySplit="1" topLeftCell="E8" activePane="bottomRight" state="frozen"/>
      <selection pane="topRight"/>
      <selection pane="bottomLeft"/>
      <selection pane="bottomRight" activeCell="E24" sqref="E24"/>
    </sheetView>
  </sheetViews>
  <sheetFormatPr defaultColWidth="17.85546875" defaultRowHeight="15" x14ac:dyDescent="0.25"/>
  <cols>
    <col min="2" max="2" width="13.42578125" style="52" customWidth="1"/>
    <col min="3" max="3" width="11.85546875" customWidth="1"/>
  </cols>
  <sheetData>
    <row r="1" spans="1:25" s="19" customFormat="1" ht="55.5" customHeight="1" x14ac:dyDescent="0.25">
      <c r="A1" s="22" t="s">
        <v>158</v>
      </c>
      <c r="B1" s="22" t="s">
        <v>88</v>
      </c>
      <c r="C1" s="22" t="s">
        <v>154</v>
      </c>
      <c r="D1" s="22" t="s">
        <v>93</v>
      </c>
      <c r="E1" s="22" t="s">
        <v>97</v>
      </c>
      <c r="F1" s="22" t="s">
        <v>96</v>
      </c>
      <c r="G1" s="22" t="s">
        <v>326</v>
      </c>
      <c r="H1" s="22" t="s">
        <v>95</v>
      </c>
      <c r="I1" s="22" t="s">
        <v>324</v>
      </c>
      <c r="J1" s="22" t="s">
        <v>327</v>
      </c>
      <c r="K1" s="22" t="s">
        <v>322</v>
      </c>
      <c r="L1" s="22" t="s">
        <v>320</v>
      </c>
      <c r="M1" s="22" t="s">
        <v>321</v>
      </c>
      <c r="N1" s="22" t="s">
        <v>323</v>
      </c>
      <c r="O1" s="22" t="s">
        <v>98</v>
      </c>
      <c r="P1" s="22" t="s">
        <v>99</v>
      </c>
      <c r="Q1" s="22" t="s">
        <v>325</v>
      </c>
      <c r="R1" s="22" t="s">
        <v>101</v>
      </c>
      <c r="S1" s="22" t="s">
        <v>100</v>
      </c>
      <c r="T1" s="22" t="s">
        <v>104</v>
      </c>
      <c r="U1" s="22" t="s">
        <v>103</v>
      </c>
      <c r="V1" s="22" t="s">
        <v>102</v>
      </c>
      <c r="W1" s="22" t="s">
        <v>89</v>
      </c>
      <c r="X1" s="22" t="s">
        <v>90</v>
      </c>
      <c r="Y1" s="22" t="s">
        <v>94</v>
      </c>
    </row>
    <row r="2" spans="1:25" x14ac:dyDescent="0.25">
      <c r="A2" s="93" t="s">
        <v>634</v>
      </c>
      <c r="B2" s="51">
        <v>207</v>
      </c>
      <c r="C2" s="45">
        <v>4</v>
      </c>
      <c r="D2" s="48">
        <f t="shared" ref="D2:D9" si="0">SUM(E2:X2)</f>
        <v>333000000</v>
      </c>
      <c r="E2" s="21">
        <v>200000000</v>
      </c>
      <c r="F2" s="21">
        <v>0</v>
      </c>
      <c r="G2" s="21">
        <v>50000000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25000000</v>
      </c>
      <c r="O2" s="21">
        <v>25000000</v>
      </c>
      <c r="P2" s="21">
        <v>33000000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Y2" s="48">
        <v>0</v>
      </c>
    </row>
    <row r="3" spans="1:25" x14ac:dyDescent="0.25">
      <c r="A3" s="93" t="s">
        <v>634</v>
      </c>
      <c r="B3" s="51">
        <v>1101</v>
      </c>
      <c r="C3" s="45">
        <v>4</v>
      </c>
      <c r="D3" s="48">
        <f t="shared" si="0"/>
        <v>1523000000</v>
      </c>
      <c r="E3" s="21">
        <v>0</v>
      </c>
      <c r="F3" s="21">
        <v>0</v>
      </c>
      <c r="G3" s="21">
        <v>0</v>
      </c>
      <c r="H3" s="21">
        <v>700000000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365000000</v>
      </c>
      <c r="Q3" s="21">
        <v>0</v>
      </c>
      <c r="R3" s="21">
        <v>0</v>
      </c>
      <c r="S3" s="21">
        <v>458000000</v>
      </c>
      <c r="T3" s="21">
        <v>0</v>
      </c>
      <c r="U3" s="21">
        <v>0</v>
      </c>
      <c r="Y3" s="48">
        <v>15000000</v>
      </c>
    </row>
    <row r="4" spans="1:25" x14ac:dyDescent="0.25">
      <c r="A4" s="93" t="s">
        <v>634</v>
      </c>
      <c r="B4" s="51">
        <v>11011</v>
      </c>
      <c r="C4" s="45">
        <v>4</v>
      </c>
      <c r="D4" s="48">
        <f t="shared" si="0"/>
        <v>1538000000</v>
      </c>
      <c r="E4" s="21">
        <v>0</v>
      </c>
      <c r="F4" s="21">
        <v>0</v>
      </c>
      <c r="G4" s="21">
        <v>0</v>
      </c>
      <c r="H4" s="21">
        <v>1080000000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458000000</v>
      </c>
      <c r="T4" s="21">
        <v>0</v>
      </c>
      <c r="U4" s="21">
        <v>0</v>
      </c>
      <c r="Y4" s="48">
        <v>15000000</v>
      </c>
    </row>
    <row r="5" spans="1:25" x14ac:dyDescent="0.25">
      <c r="A5" s="93" t="s">
        <v>634</v>
      </c>
      <c r="B5" s="51">
        <v>1102</v>
      </c>
      <c r="C5" s="45">
        <v>4</v>
      </c>
      <c r="D5" s="48">
        <f t="shared" si="0"/>
        <v>253400000</v>
      </c>
      <c r="E5" s="21">
        <v>200000000</v>
      </c>
      <c r="F5" s="21">
        <v>200000</v>
      </c>
      <c r="G5" s="21">
        <v>50000000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2000000</v>
      </c>
      <c r="O5" s="21">
        <v>200000</v>
      </c>
      <c r="P5" s="21">
        <v>1000000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Y5" s="48">
        <v>1000000</v>
      </c>
    </row>
    <row r="6" spans="1:25" x14ac:dyDescent="0.25">
      <c r="A6" s="93" t="s">
        <v>634</v>
      </c>
      <c r="B6" s="51">
        <v>1103</v>
      </c>
      <c r="C6" s="45">
        <v>3</v>
      </c>
      <c r="D6" s="48">
        <f t="shared" si="0"/>
        <v>345000000</v>
      </c>
      <c r="E6" s="21">
        <v>270000000</v>
      </c>
      <c r="F6" s="21">
        <v>0</v>
      </c>
      <c r="G6" s="21">
        <v>35000000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20000000</v>
      </c>
      <c r="P6" s="21">
        <v>20000000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Y6" s="48">
        <v>6000000</v>
      </c>
    </row>
    <row r="7" spans="1:25" x14ac:dyDescent="0.25">
      <c r="A7" s="93" t="s">
        <v>634</v>
      </c>
      <c r="B7" s="51">
        <v>4</v>
      </c>
      <c r="C7" s="45">
        <v>2</v>
      </c>
      <c r="D7" s="48">
        <f t="shared" si="0"/>
        <v>58200000</v>
      </c>
      <c r="E7" s="21">
        <v>200000</v>
      </c>
      <c r="F7" s="21">
        <v>200000</v>
      </c>
      <c r="G7" s="21">
        <v>55000000</v>
      </c>
      <c r="H7" s="21">
        <v>200000</v>
      </c>
      <c r="I7" s="21">
        <v>200000</v>
      </c>
      <c r="J7" s="21">
        <v>200000</v>
      </c>
      <c r="K7" s="21">
        <v>200000</v>
      </c>
      <c r="L7" s="21">
        <v>200000</v>
      </c>
      <c r="M7" s="21">
        <v>200000</v>
      </c>
      <c r="N7" s="21">
        <v>200000</v>
      </c>
      <c r="O7" s="21">
        <v>200000</v>
      </c>
      <c r="P7" s="21">
        <v>200000</v>
      </c>
      <c r="Q7" s="21">
        <v>200000</v>
      </c>
      <c r="R7" s="21">
        <v>200000</v>
      </c>
      <c r="S7" s="21">
        <v>200000</v>
      </c>
      <c r="T7" s="21">
        <v>200000</v>
      </c>
      <c r="U7" s="21">
        <v>200000</v>
      </c>
      <c r="Y7" s="48">
        <v>200000</v>
      </c>
    </row>
    <row r="8" spans="1:25" x14ac:dyDescent="0.25">
      <c r="A8" s="93" t="s">
        <v>634</v>
      </c>
      <c r="B8" s="49">
        <v>11</v>
      </c>
      <c r="C8" s="46">
        <v>10</v>
      </c>
      <c r="D8" s="48">
        <f t="shared" si="0"/>
        <v>15890480000</v>
      </c>
      <c r="E8" s="21">
        <v>0</v>
      </c>
      <c r="F8" s="21">
        <f xml:space="preserve"> 6933600000 + 303500000 +85680000</f>
        <v>7322780000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f>5638600000+ 1098400000+1830700000</f>
        <v>8567700000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Y8" s="48">
        <v>41044180</v>
      </c>
    </row>
    <row r="9" spans="1:25" x14ac:dyDescent="0.25">
      <c r="A9" s="93" t="s">
        <v>634</v>
      </c>
      <c r="B9" s="49">
        <v>1105</v>
      </c>
      <c r="C9" s="46">
        <v>10</v>
      </c>
      <c r="D9" s="48">
        <f t="shared" si="0"/>
        <v>15890441300</v>
      </c>
      <c r="E9" s="21">
        <v>0</v>
      </c>
      <c r="F9" s="21">
        <v>15800290800</v>
      </c>
      <c r="G9" s="21">
        <v>0</v>
      </c>
      <c r="H9" s="21">
        <v>0</v>
      </c>
      <c r="I9" s="21">
        <v>0</v>
      </c>
      <c r="J9" s="21">
        <v>89577600</v>
      </c>
      <c r="K9" s="21">
        <v>572900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Y9" s="48">
        <v>41044200</v>
      </c>
    </row>
    <row r="10" spans="1:25" x14ac:dyDescent="0.25">
      <c r="A10" s="93" t="str">
        <f>VLOOKUP(B10,'PPA IDs'!$A$2:$B$117,2,0)</f>
        <v>Crossings 1 - BART New Markets + Highway Crossing</v>
      </c>
      <c r="B10" s="49">
        <v>1001</v>
      </c>
      <c r="C10" s="46">
        <f>VLOOKUP(B10,'PPA IDs'!$A$2:$O$127,15,0)</f>
        <v>10</v>
      </c>
      <c r="D10" s="48">
        <f>SUM(E10:X10)</f>
        <v>52711268200</v>
      </c>
      <c r="E10" s="21">
        <v>231060400</v>
      </c>
      <c r="F10" s="21">
        <v>347471300</v>
      </c>
      <c r="G10" s="21">
        <v>8022930200</v>
      </c>
      <c r="H10" s="21">
        <v>0</v>
      </c>
      <c r="I10" s="21">
        <v>0</v>
      </c>
      <c r="J10" s="21">
        <v>0</v>
      </c>
      <c r="K10" s="21">
        <v>15190000</v>
      </c>
      <c r="L10" s="21">
        <v>607600000</v>
      </c>
      <c r="M10" s="21">
        <v>24646666200</v>
      </c>
      <c r="N10" s="21">
        <v>2713770100</v>
      </c>
      <c r="O10" s="21">
        <v>217000000</v>
      </c>
      <c r="P10" s="21">
        <v>7473480000</v>
      </c>
      <c r="Q10" s="21">
        <v>1892000000</v>
      </c>
      <c r="R10" s="21">
        <v>629300000</v>
      </c>
      <c r="S10" s="21">
        <v>0</v>
      </c>
      <c r="T10" s="21">
        <v>0</v>
      </c>
      <c r="U10" s="21">
        <v>5914800000</v>
      </c>
      <c r="V10" s="21">
        <v>0</v>
      </c>
      <c r="W10" s="21">
        <v>0</v>
      </c>
      <c r="X10" s="21">
        <v>0</v>
      </c>
      <c r="Y10" s="48">
        <v>307100000</v>
      </c>
    </row>
    <row r="11" spans="1:25" x14ac:dyDescent="0.25">
      <c r="A11" s="93" t="str">
        <f>VLOOKUP(B11,'PPA IDs'!$A$2:$B$117,2,0)</f>
        <v>Crossings 2 - BART Mission St</v>
      </c>
      <c r="B11" s="49">
        <v>1002</v>
      </c>
      <c r="C11" s="46">
        <f>VLOOKUP(B11,'PPA IDs'!$A$2:$O$127,15,0)</f>
        <v>10</v>
      </c>
      <c r="D11" s="48">
        <f t="shared" ref="D11:D17" si="1">SUM(E11:X11)</f>
        <v>39598936300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15190000</v>
      </c>
      <c r="L11" s="21">
        <v>607600000</v>
      </c>
      <c r="M11" s="21">
        <v>21655420800</v>
      </c>
      <c r="N11" s="21">
        <v>2381409500</v>
      </c>
      <c r="O11" s="21">
        <v>217000000</v>
      </c>
      <c r="P11" s="21">
        <v>6477016000</v>
      </c>
      <c r="Q11" s="21">
        <v>1892000000</v>
      </c>
      <c r="R11" s="21">
        <v>629300000</v>
      </c>
      <c r="S11" s="21">
        <v>0</v>
      </c>
      <c r="T11" s="21">
        <v>0</v>
      </c>
      <c r="U11" s="21">
        <v>5724000000</v>
      </c>
      <c r="V11" s="21">
        <v>0</v>
      </c>
      <c r="W11" s="21">
        <v>0</v>
      </c>
      <c r="X11" s="21">
        <v>0</v>
      </c>
      <c r="Y11" s="48">
        <v>258300000</v>
      </c>
    </row>
    <row r="12" spans="1:25" x14ac:dyDescent="0.25">
      <c r="A12" s="93" t="str">
        <f>VLOOKUP(B12,'PPA IDs'!$A$2:$B$117,2,0)</f>
        <v>Crossings 3 - BART New Markets</v>
      </c>
      <c r="B12" s="49">
        <v>1003</v>
      </c>
      <c r="C12" s="46">
        <f>VLOOKUP(B12,'PPA IDs'!$A$2:$O$127,15,0)</f>
        <v>10</v>
      </c>
      <c r="D12" s="48">
        <f t="shared" si="1"/>
        <v>40940102700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15190000</v>
      </c>
      <c r="L12" s="21">
        <v>607600000</v>
      </c>
      <c r="M12" s="21">
        <v>22356821800</v>
      </c>
      <c r="N12" s="21">
        <v>2459342900</v>
      </c>
      <c r="O12" s="21">
        <v>217000000</v>
      </c>
      <c r="P12" s="21">
        <v>6975248000</v>
      </c>
      <c r="Q12" s="21">
        <v>1892000000</v>
      </c>
      <c r="R12" s="21">
        <v>629300000</v>
      </c>
      <c r="S12" s="21">
        <v>0</v>
      </c>
      <c r="T12" s="21">
        <v>0</v>
      </c>
      <c r="U12" s="21">
        <v>5787600000</v>
      </c>
      <c r="V12" s="21">
        <v>0</v>
      </c>
      <c r="W12" s="21">
        <v>0</v>
      </c>
      <c r="X12" s="21">
        <v>0</v>
      </c>
      <c r="Y12" s="48">
        <v>268000000</v>
      </c>
    </row>
    <row r="13" spans="1:25" x14ac:dyDescent="0.25">
      <c r="A13" s="93" t="str">
        <f>VLOOKUP(B13,'PPA IDs'!$A$2:$B$117,2,0)</f>
        <v>Crossings 4 - Regional Rail</v>
      </c>
      <c r="B13" s="49">
        <v>1004</v>
      </c>
      <c r="C13" s="46">
        <f>VLOOKUP(B13,'PPA IDs'!$A$2:$O$127,15,0)</f>
        <v>10</v>
      </c>
      <c r="D13" s="48">
        <f t="shared" si="1"/>
        <v>45903833300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7595000</v>
      </c>
      <c r="L13" s="21">
        <v>1372679000</v>
      </c>
      <c r="M13" s="21">
        <v>24625257600</v>
      </c>
      <c r="N13" s="21">
        <v>9549474700</v>
      </c>
      <c r="O13" s="21">
        <v>4846286000</v>
      </c>
      <c r="P13" s="21">
        <v>696916000</v>
      </c>
      <c r="Q13" s="21">
        <v>1019575000</v>
      </c>
      <c r="R13" s="21">
        <v>979400000</v>
      </c>
      <c r="S13" s="21">
        <v>0</v>
      </c>
      <c r="T13" s="21">
        <v>0</v>
      </c>
      <c r="U13" s="21">
        <v>0</v>
      </c>
      <c r="V13" s="21">
        <v>2806650000</v>
      </c>
      <c r="W13" s="21">
        <v>0</v>
      </c>
      <c r="X13" s="21">
        <v>0</v>
      </c>
      <c r="Y13" s="48">
        <v>402300000</v>
      </c>
    </row>
    <row r="14" spans="1:25" x14ac:dyDescent="0.25">
      <c r="A14" s="93" t="str">
        <f>VLOOKUP(B14,'PPA IDs'!$A$2:$B$117,2,0)</f>
        <v>Crossings 5 - Mid-Bay Crossing</v>
      </c>
      <c r="B14" s="49">
        <v>1005</v>
      </c>
      <c r="C14" s="46">
        <f>VLOOKUP(B14,'PPA IDs'!$A$2:$O$127,15,0)</f>
        <v>10</v>
      </c>
      <c r="D14" s="48">
        <f t="shared" si="1"/>
        <v>17376757100</v>
      </c>
      <c r="E14" s="21">
        <v>48428200</v>
      </c>
      <c r="F14" s="21">
        <v>15918740300</v>
      </c>
      <c r="G14" s="21">
        <v>1401277500</v>
      </c>
      <c r="H14" s="21">
        <v>0</v>
      </c>
      <c r="I14" s="21">
        <v>0</v>
      </c>
      <c r="J14" s="21">
        <v>0</v>
      </c>
      <c r="K14" s="21">
        <v>8311100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48">
        <v>42600000</v>
      </c>
    </row>
    <row r="15" spans="1:25" x14ac:dyDescent="0.25">
      <c r="A15" s="93" t="str">
        <f>VLOOKUP(B15,'PPA IDs'!$A$2:$B$117,2,0)</f>
        <v>Crossings 6 - San Mateo Bridge Widening</v>
      </c>
      <c r="B15" s="49">
        <v>1006</v>
      </c>
      <c r="C15" s="46">
        <f>VLOOKUP(B15,'PPA IDs'!$A$2:$O$127,15,0)</f>
        <v>10</v>
      </c>
      <c r="D15" s="48">
        <f t="shared" si="1"/>
        <v>13396746700</v>
      </c>
      <c r="E15" s="21">
        <v>5468400</v>
      </c>
      <c r="F15" s="21">
        <v>13283004000</v>
      </c>
      <c r="G15" s="21">
        <v>0</v>
      </c>
      <c r="H15" s="21">
        <v>0</v>
      </c>
      <c r="I15" s="21">
        <v>0</v>
      </c>
      <c r="J15" s="21">
        <v>0</v>
      </c>
      <c r="K15" s="21">
        <v>108274300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48">
        <v>32800000</v>
      </c>
    </row>
    <row r="16" spans="1:25" x14ac:dyDescent="0.25">
      <c r="A16" s="93" t="str">
        <f>VLOOKUP(B16,'PPA IDs'!$A$2:$B$117,2,0)</f>
        <v>Crossings 7 - Regional Rail + BART New Markets</v>
      </c>
      <c r="B16" s="49">
        <v>1007</v>
      </c>
      <c r="C16" s="46">
        <f>VLOOKUP(B16,'PPA IDs'!$A$2:$O$127,15,0)</f>
        <v>10</v>
      </c>
      <c r="D16" s="48">
        <f t="shared" si="1"/>
        <v>86843936000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22785000</v>
      </c>
      <c r="L16" s="21">
        <v>1980279000</v>
      </c>
      <c r="M16" s="21">
        <v>46982079400</v>
      </c>
      <c r="N16" s="21">
        <v>12008817600</v>
      </c>
      <c r="O16" s="21">
        <v>5063286000</v>
      </c>
      <c r="P16" s="21">
        <v>7672164000</v>
      </c>
      <c r="Q16" s="21">
        <v>2911575000</v>
      </c>
      <c r="R16" s="21">
        <v>1608700000</v>
      </c>
      <c r="S16" s="21">
        <v>0</v>
      </c>
      <c r="T16" s="21">
        <v>0</v>
      </c>
      <c r="U16" s="21">
        <v>5787600000</v>
      </c>
      <c r="V16" s="21">
        <v>2806650000</v>
      </c>
      <c r="W16" s="21">
        <v>0</v>
      </c>
      <c r="X16" s="21">
        <v>0</v>
      </c>
      <c r="Y16" s="48">
        <v>670300000</v>
      </c>
    </row>
    <row r="17" spans="1:25" x14ac:dyDescent="0.25">
      <c r="A17" s="93" t="str">
        <f>VLOOKUP(B17,'PPA IDs'!$A$2:$B$117,2,0)</f>
        <v>Crossings 8 - Southern Crossing Bridge</v>
      </c>
      <c r="B17" s="49">
        <v>1008</v>
      </c>
      <c r="C17" s="46">
        <f>VLOOKUP(B17,'PPA IDs'!$A$2:$O$127,15,0)</f>
        <v>10</v>
      </c>
      <c r="D17" s="48">
        <f t="shared" si="1"/>
        <v>8601461900</v>
      </c>
      <c r="E17" s="21">
        <v>231060400</v>
      </c>
      <c r="F17" s="21">
        <v>347471300</v>
      </c>
      <c r="G17" s="21">
        <v>8022930200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48">
        <v>26600000</v>
      </c>
    </row>
    <row r="18" spans="1:25" x14ac:dyDescent="0.25">
      <c r="A18" s="93" t="str">
        <f>VLOOKUP(B18,'PPA IDs'!$A$2:$B$117,2,0)</f>
        <v>Dumbarton Rail (Redwood City to Union City)</v>
      </c>
      <c r="B18" s="49">
        <v>2306</v>
      </c>
      <c r="C18" s="46">
        <v>10</v>
      </c>
      <c r="D18" s="48">
        <v>6600000000</v>
      </c>
      <c r="E18" s="21">
        <f t="shared" ref="E18:X18" si="2">E12/$D12*$D18</f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21">
        <f t="shared" si="2"/>
        <v>0</v>
      </c>
      <c r="J18" s="21">
        <f t="shared" si="2"/>
        <v>0</v>
      </c>
      <c r="K18" s="21">
        <f t="shared" si="2"/>
        <v>2448796.9835991645</v>
      </c>
      <c r="L18" s="21">
        <f t="shared" si="2"/>
        <v>97951879.343966573</v>
      </c>
      <c r="M18" s="21">
        <f t="shared" si="2"/>
        <v>3604168386.2214642</v>
      </c>
      <c r="N18" s="21">
        <f t="shared" si="2"/>
        <v>396473434.83581442</v>
      </c>
      <c r="O18" s="21">
        <f t="shared" si="2"/>
        <v>34982814.051416628</v>
      </c>
      <c r="P18" s="21">
        <f t="shared" si="2"/>
        <v>1124487574.868736</v>
      </c>
      <c r="Q18" s="21">
        <f t="shared" si="2"/>
        <v>305011447.85843444</v>
      </c>
      <c r="R18" s="21">
        <f t="shared" si="2"/>
        <v>101450160.74910823</v>
      </c>
      <c r="S18" s="21">
        <f t="shared" si="2"/>
        <v>0</v>
      </c>
      <c r="T18" s="21">
        <f t="shared" si="2"/>
        <v>0</v>
      </c>
      <c r="U18" s="21">
        <f t="shared" si="2"/>
        <v>933025505.0874604</v>
      </c>
      <c r="V18" s="21">
        <f t="shared" si="2"/>
        <v>0</v>
      </c>
      <c r="W18" s="21">
        <f t="shared" si="2"/>
        <v>0</v>
      </c>
      <c r="X18" s="21">
        <f t="shared" si="2"/>
        <v>0</v>
      </c>
      <c r="Y18" s="48">
        <v>50000000</v>
      </c>
    </row>
    <row r="19" spans="1:25" x14ac:dyDescent="0.25">
      <c r="A19" s="93" t="str">
        <f>VLOOKUP(B19,'PPA IDs'!$A$2:$B$117,2,0)</f>
        <v>Valley Link (Dublin to San Joaquin Valley)</v>
      </c>
      <c r="B19" s="49">
        <v>2308</v>
      </c>
      <c r="C19" s="46">
        <v>3</v>
      </c>
      <c r="D19" s="48">
        <v>3750000000</v>
      </c>
      <c r="E19" s="21">
        <f t="shared" ref="E19:X19" si="3">E25/$D25*$D19</f>
        <v>0</v>
      </c>
      <c r="F19" s="21">
        <f t="shared" si="3"/>
        <v>0</v>
      </c>
      <c r="G19" s="21">
        <f t="shared" si="3"/>
        <v>0</v>
      </c>
      <c r="H19" s="21">
        <f t="shared" si="3"/>
        <v>0</v>
      </c>
      <c r="I19" s="21">
        <f t="shared" si="3"/>
        <v>0</v>
      </c>
      <c r="J19" s="21">
        <f t="shared" si="3"/>
        <v>0</v>
      </c>
      <c r="K19" s="21">
        <f t="shared" si="3"/>
        <v>0</v>
      </c>
      <c r="L19" s="21">
        <f t="shared" si="3"/>
        <v>816679920.90316641</v>
      </c>
      <c r="M19" s="21">
        <f t="shared" si="3"/>
        <v>1133215565.8395212</v>
      </c>
      <c r="N19" s="21">
        <f t="shared" si="3"/>
        <v>194274691.84983987</v>
      </c>
      <c r="O19" s="21">
        <f t="shared" si="3"/>
        <v>629581247.46699739</v>
      </c>
      <c r="P19" s="21">
        <f t="shared" si="3"/>
        <v>154153603.91039765</v>
      </c>
      <c r="Q19" s="21">
        <f t="shared" si="3"/>
        <v>225523823.11059535</v>
      </c>
      <c r="R19" s="21">
        <f t="shared" si="3"/>
        <v>216637356.10868949</v>
      </c>
      <c r="S19" s="21">
        <f t="shared" si="3"/>
        <v>0</v>
      </c>
      <c r="T19" s="21">
        <f t="shared" si="3"/>
        <v>0</v>
      </c>
      <c r="U19" s="21">
        <f t="shared" si="3"/>
        <v>0</v>
      </c>
      <c r="V19" s="21">
        <f t="shared" si="3"/>
        <v>379933790.8107928</v>
      </c>
      <c r="W19" s="21">
        <f t="shared" si="3"/>
        <v>0</v>
      </c>
      <c r="X19" s="21">
        <f t="shared" si="3"/>
        <v>0</v>
      </c>
      <c r="Y19" s="48">
        <v>32000000</v>
      </c>
    </row>
    <row r="20" spans="1:25" x14ac:dyDescent="0.25">
      <c r="A20" s="93" t="str">
        <f>VLOOKUP(B20,'PPA IDs'!$A$2:$B$117,2,0)</f>
        <v>El Camino Real BRT</v>
      </c>
      <c r="B20" s="49">
        <v>2102</v>
      </c>
      <c r="C20" s="46">
        <f>VLOOKUP(B20,'PPA IDs'!$A$2:$O$127,15,0)</f>
        <v>3</v>
      </c>
      <c r="D20" s="48">
        <f>SUM(E20:X20)</f>
        <v>233000000</v>
      </c>
      <c r="E20" s="21">
        <v>20000000</v>
      </c>
      <c r="F20" s="21">
        <v>0</v>
      </c>
      <c r="G20" s="21">
        <v>50000000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25000000</v>
      </c>
      <c r="O20" s="21">
        <v>25000000</v>
      </c>
      <c r="P20" s="21">
        <v>33000000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80000000</v>
      </c>
      <c r="X20" s="21">
        <v>0</v>
      </c>
      <c r="Y20" s="48">
        <v>-8000000</v>
      </c>
    </row>
    <row r="21" spans="1:25" x14ac:dyDescent="0.25">
      <c r="A21" s="93" t="str">
        <f>VLOOKUP(B21,'PPA IDs'!$A$2:$B$117,2,0)</f>
        <v>WETA Ferry Network Expansion (Berkeley, Alameda Point, Redwood City, Mission Bay)</v>
      </c>
      <c r="B21" s="49">
        <v>2601</v>
      </c>
      <c r="C21" s="46">
        <f>VLOOKUP(B21,'PPA IDs'!$A$2:$O$127,15,0)</f>
        <v>9</v>
      </c>
      <c r="D21" s="48">
        <f t="shared" ref="D21" si="4">SUM(E21:X21)</f>
        <v>217000000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87000000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130000000</v>
      </c>
      <c r="Y21" s="48">
        <v>28000000</v>
      </c>
    </row>
    <row r="22" spans="1:25" x14ac:dyDescent="0.25">
      <c r="A22" s="93" t="str">
        <f>VLOOKUP(B22,'PPA IDs'!$A$2:$B$117,2,0)</f>
        <v>San Pablo BRT</v>
      </c>
      <c r="B22" s="49">
        <v>2100</v>
      </c>
      <c r="C22" s="46">
        <f>VLOOKUP(B22,'PPA IDs'!$A$2:$O$127,15,0)</f>
        <v>4</v>
      </c>
      <c r="D22" s="48">
        <f>SUM(E22:X22)</f>
        <v>330000000</v>
      </c>
      <c r="E22" s="21">
        <v>180000000</v>
      </c>
      <c r="F22" s="21">
        <v>150000000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48">
        <v>2000000</v>
      </c>
    </row>
    <row r="23" spans="1:25" x14ac:dyDescent="0.25">
      <c r="A23" s="93" t="str">
        <f>VLOOKUP(B23,'PPA IDs'!$A$2:$B$117,2,0)</f>
        <v>Geary BRT (Phase 2)</v>
      </c>
      <c r="B23" s="49">
        <v>2101</v>
      </c>
      <c r="C23" s="46">
        <f>VLOOKUP(B23,'PPA IDs'!$A$2:$O$127,15,0)</f>
        <v>2</v>
      </c>
      <c r="D23" s="48">
        <f t="shared" ref="D23:D34" si="5">SUM(E23:X23)</f>
        <v>231000000</v>
      </c>
      <c r="E23" s="21">
        <v>150000000</v>
      </c>
      <c r="F23" s="21">
        <v>31000000</v>
      </c>
      <c r="G23" s="21">
        <v>0</v>
      </c>
      <c r="H23" s="21">
        <v>50000000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48">
        <v>11000000</v>
      </c>
    </row>
    <row r="24" spans="1:25" x14ac:dyDescent="0.25">
      <c r="A24" s="93" t="str">
        <f>VLOOKUP(B24,'PPA IDs'!$A$2:$B$117,2,0)</f>
        <v>Caltrain Downtown Extension</v>
      </c>
      <c r="B24" s="49">
        <v>2300</v>
      </c>
      <c r="C24" s="46">
        <f>VLOOKUP(B24,'PPA IDs'!$A$2:$O$127,15,0)</f>
        <v>6</v>
      </c>
      <c r="D24" s="48">
        <f>SUM(E24:X24)</f>
        <v>4817178000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3319465000</v>
      </c>
      <c r="M24" s="21">
        <v>0</v>
      </c>
      <c r="N24" s="21">
        <v>379967000</v>
      </c>
      <c r="O24" s="21">
        <v>420830000</v>
      </c>
      <c r="P24" s="21">
        <v>696916000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48">
        <v>4000000</v>
      </c>
    </row>
    <row r="25" spans="1:25" x14ac:dyDescent="0.25">
      <c r="A25" s="93" t="str">
        <f>VLOOKUP(B25,'PPA IDs'!$A$2:$B$117,2,0)</f>
        <v>Caltrain PCBB 10tphpd</v>
      </c>
      <c r="B25" s="49">
        <v>2301</v>
      </c>
      <c r="C25" s="46">
        <f>VLOOKUP(B25,'PPA IDs'!$A$2:$O$127,15,0)</f>
        <v>11</v>
      </c>
      <c r="D25" s="48">
        <f>SUM(E25:X25)</f>
        <v>16953447300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3692144000</v>
      </c>
      <c r="M25" s="21">
        <v>5123176100</v>
      </c>
      <c r="N25" s="21">
        <v>878300200</v>
      </c>
      <c r="O25" s="21">
        <v>2846286000</v>
      </c>
      <c r="P25" s="21">
        <v>696916000</v>
      </c>
      <c r="Q25" s="21">
        <v>1019575000</v>
      </c>
      <c r="R25" s="21">
        <v>979400000</v>
      </c>
      <c r="S25" s="21">
        <v>0</v>
      </c>
      <c r="T25" s="21">
        <v>0</v>
      </c>
      <c r="U25" s="21">
        <v>0</v>
      </c>
      <c r="V25" s="21">
        <v>1717650000</v>
      </c>
      <c r="W25" s="21">
        <v>0</v>
      </c>
      <c r="X25" s="21">
        <v>0</v>
      </c>
      <c r="Y25" s="48">
        <f>Y26</f>
        <v>145038382.05828518</v>
      </c>
    </row>
    <row r="26" spans="1:25" x14ac:dyDescent="0.25">
      <c r="A26" s="93" t="str">
        <f>VLOOKUP(B26,'PPA IDs'!$A$2:$B$117,2,0)</f>
        <v>Caltrain PCBB 12tphpd</v>
      </c>
      <c r="B26" s="49">
        <v>2302</v>
      </c>
      <c r="C26" s="46">
        <f>VLOOKUP(B26,'PPA IDs'!$A$2:$O$127,15,0)</f>
        <v>11</v>
      </c>
      <c r="D26" s="48">
        <f t="shared" ref="D26" si="6">SUM(E26:X26)</f>
        <v>19953447300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3692144000</v>
      </c>
      <c r="M26" s="21">
        <v>7123176100</v>
      </c>
      <c r="N26" s="21">
        <v>878300200</v>
      </c>
      <c r="O26" s="21">
        <v>3846286000</v>
      </c>
      <c r="P26" s="21">
        <v>696916000</v>
      </c>
      <c r="Q26" s="21">
        <v>1019575000</v>
      </c>
      <c r="R26" s="21">
        <v>979400000</v>
      </c>
      <c r="S26" s="21">
        <v>0</v>
      </c>
      <c r="T26" s="21">
        <v>0</v>
      </c>
      <c r="U26" s="21">
        <v>0</v>
      </c>
      <c r="V26" s="21">
        <v>1717650000</v>
      </c>
      <c r="W26" s="21">
        <v>0</v>
      </c>
      <c r="X26" s="21">
        <v>0</v>
      </c>
      <c r="Y26" s="48">
        <f>Y27/2</f>
        <v>145038382.05828518</v>
      </c>
    </row>
    <row r="27" spans="1:25" x14ac:dyDescent="0.25">
      <c r="A27" s="93" t="str">
        <f>VLOOKUP(B27,'PPA IDs'!$A$2:$B$117,2,0)</f>
        <v>Caltrain PCBB 16tphpd</v>
      </c>
      <c r="B27" s="49">
        <v>2303</v>
      </c>
      <c r="C27" s="46">
        <f>VLOOKUP(B27,'PPA IDs'!$A$2:$O$127,15,0)</f>
        <v>2</v>
      </c>
      <c r="D27" s="48">
        <f>SUM(E27:X27)</f>
        <v>25953447300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4692144000</v>
      </c>
      <c r="M27" s="21">
        <v>11123176100</v>
      </c>
      <c r="N27" s="21">
        <v>878300200</v>
      </c>
      <c r="O27" s="21">
        <v>4846286000</v>
      </c>
      <c r="P27" s="21">
        <v>696916000</v>
      </c>
      <c r="Q27" s="21">
        <v>1019575000</v>
      </c>
      <c r="R27" s="21">
        <v>979400000</v>
      </c>
      <c r="S27" s="21">
        <v>0</v>
      </c>
      <c r="T27" s="21">
        <v>0</v>
      </c>
      <c r="U27" s="21">
        <v>0</v>
      </c>
      <c r="V27" s="21">
        <v>1717650000</v>
      </c>
      <c r="W27" s="21">
        <v>0</v>
      </c>
      <c r="X27" s="21">
        <v>0</v>
      </c>
      <c r="Y27" s="48">
        <v>290076764.11657035</v>
      </c>
    </row>
    <row r="28" spans="1:25" x14ac:dyDescent="0.25">
      <c r="A28" s="93" t="str">
        <f>VLOOKUP(B28,'PPA IDs'!$A$2:$B$117,2,0)</f>
        <v>BART Core Capacity</v>
      </c>
      <c r="B28" s="49">
        <v>2201</v>
      </c>
      <c r="C28" s="46">
        <f>VLOOKUP(B28,'PPA IDs'!$A$2:$O$127,15,0)</f>
        <v>9</v>
      </c>
      <c r="D28" s="48">
        <f>SUM(E28:X28)</f>
        <v>3510400000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1892000000</v>
      </c>
      <c r="R28" s="21">
        <v>0</v>
      </c>
      <c r="S28" s="21">
        <v>0</v>
      </c>
      <c r="T28" s="21">
        <v>0</v>
      </c>
      <c r="U28" s="21">
        <v>0</v>
      </c>
      <c r="V28" s="21">
        <v>1618400000</v>
      </c>
      <c r="W28" s="21">
        <v>0</v>
      </c>
      <c r="X28" s="21">
        <v>0</v>
      </c>
      <c r="Y28" s="48">
        <v>75000000</v>
      </c>
    </row>
    <row r="29" spans="1:25" x14ac:dyDescent="0.25">
      <c r="A29" s="93" t="str">
        <f>VLOOKUP(B29,'PPA IDs'!$A$2:$B$117,2,0)</f>
        <v>BART DMU to Brentwood</v>
      </c>
      <c r="B29" s="49">
        <v>2202</v>
      </c>
      <c r="C29" s="46">
        <f>VLOOKUP(B29,'PPA IDs'!$A$2:$O$127,15,0)</f>
        <v>5</v>
      </c>
      <c r="D29" s="48">
        <f>SUM(E29:X29)</f>
        <v>513000000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350000000</v>
      </c>
      <c r="M29" s="21">
        <v>0</v>
      </c>
      <c r="N29" s="21">
        <v>0</v>
      </c>
      <c r="O29" s="21">
        <v>100000000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63000000</v>
      </c>
      <c r="V29" s="21">
        <v>0</v>
      </c>
      <c r="W29" s="21">
        <v>0</v>
      </c>
      <c r="X29" s="21">
        <v>0</v>
      </c>
      <c r="Y29" s="48">
        <v>7000000</v>
      </c>
    </row>
    <row r="30" spans="1:25" x14ac:dyDescent="0.25">
      <c r="A30" s="93" t="str">
        <f>VLOOKUP(B30,'PPA IDs'!$A$2:$B$117,2,0)</f>
        <v>BART to Silicon Valley (Phase 2)</v>
      </c>
      <c r="B30" s="49">
        <v>2205</v>
      </c>
      <c r="C30" s="46">
        <f>VLOOKUP(B30,'PPA IDs'!$A$2:$O$127,15,0)</f>
        <v>6</v>
      </c>
      <c r="D30" s="48">
        <f>SUM(E30:X30)</f>
        <v>4780000000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2000000000</v>
      </c>
      <c r="N30" s="21">
        <v>0</v>
      </c>
      <c r="O30" s="21">
        <v>0</v>
      </c>
      <c r="P30" s="21">
        <v>2000000000</v>
      </c>
      <c r="Q30" s="21">
        <v>0</v>
      </c>
      <c r="R30" s="21">
        <v>0</v>
      </c>
      <c r="S30" s="21">
        <v>0</v>
      </c>
      <c r="T30" s="21">
        <v>0</v>
      </c>
      <c r="U30" s="21">
        <v>780000000</v>
      </c>
      <c r="V30" s="21">
        <v>0</v>
      </c>
      <c r="W30" s="21">
        <v>0</v>
      </c>
      <c r="X30" s="21">
        <v>0</v>
      </c>
      <c r="Y30" s="48">
        <v>75000000</v>
      </c>
    </row>
    <row r="31" spans="1:25" x14ac:dyDescent="0.25">
      <c r="A31" s="93" t="str">
        <f>VLOOKUP(B31,'PPA IDs'!$A$2:$B$117,2,0)</f>
        <v>Downtown San Jose LRT Subway</v>
      </c>
      <c r="B31" s="49">
        <v>2400</v>
      </c>
      <c r="C31" s="46">
        <f>VLOOKUP(B31,'PPA IDs'!$A$2:$O$127,15,0)</f>
        <v>5</v>
      </c>
      <c r="D31" s="48">
        <v>2900000000</v>
      </c>
      <c r="E31" s="21">
        <f>E30*$D31/$D30</f>
        <v>0</v>
      </c>
      <c r="F31" s="21">
        <f t="shared" ref="F31:X32" si="7">F30*$D31/$D30</f>
        <v>0</v>
      </c>
      <c r="G31" s="21">
        <f t="shared" si="7"/>
        <v>0</v>
      </c>
      <c r="H31" s="21">
        <f t="shared" si="7"/>
        <v>0</v>
      </c>
      <c r="I31" s="21">
        <f t="shared" si="7"/>
        <v>0</v>
      </c>
      <c r="J31" s="21">
        <f t="shared" si="7"/>
        <v>0</v>
      </c>
      <c r="K31" s="21">
        <f t="shared" si="7"/>
        <v>0</v>
      </c>
      <c r="L31" s="21">
        <f t="shared" si="7"/>
        <v>0</v>
      </c>
      <c r="M31" s="21">
        <f t="shared" si="7"/>
        <v>1213389121.3389122</v>
      </c>
      <c r="N31" s="21">
        <f t="shared" si="7"/>
        <v>0</v>
      </c>
      <c r="O31" s="21">
        <f t="shared" si="7"/>
        <v>0</v>
      </c>
      <c r="P31" s="21">
        <f t="shared" si="7"/>
        <v>1213389121.3389122</v>
      </c>
      <c r="Q31" s="21">
        <f t="shared" si="7"/>
        <v>0</v>
      </c>
      <c r="R31" s="21">
        <f t="shared" si="7"/>
        <v>0</v>
      </c>
      <c r="S31" s="21">
        <f t="shared" si="7"/>
        <v>0</v>
      </c>
      <c r="T31" s="21">
        <f t="shared" si="7"/>
        <v>0</v>
      </c>
      <c r="U31" s="21">
        <f t="shared" si="7"/>
        <v>473221757.32217574</v>
      </c>
      <c r="V31" s="21">
        <f t="shared" si="7"/>
        <v>0</v>
      </c>
      <c r="W31" s="21">
        <f t="shared" si="7"/>
        <v>0</v>
      </c>
      <c r="X31" s="21">
        <f t="shared" si="7"/>
        <v>0</v>
      </c>
      <c r="Y31" s="48">
        <v>1000000</v>
      </c>
    </row>
    <row r="32" spans="1:25" x14ac:dyDescent="0.25">
      <c r="A32" s="93" t="str">
        <f>VLOOKUP(B32,'PPA IDs'!$A$2:$B$117,2,0)</f>
        <v>North San Jose LRT Subway</v>
      </c>
      <c r="B32" s="49">
        <v>2401</v>
      </c>
      <c r="C32" s="46">
        <f>VLOOKUP(B32,'PPA IDs'!$A$2:$O$127,15,0)</f>
        <v>5</v>
      </c>
      <c r="D32" s="48">
        <v>4000000000</v>
      </c>
      <c r="E32" s="21">
        <f>E31*$D32/$D31</f>
        <v>0</v>
      </c>
      <c r="F32" s="21">
        <f t="shared" si="7"/>
        <v>0</v>
      </c>
      <c r="G32" s="21">
        <f t="shared" si="7"/>
        <v>0</v>
      </c>
      <c r="H32" s="21">
        <f t="shared" si="7"/>
        <v>0</v>
      </c>
      <c r="I32" s="21">
        <f t="shared" si="7"/>
        <v>0</v>
      </c>
      <c r="J32" s="21">
        <f t="shared" si="7"/>
        <v>0</v>
      </c>
      <c r="K32" s="21">
        <f t="shared" si="7"/>
        <v>0</v>
      </c>
      <c r="L32" s="21">
        <f t="shared" si="7"/>
        <v>0</v>
      </c>
      <c r="M32" s="21">
        <f t="shared" si="7"/>
        <v>1673640167.364017</v>
      </c>
      <c r="N32" s="21">
        <f t="shared" si="7"/>
        <v>0</v>
      </c>
      <c r="O32" s="21">
        <f t="shared" si="7"/>
        <v>0</v>
      </c>
      <c r="P32" s="21">
        <f t="shared" si="7"/>
        <v>1673640167.364017</v>
      </c>
      <c r="Q32" s="21">
        <f t="shared" si="7"/>
        <v>0</v>
      </c>
      <c r="R32" s="21">
        <f t="shared" si="7"/>
        <v>0</v>
      </c>
      <c r="S32" s="21">
        <f t="shared" si="7"/>
        <v>0</v>
      </c>
      <c r="T32" s="21">
        <f t="shared" si="7"/>
        <v>0</v>
      </c>
      <c r="U32" s="21">
        <f t="shared" si="7"/>
        <v>652719665.27196658</v>
      </c>
      <c r="V32" s="21">
        <f t="shared" si="7"/>
        <v>0</v>
      </c>
      <c r="W32" s="21">
        <f t="shared" si="7"/>
        <v>0</v>
      </c>
      <c r="X32" s="21">
        <f t="shared" si="7"/>
        <v>0</v>
      </c>
      <c r="Y32" s="48">
        <v>3000000</v>
      </c>
    </row>
    <row r="33" spans="1:25" x14ac:dyDescent="0.25">
      <c r="A33" s="93" t="str">
        <f>VLOOKUP(B33,'PPA IDs'!$A$2:$B$117,2,0)</f>
        <v>San Jose Airport People Mover</v>
      </c>
      <c r="B33" s="49">
        <v>2402</v>
      </c>
      <c r="C33" s="46">
        <f>VLOOKUP(B33,'PPA IDs'!$A$2:$O$127,15,0)</f>
        <v>4</v>
      </c>
      <c r="D33" s="48">
        <f t="shared" si="5"/>
        <v>800000000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400000000</v>
      </c>
      <c r="M33" s="21">
        <v>0</v>
      </c>
      <c r="N33" s="21">
        <v>250000000</v>
      </c>
      <c r="O33" s="21">
        <v>50000000</v>
      </c>
      <c r="P33" s="21">
        <v>0</v>
      </c>
      <c r="Q33" s="21">
        <v>50000000</v>
      </c>
      <c r="R33" s="21">
        <v>0</v>
      </c>
      <c r="S33" s="21">
        <v>0</v>
      </c>
      <c r="T33" s="21">
        <v>50000000</v>
      </c>
      <c r="U33" s="21">
        <v>0</v>
      </c>
      <c r="V33" s="21">
        <v>0</v>
      </c>
      <c r="W33" s="21">
        <v>0</v>
      </c>
      <c r="X33" s="21">
        <v>0</v>
      </c>
      <c r="Y33" s="48">
        <v>5000000</v>
      </c>
    </row>
    <row r="34" spans="1:25" x14ac:dyDescent="0.25">
      <c r="A34" s="93" t="str">
        <f>VLOOKUP(B34,'PPA IDs'!$A$2:$B$117,2,0)</f>
        <v>Vasona LRT (Phase 2)</v>
      </c>
      <c r="B34" s="49">
        <v>2403</v>
      </c>
      <c r="C34" s="46">
        <f>VLOOKUP(B34,'PPA IDs'!$A$2:$O$127,15,0)</f>
        <v>3</v>
      </c>
      <c r="D34" s="48">
        <f t="shared" si="5"/>
        <v>315000000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100000000</v>
      </c>
      <c r="M34" s="21">
        <v>0</v>
      </c>
      <c r="N34" s="21">
        <v>150000000</v>
      </c>
      <c r="O34" s="21">
        <v>50000000</v>
      </c>
      <c r="P34" s="21">
        <v>0</v>
      </c>
      <c r="Q34" s="21">
        <v>0</v>
      </c>
      <c r="R34" s="21">
        <v>0</v>
      </c>
      <c r="S34" s="21">
        <v>0</v>
      </c>
      <c r="T34" s="21">
        <v>15000000</v>
      </c>
      <c r="U34" s="21">
        <v>0</v>
      </c>
      <c r="V34" s="21">
        <v>0</v>
      </c>
      <c r="W34" s="21">
        <v>0</v>
      </c>
      <c r="X34" s="21">
        <v>0</v>
      </c>
      <c r="Y34" s="48">
        <v>1000000</v>
      </c>
    </row>
    <row r="35" spans="1:25" x14ac:dyDescent="0.25">
      <c r="A35" s="93" t="str">
        <f>VLOOKUP(B35,'PPA IDs'!$A$2:$B$117,2,0)</f>
        <v>SR-239</v>
      </c>
      <c r="B35" s="49">
        <v>3100</v>
      </c>
      <c r="C35" s="46">
        <f>VLOOKUP(B35,'PPA IDs'!$A$2:$O$127,15,0)</f>
        <v>8</v>
      </c>
      <c r="D35" s="48">
        <f>SUM(E35:X35)</f>
        <v>1400000000</v>
      </c>
      <c r="E35" s="21">
        <v>400000000</v>
      </c>
      <c r="F35" s="21">
        <v>1000000000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48">
        <v>2000000</v>
      </c>
    </row>
    <row r="36" spans="1:25" x14ac:dyDescent="0.25">
      <c r="A36" s="93" t="str">
        <f>VLOOKUP(B36,'PPA IDs'!$A$2:$B$117,2,0)</f>
        <v>SR-4 Operational Improvements</v>
      </c>
      <c r="B36" s="49">
        <v>3102</v>
      </c>
      <c r="C36" s="46">
        <f>VLOOKUP(B36,'PPA IDs'!$A$2:$O$127,15,0)</f>
        <v>6</v>
      </c>
      <c r="D36" s="48">
        <f>SUM(E36:X36)</f>
        <v>434000000</v>
      </c>
      <c r="E36" s="21">
        <v>200000000</v>
      </c>
      <c r="F36" s="21">
        <v>234000000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48">
        <v>2000000</v>
      </c>
    </row>
    <row r="37" spans="1:25" x14ac:dyDescent="0.25">
      <c r="A37" s="93" t="str">
        <f>VLOOKUP(B37,'PPA IDs'!$A$2:$B$117,2,0)</f>
        <v>SR-4 Widening (Brentwood to Discovery Bay)</v>
      </c>
      <c r="B37" s="49">
        <v>3103</v>
      </c>
      <c r="C37" s="46">
        <f>VLOOKUP(B37,'PPA IDs'!$A$2:$O$127,15,0)</f>
        <v>6</v>
      </c>
      <c r="D37" s="48">
        <f>SUM(E37:X37)</f>
        <v>360000000</v>
      </c>
      <c r="E37" s="21">
        <v>210000000</v>
      </c>
      <c r="F37" s="21">
        <v>150000000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48">
        <v>2000000</v>
      </c>
    </row>
    <row r="38" spans="1:25" x14ac:dyDescent="0.25">
      <c r="B38" s="49"/>
      <c r="C38" s="46"/>
    </row>
    <row r="39" spans="1:25" x14ac:dyDescent="0.25">
      <c r="B39" s="49"/>
      <c r="C39" s="46"/>
    </row>
    <row r="40" spans="1:25" x14ac:dyDescent="0.25">
      <c r="B40" s="49"/>
      <c r="C40" s="46"/>
    </row>
    <row r="41" spans="1:25" x14ac:dyDescent="0.25">
      <c r="B41" s="49"/>
      <c r="C41" s="46"/>
    </row>
    <row r="42" spans="1:25" x14ac:dyDescent="0.25">
      <c r="B42" s="49"/>
      <c r="C42" s="46"/>
    </row>
    <row r="43" spans="1:25" x14ac:dyDescent="0.25">
      <c r="B43" s="49"/>
      <c r="C43" s="46"/>
    </row>
    <row r="44" spans="1:25" x14ac:dyDescent="0.25">
      <c r="B44" s="49"/>
      <c r="C44" s="46"/>
    </row>
    <row r="45" spans="1:25" x14ac:dyDescent="0.25">
      <c r="B45" s="49"/>
      <c r="C45" s="46"/>
    </row>
    <row r="46" spans="1:25" x14ac:dyDescent="0.25">
      <c r="B46" s="49"/>
      <c r="C46" s="46"/>
    </row>
    <row r="47" spans="1:25" x14ac:dyDescent="0.25">
      <c r="B47" s="49"/>
      <c r="C47" s="46"/>
    </row>
    <row r="48" spans="1:25" x14ac:dyDescent="0.25">
      <c r="B48" s="49"/>
      <c r="C48" s="46"/>
    </row>
    <row r="49" spans="2:3" x14ac:dyDescent="0.25">
      <c r="B49" s="49"/>
      <c r="C49" s="46"/>
    </row>
    <row r="50" spans="2:3" x14ac:dyDescent="0.25">
      <c r="B50" s="49"/>
      <c r="C50" s="46"/>
    </row>
    <row r="51" spans="2:3" x14ac:dyDescent="0.25">
      <c r="B51" s="49"/>
      <c r="C51" s="46"/>
    </row>
    <row r="52" spans="2:3" x14ac:dyDescent="0.25">
      <c r="B52" s="49"/>
      <c r="C52" s="46"/>
    </row>
    <row r="53" spans="2:3" x14ac:dyDescent="0.25">
      <c r="B53" s="49"/>
      <c r="C53" s="46"/>
    </row>
    <row r="54" spans="2:3" x14ac:dyDescent="0.25">
      <c r="B54" s="49"/>
      <c r="C54" s="46"/>
    </row>
    <row r="55" spans="2:3" x14ac:dyDescent="0.25">
      <c r="B55" s="49"/>
      <c r="C55" s="46"/>
    </row>
    <row r="56" spans="2:3" x14ac:dyDescent="0.25">
      <c r="B56" s="49"/>
      <c r="C56" s="46"/>
    </row>
    <row r="57" spans="2:3" x14ac:dyDescent="0.25">
      <c r="B57" s="49"/>
      <c r="C57" s="46"/>
    </row>
    <row r="58" spans="2:3" x14ac:dyDescent="0.25">
      <c r="B58" s="49"/>
      <c r="C58" s="46"/>
    </row>
    <row r="59" spans="2:3" x14ac:dyDescent="0.25">
      <c r="B59" s="49"/>
      <c r="C59" s="46"/>
    </row>
    <row r="60" spans="2:3" x14ac:dyDescent="0.25">
      <c r="B60" s="49"/>
      <c r="C60" s="46"/>
    </row>
    <row r="61" spans="2:3" x14ac:dyDescent="0.25">
      <c r="B61" s="49"/>
      <c r="C61" s="46"/>
    </row>
    <row r="62" spans="2:3" x14ac:dyDescent="0.25">
      <c r="B62" s="49"/>
      <c r="C62" s="46"/>
    </row>
    <row r="63" spans="2:3" x14ac:dyDescent="0.25">
      <c r="B63" s="49"/>
      <c r="C63" s="46"/>
    </row>
    <row r="64" spans="2:3" x14ac:dyDescent="0.25">
      <c r="B64" s="49"/>
      <c r="C64" s="46"/>
    </row>
    <row r="65" spans="2:3" x14ac:dyDescent="0.25">
      <c r="B65" s="49"/>
      <c r="C65" s="46"/>
    </row>
    <row r="66" spans="2:3" x14ac:dyDescent="0.25">
      <c r="B66" s="49"/>
      <c r="C66" s="46"/>
    </row>
    <row r="67" spans="2:3" x14ac:dyDescent="0.25">
      <c r="B67" s="49"/>
      <c r="C67" s="46"/>
    </row>
    <row r="68" spans="2:3" x14ac:dyDescent="0.25">
      <c r="B68" s="49"/>
      <c r="C68" s="46"/>
    </row>
    <row r="69" spans="2:3" x14ac:dyDescent="0.25">
      <c r="B69" s="49"/>
      <c r="C69" s="46"/>
    </row>
    <row r="70" spans="2:3" x14ac:dyDescent="0.25">
      <c r="B70" s="49"/>
      <c r="C70" s="46"/>
    </row>
    <row r="71" spans="2:3" x14ac:dyDescent="0.25">
      <c r="B71" s="49"/>
      <c r="C71" s="46"/>
    </row>
    <row r="72" spans="2:3" x14ac:dyDescent="0.25">
      <c r="B72" s="49"/>
      <c r="C72" s="46"/>
    </row>
    <row r="73" spans="2:3" x14ac:dyDescent="0.25">
      <c r="B73" s="49"/>
      <c r="C73" s="46"/>
    </row>
    <row r="74" spans="2:3" x14ac:dyDescent="0.25">
      <c r="B74" s="49"/>
      <c r="C74" s="46"/>
    </row>
    <row r="75" spans="2:3" x14ac:dyDescent="0.25">
      <c r="B75" s="49"/>
      <c r="C75" s="46"/>
    </row>
    <row r="76" spans="2:3" x14ac:dyDescent="0.25">
      <c r="B76" s="49"/>
      <c r="C76" s="46"/>
    </row>
    <row r="77" spans="2:3" x14ac:dyDescent="0.25">
      <c r="B77" s="49"/>
      <c r="C77" s="46"/>
    </row>
    <row r="78" spans="2:3" x14ac:dyDescent="0.25">
      <c r="B78" s="49"/>
      <c r="C78" s="46"/>
    </row>
    <row r="79" spans="2:3" x14ac:dyDescent="0.25">
      <c r="B79" s="49"/>
      <c r="C79" s="46"/>
    </row>
    <row r="80" spans="2:3" x14ac:dyDescent="0.25">
      <c r="B80" s="49"/>
      <c r="C80" s="46"/>
    </row>
    <row r="81" spans="2:3" x14ac:dyDescent="0.25">
      <c r="B81" s="49"/>
      <c r="C81" s="46"/>
    </row>
    <row r="82" spans="2:3" x14ac:dyDescent="0.25">
      <c r="B82" s="49"/>
      <c r="C82" s="46"/>
    </row>
    <row r="83" spans="2:3" x14ac:dyDescent="0.25">
      <c r="B83" s="49"/>
      <c r="C83" s="46"/>
    </row>
    <row r="84" spans="2:3" x14ac:dyDescent="0.25">
      <c r="B84" s="49"/>
      <c r="C84" s="46"/>
    </row>
    <row r="85" spans="2:3" x14ac:dyDescent="0.25">
      <c r="B85" s="49"/>
      <c r="C85" s="46"/>
    </row>
    <row r="86" spans="2:3" x14ac:dyDescent="0.25">
      <c r="B86" s="49"/>
      <c r="C86" s="46"/>
    </row>
    <row r="87" spans="2:3" x14ac:dyDescent="0.25">
      <c r="B87" s="49"/>
      <c r="C87" s="46"/>
    </row>
    <row r="88" spans="2:3" x14ac:dyDescent="0.25">
      <c r="B88" s="49"/>
      <c r="C88" s="46"/>
    </row>
    <row r="89" spans="2:3" x14ac:dyDescent="0.25">
      <c r="B89" s="49"/>
      <c r="C89" s="46"/>
    </row>
    <row r="90" spans="2:3" x14ac:dyDescent="0.25">
      <c r="B90" s="49"/>
      <c r="C90" s="46"/>
    </row>
    <row r="91" spans="2:3" x14ac:dyDescent="0.25">
      <c r="B91" s="49"/>
      <c r="C91" s="46"/>
    </row>
    <row r="92" spans="2:3" x14ac:dyDescent="0.25">
      <c r="B92" s="49"/>
      <c r="C92" s="46"/>
    </row>
    <row r="93" spans="2:3" x14ac:dyDescent="0.25">
      <c r="B93" s="49"/>
      <c r="C93" s="46"/>
    </row>
    <row r="94" spans="2:3" x14ac:dyDescent="0.25">
      <c r="B94" s="49"/>
      <c r="C94" s="46"/>
    </row>
    <row r="95" spans="2:3" x14ac:dyDescent="0.25">
      <c r="B95" s="49"/>
      <c r="C95" s="46"/>
    </row>
    <row r="96" spans="2:3" x14ac:dyDescent="0.25">
      <c r="B96" s="49"/>
      <c r="C96" s="46"/>
    </row>
    <row r="97" spans="2:3" x14ac:dyDescent="0.25">
      <c r="B97" s="49"/>
      <c r="C97" s="46"/>
    </row>
    <row r="98" spans="2:3" x14ac:dyDescent="0.25">
      <c r="B98" s="49"/>
      <c r="C98" s="46"/>
    </row>
    <row r="99" spans="2:3" x14ac:dyDescent="0.25">
      <c r="B99" s="49"/>
      <c r="C99" s="46"/>
    </row>
    <row r="100" spans="2:3" x14ac:dyDescent="0.25">
      <c r="B100" s="49"/>
      <c r="C100" s="46"/>
    </row>
    <row r="101" spans="2:3" x14ac:dyDescent="0.25">
      <c r="B101" s="49"/>
      <c r="C101" s="46"/>
    </row>
    <row r="102" spans="2:3" x14ac:dyDescent="0.25">
      <c r="B102" s="49"/>
      <c r="C102" s="46"/>
    </row>
    <row r="103" spans="2:3" x14ac:dyDescent="0.25">
      <c r="B103" s="49"/>
      <c r="C103" s="46"/>
    </row>
    <row r="104" spans="2:3" x14ac:dyDescent="0.25">
      <c r="B104" s="49"/>
      <c r="C104" s="46"/>
    </row>
    <row r="105" spans="2:3" x14ac:dyDescent="0.25">
      <c r="B105" s="49"/>
      <c r="C105" s="46"/>
    </row>
    <row r="106" spans="2:3" x14ac:dyDescent="0.25">
      <c r="B106" s="49"/>
      <c r="C106" s="46"/>
    </row>
    <row r="107" spans="2:3" x14ac:dyDescent="0.25">
      <c r="B107" s="49"/>
      <c r="C107" s="46"/>
    </row>
  </sheetData>
  <pageMargins left="0.7" right="0.7" top="0.75" bottom="0.75" header="0.3" footer="0.3"/>
  <pageSetup orientation="portrait" verticalDpi="1200" r:id="rId1"/>
  <ignoredErrors>
    <ignoredError sqref="D2:D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6.85546875" style="50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30" x14ac:dyDescent="0.25">
      <c r="A1" s="22" t="s">
        <v>158</v>
      </c>
      <c r="B1" s="22" t="s">
        <v>88</v>
      </c>
      <c r="C1" s="22" t="s">
        <v>147</v>
      </c>
      <c r="D1" s="22" t="s">
        <v>145</v>
      </c>
      <c r="E1" s="22" t="s">
        <v>146</v>
      </c>
      <c r="F1" s="22" t="s">
        <v>153</v>
      </c>
    </row>
    <row r="2" spans="1:6" x14ac:dyDescent="0.25">
      <c r="A2" s="93" t="s">
        <v>633</v>
      </c>
      <c r="B2" s="49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93" t="str">
        <f>VLOOKUP(B3,'PPA IDs'!$A$2:$B$117,2,0)</f>
        <v>Geary BRT (Phase 2)</v>
      </c>
      <c r="B3" s="49">
        <v>2101</v>
      </c>
      <c r="C3">
        <v>0</v>
      </c>
      <c r="D3">
        <v>0</v>
      </c>
      <c r="E3">
        <v>0</v>
      </c>
      <c r="F3">
        <v>0</v>
      </c>
    </row>
    <row r="4" spans="1:6" x14ac:dyDescent="0.25">
      <c r="B4" s="49"/>
    </row>
    <row r="5" spans="1:6" x14ac:dyDescent="0.25">
      <c r="B5" s="49"/>
    </row>
    <row r="6" spans="1:6" x14ac:dyDescent="0.25">
      <c r="B6" s="49"/>
    </row>
    <row r="7" spans="1:6" x14ac:dyDescent="0.25">
      <c r="B7" s="49"/>
    </row>
    <row r="8" spans="1:6" x14ac:dyDescent="0.25">
      <c r="B8" s="49"/>
    </row>
    <row r="9" spans="1:6" x14ac:dyDescent="0.25">
      <c r="B9" s="49"/>
    </row>
    <row r="10" spans="1:6" x14ac:dyDescent="0.25">
      <c r="B10" s="49"/>
    </row>
    <row r="11" spans="1:6" x14ac:dyDescent="0.25">
      <c r="B11" s="49"/>
    </row>
    <row r="12" spans="1:6" x14ac:dyDescent="0.25">
      <c r="B12" s="49"/>
    </row>
    <row r="13" spans="1:6" x14ac:dyDescent="0.25">
      <c r="B13" s="49"/>
    </row>
    <row r="14" spans="1:6" x14ac:dyDescent="0.25">
      <c r="B14" s="49"/>
    </row>
    <row r="15" spans="1:6" x14ac:dyDescent="0.25">
      <c r="B15" s="49"/>
    </row>
    <row r="16" spans="1:6" x14ac:dyDescent="0.25">
      <c r="B16" s="49"/>
    </row>
    <row r="17" spans="2:2" x14ac:dyDescent="0.25">
      <c r="B17" s="49"/>
    </row>
    <row r="18" spans="2:2" x14ac:dyDescent="0.25">
      <c r="B18" s="49"/>
    </row>
    <row r="19" spans="2:2" x14ac:dyDescent="0.25">
      <c r="B19" s="49"/>
    </row>
    <row r="20" spans="2:2" x14ac:dyDescent="0.25">
      <c r="B20" s="49"/>
    </row>
    <row r="21" spans="2:2" x14ac:dyDescent="0.25">
      <c r="B21" s="49"/>
    </row>
    <row r="22" spans="2:2" x14ac:dyDescent="0.25">
      <c r="B22" s="49"/>
    </row>
    <row r="23" spans="2:2" x14ac:dyDescent="0.25">
      <c r="B23" s="49"/>
    </row>
    <row r="24" spans="2:2" x14ac:dyDescent="0.25">
      <c r="B24" s="49"/>
    </row>
    <row r="25" spans="2:2" x14ac:dyDescent="0.25">
      <c r="B25" s="49"/>
    </row>
    <row r="26" spans="2:2" x14ac:dyDescent="0.25">
      <c r="B26" s="49"/>
    </row>
    <row r="27" spans="2:2" x14ac:dyDescent="0.25">
      <c r="B27" s="49"/>
    </row>
    <row r="28" spans="2:2" x14ac:dyDescent="0.25">
      <c r="B28" s="49"/>
    </row>
    <row r="29" spans="2:2" x14ac:dyDescent="0.25">
      <c r="B29" s="49"/>
    </row>
    <row r="30" spans="2:2" x14ac:dyDescent="0.25">
      <c r="B30" s="49"/>
    </row>
    <row r="31" spans="2:2" x14ac:dyDescent="0.25">
      <c r="B31" s="49"/>
    </row>
    <row r="32" spans="2:2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  <row r="41" spans="2:2" x14ac:dyDescent="0.25">
      <c r="B41" s="49"/>
    </row>
    <row r="42" spans="2:2" x14ac:dyDescent="0.25">
      <c r="B42" s="49"/>
    </row>
    <row r="43" spans="2:2" x14ac:dyDescent="0.25">
      <c r="B4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2019-06-26T23:14:47Z</dcterms:modified>
</cp:coreProperties>
</file>