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X:\travel-model-one-v1.6.1_develop\utilities\taz-data-baseyears\2020\Workers\"/>
    </mc:Choice>
  </mc:AlternateContent>
  <xr:revisionPtr revIDLastSave="0" documentId="13_ncr:1_{CC97E539-BDF0-45F2-A4FD-428A2CB87251}" xr6:coauthVersionLast="47" xr6:coauthVersionMax="47" xr10:uidLastSave="{00000000-0000-0000-0000-000000000000}"/>
  <bookViews>
    <workbookView xWindow="9195" yWindow="2445" windowWidth="24495" windowHeight="18015" activeTab="1" xr2:uid="{BEEA695F-4A6B-4139-B0FF-4490B143C1D0}"/>
  </bookViews>
  <sheets>
    <sheet name="Total Worker" sheetId="1" r:id="rId1"/>
    <sheet name="Correction Factor Calcs" sheetId="2" r:id="rId2"/>
    <sheet name="Correction Transpos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3" l="1"/>
  <c r="D3" i="3"/>
  <c r="E3" i="3"/>
  <c r="F3" i="3"/>
  <c r="G3" i="3"/>
  <c r="H3" i="3"/>
  <c r="I3" i="3"/>
  <c r="J3" i="3"/>
  <c r="C4" i="3"/>
  <c r="D4" i="3"/>
  <c r="E4" i="3"/>
  <c r="F4" i="3"/>
  <c r="G4" i="3"/>
  <c r="H4" i="3"/>
  <c r="I4" i="3"/>
  <c r="J4" i="3"/>
  <c r="C5" i="3"/>
  <c r="D5" i="3"/>
  <c r="E5" i="3"/>
  <c r="F5" i="3"/>
  <c r="G5" i="3"/>
  <c r="H5" i="3"/>
  <c r="I5" i="3"/>
  <c r="J5" i="3"/>
  <c r="C6" i="3"/>
  <c r="D6" i="3"/>
  <c r="E6" i="3"/>
  <c r="F6" i="3"/>
  <c r="G6" i="3"/>
  <c r="H6" i="3"/>
  <c r="I6" i="3"/>
  <c r="J6" i="3"/>
  <c r="B4" i="3"/>
  <c r="B5" i="3"/>
  <c r="B6" i="3"/>
  <c r="B3" i="3"/>
  <c r="A50" i="2"/>
  <c r="A49" i="2"/>
  <c r="A48" i="2"/>
  <c r="A47" i="2"/>
  <c r="A45" i="2"/>
  <c r="A44" i="2"/>
  <c r="A43" i="2"/>
  <c r="A42" i="2"/>
  <c r="A40" i="2"/>
  <c r="A39" i="2"/>
  <c r="A38" i="2"/>
  <c r="A37" i="2"/>
  <c r="A35" i="2"/>
  <c r="A34" i="2"/>
  <c r="A33" i="2"/>
  <c r="A32" i="2"/>
  <c r="A30" i="2"/>
  <c r="A29" i="2"/>
  <c r="A28" i="2"/>
  <c r="A27" i="2"/>
  <c r="A25" i="2"/>
  <c r="A24" i="2"/>
  <c r="A23" i="2"/>
  <c r="A22" i="2"/>
  <c r="A20" i="2"/>
  <c r="A19" i="2"/>
  <c r="A18" i="2"/>
  <c r="A17" i="2"/>
  <c r="A15" i="2"/>
  <c r="A14" i="2"/>
  <c r="A13" i="2"/>
  <c r="A12" i="2"/>
  <c r="A10" i="2"/>
  <c r="A9" i="2"/>
  <c r="A8" i="2"/>
  <c r="A7" i="2"/>
  <c r="M56" i="2"/>
  <c r="M51" i="2"/>
  <c r="M46" i="2"/>
  <c r="M41" i="2"/>
  <c r="M36" i="2"/>
  <c r="M31" i="2"/>
  <c r="M26" i="2"/>
  <c r="M21" i="2"/>
  <c r="M16" i="2"/>
  <c r="M11" i="2"/>
  <c r="L10" i="2"/>
  <c r="J55" i="2"/>
  <c r="J54" i="2"/>
  <c r="J53" i="2"/>
  <c r="J52" i="2"/>
  <c r="J56" i="2" s="1"/>
  <c r="J51" i="2"/>
  <c r="K55" i="2"/>
  <c r="F55" i="2"/>
  <c r="D55" i="2"/>
  <c r="K54" i="2"/>
  <c r="F54" i="2"/>
  <c r="D54" i="2"/>
  <c r="K53" i="2"/>
  <c r="F53" i="2"/>
  <c r="D53" i="2"/>
  <c r="F52" i="2"/>
  <c r="D52" i="2"/>
  <c r="F51" i="2"/>
  <c r="L51" i="2" s="1"/>
  <c r="D51" i="2"/>
  <c r="J50" i="2"/>
  <c r="G50" i="2"/>
  <c r="E50" i="2"/>
  <c r="J49" i="2"/>
  <c r="G49" i="2"/>
  <c r="E49" i="2"/>
  <c r="J48" i="2"/>
  <c r="G48" i="2"/>
  <c r="E48" i="2"/>
  <c r="G47" i="2"/>
  <c r="E47" i="2"/>
  <c r="F46" i="2"/>
  <c r="L46" i="2" s="1"/>
  <c r="D46" i="2"/>
  <c r="J46" i="2" s="1"/>
  <c r="J45" i="2"/>
  <c r="G45" i="2"/>
  <c r="E45" i="2"/>
  <c r="J44" i="2"/>
  <c r="G44" i="2"/>
  <c r="E44" i="2"/>
  <c r="J43" i="2"/>
  <c r="G43" i="2"/>
  <c r="E43" i="2"/>
  <c r="G42" i="2"/>
  <c r="E42" i="2"/>
  <c r="F41" i="2"/>
  <c r="L41" i="2" s="1"/>
  <c r="D41" i="2"/>
  <c r="J41" i="2" s="1"/>
  <c r="J40" i="2"/>
  <c r="G40" i="2"/>
  <c r="E40" i="2"/>
  <c r="J39" i="2"/>
  <c r="G39" i="2"/>
  <c r="E39" i="2"/>
  <c r="J38" i="2"/>
  <c r="G38" i="2"/>
  <c r="E38" i="2"/>
  <c r="G37" i="2"/>
  <c r="E37" i="2"/>
  <c r="E41" i="2" s="1"/>
  <c r="F36" i="2"/>
  <c r="L36" i="2" s="1"/>
  <c r="D36" i="2"/>
  <c r="J36" i="2" s="1"/>
  <c r="J35" i="2"/>
  <c r="G35" i="2"/>
  <c r="E35" i="2"/>
  <c r="J34" i="2"/>
  <c r="G34" i="2"/>
  <c r="E34" i="2"/>
  <c r="J33" i="2"/>
  <c r="G33" i="2"/>
  <c r="E33" i="2"/>
  <c r="G32" i="2"/>
  <c r="E32" i="2"/>
  <c r="F31" i="2"/>
  <c r="L31" i="2" s="1"/>
  <c r="D31" i="2"/>
  <c r="J31" i="2" s="1"/>
  <c r="J30" i="2"/>
  <c r="G30" i="2"/>
  <c r="E30" i="2"/>
  <c r="J29" i="2"/>
  <c r="G29" i="2"/>
  <c r="E29" i="2"/>
  <c r="J28" i="2"/>
  <c r="G28" i="2"/>
  <c r="E28" i="2"/>
  <c r="G27" i="2"/>
  <c r="E27" i="2"/>
  <c r="F26" i="2"/>
  <c r="L26" i="2" s="1"/>
  <c r="D26" i="2"/>
  <c r="J26" i="2" s="1"/>
  <c r="J25" i="2"/>
  <c r="G25" i="2"/>
  <c r="E25" i="2"/>
  <c r="J24" i="2"/>
  <c r="G24" i="2"/>
  <c r="E24" i="2"/>
  <c r="J23" i="2"/>
  <c r="G23" i="2"/>
  <c r="E23" i="2"/>
  <c r="G22" i="2"/>
  <c r="E22" i="2"/>
  <c r="F21" i="2"/>
  <c r="L21" i="2" s="1"/>
  <c r="D21" i="2"/>
  <c r="J21" i="2" s="1"/>
  <c r="J20" i="2"/>
  <c r="G20" i="2"/>
  <c r="E20" i="2"/>
  <c r="J19" i="2"/>
  <c r="G19" i="2"/>
  <c r="E19" i="2"/>
  <c r="J18" i="2"/>
  <c r="G18" i="2"/>
  <c r="E18" i="2"/>
  <c r="G17" i="2"/>
  <c r="E17" i="2"/>
  <c r="F16" i="2"/>
  <c r="L16" i="2" s="1"/>
  <c r="D16" i="2"/>
  <c r="J16" i="2" s="1"/>
  <c r="J15" i="2"/>
  <c r="G15" i="2"/>
  <c r="E15" i="2"/>
  <c r="J14" i="2"/>
  <c r="G14" i="2"/>
  <c r="E14" i="2"/>
  <c r="J13" i="2"/>
  <c r="G13" i="2"/>
  <c r="E13" i="2"/>
  <c r="G12" i="2"/>
  <c r="E12" i="2"/>
  <c r="F11" i="2"/>
  <c r="L11" i="2" s="1"/>
  <c r="D11" i="2"/>
  <c r="J11" i="2" s="1"/>
  <c r="J10" i="2"/>
  <c r="G10" i="2"/>
  <c r="G55" i="2" s="1"/>
  <c r="E10" i="2"/>
  <c r="J9" i="2"/>
  <c r="G9" i="2"/>
  <c r="E9" i="2"/>
  <c r="J8" i="2"/>
  <c r="G8" i="2"/>
  <c r="E8" i="2"/>
  <c r="G7" i="2"/>
  <c r="E7" i="2"/>
  <c r="G17" i="1"/>
  <c r="D17" i="1"/>
  <c r="C17" i="1"/>
  <c r="E16" i="1"/>
  <c r="E15" i="1"/>
  <c r="E14" i="1"/>
  <c r="E13" i="1"/>
  <c r="E12" i="1"/>
  <c r="E11" i="1"/>
  <c r="E10" i="1"/>
  <c r="E9" i="1"/>
  <c r="E8" i="1"/>
  <c r="E36" i="2" l="1"/>
  <c r="G51" i="2"/>
  <c r="G36" i="2"/>
  <c r="G52" i="2"/>
  <c r="G31" i="2"/>
  <c r="E55" i="2"/>
  <c r="G53" i="2"/>
  <c r="G56" i="2" s="1"/>
  <c r="E16" i="2"/>
  <c r="G54" i="2"/>
  <c r="G41" i="2"/>
  <c r="G11" i="2"/>
  <c r="F56" i="2"/>
  <c r="J12" i="2"/>
  <c r="M12" i="2" s="1"/>
  <c r="J42" i="2"/>
  <c r="K46" i="2" s="1"/>
  <c r="E21" i="2"/>
  <c r="J22" i="2"/>
  <c r="M22" i="2" s="1"/>
  <c r="G46" i="2"/>
  <c r="G21" i="2"/>
  <c r="J32" i="2"/>
  <c r="K36" i="2" s="1"/>
  <c r="J17" i="2"/>
  <c r="M17" i="2" s="1"/>
  <c r="J47" i="2"/>
  <c r="K51" i="2" s="1"/>
  <c r="G26" i="2"/>
  <c r="E51" i="2"/>
  <c r="E46" i="2"/>
  <c r="J37" i="2"/>
  <c r="M37" i="2" s="1"/>
  <c r="J27" i="2"/>
  <c r="M27" i="2" s="1"/>
  <c r="E31" i="2"/>
  <c r="E54" i="2"/>
  <c r="E26" i="2"/>
  <c r="J7" i="2"/>
  <c r="K7" i="2" s="1"/>
  <c r="M7" i="2" s="1"/>
  <c r="D56" i="2"/>
  <c r="E11" i="2"/>
  <c r="N16" i="2"/>
  <c r="M14" i="2"/>
  <c r="L14" i="2" s="1"/>
  <c r="N14" i="2" s="1"/>
  <c r="M13" i="2"/>
  <c r="L13" i="2" s="1"/>
  <c r="N13" i="2" s="1"/>
  <c r="M15" i="2"/>
  <c r="L15" i="2" s="1"/>
  <c r="N15" i="2" s="1"/>
  <c r="M18" i="2"/>
  <c r="L18" i="2" s="1"/>
  <c r="N18" i="2" s="1"/>
  <c r="M20" i="2"/>
  <c r="L20" i="2" s="1"/>
  <c r="N20" i="2" s="1"/>
  <c r="N21" i="2"/>
  <c r="M19" i="2"/>
  <c r="L19" i="2" s="1"/>
  <c r="N19" i="2" s="1"/>
  <c r="M43" i="2"/>
  <c r="L43" i="2" s="1"/>
  <c r="N43" i="2" s="1"/>
  <c r="M44" i="2"/>
  <c r="L44" i="2" s="1"/>
  <c r="N44" i="2" s="1"/>
  <c r="M45" i="2"/>
  <c r="L45" i="2" s="1"/>
  <c r="N45" i="2" s="1"/>
  <c r="N46" i="2"/>
  <c r="M28" i="2"/>
  <c r="L28" i="2" s="1"/>
  <c r="N28" i="2" s="1"/>
  <c r="M29" i="2"/>
  <c r="L29" i="2" s="1"/>
  <c r="N29" i="2" s="1"/>
  <c r="M30" i="2"/>
  <c r="L30" i="2" s="1"/>
  <c r="N30" i="2" s="1"/>
  <c r="N31" i="2"/>
  <c r="M38" i="2"/>
  <c r="L38" i="2" s="1"/>
  <c r="N38" i="2" s="1"/>
  <c r="M40" i="2"/>
  <c r="L40" i="2" s="1"/>
  <c r="N40" i="2" s="1"/>
  <c r="N41" i="2"/>
  <c r="M39" i="2"/>
  <c r="L39" i="2" s="1"/>
  <c r="N39" i="2" s="1"/>
  <c r="M23" i="2"/>
  <c r="L23" i="2" s="1"/>
  <c r="N23" i="2" s="1"/>
  <c r="M24" i="2"/>
  <c r="L24" i="2" s="1"/>
  <c r="N24" i="2" s="1"/>
  <c r="M25" i="2"/>
  <c r="L25" i="2" s="1"/>
  <c r="N25" i="2" s="1"/>
  <c r="N26" i="2"/>
  <c r="M48" i="2"/>
  <c r="L48" i="2" s="1"/>
  <c r="N48" i="2" s="1"/>
  <c r="N51" i="2"/>
  <c r="M49" i="2"/>
  <c r="L49" i="2" s="1"/>
  <c r="N49" i="2" s="1"/>
  <c r="M50" i="2"/>
  <c r="L50" i="2" s="1"/>
  <c r="N50" i="2" s="1"/>
  <c r="M8" i="2"/>
  <c r="M10" i="2"/>
  <c r="M9" i="2"/>
  <c r="N11" i="2"/>
  <c r="M35" i="2"/>
  <c r="L35" i="2" s="1"/>
  <c r="N35" i="2" s="1"/>
  <c r="M34" i="2"/>
  <c r="L34" i="2" s="1"/>
  <c r="N34" i="2" s="1"/>
  <c r="M33" i="2"/>
  <c r="L33" i="2" s="1"/>
  <c r="N33" i="2" s="1"/>
  <c r="N36" i="2"/>
  <c r="E53" i="2"/>
  <c r="G16" i="2"/>
  <c r="E52" i="2"/>
  <c r="M32" i="2" l="1"/>
  <c r="M42" i="2"/>
  <c r="K31" i="2"/>
  <c r="K11" i="2"/>
  <c r="K41" i="2"/>
  <c r="K16" i="2"/>
  <c r="K52" i="2"/>
  <c r="K56" i="2" s="1"/>
  <c r="K26" i="2"/>
  <c r="K21" i="2"/>
  <c r="M47" i="2"/>
  <c r="M52" i="2" s="1"/>
  <c r="L37" i="2"/>
  <c r="N37" i="2" s="1"/>
  <c r="E56" i="2"/>
  <c r="L17" i="2"/>
  <c r="N17" i="2" s="1"/>
  <c r="L22" i="2"/>
  <c r="N22" i="2" s="1"/>
  <c r="L47" i="2"/>
  <c r="N47" i="2" s="1"/>
  <c r="L27" i="2"/>
  <c r="N27" i="2" s="1"/>
  <c r="L32" i="2"/>
  <c r="N32" i="2" s="1"/>
  <c r="L9" i="2"/>
  <c r="M54" i="2"/>
  <c r="L12" i="2"/>
  <c r="N12" i="2" s="1"/>
  <c r="M55" i="2"/>
  <c r="L42" i="2"/>
  <c r="N42" i="2" s="1"/>
  <c r="M53" i="2"/>
  <c r="L8" i="2"/>
  <c r="N8" i="2" l="1"/>
  <c r="L53" i="2"/>
  <c r="N53" i="2" s="1"/>
  <c r="L7" i="2"/>
  <c r="N10" i="2"/>
  <c r="L55" i="2"/>
  <c r="N55" i="2" s="1"/>
  <c r="L54" i="2"/>
  <c r="N54" i="2" s="1"/>
  <c r="N9" i="2"/>
  <c r="N7" i="2" l="1"/>
  <c r="L52" i="2"/>
  <c r="L56" i="2" l="1"/>
  <c r="N56" i="2" s="1"/>
  <c r="N52" i="2"/>
  <c r="F17" i="1" l="1"/>
  <c r="E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Shimon Israel</author>
  </authors>
  <commentList>
    <comment ref="L10" authorId="0" shapeId="0" xr:uid="{1791A0E5-AF1B-4545-8679-6FBE90679EEC}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Implied HHs come from back-calculating workers to households, using average 3+ workers value to the right. </t>
        </r>
      </text>
    </comment>
    <comment ref="M10" authorId="0" shapeId="0" xr:uid="{837CABEB-D011-4757-B7D5-EF2A49543811}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Worker distribution here comes from 2018-2022 PUMS. Values are then slightly adjusted to account for different PUMS and ACS weights, such that county totals exactly match ACS 2019-2022 Table B23025.</t>
        </r>
      </text>
    </comment>
    <comment ref="L11" authorId="0" shapeId="0" xr:uid="{12C0BBFD-65DE-4D33-8FAB-BB93D5021F21}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Households come from Table B08202.</t>
        </r>
      </text>
    </comment>
    <comment ref="M11" authorId="0" shapeId="0" xr:uid="{B788D527-B302-49AA-A3DE-BB46F8DBA78B}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These county worker totals come from Table B23025.</t>
        </r>
      </text>
    </comment>
    <comment ref="L15" authorId="0" shapeId="0" xr:uid="{6AD6D159-82E7-4234-8D72-369566F54A5B}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Implied HHs come from back-calculating workers to households, using average 3+ workers value to the right. </t>
        </r>
      </text>
    </comment>
    <comment ref="M16" authorId="0" shapeId="0" xr:uid="{2F41794D-D201-4726-87E5-3425B4E4516E}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These county worker totals come from Table B23025.</t>
        </r>
      </text>
    </comment>
    <comment ref="M21" authorId="0" shapeId="0" xr:uid="{217531D3-3730-4DBC-B822-59D1649C0AEE}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These county worker totals come from Table B23025.</t>
        </r>
      </text>
    </comment>
    <comment ref="M26" authorId="0" shapeId="0" xr:uid="{7D5DE126-1341-4649-B4F4-A379ED88E78A}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These county worker totals come from Table B23025.</t>
        </r>
      </text>
    </comment>
    <comment ref="M31" authorId="0" shapeId="0" xr:uid="{CCED9119-1FBF-4270-B01C-DEAE83A849B0}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These county worker totals come from Table B23025.</t>
        </r>
      </text>
    </comment>
    <comment ref="M36" authorId="0" shapeId="0" xr:uid="{5F5E7E3E-A423-4C61-B31B-6DF87DBBF4E4}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These county worker totals come from Table B23025.</t>
        </r>
      </text>
    </comment>
    <comment ref="M41" authorId="0" shapeId="0" xr:uid="{18CEE742-DE9E-4129-9B5B-CD27CF76D91F}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These county worker totals come from Table B23025.</t>
        </r>
      </text>
    </comment>
    <comment ref="M46" authorId="0" shapeId="0" xr:uid="{F7B154EC-4D5B-4F0D-BF5B-EFF7F0EA93F6}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These county worker totals come from Table B23025.</t>
        </r>
      </text>
    </comment>
    <comment ref="M51" authorId="0" shapeId="0" xr:uid="{60D2180F-9442-4BBE-884E-E84CB7CA1416}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These county worker totals come from Table B23025.</t>
        </r>
      </text>
    </comment>
    <comment ref="M56" authorId="0" shapeId="0" xr:uid="{66EC4BDE-C144-49B2-B5A0-EF45D844EF9B}">
      <text>
        <r>
          <rPr>
            <b/>
            <sz val="9"/>
            <color indexed="81"/>
            <rFont val="Tahoma"/>
            <family val="2"/>
          </rPr>
          <t>Shimon Israel:</t>
        </r>
        <r>
          <rPr>
            <sz val="9"/>
            <color indexed="81"/>
            <rFont val="Tahoma"/>
            <family val="2"/>
          </rPr>
          <t xml:space="preserve">
These county worker totals come from Table B23025.</t>
        </r>
      </text>
    </comment>
  </commentList>
</comments>
</file>

<file path=xl/sharedStrings.xml><?xml version="1.0" encoding="utf-8"?>
<sst xmlns="http://schemas.openxmlformats.org/spreadsheetml/2006/main" count="141" uniqueCount="63">
  <si>
    <t>Total Workers</t>
  </si>
  <si>
    <t>San Francisco Bay Area</t>
  </si>
  <si>
    <t>ACS and PUMS Data 2018-2022, and ACS 2018-2022</t>
  </si>
  <si>
    <t>Table B23025 - Employment Status for Population 16+</t>
  </si>
  <si>
    <t xml:space="preserve">County </t>
  </si>
  <si>
    <t>Alameda</t>
  </si>
  <si>
    <t>Contra Costa</t>
  </si>
  <si>
    <t>Marin</t>
  </si>
  <si>
    <t>Napa</t>
  </si>
  <si>
    <t>San Francisco</t>
  </si>
  <si>
    <t>San Mateo</t>
  </si>
  <si>
    <t>Santa Clara</t>
  </si>
  <si>
    <t>Solano</t>
  </si>
  <si>
    <t>Sonoma</t>
  </si>
  <si>
    <t xml:space="preserve">Bay Area </t>
  </si>
  <si>
    <t>County_Name</t>
  </si>
  <si>
    <t>Household Workers</t>
  </si>
  <si>
    <t>GQ Workers</t>
  </si>
  <si>
    <t>PUMS 2018-2022 Person Weights</t>
  </si>
  <si>
    <t>Source: X:\travel-model-one-v1.6.1_develop\utilities\taz-data-baseyears\2020\Workers\ACSPUMS2018-2022_Stratified_Person_Worker_Totals.csv</t>
  </si>
  <si>
    <t>PUMS 2018-2022 HH Weights</t>
  </si>
  <si>
    <t>Source: X:\travel-model-one-v1.6.1_develop\utilities\taz-data-baseyears\2020\Workers\ACSPUMS2018-2022_Person_Household_Worker_Totals.csv</t>
  </si>
  <si>
    <t>ACS 2018-2022
Table B23025</t>
  </si>
  <si>
    <t>Source: X:\travel-model-one-v1.6.1_develop\utilities\taz-data-baseyears\2020\Workers\ACS 2018-2022 Table B23025 County.xlsx</t>
  </si>
  <si>
    <t>Households by Number of Workers/Commuters</t>
  </si>
  <si>
    <t>County-Level Correction Factors for HHs by No. Workers</t>
  </si>
  <si>
    <t>County</t>
  </si>
  <si>
    <t>HH Workers</t>
  </si>
  <si>
    <t>Total Households</t>
  </si>
  <si>
    <t>Implied Workers</t>
  </si>
  <si>
    <t>Implied Households</t>
  </si>
  <si>
    <t>Households</t>
  </si>
  <si>
    <t>0_workers</t>
  </si>
  <si>
    <t>1_worker</t>
  </si>
  <si>
    <t>2_workers</t>
  </si>
  <si>
    <t>3p_workers</t>
  </si>
  <si>
    <t>Alameda Total</t>
  </si>
  <si>
    <t>Contra Costa Total</t>
  </si>
  <si>
    <t>Marin Total</t>
  </si>
  <si>
    <t>Napa Total</t>
  </si>
  <si>
    <t>San Francisco Total</t>
  </si>
  <si>
    <t>San Mateo Total</t>
  </si>
  <si>
    <t>Santa Clara Total</t>
  </si>
  <si>
    <t>Solano Total</t>
  </si>
  <si>
    <t>Sonoma Total</t>
  </si>
  <si>
    <t>Bay Area</t>
  </si>
  <si>
    <t>Bay Area Total</t>
  </si>
  <si>
    <t>Source: X:\travel-model-one-v1.6.1_develop\utilities\taz-data-baseyears\2020\Workers\ACSPUMS2018-2022_Person_Household_Worker_Category.csv</t>
  </si>
  <si>
    <t>avg3p</t>
  </si>
  <si>
    <t>Source: X:\travel-model-one-v1.6.1_develop\utilities\taz-data-baseyears\2020\Workers\ACSPUMS2018-2022_Avg_3p_Workers_County.csv</t>
  </si>
  <si>
    <t>PUMS 2018-2022 Workers (ESR==1,2,4,5), Using HH Weights</t>
  </si>
  <si>
    <t>ACS and PUMS Data, 2018-2022</t>
  </si>
  <si>
    <t>ACS 2018-2022
Table B08202 - HH Size by Number of Workers in HH</t>
  </si>
  <si>
    <t>Source: X:\travel-model-one-v1.6.1_develop\utilities\taz-data-baseyears\2020\Workers\ACS 2018-2022 Table B08202 County.xlsx</t>
  </si>
  <si>
    <t>[not used]</t>
  </si>
  <si>
    <t>PUMS 2018-2022 Workers (ESR==1,2,4,5), Using Person Weights</t>
  </si>
  <si>
    <t>Source: X:\travel-model-one-v1.6.1_develop\utilities\taz-data-baseyears\2020\Workers\ACSPUMS2018-2022_HHs_Workers_PWeight.csv</t>
  </si>
  <si>
    <r>
      <t xml:space="preserve">calculated using </t>
    </r>
    <r>
      <rPr>
        <sz val="10"/>
        <color theme="7"/>
        <rFont val="Calibri"/>
        <family val="2"/>
      </rPr>
      <t>avg3p</t>
    </r>
  </si>
  <si>
    <r>
      <t xml:space="preserve">calculated using total Households from col D, and </t>
    </r>
    <r>
      <rPr>
        <sz val="10"/>
        <color theme="7"/>
        <rFont val="Calibri"/>
        <family val="2"/>
      </rPr>
      <t>avg3p</t>
    </r>
  </si>
  <si>
    <t>ACS 2018-2022
Values Inflated to Match Total Worker Table (B23025) from PUMS 2018-2022</t>
  </si>
  <si>
    <t>See notes inline</t>
  </si>
  <si>
    <t>Travel Model County Num</t>
  </si>
  <si>
    <t>Travel Model County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</si>
</sst>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9" formatCode="#,##0.000"/>
    <numFmt numFmtId="174" formatCode="0.00000"/>
  </numFmts>
  <fonts count="1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8"/>
      <color rgb="FFCCCCCC"/>
      <name val="Consolas"/>
      <family val="3"/>
    </font>
    <font>
      <sz val="8"/>
      <color rgb="FFFF000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FF0000"/>
      <name val="Consolas"/>
      <family val="3"/>
    </font>
    <font>
      <sz val="10"/>
      <color rgb="FFFF0000"/>
      <name val="Aptos Narrow"/>
      <family val="2"/>
      <scheme val="minor"/>
    </font>
    <font>
      <sz val="10"/>
      <name val="Calibri"/>
      <family val="2"/>
    </font>
    <font>
      <sz val="10"/>
      <color theme="7"/>
      <name val="Calibri"/>
      <family val="2"/>
    </font>
    <font>
      <sz val="10"/>
      <color theme="9"/>
      <name val="Calibri"/>
      <family val="2"/>
    </font>
    <font>
      <sz val="10"/>
      <color theme="8"/>
      <name val="Calibri"/>
      <family val="2"/>
    </font>
    <font>
      <sz val="8"/>
      <color theme="0" tint="-0.249977111117893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 wrapText="1"/>
    </xf>
    <xf numFmtId="3" fontId="3" fillId="0" borderId="7" xfId="0" applyNumberFormat="1" applyFont="1" applyBorder="1"/>
    <xf numFmtId="3" fontId="3" fillId="0" borderId="2" xfId="0" applyNumberFormat="1" applyFont="1" applyBorder="1"/>
    <xf numFmtId="0" fontId="3" fillId="0" borderId="1" xfId="0" applyFont="1" applyBorder="1"/>
    <xf numFmtId="0" fontId="3" fillId="0" borderId="4" xfId="0" applyFont="1" applyBorder="1"/>
    <xf numFmtId="0" fontId="3" fillId="0" borderId="6" xfId="0" applyFont="1" applyBorder="1"/>
    <xf numFmtId="0" fontId="4" fillId="0" borderId="0" xfId="0" applyFont="1" applyAlignment="1">
      <alignment vertical="center"/>
    </xf>
    <xf numFmtId="164" fontId="3" fillId="0" borderId="0" xfId="1" applyNumberFormat="1" applyFont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3" fontId="3" fillId="0" borderId="1" xfId="0" applyNumberFormat="1" applyFont="1" applyBorder="1"/>
    <xf numFmtId="3" fontId="3" fillId="0" borderId="9" xfId="0" applyNumberFormat="1" applyFont="1" applyBorder="1"/>
    <xf numFmtId="0" fontId="3" fillId="0" borderId="4" xfId="0" applyFont="1" applyBorder="1" applyAlignment="1">
      <alignment horizontal="right" wrapText="1"/>
    </xf>
    <xf numFmtId="0" fontId="3" fillId="0" borderId="8" xfId="0" applyFont="1" applyBorder="1" applyAlignment="1">
      <alignment horizontal="right" wrapText="1"/>
    </xf>
    <xf numFmtId="0" fontId="5" fillId="0" borderId="10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3" fontId="3" fillId="0" borderId="3" xfId="0" applyNumberFormat="1" applyFont="1" applyBorder="1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3" fontId="3" fillId="0" borderId="6" xfId="0" applyNumberFormat="1" applyFont="1" applyBorder="1"/>
    <xf numFmtId="169" fontId="3" fillId="0" borderId="11" xfId="0" applyNumberFormat="1" applyFont="1" applyBorder="1"/>
    <xf numFmtId="169" fontId="3" fillId="0" borderId="6" xfId="0" applyNumberFormat="1" applyFont="1" applyBorder="1"/>
    <xf numFmtId="0" fontId="3" fillId="0" borderId="10" xfId="0" applyFont="1" applyBorder="1"/>
    <xf numFmtId="3" fontId="3" fillId="0" borderId="12" xfId="0" applyNumberFormat="1" applyFont="1" applyBorder="1"/>
    <xf numFmtId="169" fontId="3" fillId="0" borderId="12" xfId="0" applyNumberFormat="1" applyFont="1" applyBorder="1"/>
    <xf numFmtId="169" fontId="3" fillId="0" borderId="1" xfId="0" applyNumberFormat="1" applyFont="1" applyBorder="1"/>
    <xf numFmtId="169" fontId="3" fillId="0" borderId="14" xfId="0" applyNumberFormat="1" applyFont="1" applyBorder="1"/>
    <xf numFmtId="0" fontId="8" fillId="0" borderId="0" xfId="0" applyFont="1" applyAlignment="1">
      <alignment vertical="center"/>
    </xf>
    <xf numFmtId="0" fontId="9" fillId="0" borderId="0" xfId="0" applyFont="1"/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right" wrapText="1"/>
    </xf>
    <xf numFmtId="169" fontId="3" fillId="0" borderId="0" xfId="0" applyNumberFormat="1" applyFont="1" applyBorder="1"/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14" xfId="0" applyFont="1" applyBorder="1" applyAlignment="1">
      <alignment vertical="center"/>
    </xf>
    <xf numFmtId="0" fontId="10" fillId="0" borderId="6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3" fontId="11" fillId="0" borderId="13" xfId="0" applyNumberFormat="1" applyFont="1" applyBorder="1"/>
    <xf numFmtId="3" fontId="12" fillId="0" borderId="13" xfId="0" applyNumberFormat="1" applyFont="1" applyBorder="1"/>
    <xf numFmtId="0" fontId="11" fillId="0" borderId="15" xfId="0" applyFont="1" applyBorder="1"/>
    <xf numFmtId="0" fontId="11" fillId="0" borderId="7" xfId="0" applyFont="1" applyBorder="1"/>
    <xf numFmtId="0" fontId="11" fillId="0" borderId="13" xfId="0" applyFont="1" applyBorder="1"/>
    <xf numFmtId="3" fontId="13" fillId="0" borderId="7" xfId="0" applyNumberFormat="1" applyFont="1" applyBorder="1"/>
    <xf numFmtId="3" fontId="13" fillId="0" borderId="13" xfId="0" applyNumberFormat="1" applyFont="1" applyBorder="1"/>
    <xf numFmtId="3" fontId="11" fillId="0" borderId="12" xfId="0" applyNumberFormat="1" applyFont="1" applyBorder="1"/>
    <xf numFmtId="3" fontId="10" fillId="0" borderId="13" xfId="0" applyNumberFormat="1" applyFont="1" applyBorder="1"/>
    <xf numFmtId="0" fontId="3" fillId="2" borderId="9" xfId="0" applyFont="1" applyFill="1" applyBorder="1"/>
    <xf numFmtId="3" fontId="3" fillId="2" borderId="1" xfId="0" applyNumberFormat="1" applyFont="1" applyFill="1" applyBorder="1"/>
    <xf numFmtId="3" fontId="3" fillId="2" borderId="2" xfId="0" applyNumberFormat="1" applyFont="1" applyFill="1" applyBorder="1"/>
    <xf numFmtId="169" fontId="3" fillId="2" borderId="1" xfId="0" applyNumberFormat="1" applyFont="1" applyFill="1" applyBorder="1"/>
    <xf numFmtId="0" fontId="3" fillId="0" borderId="0" xfId="0" applyFont="1" applyAlignment="1">
      <alignment horizontal="right"/>
    </xf>
    <xf numFmtId="0" fontId="14" fillId="0" borderId="0" xfId="0" applyFont="1"/>
    <xf numFmtId="174" fontId="3" fillId="0" borderId="14" xfId="0" applyNumberFormat="1" applyFont="1" applyBorder="1"/>
    <xf numFmtId="174" fontId="3" fillId="0" borderId="16" xfId="0" applyNumberFormat="1" applyFont="1" applyBorder="1"/>
    <xf numFmtId="174" fontId="3" fillId="0" borderId="15" xfId="0" applyNumberFormat="1" applyFont="1" applyBorder="1"/>
    <xf numFmtId="174" fontId="3" fillId="0" borderId="6" xfId="0" applyNumberFormat="1" applyFont="1" applyBorder="1"/>
    <xf numFmtId="174" fontId="3" fillId="0" borderId="0" xfId="0" applyNumberFormat="1" applyFont="1" applyBorder="1"/>
    <xf numFmtId="174" fontId="3" fillId="0" borderId="7" xfId="0" applyNumberFormat="1" applyFont="1" applyBorder="1"/>
    <xf numFmtId="174" fontId="3" fillId="0" borderId="12" xfId="0" applyNumberFormat="1" applyFont="1" applyBorder="1"/>
    <xf numFmtId="174" fontId="3" fillId="0" borderId="10" xfId="0" applyNumberFormat="1" applyFont="1" applyBorder="1"/>
    <xf numFmtId="174" fontId="3" fillId="0" borderId="13" xfId="0" applyNumberFormat="1" applyFont="1" applyBorder="1"/>
    <xf numFmtId="0" fontId="3" fillId="0" borderId="0" xfId="0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208F-9ED4-43FC-AF19-F9F4D86377A3}">
  <dimension ref="B1:K17"/>
  <sheetViews>
    <sheetView workbookViewId="0">
      <selection activeCell="G5" sqref="G5"/>
    </sheetView>
  </sheetViews>
  <sheetFormatPr defaultRowHeight="12.75" x14ac:dyDescent="0.2"/>
  <cols>
    <col min="1" max="1" width="3.28515625" style="2" customWidth="1"/>
    <col min="2" max="2" width="12" style="2" bestFit="1" customWidth="1"/>
    <col min="3" max="5" width="24.5703125" style="2" customWidth="1"/>
    <col min="6" max="6" width="28.42578125" style="2" customWidth="1"/>
    <col min="7" max="7" width="24.5703125" style="2" customWidth="1"/>
    <col min="8" max="9" width="9.140625" style="2"/>
    <col min="10" max="11" width="11" style="2" bestFit="1" customWidth="1"/>
    <col min="12" max="16384" width="9.140625" style="2"/>
  </cols>
  <sheetData>
    <row r="1" spans="2:11" x14ac:dyDescent="0.2">
      <c r="B1" s="1" t="s">
        <v>0</v>
      </c>
      <c r="C1" s="1"/>
      <c r="D1" s="1"/>
    </row>
    <row r="2" spans="2:11" x14ac:dyDescent="0.2">
      <c r="B2" s="1" t="s">
        <v>2</v>
      </c>
      <c r="C2" s="1"/>
      <c r="D2" s="1"/>
    </row>
    <row r="3" spans="2:11" x14ac:dyDescent="0.2">
      <c r="B3" s="1" t="s">
        <v>1</v>
      </c>
      <c r="C3" s="1"/>
      <c r="D3" s="1"/>
    </row>
    <row r="5" spans="2:11" ht="63.75" customHeight="1" x14ac:dyDescent="0.2">
      <c r="C5" s="24" t="s">
        <v>19</v>
      </c>
      <c r="D5" s="24"/>
      <c r="E5" s="24"/>
      <c r="F5" s="26" t="s">
        <v>21</v>
      </c>
      <c r="G5" s="26" t="s">
        <v>23</v>
      </c>
    </row>
    <row r="6" spans="2:11" ht="37.5" customHeight="1" x14ac:dyDescent="0.2">
      <c r="B6" s="9"/>
      <c r="C6" s="17" t="s">
        <v>18</v>
      </c>
      <c r="D6" s="18"/>
      <c r="E6" s="19"/>
      <c r="F6" s="3" t="s">
        <v>20</v>
      </c>
      <c r="G6" s="4" t="s">
        <v>3</v>
      </c>
    </row>
    <row r="7" spans="2:11" ht="26.25" thickBot="1" x14ac:dyDescent="0.25">
      <c r="B7" s="10" t="s">
        <v>4</v>
      </c>
      <c r="C7" s="22" t="s">
        <v>16</v>
      </c>
      <c r="D7" s="23" t="s">
        <v>17</v>
      </c>
      <c r="E7" s="6" t="s">
        <v>0</v>
      </c>
      <c r="F7" s="5" t="s">
        <v>0</v>
      </c>
      <c r="G7" s="6" t="s">
        <v>22</v>
      </c>
      <c r="I7" s="12"/>
    </row>
    <row r="8" spans="2:11" ht="13.5" thickTop="1" x14ac:dyDescent="0.2">
      <c r="B8" s="11" t="s">
        <v>5</v>
      </c>
      <c r="C8" s="13">
        <v>864042</v>
      </c>
      <c r="D8" s="13">
        <v>7256</v>
      </c>
      <c r="E8" s="7">
        <f>C8+D8</f>
        <v>871298</v>
      </c>
      <c r="F8" s="7">
        <v>812075</v>
      </c>
      <c r="G8" s="7">
        <v>871740</v>
      </c>
      <c r="I8" s="12"/>
      <c r="J8" s="13"/>
      <c r="K8" s="13"/>
    </row>
    <row r="9" spans="2:11" x14ac:dyDescent="0.2">
      <c r="B9" s="11" t="s">
        <v>6</v>
      </c>
      <c r="C9" s="13">
        <v>570772</v>
      </c>
      <c r="D9" s="13">
        <v>1605</v>
      </c>
      <c r="E9" s="7">
        <f t="shared" ref="E9:E16" si="0">C9+D9</f>
        <v>572377</v>
      </c>
      <c r="F9" s="7">
        <v>548840</v>
      </c>
      <c r="G9" s="7">
        <v>574276</v>
      </c>
      <c r="I9" s="12"/>
      <c r="J9" s="13"/>
      <c r="K9" s="13"/>
    </row>
    <row r="10" spans="2:11" x14ac:dyDescent="0.2">
      <c r="B10" s="11" t="s">
        <v>7</v>
      </c>
      <c r="C10" s="13">
        <v>127924</v>
      </c>
      <c r="D10" s="13">
        <v>1213</v>
      </c>
      <c r="E10" s="7">
        <f t="shared" si="0"/>
        <v>129137</v>
      </c>
      <c r="F10" s="7">
        <v>122453</v>
      </c>
      <c r="G10" s="7">
        <v>129114</v>
      </c>
      <c r="I10" s="12"/>
      <c r="J10" s="13"/>
      <c r="K10" s="13"/>
    </row>
    <row r="11" spans="2:11" x14ac:dyDescent="0.2">
      <c r="B11" s="11" t="s">
        <v>8</v>
      </c>
      <c r="C11" s="13">
        <v>66443</v>
      </c>
      <c r="D11" s="13">
        <v>1078</v>
      </c>
      <c r="E11" s="7">
        <f t="shared" si="0"/>
        <v>67521</v>
      </c>
      <c r="F11" s="7">
        <v>62378</v>
      </c>
      <c r="G11" s="7">
        <v>68446</v>
      </c>
      <c r="I11" s="12"/>
      <c r="J11" s="13"/>
      <c r="K11" s="13"/>
    </row>
    <row r="12" spans="2:11" x14ac:dyDescent="0.2">
      <c r="B12" s="11" t="s">
        <v>9</v>
      </c>
      <c r="C12" s="13">
        <v>492295</v>
      </c>
      <c r="D12" s="13">
        <v>4778</v>
      </c>
      <c r="E12" s="7">
        <f t="shared" si="0"/>
        <v>497073</v>
      </c>
      <c r="F12" s="7">
        <v>474526</v>
      </c>
      <c r="G12" s="7">
        <v>498269</v>
      </c>
      <c r="I12" s="12"/>
      <c r="J12" s="13"/>
      <c r="K12" s="13"/>
    </row>
    <row r="13" spans="2:11" x14ac:dyDescent="0.2">
      <c r="B13" s="11" t="s">
        <v>10</v>
      </c>
      <c r="C13" s="13">
        <v>401590</v>
      </c>
      <c r="D13" s="13">
        <v>2392</v>
      </c>
      <c r="E13" s="7">
        <f t="shared" si="0"/>
        <v>403982</v>
      </c>
      <c r="F13" s="7">
        <v>380027</v>
      </c>
      <c r="G13" s="7">
        <v>402974</v>
      </c>
      <c r="I13" s="12"/>
      <c r="J13" s="13"/>
      <c r="K13" s="13"/>
    </row>
    <row r="14" spans="2:11" x14ac:dyDescent="0.2">
      <c r="B14" s="11" t="s">
        <v>11</v>
      </c>
      <c r="C14" s="13">
        <v>993715</v>
      </c>
      <c r="D14" s="13">
        <v>10697</v>
      </c>
      <c r="E14" s="7">
        <f t="shared" si="0"/>
        <v>1004412</v>
      </c>
      <c r="F14" s="7">
        <v>954857</v>
      </c>
      <c r="G14" s="7">
        <v>1003199</v>
      </c>
      <c r="I14" s="12"/>
      <c r="J14" s="13"/>
      <c r="K14" s="13"/>
    </row>
    <row r="15" spans="2:11" x14ac:dyDescent="0.2">
      <c r="B15" s="11" t="s">
        <v>12</v>
      </c>
      <c r="C15" s="13">
        <v>213478</v>
      </c>
      <c r="D15" s="13">
        <v>954</v>
      </c>
      <c r="E15" s="7">
        <f t="shared" si="0"/>
        <v>214432</v>
      </c>
      <c r="F15" s="7">
        <v>204562</v>
      </c>
      <c r="G15" s="7">
        <v>216282</v>
      </c>
      <c r="I15" s="12"/>
      <c r="J15" s="13"/>
      <c r="K15" s="13"/>
    </row>
    <row r="16" spans="2:11" x14ac:dyDescent="0.2">
      <c r="B16" s="11" t="s">
        <v>13</v>
      </c>
      <c r="C16" s="13">
        <v>247542</v>
      </c>
      <c r="D16" s="13">
        <v>1947</v>
      </c>
      <c r="E16" s="7">
        <f t="shared" si="0"/>
        <v>249489</v>
      </c>
      <c r="F16" s="7">
        <v>239343</v>
      </c>
      <c r="G16" s="7">
        <v>248761</v>
      </c>
      <c r="I16" s="12"/>
      <c r="J16" s="13"/>
      <c r="K16" s="13"/>
    </row>
    <row r="17" spans="2:7" x14ac:dyDescent="0.2">
      <c r="B17" s="9" t="s">
        <v>14</v>
      </c>
      <c r="C17" s="20">
        <f t="shared" ref="C17:D17" si="1">SUM(C8:C16)</f>
        <v>3977801</v>
      </c>
      <c r="D17" s="21">
        <f t="shared" si="1"/>
        <v>31920</v>
      </c>
      <c r="E17" s="8">
        <f t="shared" ref="E17:G17" si="2">SUM(E8:E16)</f>
        <v>4009721</v>
      </c>
      <c r="F17" s="8">
        <f t="shared" si="2"/>
        <v>3799061</v>
      </c>
      <c r="G17" s="27">
        <f>SUM(G8:G16)</f>
        <v>4013061</v>
      </c>
    </row>
  </sheetData>
  <mergeCells count="2">
    <mergeCell ref="C6:E6"/>
    <mergeCell ref="C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1719-98B7-41F9-ADFE-16899139E1EA}">
  <dimension ref="A1:T56"/>
  <sheetViews>
    <sheetView tabSelected="1" workbookViewId="0">
      <pane ySplit="6" topLeftCell="A7" activePane="bottomLeft" state="frozen"/>
      <selection pane="bottomLeft" activeCell="C5" sqref="C5"/>
    </sheetView>
  </sheetViews>
  <sheetFormatPr defaultRowHeight="15" x14ac:dyDescent="0.25"/>
  <cols>
    <col min="1" max="1" width="22.85546875" customWidth="1"/>
    <col min="3" max="3" width="11.85546875" customWidth="1"/>
    <col min="4" max="15" width="11.42578125" customWidth="1"/>
    <col min="16" max="16" width="14.7109375" customWidth="1"/>
    <col min="17" max="17" width="9.85546875" customWidth="1"/>
  </cols>
  <sheetData>
    <row r="1" spans="1:20" x14ac:dyDescent="0.25">
      <c r="B1" s="1" t="s">
        <v>24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20" x14ac:dyDescent="0.25">
      <c r="B2" s="1" t="s">
        <v>51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20" x14ac:dyDescent="0.25">
      <c r="B3" s="1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20" ht="147" x14ac:dyDescent="0.25">
      <c r="B4" s="2"/>
      <c r="C4" s="2"/>
      <c r="D4" s="26" t="s">
        <v>47</v>
      </c>
      <c r="E4" s="25" t="s">
        <v>57</v>
      </c>
      <c r="F4" s="26" t="s">
        <v>53</v>
      </c>
      <c r="G4" s="25" t="s">
        <v>57</v>
      </c>
      <c r="H4" s="2"/>
      <c r="I4" s="2"/>
      <c r="J4" s="25" t="s">
        <v>58</v>
      </c>
      <c r="K4" s="26" t="s">
        <v>56</v>
      </c>
      <c r="L4" s="2" t="s">
        <v>60</v>
      </c>
      <c r="M4" s="2"/>
      <c r="N4" s="2"/>
      <c r="O4" s="2"/>
      <c r="Q4" s="50"/>
    </row>
    <row r="5" spans="1:20" ht="80.25" customHeight="1" x14ac:dyDescent="0.25">
      <c r="B5" s="16"/>
      <c r="C5" s="16"/>
      <c r="D5" s="28" t="s">
        <v>50</v>
      </c>
      <c r="E5" s="29"/>
      <c r="F5" s="28" t="s">
        <v>52</v>
      </c>
      <c r="G5" s="29"/>
      <c r="H5" s="28" t="s">
        <v>54</v>
      </c>
      <c r="I5" s="29"/>
      <c r="J5" s="28" t="s">
        <v>55</v>
      </c>
      <c r="K5" s="29"/>
      <c r="L5" s="28" t="s">
        <v>59</v>
      </c>
      <c r="M5" s="29"/>
      <c r="N5" s="30" t="s">
        <v>25</v>
      </c>
      <c r="O5" s="41"/>
      <c r="P5" s="49" t="s">
        <v>49</v>
      </c>
      <c r="Q5" s="49"/>
    </row>
    <row r="6" spans="1:20" ht="27" thickBot="1" x14ac:dyDescent="0.3">
      <c r="A6" s="65"/>
      <c r="B6" s="14" t="s">
        <v>26</v>
      </c>
      <c r="C6" s="14" t="s">
        <v>27</v>
      </c>
      <c r="D6" s="22" t="s">
        <v>28</v>
      </c>
      <c r="E6" s="6" t="s">
        <v>29</v>
      </c>
      <c r="F6" s="22" t="s">
        <v>28</v>
      </c>
      <c r="G6" s="6" t="s">
        <v>29</v>
      </c>
      <c r="H6" s="22" t="s">
        <v>28</v>
      </c>
      <c r="I6" s="6" t="s">
        <v>29</v>
      </c>
      <c r="J6" s="22" t="s">
        <v>30</v>
      </c>
      <c r="K6" s="6" t="s">
        <v>0</v>
      </c>
      <c r="L6" s="22" t="s">
        <v>30</v>
      </c>
      <c r="M6" s="6" t="s">
        <v>0</v>
      </c>
      <c r="N6" s="22" t="s">
        <v>31</v>
      </c>
      <c r="O6" s="42"/>
      <c r="P6" s="49"/>
      <c r="Q6" s="49"/>
    </row>
    <row r="7" spans="1:20" ht="15.75" thickTop="1" x14ac:dyDescent="0.25">
      <c r="A7" s="65" t="str">
        <f>CONCATENATE(B7," ",C7)</f>
        <v>Alameda 0_workers</v>
      </c>
      <c r="B7" s="2" t="s">
        <v>5</v>
      </c>
      <c r="C7" s="2" t="s">
        <v>32</v>
      </c>
      <c r="D7" s="31">
        <v>115464</v>
      </c>
      <c r="E7" s="7">
        <f>0*D7</f>
        <v>0</v>
      </c>
      <c r="F7" s="31">
        <v>129478</v>
      </c>
      <c r="G7" s="7">
        <f>0*F7</f>
        <v>0</v>
      </c>
      <c r="H7" s="31"/>
      <c r="I7" s="7"/>
      <c r="J7" s="31">
        <f>J11-SUM(J8:J10)</f>
        <v>83298.052376096253</v>
      </c>
      <c r="K7" s="7">
        <f>0*J7</f>
        <v>0</v>
      </c>
      <c r="L7" s="31">
        <f>L11-SUM(L8:L10)</f>
        <v>83298.621144014935</v>
      </c>
      <c r="M7" s="7">
        <f>K7*$L$11/$J$11</f>
        <v>0</v>
      </c>
      <c r="N7" s="32">
        <f>L7/F7</f>
        <v>0.6433418893094961</v>
      </c>
      <c r="O7" s="43"/>
      <c r="P7" s="44" t="s">
        <v>15</v>
      </c>
      <c r="Q7" s="45" t="s">
        <v>48</v>
      </c>
      <c r="R7" s="39"/>
      <c r="S7" s="40"/>
      <c r="T7" s="40"/>
    </row>
    <row r="8" spans="1:20" x14ac:dyDescent="0.25">
      <c r="A8" s="65" t="str">
        <f>CONCATENATE(B7," ",C8)</f>
        <v>Alameda 1_worker</v>
      </c>
      <c r="B8" s="2"/>
      <c r="C8" s="2" t="s">
        <v>33</v>
      </c>
      <c r="D8" s="31">
        <v>209577</v>
      </c>
      <c r="E8" s="7">
        <f>1*D8</f>
        <v>209577</v>
      </c>
      <c r="F8" s="31">
        <v>213281</v>
      </c>
      <c r="G8" s="7">
        <f>1*F8</f>
        <v>213281</v>
      </c>
      <c r="H8" s="31"/>
      <c r="I8" s="7"/>
      <c r="J8" s="31">
        <f>K8/1</f>
        <v>225429</v>
      </c>
      <c r="K8" s="56">
        <v>225429</v>
      </c>
      <c r="L8" s="31">
        <f>M8/1</f>
        <v>225430.53925307351</v>
      </c>
      <c r="M8" s="7">
        <f>K8*$L$11/$J$11</f>
        <v>225430.53925307351</v>
      </c>
      <c r="N8" s="33">
        <f t="shared" ref="N8:N56" si="0">L8/F8</f>
        <v>1.0569649394604934</v>
      </c>
      <c r="O8" s="43"/>
      <c r="P8" s="46" t="s">
        <v>5</v>
      </c>
      <c r="Q8" s="53">
        <v>3.4058071686579598</v>
      </c>
      <c r="R8" s="39"/>
      <c r="S8" s="40"/>
      <c r="T8" s="40"/>
    </row>
    <row r="9" spans="1:20" x14ac:dyDescent="0.25">
      <c r="A9" s="65" t="str">
        <f>CONCATENATE(B7," ",C9)</f>
        <v>Alameda 2_workers</v>
      </c>
      <c r="B9" s="2"/>
      <c r="C9" s="2" t="s">
        <v>34</v>
      </c>
      <c r="D9" s="31">
        <v>203189</v>
      </c>
      <c r="E9" s="7">
        <f>2*D9</f>
        <v>406378</v>
      </c>
      <c r="F9" s="31">
        <v>189772</v>
      </c>
      <c r="G9" s="7">
        <f>2*F9</f>
        <v>379544</v>
      </c>
      <c r="H9" s="31"/>
      <c r="I9" s="7"/>
      <c r="J9" s="31">
        <f>K9/2</f>
        <v>211861</v>
      </c>
      <c r="K9" s="56">
        <v>423722</v>
      </c>
      <c r="L9" s="31">
        <f>M9/2</f>
        <v>211862.44660933333</v>
      </c>
      <c r="M9" s="7">
        <f>K9*$L$11/$J$11</f>
        <v>423724.89321866666</v>
      </c>
      <c r="N9" s="33">
        <f t="shared" si="0"/>
        <v>1.11640519470382</v>
      </c>
      <c r="O9" s="43"/>
      <c r="P9" s="47" t="s">
        <v>6</v>
      </c>
      <c r="Q9" s="54">
        <v>3.34584116541353</v>
      </c>
      <c r="R9" s="39"/>
      <c r="S9" s="40"/>
      <c r="T9" s="40"/>
    </row>
    <row r="10" spans="1:20" x14ac:dyDescent="0.25">
      <c r="A10" s="65" t="str">
        <f>CONCATENATE(B7," ",C10)</f>
        <v>Alameda 3p_workers</v>
      </c>
      <c r="B10" s="34"/>
      <c r="C10" s="34" t="s">
        <v>35</v>
      </c>
      <c r="D10" s="35">
        <v>57584</v>
      </c>
      <c r="E10" s="51">
        <f>D10*$Q$8</f>
        <v>196119.99999999997</v>
      </c>
      <c r="F10" s="35">
        <v>53287</v>
      </c>
      <c r="G10" s="51">
        <f>F10*$Q$8</f>
        <v>181485.2465962767</v>
      </c>
      <c r="H10" s="35"/>
      <c r="I10" s="51"/>
      <c r="J10" s="58">
        <f>K10/$Q$8</f>
        <v>65225.947623903747</v>
      </c>
      <c r="K10" s="57">
        <v>222147</v>
      </c>
      <c r="L10" s="58">
        <f>M10/$Q$8</f>
        <v>65226.392993578243</v>
      </c>
      <c r="M10" s="59">
        <f>K10*$L$11/$J$11</f>
        <v>222148.51684323011</v>
      </c>
      <c r="N10" s="36">
        <f t="shared" si="0"/>
        <v>1.2240582692510038</v>
      </c>
      <c r="O10" s="43"/>
      <c r="P10" s="47" t="s">
        <v>7</v>
      </c>
      <c r="Q10" s="54">
        <v>3.29522965588539</v>
      </c>
      <c r="R10" s="39"/>
      <c r="S10" s="40"/>
      <c r="T10" s="40"/>
    </row>
    <row r="11" spans="1:20" x14ac:dyDescent="0.25">
      <c r="A11" s="65"/>
      <c r="B11" s="60" t="s">
        <v>36</v>
      </c>
      <c r="C11" s="60"/>
      <c r="D11" s="61">
        <f t="shared" ref="D11:G11" si="1">SUM(D7:D10)</f>
        <v>585814</v>
      </c>
      <c r="E11" s="62">
        <f t="shared" si="1"/>
        <v>812075</v>
      </c>
      <c r="F11" s="61">
        <f t="shared" si="1"/>
        <v>585818</v>
      </c>
      <c r="G11" s="62">
        <f t="shared" si="1"/>
        <v>774310.24659627676</v>
      </c>
      <c r="H11" s="61"/>
      <c r="I11" s="62"/>
      <c r="J11" s="61">
        <f>D11</f>
        <v>585814</v>
      </c>
      <c r="K11" s="62">
        <f>SUM(K7:K10)</f>
        <v>871298</v>
      </c>
      <c r="L11" s="61">
        <f>F11</f>
        <v>585818</v>
      </c>
      <c r="M11" s="62">
        <f>'Total Worker'!$G$8</f>
        <v>871740</v>
      </c>
      <c r="N11" s="63">
        <f t="shared" si="0"/>
        <v>1</v>
      </c>
      <c r="O11" s="43"/>
      <c r="P11" s="47" t="s">
        <v>8</v>
      </c>
      <c r="Q11" s="54">
        <v>3.4534446764091902</v>
      </c>
      <c r="R11" s="39"/>
      <c r="S11" s="40"/>
      <c r="T11" s="40"/>
    </row>
    <row r="12" spans="1:20" x14ac:dyDescent="0.25">
      <c r="A12" s="65" t="str">
        <f>CONCATENATE(B12," ",C12)</f>
        <v>Contra Costa 0_workers</v>
      </c>
      <c r="B12" s="2" t="s">
        <v>6</v>
      </c>
      <c r="C12" s="2" t="s">
        <v>32</v>
      </c>
      <c r="D12" s="31">
        <v>90943</v>
      </c>
      <c r="E12" s="7">
        <f>0*D12</f>
        <v>0</v>
      </c>
      <c r="F12" s="31">
        <v>94312</v>
      </c>
      <c r="G12" s="7">
        <f>0*F12</f>
        <v>0</v>
      </c>
      <c r="H12" s="31"/>
      <c r="I12" s="7"/>
      <c r="J12" s="31">
        <f>J16-SUM(J13:J15)</f>
        <v>78798.385062395071</v>
      </c>
      <c r="K12" s="7">
        <v>0</v>
      </c>
      <c r="L12" s="31">
        <f>L16-SUM(L13:L15)</f>
        <v>78798.385062395071</v>
      </c>
      <c r="M12" s="7">
        <f>K12*$L$16/$J$16</f>
        <v>0</v>
      </c>
      <c r="N12" s="33">
        <f>L12/F12</f>
        <v>0.83550751826273506</v>
      </c>
      <c r="O12" s="43"/>
      <c r="P12" s="47" t="s">
        <v>9</v>
      </c>
      <c r="Q12" s="54">
        <v>3.50369066370178</v>
      </c>
      <c r="R12" s="39"/>
      <c r="S12" s="40"/>
      <c r="T12" s="40"/>
    </row>
    <row r="13" spans="1:20" x14ac:dyDescent="0.25">
      <c r="A13" s="65" t="str">
        <f>CONCATENATE(B12," ",C13)</f>
        <v>Contra Costa 1_worker</v>
      </c>
      <c r="B13" s="2"/>
      <c r="C13" s="2" t="s">
        <v>33</v>
      </c>
      <c r="D13" s="31">
        <v>143627</v>
      </c>
      <c r="E13" s="7">
        <f>1*D13</f>
        <v>143627</v>
      </c>
      <c r="F13" s="31">
        <v>147842</v>
      </c>
      <c r="G13" s="7">
        <f>1*F13</f>
        <v>147842</v>
      </c>
      <c r="H13" s="31"/>
      <c r="I13" s="7"/>
      <c r="J13" s="31">
        <f>K13/1</f>
        <v>149180</v>
      </c>
      <c r="K13" s="56">
        <v>149180</v>
      </c>
      <c r="L13" s="31">
        <f>M13/1</f>
        <v>149180</v>
      </c>
      <c r="M13" s="7">
        <f>K13*$L$16/$J$16</f>
        <v>149180</v>
      </c>
      <c r="N13" s="33">
        <f t="shared" si="0"/>
        <v>1.0090502022429351</v>
      </c>
      <c r="O13" s="43"/>
      <c r="P13" s="47" t="s">
        <v>10</v>
      </c>
      <c r="Q13" s="54">
        <v>3.45600747042955</v>
      </c>
      <c r="R13" s="39"/>
      <c r="S13" s="40"/>
      <c r="T13" s="40"/>
    </row>
    <row r="14" spans="1:20" x14ac:dyDescent="0.25">
      <c r="A14" s="65" t="str">
        <f>CONCATENATE(B12," ",C14)</f>
        <v>Contra Costa 2_workers</v>
      </c>
      <c r="B14" s="2"/>
      <c r="C14" s="2" t="s">
        <v>34</v>
      </c>
      <c r="D14" s="31">
        <v>131407</v>
      </c>
      <c r="E14" s="7">
        <f>2*D14</f>
        <v>262814</v>
      </c>
      <c r="F14" s="31">
        <v>126385</v>
      </c>
      <c r="G14" s="7">
        <f>2*F14</f>
        <v>252770</v>
      </c>
      <c r="H14" s="31"/>
      <c r="I14" s="7"/>
      <c r="J14" s="31">
        <f>K14/2</f>
        <v>134431.5</v>
      </c>
      <c r="K14" s="56">
        <v>268863</v>
      </c>
      <c r="L14" s="31">
        <f>M14/2</f>
        <v>134431.5</v>
      </c>
      <c r="M14" s="7">
        <f>K14*$L$16/$J$16</f>
        <v>268863</v>
      </c>
      <c r="N14" s="33">
        <f t="shared" si="0"/>
        <v>1.063666574356134</v>
      </c>
      <c r="O14" s="43"/>
      <c r="P14" s="47" t="s">
        <v>11</v>
      </c>
      <c r="Q14" s="54">
        <v>3.4610844272271599</v>
      </c>
      <c r="R14" s="39"/>
      <c r="S14" s="40"/>
      <c r="T14" s="40"/>
    </row>
    <row r="15" spans="1:20" x14ac:dyDescent="0.25">
      <c r="A15" s="65" t="str">
        <f>CONCATENATE(B12," ",C15)</f>
        <v>Contra Costa 3p_workers</v>
      </c>
      <c r="B15" s="34"/>
      <c r="C15" s="34" t="s">
        <v>35</v>
      </c>
      <c r="D15" s="35">
        <v>42560</v>
      </c>
      <c r="E15" s="51">
        <f>D15*$Q$9</f>
        <v>142398.99999999983</v>
      </c>
      <c r="F15" s="35">
        <v>39998</v>
      </c>
      <c r="G15" s="51">
        <f>F15*$Q$9</f>
        <v>133826.95493421037</v>
      </c>
      <c r="H15" s="35"/>
      <c r="I15" s="51"/>
      <c r="J15" s="58">
        <f>K15/$Q$9</f>
        <v>46127.114937604951</v>
      </c>
      <c r="K15" s="57">
        <v>154334</v>
      </c>
      <c r="L15" s="58">
        <f>M15/$Q$9</f>
        <v>46127.114937604951</v>
      </c>
      <c r="M15" s="59">
        <f>K15*$L$16/$J$16</f>
        <v>154334</v>
      </c>
      <c r="N15" s="36">
        <f t="shared" si="0"/>
        <v>1.1532355352168846</v>
      </c>
      <c r="O15" s="43"/>
      <c r="P15" s="47" t="s">
        <v>12</v>
      </c>
      <c r="Q15" s="54">
        <v>3.3988705420170602</v>
      </c>
      <c r="R15" s="39"/>
      <c r="S15" s="40"/>
      <c r="T15" s="40"/>
    </row>
    <row r="16" spans="1:20" x14ac:dyDescent="0.25">
      <c r="A16" s="65"/>
      <c r="B16" s="60" t="s">
        <v>37</v>
      </c>
      <c r="C16" s="60"/>
      <c r="D16" s="61">
        <f t="shared" ref="D16:G16" si="2">SUM(D12:D15)</f>
        <v>408537</v>
      </c>
      <c r="E16" s="62">
        <f t="shared" si="2"/>
        <v>548839.99999999977</v>
      </c>
      <c r="F16" s="61">
        <f t="shared" si="2"/>
        <v>408537</v>
      </c>
      <c r="G16" s="62">
        <f t="shared" si="2"/>
        <v>534438.9549342104</v>
      </c>
      <c r="H16" s="61"/>
      <c r="I16" s="62"/>
      <c r="J16" s="61">
        <f>D16</f>
        <v>408537</v>
      </c>
      <c r="K16" s="62">
        <f>SUM(K12:K15)</f>
        <v>572377</v>
      </c>
      <c r="L16" s="61">
        <f>F16</f>
        <v>408537</v>
      </c>
      <c r="M16" s="62">
        <f>'Total Worker'!$G$9</f>
        <v>574276</v>
      </c>
      <c r="N16" s="63">
        <f t="shared" si="0"/>
        <v>1</v>
      </c>
      <c r="O16" s="43"/>
      <c r="P16" s="48" t="s">
        <v>13</v>
      </c>
      <c r="Q16" s="55">
        <v>3.3780272033617198</v>
      </c>
      <c r="R16" s="39"/>
      <c r="S16" s="40"/>
      <c r="T16" s="40"/>
    </row>
    <row r="17" spans="1:20" x14ac:dyDescent="0.25">
      <c r="A17" s="65" t="str">
        <f>CONCATENATE(B17," ",C17)</f>
        <v>Marin 0_workers</v>
      </c>
      <c r="B17" s="2" t="s">
        <v>7</v>
      </c>
      <c r="C17" s="2" t="s">
        <v>32</v>
      </c>
      <c r="D17" s="31">
        <v>28384</v>
      </c>
      <c r="E17" s="7">
        <f>0*D17</f>
        <v>0</v>
      </c>
      <c r="F17" s="31">
        <v>28970</v>
      </c>
      <c r="G17" s="7">
        <f>0*F17</f>
        <v>0</v>
      </c>
      <c r="H17" s="31"/>
      <c r="I17" s="7"/>
      <c r="J17" s="31">
        <f>J21-SUM(J18:J20)</f>
        <v>24341.345016134801</v>
      </c>
      <c r="K17" s="7">
        <v>0</v>
      </c>
      <c r="L17" s="31">
        <f>L21-SUM(L18:L20)</f>
        <v>24341.110310272154</v>
      </c>
      <c r="M17" s="7">
        <f>K17*$L$21/$J$21</f>
        <v>0</v>
      </c>
      <c r="N17" s="33">
        <f>L17/F17</f>
        <v>0.84021782223928732</v>
      </c>
      <c r="O17" s="43"/>
      <c r="R17" s="39"/>
      <c r="S17" s="40"/>
      <c r="T17" s="40"/>
    </row>
    <row r="18" spans="1:20" x14ac:dyDescent="0.25">
      <c r="A18" s="65" t="str">
        <f>CONCATENATE(B17," ",C18)</f>
        <v>Marin 1_worker</v>
      </c>
      <c r="B18" s="2"/>
      <c r="C18" s="2" t="s">
        <v>33</v>
      </c>
      <c r="D18" s="31">
        <v>36969</v>
      </c>
      <c r="E18" s="7">
        <f>1*D18</f>
        <v>36969</v>
      </c>
      <c r="F18" s="31">
        <v>37496</v>
      </c>
      <c r="G18" s="7">
        <f>1*F18</f>
        <v>37496</v>
      </c>
      <c r="H18" s="31"/>
      <c r="I18" s="7"/>
      <c r="J18" s="31">
        <f>K18/1</f>
        <v>39283</v>
      </c>
      <c r="K18" s="56">
        <v>39283</v>
      </c>
      <c r="L18" s="31">
        <f>M18/1</f>
        <v>39282.621222640053</v>
      </c>
      <c r="M18" s="7">
        <f>K18*$L$21/$J$21</f>
        <v>39282.621222640053</v>
      </c>
      <c r="N18" s="33">
        <f t="shared" si="0"/>
        <v>1.0476483150906777</v>
      </c>
      <c r="O18" s="43"/>
      <c r="R18" s="39"/>
      <c r="S18" s="40"/>
      <c r="T18" s="40"/>
    </row>
    <row r="19" spans="1:20" x14ac:dyDescent="0.25">
      <c r="A19" s="65" t="str">
        <f>CONCATENATE(B17," ",C19)</f>
        <v>Marin 2_workers</v>
      </c>
      <c r="B19" s="2"/>
      <c r="C19" s="2" t="s">
        <v>34</v>
      </c>
      <c r="D19" s="31">
        <v>31586</v>
      </c>
      <c r="E19" s="7">
        <f>2*D19</f>
        <v>63172</v>
      </c>
      <c r="F19" s="31">
        <v>30540</v>
      </c>
      <c r="G19" s="7">
        <f>2*F19</f>
        <v>61080</v>
      </c>
      <c r="H19" s="31"/>
      <c r="I19" s="7"/>
      <c r="J19" s="31">
        <f>K19/2</f>
        <v>32610</v>
      </c>
      <c r="K19" s="56">
        <v>65220</v>
      </c>
      <c r="L19" s="31">
        <f>M19/2</f>
        <v>32609.685565519238</v>
      </c>
      <c r="M19" s="7">
        <f>K19*$L$21/$J$21</f>
        <v>65219.371131038475</v>
      </c>
      <c r="N19" s="33">
        <f t="shared" si="0"/>
        <v>1.0677696648827517</v>
      </c>
      <c r="O19" s="43"/>
      <c r="P19" s="12"/>
      <c r="R19" s="39"/>
      <c r="S19" s="40"/>
      <c r="T19" s="40"/>
    </row>
    <row r="20" spans="1:20" x14ac:dyDescent="0.25">
      <c r="A20" s="65" t="str">
        <f>CONCATENATE(B17," ",C20)</f>
        <v>Marin 3p_workers</v>
      </c>
      <c r="B20" s="34"/>
      <c r="C20" s="34" t="s">
        <v>35</v>
      </c>
      <c r="D20" s="35">
        <v>6771</v>
      </c>
      <c r="E20" s="51">
        <f>D20*$Q$10</f>
        <v>22311.999999999975</v>
      </c>
      <c r="F20" s="35">
        <v>6703</v>
      </c>
      <c r="G20" s="51">
        <f>F20*$Q$10</f>
        <v>22087.924383399768</v>
      </c>
      <c r="H20" s="35"/>
      <c r="I20" s="51"/>
      <c r="J20" s="58">
        <f>K20/$Q$10</f>
        <v>7475.6549838651927</v>
      </c>
      <c r="K20" s="57">
        <v>24634</v>
      </c>
      <c r="L20" s="58">
        <f>M20/$Q$10</f>
        <v>7475.5829015685586</v>
      </c>
      <c r="M20" s="59">
        <f>K20*$L$21/$J$21</f>
        <v>24633.762472278468</v>
      </c>
      <c r="N20" s="36">
        <f t="shared" si="0"/>
        <v>1.115259272201784</v>
      </c>
      <c r="O20" s="43"/>
      <c r="P20" s="12"/>
      <c r="R20" s="39"/>
      <c r="S20" s="40"/>
      <c r="T20" s="40"/>
    </row>
    <row r="21" spans="1:20" x14ac:dyDescent="0.25">
      <c r="A21" s="65"/>
      <c r="B21" s="60" t="s">
        <v>38</v>
      </c>
      <c r="C21" s="60"/>
      <c r="D21" s="61">
        <f t="shared" ref="D21:G21" si="3">SUM(D17:D20)</f>
        <v>103710</v>
      </c>
      <c r="E21" s="62">
        <f t="shared" si="3"/>
        <v>122452.99999999997</v>
      </c>
      <c r="F21" s="61">
        <f t="shared" si="3"/>
        <v>103709</v>
      </c>
      <c r="G21" s="62">
        <f t="shared" si="3"/>
        <v>120663.92438339978</v>
      </c>
      <c r="H21" s="61"/>
      <c r="I21" s="62"/>
      <c r="J21" s="61">
        <f>D21</f>
        <v>103710</v>
      </c>
      <c r="K21" s="62">
        <f>SUM(K17:K20)</f>
        <v>129137</v>
      </c>
      <c r="L21" s="61">
        <f>F21</f>
        <v>103709</v>
      </c>
      <c r="M21" s="62">
        <f>'Total Worker'!$G$10</f>
        <v>129114</v>
      </c>
      <c r="N21" s="63">
        <f t="shared" si="0"/>
        <v>1</v>
      </c>
      <c r="O21" s="43"/>
      <c r="P21" s="12"/>
      <c r="R21" s="39"/>
      <c r="S21" s="40"/>
      <c r="T21" s="40"/>
    </row>
    <row r="22" spans="1:20" x14ac:dyDescent="0.25">
      <c r="A22" s="65" t="str">
        <f>CONCATENATE(B22," ",C22)</f>
        <v>Napa 0_workers</v>
      </c>
      <c r="B22" s="2" t="s">
        <v>8</v>
      </c>
      <c r="C22" s="2" t="s">
        <v>32</v>
      </c>
      <c r="D22" s="31">
        <v>13070</v>
      </c>
      <c r="E22" s="7">
        <f>0*D22</f>
        <v>0</v>
      </c>
      <c r="F22" s="31">
        <v>13057</v>
      </c>
      <c r="G22" s="7">
        <f>0*F22</f>
        <v>0</v>
      </c>
      <c r="H22" s="31"/>
      <c r="I22" s="7"/>
      <c r="J22" s="31">
        <f>J26-SUM(J23:J25)</f>
        <v>10365.192963365982</v>
      </c>
      <c r="K22" s="7">
        <v>0</v>
      </c>
      <c r="L22" s="31">
        <f>L26-SUM(L23:L25)</f>
        <v>10365.192963365982</v>
      </c>
      <c r="M22" s="7">
        <f>K22*$L$26/$J$26</f>
        <v>0</v>
      </c>
      <c r="N22" s="33">
        <f>L22/F22</f>
        <v>0.79384184447928174</v>
      </c>
      <c r="O22" s="43"/>
      <c r="P22" s="12"/>
      <c r="R22" s="39"/>
      <c r="S22" s="40"/>
      <c r="T22" s="40"/>
    </row>
    <row r="23" spans="1:20" x14ac:dyDescent="0.25">
      <c r="A23" s="65" t="str">
        <f>CONCATENATE(B22," ",C23)</f>
        <v>Napa 1_worker</v>
      </c>
      <c r="B23" s="2"/>
      <c r="C23" s="2" t="s">
        <v>33</v>
      </c>
      <c r="D23" s="31">
        <v>16880</v>
      </c>
      <c r="E23" s="7">
        <f>1*D23</f>
        <v>16880</v>
      </c>
      <c r="F23" s="31">
        <v>16737</v>
      </c>
      <c r="G23" s="7">
        <f>1*F23</f>
        <v>16737</v>
      </c>
      <c r="H23" s="31"/>
      <c r="I23" s="7"/>
      <c r="J23" s="31">
        <f>K23/1</f>
        <v>18187</v>
      </c>
      <c r="K23" s="56">
        <v>18187</v>
      </c>
      <c r="L23" s="31">
        <f>M23/1</f>
        <v>18187</v>
      </c>
      <c r="M23" s="7">
        <f>K23*$L$26/$J$26</f>
        <v>18187</v>
      </c>
      <c r="N23" s="33">
        <f t="shared" si="0"/>
        <v>1.0866344028200992</v>
      </c>
      <c r="O23" s="43"/>
      <c r="P23" s="12"/>
      <c r="R23" s="39"/>
      <c r="S23" s="40"/>
      <c r="T23" s="40"/>
    </row>
    <row r="24" spans="1:20" x14ac:dyDescent="0.25">
      <c r="A24" s="65" t="str">
        <f>CONCATENATE(B22," ",C24)</f>
        <v>Napa 2_workers</v>
      </c>
      <c r="B24" s="2"/>
      <c r="C24" s="2" t="s">
        <v>34</v>
      </c>
      <c r="D24" s="31">
        <v>14478</v>
      </c>
      <c r="E24" s="7">
        <f>2*D24</f>
        <v>28956</v>
      </c>
      <c r="F24" s="31">
        <v>14616</v>
      </c>
      <c r="G24" s="7">
        <f>2*F24</f>
        <v>29232</v>
      </c>
      <c r="H24" s="31"/>
      <c r="I24" s="7"/>
      <c r="J24" s="31">
        <f>K24/2</f>
        <v>15160</v>
      </c>
      <c r="K24" s="56">
        <v>30320</v>
      </c>
      <c r="L24" s="31">
        <f>M24/2</f>
        <v>15160</v>
      </c>
      <c r="M24" s="7">
        <f>K24*$L$26/$J$26</f>
        <v>30320</v>
      </c>
      <c r="N24" s="33">
        <f t="shared" si="0"/>
        <v>1.0372194854953476</v>
      </c>
      <c r="O24" s="43"/>
      <c r="P24" s="12"/>
      <c r="R24" s="39"/>
      <c r="S24" s="40"/>
      <c r="T24" s="40"/>
    </row>
    <row r="25" spans="1:20" x14ac:dyDescent="0.25">
      <c r="A25" s="65" t="str">
        <f>CONCATENATE(B22," ",C25)</f>
        <v>Napa 3p_workers</v>
      </c>
      <c r="B25" s="34"/>
      <c r="C25" s="34" t="s">
        <v>35</v>
      </c>
      <c r="D25" s="35">
        <v>4790</v>
      </c>
      <c r="E25" s="51">
        <f>D25*$Q$11</f>
        <v>16542.000000000022</v>
      </c>
      <c r="F25" s="35">
        <v>4808</v>
      </c>
      <c r="G25" s="51">
        <f>F25*$Q$11</f>
        <v>16604.162004175385</v>
      </c>
      <c r="H25" s="35"/>
      <c r="I25" s="51"/>
      <c r="J25" s="58">
        <f>K25/$Q$11</f>
        <v>5505.8070366340153</v>
      </c>
      <c r="K25" s="57">
        <v>19014</v>
      </c>
      <c r="L25" s="58">
        <f>M25/$Q$11</f>
        <v>5505.8070366340153</v>
      </c>
      <c r="M25" s="59">
        <f>K25*$L$26/$J$26</f>
        <v>19014</v>
      </c>
      <c r="N25" s="36">
        <f t="shared" si="0"/>
        <v>1.1451345750070747</v>
      </c>
      <c r="O25" s="43"/>
      <c r="P25" s="12"/>
      <c r="R25" s="39"/>
      <c r="S25" s="40"/>
      <c r="T25" s="40"/>
    </row>
    <row r="26" spans="1:20" x14ac:dyDescent="0.25">
      <c r="A26" s="65"/>
      <c r="B26" s="60" t="s">
        <v>39</v>
      </c>
      <c r="C26" s="60"/>
      <c r="D26" s="61">
        <f t="shared" ref="D26:G26" si="4">SUM(D22:D25)</f>
        <v>49218</v>
      </c>
      <c r="E26" s="62">
        <f t="shared" si="4"/>
        <v>62378.000000000022</v>
      </c>
      <c r="F26" s="61">
        <f t="shared" si="4"/>
        <v>49218</v>
      </c>
      <c r="G26" s="62">
        <f t="shared" si="4"/>
        <v>62573.162004175385</v>
      </c>
      <c r="H26" s="61"/>
      <c r="I26" s="62"/>
      <c r="J26" s="61">
        <f>D26</f>
        <v>49218</v>
      </c>
      <c r="K26" s="62">
        <f>SUM(K22:K25)</f>
        <v>67521</v>
      </c>
      <c r="L26" s="61">
        <f>F26</f>
        <v>49218</v>
      </c>
      <c r="M26" s="62">
        <f>'Total Worker'!$G$11</f>
        <v>68446</v>
      </c>
      <c r="N26" s="63">
        <f t="shared" si="0"/>
        <v>1</v>
      </c>
      <c r="O26" s="43"/>
      <c r="P26" s="12"/>
      <c r="R26" s="39"/>
      <c r="S26" s="40"/>
      <c r="T26" s="40"/>
    </row>
    <row r="27" spans="1:20" x14ac:dyDescent="0.25">
      <c r="A27" s="65" t="str">
        <f>CONCATENATE(B27," ",C27)</f>
        <v>San Francisco 0_workers</v>
      </c>
      <c r="B27" s="2" t="s">
        <v>9</v>
      </c>
      <c r="C27" s="2" t="s">
        <v>32</v>
      </c>
      <c r="D27" s="31">
        <v>80453</v>
      </c>
      <c r="E27" s="7">
        <f>0*D27</f>
        <v>0</v>
      </c>
      <c r="F27" s="31">
        <v>83065</v>
      </c>
      <c r="G27" s="7">
        <f>0*F27</f>
        <v>0</v>
      </c>
      <c r="H27" s="31"/>
      <c r="I27" s="7"/>
      <c r="J27" s="31">
        <f>J31-SUM(J28:J30)</f>
        <v>67239.689790737408</v>
      </c>
      <c r="K27" s="7">
        <v>0</v>
      </c>
      <c r="L27" s="31">
        <f>L31-SUM(L28:L30)</f>
        <v>67239.876132338832</v>
      </c>
      <c r="M27" s="7">
        <f>K27*$L$31/$J$31</f>
        <v>0</v>
      </c>
      <c r="N27" s="33">
        <f>L27/F27</f>
        <v>0.8094850554666686</v>
      </c>
      <c r="O27" s="43"/>
      <c r="P27" s="12"/>
      <c r="R27" s="39"/>
      <c r="S27" s="40"/>
      <c r="T27" s="40"/>
    </row>
    <row r="28" spans="1:20" x14ac:dyDescent="0.25">
      <c r="A28" s="65" t="str">
        <f>CONCATENATE(B27," ",C28)</f>
        <v>San Francisco 1_worker</v>
      </c>
      <c r="B28" s="2"/>
      <c r="C28" s="2" t="s">
        <v>33</v>
      </c>
      <c r="D28" s="31">
        <v>134938</v>
      </c>
      <c r="E28" s="7">
        <f>1*D28</f>
        <v>134938</v>
      </c>
      <c r="F28" s="31">
        <v>136311</v>
      </c>
      <c r="G28" s="7">
        <f>1*F28</f>
        <v>136311</v>
      </c>
      <c r="H28" s="31"/>
      <c r="I28" s="7"/>
      <c r="J28" s="31">
        <f>K28/1</f>
        <v>142857</v>
      </c>
      <c r="K28" s="56">
        <v>142857</v>
      </c>
      <c r="L28" s="31">
        <f>M28/1</f>
        <v>142857.3959001333</v>
      </c>
      <c r="M28" s="7">
        <f>K28*$L$31/$J$31</f>
        <v>142857.3959001333</v>
      </c>
      <c r="N28" s="33">
        <f t="shared" si="0"/>
        <v>1.0480254410879042</v>
      </c>
      <c r="O28" s="43"/>
      <c r="P28" s="12"/>
      <c r="R28" s="39"/>
      <c r="S28" s="40"/>
      <c r="T28" s="40"/>
    </row>
    <row r="29" spans="1:20" x14ac:dyDescent="0.25">
      <c r="A29" s="65" t="str">
        <f>CONCATENATE(B27," ",C29)</f>
        <v>San Francisco 2_workers</v>
      </c>
      <c r="B29" s="2"/>
      <c r="C29" s="2" t="s">
        <v>34</v>
      </c>
      <c r="D29" s="31">
        <v>113071</v>
      </c>
      <c r="E29" s="7">
        <f>2*D29</f>
        <v>226142</v>
      </c>
      <c r="F29" s="31">
        <v>110354</v>
      </c>
      <c r="G29" s="7">
        <f>2*F29</f>
        <v>220708</v>
      </c>
      <c r="H29" s="31"/>
      <c r="I29" s="7"/>
      <c r="J29" s="31">
        <f>K29/2</f>
        <v>115679</v>
      </c>
      <c r="K29" s="56">
        <v>231358</v>
      </c>
      <c r="L29" s="31">
        <f>M29/2</f>
        <v>115679.32058164122</v>
      </c>
      <c r="M29" s="7">
        <f>K29*$L$31/$J$31</f>
        <v>231358.64116328245</v>
      </c>
      <c r="N29" s="33">
        <f t="shared" si="0"/>
        <v>1.0482567064324013</v>
      </c>
      <c r="O29" s="43"/>
      <c r="P29" s="12"/>
      <c r="R29" s="39"/>
      <c r="S29" s="40"/>
      <c r="T29" s="40"/>
    </row>
    <row r="30" spans="1:20" x14ac:dyDescent="0.25">
      <c r="A30" s="65" t="str">
        <f>CONCATENATE(B27," ",C30)</f>
        <v>San Francisco 3p_workers</v>
      </c>
      <c r="B30" s="34"/>
      <c r="C30" s="34" t="s">
        <v>35</v>
      </c>
      <c r="D30" s="35">
        <v>32379</v>
      </c>
      <c r="E30" s="51">
        <f>D30*$Q$12</f>
        <v>113445.99999999993</v>
      </c>
      <c r="F30" s="35">
        <v>31112</v>
      </c>
      <c r="G30" s="51">
        <f>F30*$Q$12</f>
        <v>109006.82392908978</v>
      </c>
      <c r="H30" s="35"/>
      <c r="I30" s="51"/>
      <c r="J30" s="58">
        <f>K30/$Q$12</f>
        <v>35065.310209262578</v>
      </c>
      <c r="K30" s="57">
        <v>122858</v>
      </c>
      <c r="L30" s="58">
        <f>M30/$Q$12</f>
        <v>35065.407385886654</v>
      </c>
      <c r="M30" s="59">
        <f>K30*$L$31/$J$31</f>
        <v>122858.34047683052</v>
      </c>
      <c r="N30" s="36">
        <f t="shared" si="0"/>
        <v>1.1270701782555494</v>
      </c>
      <c r="O30" s="43"/>
      <c r="P30" s="12"/>
      <c r="R30" s="39"/>
      <c r="S30" s="40"/>
      <c r="T30" s="40"/>
    </row>
    <row r="31" spans="1:20" x14ac:dyDescent="0.25">
      <c r="A31" s="65"/>
      <c r="B31" s="60" t="s">
        <v>40</v>
      </c>
      <c r="C31" s="60"/>
      <c r="D31" s="61">
        <f t="shared" ref="D31:G31" si="5">SUM(D27:D30)</f>
        <v>360841</v>
      </c>
      <c r="E31" s="62">
        <f t="shared" si="5"/>
        <v>474525.99999999994</v>
      </c>
      <c r="F31" s="61">
        <f t="shared" si="5"/>
        <v>360842</v>
      </c>
      <c r="G31" s="62">
        <f t="shared" si="5"/>
        <v>466025.82392908976</v>
      </c>
      <c r="H31" s="61"/>
      <c r="I31" s="62"/>
      <c r="J31" s="61">
        <f>D31</f>
        <v>360841</v>
      </c>
      <c r="K31" s="62">
        <f>SUM(K27:K30)</f>
        <v>497073</v>
      </c>
      <c r="L31" s="61">
        <f>F31</f>
        <v>360842</v>
      </c>
      <c r="M31" s="62">
        <f>'Total Worker'!$G$12</f>
        <v>498269</v>
      </c>
      <c r="N31" s="63">
        <f t="shared" si="0"/>
        <v>1</v>
      </c>
      <c r="O31" s="43"/>
      <c r="P31" s="12"/>
      <c r="R31" s="39"/>
      <c r="S31" s="40"/>
      <c r="T31" s="40"/>
    </row>
    <row r="32" spans="1:20" x14ac:dyDescent="0.25">
      <c r="A32" s="65" t="str">
        <f>CONCATENATE(B32," ",C32)</f>
        <v>San Mateo 0_workers</v>
      </c>
      <c r="B32" s="2" t="s">
        <v>10</v>
      </c>
      <c r="C32" s="2" t="s">
        <v>32</v>
      </c>
      <c r="D32" s="31">
        <v>50761</v>
      </c>
      <c r="E32" s="7">
        <f>0*D32</f>
        <v>0</v>
      </c>
      <c r="F32" s="31">
        <v>52563</v>
      </c>
      <c r="G32" s="7">
        <f>0*F32</f>
        <v>0</v>
      </c>
      <c r="H32" s="31"/>
      <c r="I32" s="7"/>
      <c r="J32" s="31">
        <f>J36-SUM(J33:J35)</f>
        <v>38829.623089855595</v>
      </c>
      <c r="K32" s="7">
        <v>0</v>
      </c>
      <c r="L32" s="31">
        <f>L36-SUM(L33:L35)</f>
        <v>38829.476188238303</v>
      </c>
      <c r="M32" s="7">
        <f>K32*$L$36/$J$36</f>
        <v>0</v>
      </c>
      <c r="N32" s="33">
        <f>L32/F32</f>
        <v>0.7387226031284041</v>
      </c>
      <c r="O32" s="43"/>
      <c r="P32" s="12"/>
      <c r="R32" s="39"/>
      <c r="S32" s="40"/>
      <c r="T32" s="40"/>
    </row>
    <row r="33" spans="1:20" x14ac:dyDescent="0.25">
      <c r="A33" s="65" t="str">
        <f>CONCATENATE(B32," ",C33)</f>
        <v>San Mateo 1_worker</v>
      </c>
      <c r="B33" s="2"/>
      <c r="C33" s="2" t="s">
        <v>33</v>
      </c>
      <c r="D33" s="31">
        <v>89198</v>
      </c>
      <c r="E33" s="7">
        <f>1*D33</f>
        <v>89198</v>
      </c>
      <c r="F33" s="31">
        <v>92139</v>
      </c>
      <c r="G33" s="7">
        <f>1*F33</f>
        <v>92139</v>
      </c>
      <c r="H33" s="31"/>
      <c r="I33" s="7"/>
      <c r="J33" s="31">
        <f>K33/1</f>
        <v>94056</v>
      </c>
      <c r="K33" s="56">
        <v>94056</v>
      </c>
      <c r="L33" s="31">
        <f>M33/1</f>
        <v>94055.644163980571</v>
      </c>
      <c r="M33" s="7">
        <f>K33*$L$36/$J$36</f>
        <v>94055.644163980571</v>
      </c>
      <c r="N33" s="33">
        <f t="shared" si="0"/>
        <v>1.0208016601437022</v>
      </c>
      <c r="O33" s="43"/>
      <c r="P33" s="12"/>
      <c r="R33" s="39"/>
      <c r="S33" s="40"/>
      <c r="T33" s="40"/>
    </row>
    <row r="34" spans="1:20" x14ac:dyDescent="0.25">
      <c r="A34" s="65" t="str">
        <f>CONCATENATE(B32," ",C34)</f>
        <v>San Mateo 2_workers</v>
      </c>
      <c r="B34" s="2"/>
      <c r="C34" s="2" t="s">
        <v>34</v>
      </c>
      <c r="D34" s="31">
        <v>95451</v>
      </c>
      <c r="E34" s="7">
        <f>2*D34</f>
        <v>190902</v>
      </c>
      <c r="F34" s="31">
        <v>91870</v>
      </c>
      <c r="G34" s="7">
        <f>2*F34</f>
        <v>183740</v>
      </c>
      <c r="H34" s="31"/>
      <c r="I34" s="7"/>
      <c r="J34" s="31">
        <f>K34/2</f>
        <v>99124.5</v>
      </c>
      <c r="K34" s="56">
        <v>198249</v>
      </c>
      <c r="L34" s="31">
        <f>M34/2</f>
        <v>99124.124988650292</v>
      </c>
      <c r="M34" s="7">
        <f>K34*$L$36/$J$36</f>
        <v>198248.24997730058</v>
      </c>
      <c r="N34" s="33">
        <f t="shared" si="0"/>
        <v>1.0789607596456983</v>
      </c>
      <c r="O34" s="43"/>
      <c r="P34" s="12"/>
      <c r="R34" s="39"/>
      <c r="S34" s="40"/>
      <c r="T34" s="40"/>
    </row>
    <row r="35" spans="1:20" x14ac:dyDescent="0.25">
      <c r="A35" s="65" t="str">
        <f>CONCATENATE(B32," ",C35)</f>
        <v>San Mateo 3p_workers</v>
      </c>
      <c r="B35" s="34"/>
      <c r="C35" s="34" t="s">
        <v>35</v>
      </c>
      <c r="D35" s="35">
        <v>28914</v>
      </c>
      <c r="E35" s="51">
        <f>D35*$Q$13</f>
        <v>99927.000000000015</v>
      </c>
      <c r="F35" s="35">
        <v>27751</v>
      </c>
      <c r="G35" s="51">
        <f>F35*$Q$13</f>
        <v>95907.663311890443</v>
      </c>
      <c r="H35" s="35"/>
      <c r="I35" s="51"/>
      <c r="J35" s="58">
        <f>K35/$Q$13</f>
        <v>32313.876910144401</v>
      </c>
      <c r="K35" s="57">
        <v>111677</v>
      </c>
      <c r="L35" s="58">
        <f>M35/$Q$13</f>
        <v>32313.754659130835</v>
      </c>
      <c r="M35" s="59">
        <f>K35*$L$36/$J$36</f>
        <v>111676.57749958384</v>
      </c>
      <c r="N35" s="36">
        <f t="shared" si="0"/>
        <v>1.1644176663590802</v>
      </c>
      <c r="O35" s="43"/>
      <c r="P35" s="12"/>
      <c r="R35" s="39"/>
      <c r="S35" s="40"/>
      <c r="T35" s="40"/>
    </row>
    <row r="36" spans="1:20" x14ac:dyDescent="0.25">
      <c r="A36" s="65"/>
      <c r="B36" s="60" t="s">
        <v>41</v>
      </c>
      <c r="C36" s="60"/>
      <c r="D36" s="61">
        <f t="shared" ref="D36:G36" si="6">SUM(D32:D35)</f>
        <v>264324</v>
      </c>
      <c r="E36" s="62">
        <f t="shared" si="6"/>
        <v>380027</v>
      </c>
      <c r="F36" s="61">
        <f t="shared" si="6"/>
        <v>264323</v>
      </c>
      <c r="G36" s="62">
        <f t="shared" si="6"/>
        <v>371786.66331189044</v>
      </c>
      <c r="H36" s="61"/>
      <c r="I36" s="62"/>
      <c r="J36" s="61">
        <f>D36</f>
        <v>264324</v>
      </c>
      <c r="K36" s="62">
        <f>SUM(K32:K35)</f>
        <v>403982</v>
      </c>
      <c r="L36" s="61">
        <f>F36</f>
        <v>264323</v>
      </c>
      <c r="M36" s="62">
        <f>'Total Worker'!$G$13</f>
        <v>402974</v>
      </c>
      <c r="N36" s="63">
        <f t="shared" si="0"/>
        <v>1</v>
      </c>
      <c r="O36" s="43"/>
      <c r="P36" s="12"/>
      <c r="R36" s="39"/>
      <c r="S36" s="40"/>
      <c r="T36" s="40"/>
    </row>
    <row r="37" spans="1:20" x14ac:dyDescent="0.25">
      <c r="A37" s="65" t="str">
        <f>CONCATENATE(B37," ",C37)</f>
        <v>Santa Clara 0_workers</v>
      </c>
      <c r="B37" s="2" t="s">
        <v>11</v>
      </c>
      <c r="C37" s="2" t="s">
        <v>32</v>
      </c>
      <c r="D37" s="31">
        <v>111009</v>
      </c>
      <c r="E37" s="7">
        <f>0*D37</f>
        <v>0</v>
      </c>
      <c r="F37" s="31">
        <v>116283</v>
      </c>
      <c r="G37" s="7">
        <f>0*F37</f>
        <v>0</v>
      </c>
      <c r="H37" s="31"/>
      <c r="I37" s="7"/>
      <c r="J37" s="31">
        <f>J41-SUM(J38:J40)</f>
        <v>82693.927236082847</v>
      </c>
      <c r="K37" s="7">
        <v>0</v>
      </c>
      <c r="L37" s="31">
        <f>L41-SUM(L38:L40)</f>
        <v>82693.927236082847</v>
      </c>
      <c r="M37" s="7">
        <f>K37*$L$41/$J$41</f>
        <v>0</v>
      </c>
      <c r="N37" s="33">
        <f>L37/F37</f>
        <v>0.71114373757198257</v>
      </c>
      <c r="O37" s="43"/>
      <c r="P37" s="12"/>
      <c r="R37" s="39"/>
      <c r="S37" s="40"/>
      <c r="T37" s="40"/>
    </row>
    <row r="38" spans="1:20" x14ac:dyDescent="0.25">
      <c r="A38" s="65" t="str">
        <f>CONCATENATE(B37," ",C38)</f>
        <v>Santa Clara 1_worker</v>
      </c>
      <c r="B38" s="2"/>
      <c r="C38" s="2" t="s">
        <v>33</v>
      </c>
      <c r="D38" s="31">
        <v>235469</v>
      </c>
      <c r="E38" s="7">
        <f>1*D38</f>
        <v>235469</v>
      </c>
      <c r="F38" s="31">
        <v>241285</v>
      </c>
      <c r="G38" s="7">
        <f>1*F38</f>
        <v>241285</v>
      </c>
      <c r="H38" s="31"/>
      <c r="I38" s="7"/>
      <c r="J38" s="31">
        <f>K38/1</f>
        <v>251771</v>
      </c>
      <c r="K38" s="56">
        <v>251771</v>
      </c>
      <c r="L38" s="31">
        <f>M38/1</f>
        <v>251771</v>
      </c>
      <c r="M38" s="7">
        <f>K38*$L$41/$J$41</f>
        <v>251771</v>
      </c>
      <c r="N38" s="33">
        <f t="shared" si="0"/>
        <v>1.0434589800443459</v>
      </c>
      <c r="O38" s="43"/>
      <c r="P38" s="12"/>
      <c r="R38" s="39"/>
      <c r="S38" s="40"/>
      <c r="T38" s="40"/>
    </row>
    <row r="39" spans="1:20" x14ac:dyDescent="0.25">
      <c r="A39" s="65" t="str">
        <f>CONCATENATE(B37," ",C39)</f>
        <v>Santa Clara 2_workers</v>
      </c>
      <c r="B39" s="2"/>
      <c r="C39" s="2" t="s">
        <v>34</v>
      </c>
      <c r="D39" s="31">
        <v>227465</v>
      </c>
      <c r="E39" s="7">
        <f>2*D39</f>
        <v>454930</v>
      </c>
      <c r="F39" s="31">
        <v>221124</v>
      </c>
      <c r="G39" s="7">
        <f>2*F39</f>
        <v>442248</v>
      </c>
      <c r="H39" s="31"/>
      <c r="I39" s="7"/>
      <c r="J39" s="31">
        <f>K39/2</f>
        <v>233163</v>
      </c>
      <c r="K39" s="56">
        <v>466326</v>
      </c>
      <c r="L39" s="31">
        <f>M39/2</f>
        <v>233163</v>
      </c>
      <c r="M39" s="7">
        <f>K39*$L$41/$J$41</f>
        <v>466326</v>
      </c>
      <c r="N39" s="33">
        <f t="shared" si="0"/>
        <v>1.0544445650404297</v>
      </c>
      <c r="O39" s="43"/>
      <c r="P39" s="12"/>
      <c r="R39" s="39"/>
      <c r="S39" s="40"/>
      <c r="T39" s="40"/>
    </row>
    <row r="40" spans="1:20" x14ac:dyDescent="0.25">
      <c r="A40" s="65" t="str">
        <f>CONCATENATE(B37," ",C40)</f>
        <v>Santa Clara 3p_workers</v>
      </c>
      <c r="B40" s="34"/>
      <c r="C40" s="34" t="s">
        <v>35</v>
      </c>
      <c r="D40" s="35">
        <v>76409</v>
      </c>
      <c r="E40" s="51">
        <f>D40*$Q$14</f>
        <v>264458.00000000006</v>
      </c>
      <c r="F40" s="35">
        <v>71660</v>
      </c>
      <c r="G40" s="51">
        <f>F40*$Q$14</f>
        <v>248021.31005509829</v>
      </c>
      <c r="H40" s="35"/>
      <c r="I40" s="51"/>
      <c r="J40" s="58">
        <f>K40/$Q$14</f>
        <v>82724.072763917124</v>
      </c>
      <c r="K40" s="57">
        <v>286315</v>
      </c>
      <c r="L40" s="58">
        <f>M40/$Q$14</f>
        <v>82724.072763917124</v>
      </c>
      <c r="M40" s="59">
        <f>K40*$L$41/$J$41</f>
        <v>286315</v>
      </c>
      <c r="N40" s="36">
        <f t="shared" si="0"/>
        <v>1.1543967731498344</v>
      </c>
      <c r="O40" s="43"/>
      <c r="P40" s="12"/>
      <c r="R40" s="39"/>
      <c r="S40" s="40"/>
      <c r="T40" s="40"/>
    </row>
    <row r="41" spans="1:20" x14ac:dyDescent="0.25">
      <c r="A41" s="65"/>
      <c r="B41" s="60" t="s">
        <v>42</v>
      </c>
      <c r="C41" s="60"/>
      <c r="D41" s="61">
        <f t="shared" ref="D41:G41" si="7">SUM(D37:D40)</f>
        <v>650352</v>
      </c>
      <c r="E41" s="62">
        <f t="shared" si="7"/>
        <v>954857</v>
      </c>
      <c r="F41" s="61">
        <f t="shared" si="7"/>
        <v>650352</v>
      </c>
      <c r="G41" s="62">
        <f t="shared" si="7"/>
        <v>931554.31005509826</v>
      </c>
      <c r="H41" s="61"/>
      <c r="I41" s="62"/>
      <c r="J41" s="61">
        <f>D41</f>
        <v>650352</v>
      </c>
      <c r="K41" s="62">
        <f>SUM(K37:K40)</f>
        <v>1004412</v>
      </c>
      <c r="L41" s="61">
        <f>F41</f>
        <v>650352</v>
      </c>
      <c r="M41" s="62">
        <f>'Total Worker'!$G$14</f>
        <v>1003199</v>
      </c>
      <c r="N41" s="63">
        <f t="shared" si="0"/>
        <v>1</v>
      </c>
      <c r="O41" s="43"/>
      <c r="P41" s="12"/>
      <c r="R41" s="39"/>
      <c r="S41" s="40"/>
      <c r="T41" s="40"/>
    </row>
    <row r="42" spans="1:20" x14ac:dyDescent="0.25">
      <c r="A42" s="65" t="str">
        <f>CONCATENATE(B42," ",C42)</f>
        <v>Solano 0_workers</v>
      </c>
      <c r="B42" s="2" t="s">
        <v>12</v>
      </c>
      <c r="C42" s="2" t="s">
        <v>32</v>
      </c>
      <c r="D42" s="31">
        <v>36080</v>
      </c>
      <c r="E42" s="7">
        <f>0*D42</f>
        <v>0</v>
      </c>
      <c r="F42" s="31">
        <v>37652</v>
      </c>
      <c r="G42" s="7">
        <f>0*F42</f>
        <v>0</v>
      </c>
      <c r="H42" s="31"/>
      <c r="I42" s="7"/>
      <c r="J42" s="31">
        <f>J46-SUM(J43:J45)</f>
        <v>30861.288436184986</v>
      </c>
      <c r="K42" s="7">
        <v>0</v>
      </c>
      <c r="L42" s="31">
        <f>L46-SUM(L43:L45)</f>
        <v>30861.288436184986</v>
      </c>
      <c r="M42" s="7">
        <f>K42*$L$46/$J$46</f>
        <v>0</v>
      </c>
      <c r="N42" s="33">
        <f>L42/F42</f>
        <v>0.81964539562798755</v>
      </c>
      <c r="O42" s="43"/>
      <c r="P42" s="12"/>
      <c r="R42" s="39"/>
      <c r="S42" s="40"/>
      <c r="T42" s="40"/>
    </row>
    <row r="43" spans="1:20" x14ac:dyDescent="0.25">
      <c r="A43" s="65" t="str">
        <f>CONCATENATE(B42," ",C43)</f>
        <v>Solano 1_worker</v>
      </c>
      <c r="B43" s="2"/>
      <c r="C43" s="2" t="s">
        <v>33</v>
      </c>
      <c r="D43" s="31">
        <v>56041</v>
      </c>
      <c r="E43" s="7">
        <f>1*D43</f>
        <v>56041</v>
      </c>
      <c r="F43" s="31">
        <v>56810</v>
      </c>
      <c r="G43" s="7">
        <f>1*F43</f>
        <v>56810</v>
      </c>
      <c r="H43" s="31"/>
      <c r="I43" s="7"/>
      <c r="J43" s="31">
        <f>K43/1</f>
        <v>58614</v>
      </c>
      <c r="K43" s="56">
        <v>58614</v>
      </c>
      <c r="L43" s="31">
        <f>M43/1</f>
        <v>58614</v>
      </c>
      <c r="M43" s="7">
        <f>K43*$L$46/$J$46</f>
        <v>58614</v>
      </c>
      <c r="N43" s="33">
        <f t="shared" si="0"/>
        <v>1.0317549727160711</v>
      </c>
      <c r="O43" s="43"/>
      <c r="P43" s="12"/>
      <c r="R43" s="39"/>
      <c r="S43" s="40"/>
      <c r="T43" s="40"/>
    </row>
    <row r="44" spans="1:20" x14ac:dyDescent="0.25">
      <c r="A44" s="65" t="str">
        <f>CONCATENATE(B42," ",C44)</f>
        <v>Solano 2_workers</v>
      </c>
      <c r="B44" s="2"/>
      <c r="C44" s="2" t="s">
        <v>34</v>
      </c>
      <c r="D44" s="31">
        <v>46575</v>
      </c>
      <c r="E44" s="7">
        <f>2*D44</f>
        <v>93150</v>
      </c>
      <c r="F44" s="31">
        <v>45541</v>
      </c>
      <c r="G44" s="7">
        <f>2*F44</f>
        <v>91082</v>
      </c>
      <c r="H44" s="31"/>
      <c r="I44" s="7"/>
      <c r="J44" s="31">
        <f>K44/2</f>
        <v>47787</v>
      </c>
      <c r="K44" s="56">
        <v>95574</v>
      </c>
      <c r="L44" s="31">
        <f>M44/2</f>
        <v>47787</v>
      </c>
      <c r="M44" s="7">
        <f>K44*$L$46/$J$46</f>
        <v>95574</v>
      </c>
      <c r="N44" s="33">
        <f t="shared" si="0"/>
        <v>1.0493181967897061</v>
      </c>
      <c r="O44" s="43"/>
      <c r="P44" s="12"/>
    </row>
    <row r="45" spans="1:20" x14ac:dyDescent="0.25">
      <c r="A45" s="65" t="str">
        <f>CONCATENATE(B42," ",C45)</f>
        <v>Solano 3p_workers</v>
      </c>
      <c r="B45" s="34"/>
      <c r="C45" s="34" t="s">
        <v>35</v>
      </c>
      <c r="D45" s="35">
        <v>16291</v>
      </c>
      <c r="E45" s="51">
        <f>D45*$Q$15</f>
        <v>55370.999999999927</v>
      </c>
      <c r="F45" s="35">
        <v>14984</v>
      </c>
      <c r="G45" s="51">
        <f>F45*$Q$15</f>
        <v>50928.676201583628</v>
      </c>
      <c r="H45" s="35"/>
      <c r="I45" s="51"/>
      <c r="J45" s="58">
        <f>K45/$Q$15</f>
        <v>17724.711563815017</v>
      </c>
      <c r="K45" s="57">
        <v>60244</v>
      </c>
      <c r="L45" s="58">
        <f>M45/$Q$15</f>
        <v>17724.711563815017</v>
      </c>
      <c r="M45" s="59">
        <f>K45*$L$46/$J$46</f>
        <v>60244</v>
      </c>
      <c r="N45" s="36">
        <f t="shared" si="0"/>
        <v>1.182909207408904</v>
      </c>
      <c r="O45" s="43"/>
      <c r="P45" s="12"/>
    </row>
    <row r="46" spans="1:20" x14ac:dyDescent="0.25">
      <c r="A46" s="65"/>
      <c r="B46" s="60" t="s">
        <v>43</v>
      </c>
      <c r="C46" s="60"/>
      <c r="D46" s="61">
        <f t="shared" ref="D46:G46" si="8">SUM(D42:D45)</f>
        <v>154987</v>
      </c>
      <c r="E46" s="62">
        <f t="shared" si="8"/>
        <v>204561.99999999994</v>
      </c>
      <c r="F46" s="61">
        <f t="shared" si="8"/>
        <v>154987</v>
      </c>
      <c r="G46" s="62">
        <f t="shared" si="8"/>
        <v>198820.67620158364</v>
      </c>
      <c r="H46" s="61"/>
      <c r="I46" s="62"/>
      <c r="J46" s="61">
        <f>D46</f>
        <v>154987</v>
      </c>
      <c r="K46" s="62">
        <f>SUM(K42:K45)</f>
        <v>214432</v>
      </c>
      <c r="L46" s="61">
        <f>F46</f>
        <v>154987</v>
      </c>
      <c r="M46" s="62">
        <f>'Total Worker'!$G$15</f>
        <v>216282</v>
      </c>
      <c r="N46" s="63">
        <f t="shared" si="0"/>
        <v>1</v>
      </c>
      <c r="O46" s="43"/>
      <c r="P46" s="12"/>
    </row>
    <row r="47" spans="1:20" x14ac:dyDescent="0.25">
      <c r="A47" s="65" t="str">
        <f>CONCATENATE(B47," ",C47)</f>
        <v>Sonoma 0_workers</v>
      </c>
      <c r="B47" s="2" t="s">
        <v>13</v>
      </c>
      <c r="C47" s="2" t="s">
        <v>32</v>
      </c>
      <c r="D47" s="31">
        <v>50924</v>
      </c>
      <c r="E47" s="7">
        <f>0*D47</f>
        <v>0</v>
      </c>
      <c r="F47" s="31">
        <v>52309</v>
      </c>
      <c r="G47" s="7">
        <f>0*F47</f>
        <v>0</v>
      </c>
      <c r="H47" s="31"/>
      <c r="I47" s="7"/>
      <c r="J47" s="31">
        <f>J51-SUM(J48:J50)</f>
        <v>45083.941435469373</v>
      </c>
      <c r="K47" s="7">
        <v>0</v>
      </c>
      <c r="L47" s="31">
        <f>L51-SUM(L48:L50)</f>
        <v>45083.941435469373</v>
      </c>
      <c r="M47" s="7">
        <f>K47*$L$51/$J$51</f>
        <v>0</v>
      </c>
      <c r="N47" s="33">
        <f>L47/F47</f>
        <v>0.861877333450637</v>
      </c>
      <c r="O47" s="43"/>
    </row>
    <row r="48" spans="1:20" x14ac:dyDescent="0.25">
      <c r="A48" s="65" t="str">
        <f>CONCATENATE(B47," ",C48)</f>
        <v>Sonoma 1_worker</v>
      </c>
      <c r="B48" s="2"/>
      <c r="C48" s="2" t="s">
        <v>33</v>
      </c>
      <c r="D48" s="31">
        <v>63038</v>
      </c>
      <c r="E48" s="7">
        <f>1*D48</f>
        <v>63038</v>
      </c>
      <c r="F48" s="31">
        <v>64655</v>
      </c>
      <c r="G48" s="7">
        <f>1*F48</f>
        <v>64655</v>
      </c>
      <c r="H48" s="31"/>
      <c r="I48" s="7"/>
      <c r="J48" s="31">
        <f>K48/1</f>
        <v>66303</v>
      </c>
      <c r="K48" s="56">
        <v>66303</v>
      </c>
      <c r="L48" s="31">
        <f>M48/1</f>
        <v>66303</v>
      </c>
      <c r="M48" s="7">
        <f>K48*$L$51/$J$51</f>
        <v>66303</v>
      </c>
      <c r="N48" s="33">
        <f t="shared" si="0"/>
        <v>1.0254891346376924</v>
      </c>
      <c r="O48" s="43"/>
    </row>
    <row r="49" spans="1:15" x14ac:dyDescent="0.25">
      <c r="A49" s="65" t="str">
        <f>CONCATENATE(B47," ",C49)</f>
        <v>Sonoma 2_workers</v>
      </c>
      <c r="B49" s="2"/>
      <c r="C49" s="2" t="s">
        <v>34</v>
      </c>
      <c r="D49" s="31">
        <v>57605</v>
      </c>
      <c r="E49" s="7">
        <f>2*D49</f>
        <v>115210</v>
      </c>
      <c r="F49" s="31">
        <v>55167</v>
      </c>
      <c r="G49" s="7">
        <f>2*F49</f>
        <v>110334</v>
      </c>
      <c r="H49" s="31"/>
      <c r="I49" s="7"/>
      <c r="J49" s="31">
        <f>K49/2</f>
        <v>58924</v>
      </c>
      <c r="K49" s="56">
        <v>117848</v>
      </c>
      <c r="L49" s="31">
        <f>M49/2</f>
        <v>58924</v>
      </c>
      <c r="M49" s="7">
        <f>K49*$L$51/$J$51</f>
        <v>117848</v>
      </c>
      <c r="N49" s="33">
        <f t="shared" si="0"/>
        <v>1.0681023075389273</v>
      </c>
      <c r="O49" s="43"/>
    </row>
    <row r="50" spans="1:15" x14ac:dyDescent="0.25">
      <c r="A50" s="65" t="str">
        <f>CONCATENATE(B47," ",C50)</f>
        <v>Sonoma 3p_workers</v>
      </c>
      <c r="B50" s="34"/>
      <c r="C50" s="34" t="s">
        <v>35</v>
      </c>
      <c r="D50" s="35">
        <v>18086</v>
      </c>
      <c r="E50" s="51">
        <f>D50*$Q$16</f>
        <v>61095.000000000065</v>
      </c>
      <c r="F50" s="35">
        <v>17522</v>
      </c>
      <c r="G50" s="51">
        <f>F50*$Q$16</f>
        <v>59189.792657304053</v>
      </c>
      <c r="H50" s="35"/>
      <c r="I50" s="51"/>
      <c r="J50" s="58">
        <f>K50/$Q$16</f>
        <v>19342.058564530627</v>
      </c>
      <c r="K50" s="57">
        <v>65338</v>
      </c>
      <c r="L50" s="58">
        <f>M50/$Q$16</f>
        <v>19342.058564530627</v>
      </c>
      <c r="M50" s="59">
        <f>K50*$L$51/$J$51</f>
        <v>65338</v>
      </c>
      <c r="N50" s="36">
        <f t="shared" si="0"/>
        <v>1.1038727636417434</v>
      </c>
      <c r="O50" s="43"/>
    </row>
    <row r="51" spans="1:15" x14ac:dyDescent="0.25">
      <c r="B51" s="60" t="s">
        <v>44</v>
      </c>
      <c r="C51" s="60"/>
      <c r="D51" s="61">
        <f t="shared" ref="D51:G51" si="9">SUM(D47:D50)</f>
        <v>189653</v>
      </c>
      <c r="E51" s="62">
        <f t="shared" si="9"/>
        <v>239343.00000000006</v>
      </c>
      <c r="F51" s="61">
        <f t="shared" si="9"/>
        <v>189653</v>
      </c>
      <c r="G51" s="62">
        <f t="shared" si="9"/>
        <v>234178.79265730406</v>
      </c>
      <c r="H51" s="61"/>
      <c r="I51" s="62"/>
      <c r="J51" s="61">
        <f>D51</f>
        <v>189653</v>
      </c>
      <c r="K51" s="62">
        <f>SUM(K47:K50)</f>
        <v>249489</v>
      </c>
      <c r="L51" s="61">
        <f>F51</f>
        <v>189653</v>
      </c>
      <c r="M51" s="62">
        <f>'Total Worker'!$G$16</f>
        <v>248761</v>
      </c>
      <c r="N51" s="63">
        <f t="shared" si="0"/>
        <v>1</v>
      </c>
      <c r="O51" s="43"/>
    </row>
    <row r="52" spans="1:15" x14ac:dyDescent="0.25">
      <c r="B52" s="2" t="s">
        <v>45</v>
      </c>
      <c r="C52" s="2" t="s">
        <v>32</v>
      </c>
      <c r="D52" s="31">
        <f t="shared" ref="D52:G54" si="10">D7+D12+D17+D22+D27+D32+D37+D42+D47</f>
        <v>577088</v>
      </c>
      <c r="E52" s="7">
        <f t="shared" si="10"/>
        <v>0</v>
      </c>
      <c r="F52" s="31">
        <f t="shared" si="10"/>
        <v>607689</v>
      </c>
      <c r="G52" s="7">
        <f t="shared" si="10"/>
        <v>0</v>
      </c>
      <c r="H52" s="31"/>
      <c r="I52" s="7"/>
      <c r="J52" s="31">
        <f t="shared" ref="J52" si="11">J7+J12+J17+J22+J27+J32+J37+J42+J47</f>
        <v>461511.44540632231</v>
      </c>
      <c r="K52" s="7">
        <f t="shared" ref="K52:M54" si="12">K7+K12+K17+K22+K27+K32+K37+K42+K47</f>
        <v>0</v>
      </c>
      <c r="L52" s="31">
        <f t="shared" si="12"/>
        <v>461511.81890836247</v>
      </c>
      <c r="M52" s="7">
        <f t="shared" si="12"/>
        <v>0</v>
      </c>
      <c r="N52" s="38">
        <f>L52/F52</f>
        <v>0.75945396232013818</v>
      </c>
      <c r="O52" s="43"/>
    </row>
    <row r="53" spans="1:15" x14ac:dyDescent="0.25">
      <c r="B53" s="2"/>
      <c r="C53" s="2" t="s">
        <v>33</v>
      </c>
      <c r="D53" s="31">
        <f t="shared" si="10"/>
        <v>985737</v>
      </c>
      <c r="E53" s="7">
        <f t="shared" si="10"/>
        <v>985737</v>
      </c>
      <c r="F53" s="31">
        <f t="shared" si="10"/>
        <v>1006556</v>
      </c>
      <c r="G53" s="7">
        <f t="shared" si="10"/>
        <v>1006556</v>
      </c>
      <c r="H53" s="31"/>
      <c r="I53" s="7"/>
      <c r="J53" s="31">
        <f t="shared" ref="J53" si="13">J8+J13+J18+J23+J28+J33+J38+J43+J48</f>
        <v>1045680</v>
      </c>
      <c r="K53" s="56">
        <f>K8+K13+K18+K23+K28+K33+K38+K43+K48</f>
        <v>1045680</v>
      </c>
      <c r="L53" s="31">
        <f t="shared" si="12"/>
        <v>1045681.2005398275</v>
      </c>
      <c r="M53" s="7">
        <f t="shared" si="12"/>
        <v>1045681.2005398275</v>
      </c>
      <c r="N53" s="33">
        <f t="shared" si="0"/>
        <v>1.0388703664175938</v>
      </c>
      <c r="O53" s="43"/>
    </row>
    <row r="54" spans="1:15" x14ac:dyDescent="0.25">
      <c r="B54" s="2"/>
      <c r="C54" s="2" t="s">
        <v>34</v>
      </c>
      <c r="D54" s="31">
        <f t="shared" si="10"/>
        <v>920827</v>
      </c>
      <c r="E54" s="7">
        <f t="shared" si="10"/>
        <v>1841654</v>
      </c>
      <c r="F54" s="31">
        <f t="shared" si="10"/>
        <v>885369</v>
      </c>
      <c r="G54" s="7">
        <f t="shared" si="10"/>
        <v>1770738</v>
      </c>
      <c r="H54" s="31"/>
      <c r="I54" s="7"/>
      <c r="J54" s="31">
        <f t="shared" ref="J54" si="14">J9+J14+J19+J24+J29+J34+J39+J44+J49</f>
        <v>948740</v>
      </c>
      <c r="K54" s="56">
        <f>K9+K14+K19+K24+K29+K34+K39+K44+K49</f>
        <v>1897480</v>
      </c>
      <c r="L54" s="31">
        <f t="shared" si="12"/>
        <v>948741.07774514414</v>
      </c>
      <c r="M54" s="7">
        <f t="shared" si="12"/>
        <v>1897482.1554902883</v>
      </c>
      <c r="N54" s="33">
        <f t="shared" si="0"/>
        <v>1.0715770235293354</v>
      </c>
      <c r="O54" s="43"/>
    </row>
    <row r="55" spans="1:15" x14ac:dyDescent="0.25">
      <c r="B55" s="34"/>
      <c r="C55" s="34" t="s">
        <v>35</v>
      </c>
      <c r="D55" s="35">
        <f>D10+D15+D20+D25+D30+D35+D40+D45+D50</f>
        <v>283784</v>
      </c>
      <c r="E55" s="52">
        <f>E10+E15+E20+E25+E30+E35+E40+E45+E50</f>
        <v>971669.99999999977</v>
      </c>
      <c r="F55" s="35">
        <f>F10+F15+F20+F25+F30+F35+F40+F45+F50</f>
        <v>267825</v>
      </c>
      <c r="G55" s="52">
        <f>G10+G15+G20+G25+G30+G35+G40+G45+G50</f>
        <v>917058.55407302827</v>
      </c>
      <c r="H55" s="35"/>
      <c r="I55" s="51"/>
      <c r="J55" s="35">
        <f>J10+J15+J20+J25+J30+J35+J40+J45+J50</f>
        <v>311504.55459367769</v>
      </c>
      <c r="K55" s="57">
        <f>K10+K15+K20+K25+K30+K35+K40+K45+K50</f>
        <v>1066561</v>
      </c>
      <c r="L55" s="58">
        <f>L10+L15+L20+L25+L30+L35+L40+L45+L50</f>
        <v>311504.90280666604</v>
      </c>
      <c r="M55" s="59">
        <f>M10+M15+M20+M25+M30+M35+M40+M45+M50</f>
        <v>1066562.1972919228</v>
      </c>
      <c r="N55" s="36">
        <f t="shared" si="0"/>
        <v>1.1630912080898572</v>
      </c>
      <c r="O55" s="43"/>
    </row>
    <row r="56" spans="1:15" x14ac:dyDescent="0.25">
      <c r="B56" s="16" t="s">
        <v>46</v>
      </c>
      <c r="C56" s="16"/>
      <c r="D56" s="20">
        <f t="shared" ref="D56:G56" si="15">SUM(D52:D55)</f>
        <v>2767436</v>
      </c>
      <c r="E56" s="8">
        <f t="shared" si="15"/>
        <v>3799061</v>
      </c>
      <c r="F56" s="20">
        <f t="shared" si="15"/>
        <v>2767439</v>
      </c>
      <c r="G56" s="8">
        <f t="shared" si="15"/>
        <v>3694352.5540730283</v>
      </c>
      <c r="H56" s="20"/>
      <c r="I56" s="8"/>
      <c r="J56" s="20">
        <f t="shared" ref="J56" si="16">SUM(J52:J55)</f>
        <v>2767436</v>
      </c>
      <c r="K56" s="8">
        <f>SUM(K52:K55)</f>
        <v>4009721</v>
      </c>
      <c r="L56" s="61">
        <f>SUM(L52:L55)</f>
        <v>2767439.0000000005</v>
      </c>
      <c r="M56" s="62">
        <f>'Total Worker'!$G$17</f>
        <v>4013061</v>
      </c>
      <c r="N56" s="37">
        <f t="shared" si="0"/>
        <v>1.0000000000000002</v>
      </c>
      <c r="O56" s="43"/>
    </row>
  </sheetData>
  <mergeCells count="6">
    <mergeCell ref="P5:Q6"/>
    <mergeCell ref="D5:E5"/>
    <mergeCell ref="F5:G5"/>
    <mergeCell ref="H5:I5"/>
    <mergeCell ref="J5:K5"/>
    <mergeCell ref="L5:M5"/>
  </mergeCells>
  <pageMargins left="0.7" right="0.7" top="0.75" bottom="0.75" header="0.3" footer="0.3"/>
  <ignoredErrors>
    <ignoredError sqref="K7 K11 K16 K21 K36 K41 K46 K51 K31 K26" formula="1"/>
  </ignoredError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6C71-C599-46A1-A190-21F8AF83BB09}">
  <dimension ref="A1:J8"/>
  <sheetViews>
    <sheetView workbookViewId="0">
      <selection activeCell="A36" sqref="A36"/>
    </sheetView>
  </sheetViews>
  <sheetFormatPr defaultRowHeight="12.75" x14ac:dyDescent="0.2"/>
  <cols>
    <col min="1" max="1" width="24.7109375" style="2" customWidth="1"/>
    <col min="2" max="10" width="12.42578125" style="2" customWidth="1"/>
    <col min="11" max="16384" width="9.140625" style="2"/>
  </cols>
  <sheetData>
    <row r="1" spans="1:10" x14ac:dyDescent="0.2">
      <c r="A1" s="2" t="s">
        <v>61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">
      <c r="A2" s="2" t="s">
        <v>62</v>
      </c>
      <c r="B2" s="2" t="s">
        <v>9</v>
      </c>
      <c r="C2" s="2" t="s">
        <v>10</v>
      </c>
      <c r="D2" s="2" t="s">
        <v>11</v>
      </c>
      <c r="E2" s="2" t="s">
        <v>5</v>
      </c>
      <c r="F2" s="2" t="s">
        <v>6</v>
      </c>
      <c r="G2" s="2" t="s">
        <v>12</v>
      </c>
      <c r="H2" s="2" t="s">
        <v>8</v>
      </c>
      <c r="I2" s="2" t="s">
        <v>13</v>
      </c>
      <c r="J2" s="2" t="s">
        <v>7</v>
      </c>
    </row>
    <row r="3" spans="1:10" x14ac:dyDescent="0.2">
      <c r="A3" s="64" t="s">
        <v>32</v>
      </c>
      <c r="B3" s="66">
        <f>VLOOKUP(CONCATENATE(B$2," ",$A3),'Correction Factor Calcs'!$A:$N,14,FALSE)</f>
        <v>0.8094850554666686</v>
      </c>
      <c r="C3" s="67">
        <f>VLOOKUP(CONCATENATE(C$2," ",$A3),'Correction Factor Calcs'!$A:$N,14,FALSE)</f>
        <v>0.7387226031284041</v>
      </c>
      <c r="D3" s="67">
        <f>VLOOKUP(CONCATENATE(D$2," ",$A3),'Correction Factor Calcs'!$A:$N,14,FALSE)</f>
        <v>0.71114373757198257</v>
      </c>
      <c r="E3" s="67">
        <f>VLOOKUP(CONCATENATE(E$2," ",$A3),'Correction Factor Calcs'!$A:$N,14,FALSE)</f>
        <v>0.6433418893094961</v>
      </c>
      <c r="F3" s="67">
        <f>VLOOKUP(CONCATENATE(F$2," ",$A3),'Correction Factor Calcs'!$A:$N,14,FALSE)</f>
        <v>0.83550751826273506</v>
      </c>
      <c r="G3" s="67">
        <f>VLOOKUP(CONCATENATE(G$2," ",$A3),'Correction Factor Calcs'!$A:$N,14,FALSE)</f>
        <v>0.81964539562798755</v>
      </c>
      <c r="H3" s="67">
        <f>VLOOKUP(CONCATENATE(H$2," ",$A3),'Correction Factor Calcs'!$A:$N,14,FALSE)</f>
        <v>0.79384184447928174</v>
      </c>
      <c r="I3" s="67">
        <f>VLOOKUP(CONCATENATE(I$2," ",$A3),'Correction Factor Calcs'!$A:$N,14,FALSE)</f>
        <v>0.861877333450637</v>
      </c>
      <c r="J3" s="68">
        <f>VLOOKUP(CONCATENATE(J$2," ",$A3),'Correction Factor Calcs'!$A:$N,14,FALSE)</f>
        <v>0.84021782223928732</v>
      </c>
    </row>
    <row r="4" spans="1:10" x14ac:dyDescent="0.2">
      <c r="A4" s="64" t="s">
        <v>33</v>
      </c>
      <c r="B4" s="69">
        <f>VLOOKUP(CONCATENATE(B$2," ",$A4),'Correction Factor Calcs'!$A:$N,14,FALSE)</f>
        <v>1.0480254410879042</v>
      </c>
      <c r="C4" s="70">
        <f>VLOOKUP(CONCATENATE(C$2," ",$A4),'Correction Factor Calcs'!$A:$N,14,FALSE)</f>
        <v>1.0208016601437022</v>
      </c>
      <c r="D4" s="70">
        <f>VLOOKUP(CONCATENATE(D$2," ",$A4),'Correction Factor Calcs'!$A:$N,14,FALSE)</f>
        <v>1.0434589800443459</v>
      </c>
      <c r="E4" s="70">
        <f>VLOOKUP(CONCATENATE(E$2," ",$A4),'Correction Factor Calcs'!$A:$N,14,FALSE)</f>
        <v>1.0569649394604934</v>
      </c>
      <c r="F4" s="70">
        <f>VLOOKUP(CONCATENATE(F$2," ",$A4),'Correction Factor Calcs'!$A:$N,14,FALSE)</f>
        <v>1.0090502022429351</v>
      </c>
      <c r="G4" s="70">
        <f>VLOOKUP(CONCATENATE(G$2," ",$A4),'Correction Factor Calcs'!$A:$N,14,FALSE)</f>
        <v>1.0317549727160711</v>
      </c>
      <c r="H4" s="70">
        <f>VLOOKUP(CONCATENATE(H$2," ",$A4),'Correction Factor Calcs'!$A:$N,14,FALSE)</f>
        <v>1.0866344028200992</v>
      </c>
      <c r="I4" s="70">
        <f>VLOOKUP(CONCATENATE(I$2," ",$A4),'Correction Factor Calcs'!$A:$N,14,FALSE)</f>
        <v>1.0254891346376924</v>
      </c>
      <c r="J4" s="71">
        <f>VLOOKUP(CONCATENATE(J$2," ",$A4),'Correction Factor Calcs'!$A:$N,14,FALSE)</f>
        <v>1.0476483150906777</v>
      </c>
    </row>
    <row r="5" spans="1:10" x14ac:dyDescent="0.2">
      <c r="A5" s="64" t="s">
        <v>34</v>
      </c>
      <c r="B5" s="69">
        <f>VLOOKUP(CONCATENATE(B$2," ",$A5),'Correction Factor Calcs'!$A:$N,14,FALSE)</f>
        <v>1.0482567064324013</v>
      </c>
      <c r="C5" s="70">
        <f>VLOOKUP(CONCATENATE(C$2," ",$A5),'Correction Factor Calcs'!$A:$N,14,FALSE)</f>
        <v>1.0789607596456983</v>
      </c>
      <c r="D5" s="70">
        <f>VLOOKUP(CONCATENATE(D$2," ",$A5),'Correction Factor Calcs'!$A:$N,14,FALSE)</f>
        <v>1.0544445650404297</v>
      </c>
      <c r="E5" s="70">
        <f>VLOOKUP(CONCATENATE(E$2," ",$A5),'Correction Factor Calcs'!$A:$N,14,FALSE)</f>
        <v>1.11640519470382</v>
      </c>
      <c r="F5" s="70">
        <f>VLOOKUP(CONCATENATE(F$2," ",$A5),'Correction Factor Calcs'!$A:$N,14,FALSE)</f>
        <v>1.063666574356134</v>
      </c>
      <c r="G5" s="70">
        <f>VLOOKUP(CONCATENATE(G$2," ",$A5),'Correction Factor Calcs'!$A:$N,14,FALSE)</f>
        <v>1.0493181967897061</v>
      </c>
      <c r="H5" s="70">
        <f>VLOOKUP(CONCATENATE(H$2," ",$A5),'Correction Factor Calcs'!$A:$N,14,FALSE)</f>
        <v>1.0372194854953476</v>
      </c>
      <c r="I5" s="70">
        <f>VLOOKUP(CONCATENATE(I$2," ",$A5),'Correction Factor Calcs'!$A:$N,14,FALSE)</f>
        <v>1.0681023075389273</v>
      </c>
      <c r="J5" s="71">
        <f>VLOOKUP(CONCATENATE(J$2," ",$A5),'Correction Factor Calcs'!$A:$N,14,FALSE)</f>
        <v>1.0677696648827517</v>
      </c>
    </row>
    <row r="6" spans="1:10" x14ac:dyDescent="0.2">
      <c r="A6" s="75" t="s">
        <v>35</v>
      </c>
      <c r="B6" s="72">
        <f>VLOOKUP(CONCATENATE(B$2," ",$A6),'Correction Factor Calcs'!$A:$N,14,FALSE)</f>
        <v>1.1270701782555494</v>
      </c>
      <c r="C6" s="73">
        <f>VLOOKUP(CONCATENATE(C$2," ",$A6),'Correction Factor Calcs'!$A:$N,14,FALSE)</f>
        <v>1.1644176663590802</v>
      </c>
      <c r="D6" s="73">
        <f>VLOOKUP(CONCATENATE(D$2," ",$A6),'Correction Factor Calcs'!$A:$N,14,FALSE)</f>
        <v>1.1543967731498344</v>
      </c>
      <c r="E6" s="73">
        <f>VLOOKUP(CONCATENATE(E$2," ",$A6),'Correction Factor Calcs'!$A:$N,14,FALSE)</f>
        <v>1.2240582692510038</v>
      </c>
      <c r="F6" s="73">
        <f>VLOOKUP(CONCATENATE(F$2," ",$A6),'Correction Factor Calcs'!$A:$N,14,FALSE)</f>
        <v>1.1532355352168846</v>
      </c>
      <c r="G6" s="73">
        <f>VLOOKUP(CONCATENATE(G$2," ",$A6),'Correction Factor Calcs'!$A:$N,14,FALSE)</f>
        <v>1.182909207408904</v>
      </c>
      <c r="H6" s="73">
        <f>VLOOKUP(CONCATENATE(H$2," ",$A6),'Correction Factor Calcs'!$A:$N,14,FALSE)</f>
        <v>1.1451345750070747</v>
      </c>
      <c r="I6" s="73">
        <f>VLOOKUP(CONCATENATE(I$2," ",$A6),'Correction Factor Calcs'!$A:$N,14,FALSE)</f>
        <v>1.1038727636417434</v>
      </c>
      <c r="J6" s="74">
        <f>VLOOKUP(CONCATENATE(J$2," ",$A6),'Correction Factor Calcs'!$A:$N,14,FALSE)</f>
        <v>1.115259272201784</v>
      </c>
    </row>
    <row r="7" spans="1:10" x14ac:dyDescent="0.2">
      <c r="A7" s="15"/>
    </row>
    <row r="8" spans="1:10" x14ac:dyDescent="0.2">
      <c r="A8" s="1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 Worker</vt:lpstr>
      <vt:lpstr>Correction Factor Calcs</vt:lpstr>
      <vt:lpstr>Correction Transposed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2024-11-19T00:20:31Z</dcterms:created>
  <dcterms:modified xsi:type="dcterms:W3CDTF">2024-11-20T02:01:21Z</dcterms:modified>
</cp:coreProperties>
</file>