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X:\travel-model-one-calib1.5.2\utilities\calibration\workbook_templates\"/>
    </mc:Choice>
  </mc:AlternateContent>
  <xr:revisionPtr revIDLastSave="0" documentId="13_ncr:1_{0668400A-7C83-4B65-A36C-34A61C4826C3}" xr6:coauthVersionLast="43" xr6:coauthVersionMax="43" xr10:uidLastSave="{00000000-0000-0000-0000-000000000000}"/>
  <bookViews>
    <workbookView xWindow="45180" yWindow="2205" windowWidth="20895" windowHeight="15150" xr2:uid="{00000000-000D-0000-FFFF-FFFF00000000}"/>
  </bookViews>
  <sheets>
    <sheet name="calibration" sheetId="1" r:id="rId1"/>
    <sheet name="modeldata" sheetId="2" r:id="rId2"/>
    <sheet name="CHTS" sheetId="3" r:id="rId3"/>
    <sheet name="TM1 v03 Targets" sheetId="6" r:id="rId4"/>
    <sheet name="PersonType Chart" sheetId="5" r:id="rId5"/>
  </sheets>
  <externalReferences>
    <externalReference r:id="rId6"/>
  </externalReferences>
  <definedNames>
    <definedName name="damp" localSheetId="3">'TM1 v03 Targets'!$L$50</definedName>
    <definedName name="damp">calibration!$L$51</definedName>
    <definedName name="damp_cdap">calibration!$C$27</definedName>
    <definedName name="damp_cdap_v2">calibration!$C$66</definedName>
    <definedName name="klaus">'TM1 v03 Targets'!#REF!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J45" i="1"/>
  <c r="J44" i="1"/>
  <c r="C77" i="1"/>
  <c r="C76" i="1"/>
  <c r="C75" i="1"/>
  <c r="C74" i="1"/>
  <c r="M74" i="1" s="1"/>
  <c r="C73" i="1"/>
  <c r="C72" i="1"/>
  <c r="C71" i="1"/>
  <c r="C70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F52" i="1"/>
  <c r="E52" i="1"/>
  <c r="D52" i="1"/>
  <c r="C52" i="1"/>
  <c r="F51" i="1"/>
  <c r="F50" i="1"/>
  <c r="F49" i="1"/>
  <c r="F48" i="1"/>
  <c r="F47" i="1"/>
  <c r="F46" i="1"/>
  <c r="F45" i="1"/>
  <c r="F44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D77" i="1"/>
  <c r="D76" i="1"/>
  <c r="D75" i="1"/>
  <c r="D74" i="1"/>
  <c r="D73" i="1"/>
  <c r="D72" i="1"/>
  <c r="D71" i="1"/>
  <c r="D70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M73" i="1"/>
  <c r="K45" i="1" l="1"/>
  <c r="H52" i="1"/>
  <c r="J52" i="1"/>
  <c r="O52" i="1" s="1"/>
  <c r="I52" i="1"/>
  <c r="C63" i="1"/>
  <c r="E56" i="1"/>
  <c r="F63" i="1"/>
  <c r="N48" i="1"/>
  <c r="D60" i="1"/>
  <c r="E63" i="1"/>
  <c r="C58" i="1"/>
  <c r="C62" i="1"/>
  <c r="C57" i="1"/>
  <c r="D62" i="1"/>
  <c r="E61" i="1"/>
  <c r="F60" i="1"/>
  <c r="D57" i="1"/>
  <c r="E57" i="1"/>
  <c r="O45" i="1"/>
  <c r="O50" i="1"/>
  <c r="E62" i="1"/>
  <c r="F57" i="1"/>
  <c r="F62" i="1"/>
  <c r="F58" i="1"/>
  <c r="E60" i="1"/>
  <c r="O48" i="1"/>
  <c r="C59" i="1"/>
  <c r="M47" i="1"/>
  <c r="C64" i="1"/>
  <c r="F56" i="1"/>
  <c r="D64" i="1"/>
  <c r="E64" i="1"/>
  <c r="F61" i="1"/>
  <c r="D58" i="1"/>
  <c r="C60" i="1"/>
  <c r="M48" i="1"/>
  <c r="F59" i="1"/>
  <c r="F64" i="1"/>
  <c r="D63" i="1"/>
  <c r="E58" i="1"/>
  <c r="N47" i="1"/>
  <c r="D59" i="1"/>
  <c r="E59" i="1"/>
  <c r="C56" i="1"/>
  <c r="C61" i="1"/>
  <c r="D56" i="1"/>
  <c r="D61" i="1"/>
  <c r="N52" i="1"/>
  <c r="I57" i="1"/>
  <c r="I71" i="1" s="1"/>
  <c r="K57" i="1"/>
  <c r="P45" i="1"/>
  <c r="H57" i="1"/>
  <c r="O44" i="1"/>
  <c r="J57" i="1"/>
  <c r="H58" i="1"/>
  <c r="J58" i="1"/>
  <c r="M50" i="1"/>
  <c r="M52" i="1"/>
  <c r="N45" i="1"/>
  <c r="O47" i="1"/>
  <c r="N50" i="1"/>
  <c r="K49" i="1"/>
  <c r="H61" i="1" s="1"/>
  <c r="N49" i="1"/>
  <c r="O49" i="1"/>
  <c r="K51" i="1"/>
  <c r="I63" i="1" s="1"/>
  <c r="K44" i="1"/>
  <c r="H56" i="1" s="1"/>
  <c r="M49" i="1"/>
  <c r="K46" i="1"/>
  <c r="M51" i="1"/>
  <c r="N44" i="1"/>
  <c r="N51" i="1"/>
  <c r="I56" i="1"/>
  <c r="M44" i="1"/>
  <c r="M46" i="1"/>
  <c r="N46" i="1"/>
  <c r="O46" i="1"/>
  <c r="O51" i="1"/>
  <c r="K47" i="1"/>
  <c r="J59" i="1" s="1"/>
  <c r="K48" i="1"/>
  <c r="I60" i="1" s="1"/>
  <c r="K50" i="1"/>
  <c r="M45" i="1"/>
  <c r="I61" i="1" l="1"/>
  <c r="M61" i="1"/>
  <c r="N60" i="1"/>
  <c r="H60" i="1"/>
  <c r="M60" i="1" s="1"/>
  <c r="M58" i="1"/>
  <c r="H72" i="1"/>
  <c r="M72" i="1" s="1"/>
  <c r="M57" i="1"/>
  <c r="H71" i="1"/>
  <c r="M71" i="1" s="1"/>
  <c r="J61" i="1"/>
  <c r="H75" i="1" s="1"/>
  <c r="M75" i="1" s="1"/>
  <c r="O58" i="1"/>
  <c r="N63" i="1"/>
  <c r="O59" i="1"/>
  <c r="N56" i="1"/>
  <c r="O57" i="1"/>
  <c r="N57" i="1"/>
  <c r="N61" i="1"/>
  <c r="N71" i="1"/>
  <c r="M56" i="1"/>
  <c r="K58" i="1"/>
  <c r="P58" i="1" s="1"/>
  <c r="P46" i="1"/>
  <c r="P57" i="1"/>
  <c r="K56" i="1"/>
  <c r="P56" i="1" s="1"/>
  <c r="P44" i="1"/>
  <c r="K52" i="1"/>
  <c r="I58" i="1"/>
  <c r="P50" i="1"/>
  <c r="I62" i="1"/>
  <c r="H62" i="1"/>
  <c r="K62" i="1"/>
  <c r="P62" i="1" s="1"/>
  <c r="J62" i="1"/>
  <c r="O62" i="1" s="1"/>
  <c r="K63" i="1"/>
  <c r="P63" i="1" s="1"/>
  <c r="P51" i="1"/>
  <c r="P48" i="1"/>
  <c r="J60" i="1"/>
  <c r="O60" i="1" s="1"/>
  <c r="K60" i="1"/>
  <c r="P60" i="1" s="1"/>
  <c r="J63" i="1"/>
  <c r="O63" i="1" s="1"/>
  <c r="H59" i="1"/>
  <c r="M59" i="1" s="1"/>
  <c r="K59" i="1"/>
  <c r="P59" i="1" s="1"/>
  <c r="P47" i="1"/>
  <c r="I59" i="1"/>
  <c r="K61" i="1"/>
  <c r="P61" i="1" s="1"/>
  <c r="P49" i="1"/>
  <c r="H63" i="1"/>
  <c r="J56" i="1"/>
  <c r="O56" i="1" s="1"/>
  <c r="M63" i="1" l="1"/>
  <c r="H77" i="1"/>
  <c r="I77" i="1"/>
  <c r="N77" i="1" s="1"/>
  <c r="M62" i="1"/>
  <c r="H76" i="1"/>
  <c r="N62" i="1"/>
  <c r="I76" i="1"/>
  <c r="N76" i="1" s="1"/>
  <c r="O61" i="1"/>
  <c r="I75" i="1"/>
  <c r="N75" i="1" s="1"/>
  <c r="N59" i="1"/>
  <c r="I73" i="1"/>
  <c r="N73" i="1" s="1"/>
  <c r="I74" i="1"/>
  <c r="N58" i="1"/>
  <c r="I72" i="1"/>
  <c r="N72" i="1" s="1"/>
  <c r="H70" i="1"/>
  <c r="M70" i="1" s="1"/>
  <c r="I70" i="1"/>
  <c r="M76" i="1"/>
  <c r="N74" i="1"/>
  <c r="N70" i="1"/>
  <c r="K64" i="1"/>
  <c r="P64" i="1" s="1"/>
  <c r="P52" i="1"/>
  <c r="J64" i="1"/>
  <c r="O64" i="1" s="1"/>
  <c r="I64" i="1"/>
  <c r="N64" i="1" s="1"/>
  <c r="H64" i="1"/>
  <c r="M64" i="1" s="1"/>
  <c r="M77" i="1"/>
  <c r="F4" i="6" l="1"/>
  <c r="F5" i="6"/>
  <c r="F6" i="6"/>
  <c r="C7" i="6"/>
  <c r="C44" i="6" s="1"/>
  <c r="F7" i="6"/>
  <c r="D44" i="6" s="1"/>
  <c r="C8" i="6"/>
  <c r="F8" i="6"/>
  <c r="F9" i="6"/>
  <c r="D48" i="6" s="1"/>
  <c r="F10" i="6"/>
  <c r="B46" i="6" s="1"/>
  <c r="F11" i="6"/>
  <c r="F12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E29" i="6"/>
  <c r="E31" i="6"/>
  <c r="E32" i="6"/>
  <c r="E34" i="6"/>
  <c r="B37" i="6"/>
  <c r="C37" i="6"/>
  <c r="D37" i="6"/>
  <c r="E37" i="6" s="1"/>
  <c r="F37" i="6"/>
  <c r="B39" i="6"/>
  <c r="B41" i="6"/>
  <c r="C41" i="6"/>
  <c r="D41" i="6"/>
  <c r="E41" i="6"/>
  <c r="B42" i="6"/>
  <c r="B54" i="6" s="1"/>
  <c r="C42" i="6"/>
  <c r="C54" i="6" s="1"/>
  <c r="D42" i="6"/>
  <c r="D54" i="6" s="1"/>
  <c r="E42" i="6"/>
  <c r="E54" i="6" s="1"/>
  <c r="B43" i="6"/>
  <c r="B55" i="6" s="1"/>
  <c r="C43" i="6"/>
  <c r="C55" i="6" s="1"/>
  <c r="D43" i="6"/>
  <c r="D65" i="6" s="1"/>
  <c r="E43" i="6"/>
  <c r="B48" i="6"/>
  <c r="C48" i="6"/>
  <c r="B51" i="6"/>
  <c r="A52" i="6"/>
  <c r="B52" i="6"/>
  <c r="C52" i="6"/>
  <c r="D52" i="6"/>
  <c r="E52" i="6"/>
  <c r="A53" i="6"/>
  <c r="B53" i="6"/>
  <c r="C53" i="6"/>
  <c r="D53" i="6"/>
  <c r="E53" i="6"/>
  <c r="A54" i="6"/>
  <c r="A55" i="6"/>
  <c r="A56" i="6"/>
  <c r="A57" i="6"/>
  <c r="A58" i="6"/>
  <c r="A59" i="6"/>
  <c r="A60" i="6"/>
  <c r="A61" i="6"/>
  <c r="C65" i="6"/>
  <c r="E44" i="6" l="1"/>
  <c r="C56" i="6" s="1"/>
  <c r="D60" i="6"/>
  <c r="C60" i="6"/>
  <c r="B60" i="6"/>
  <c r="D64" i="6"/>
  <c r="D47" i="6"/>
  <c r="C64" i="6"/>
  <c r="C47" i="6"/>
  <c r="B65" i="6"/>
  <c r="E65" i="6" s="1"/>
  <c r="E55" i="6"/>
  <c r="D46" i="6"/>
  <c r="D55" i="6"/>
  <c r="C46" i="6"/>
  <c r="E46" i="6" s="1"/>
  <c r="B47" i="6"/>
  <c r="B49" i="6" s="1"/>
  <c r="B64" i="6"/>
  <c r="D45" i="6"/>
  <c r="C45" i="6"/>
  <c r="E48" i="6"/>
  <c r="C19" i="6"/>
  <c r="E58" i="6" l="1"/>
  <c r="B58" i="6"/>
  <c r="E45" i="6"/>
  <c r="C58" i="6"/>
  <c r="C49" i="6"/>
  <c r="D58" i="6"/>
  <c r="C59" i="6"/>
  <c r="E60" i="6"/>
  <c r="D49" i="6"/>
  <c r="E56" i="6"/>
  <c r="B56" i="6"/>
  <c r="E64" i="6"/>
  <c r="D56" i="6"/>
  <c r="E47" i="6"/>
  <c r="B59" i="6" s="1"/>
  <c r="B57" i="6" l="1"/>
  <c r="E57" i="6"/>
  <c r="E49" i="6"/>
  <c r="F45" i="6" s="1"/>
  <c r="C57" i="6"/>
  <c r="D66" i="6"/>
  <c r="F47" i="6"/>
  <c r="E59" i="6"/>
  <c r="D67" i="6"/>
  <c r="B67" i="6"/>
  <c r="E67" i="6" s="1"/>
  <c r="F66" i="6"/>
  <c r="D59" i="6"/>
  <c r="D57" i="6"/>
  <c r="B66" i="6"/>
  <c r="C66" i="6"/>
  <c r="C67" i="6"/>
  <c r="D68" i="6" l="1"/>
  <c r="E66" i="6"/>
  <c r="F68" i="6"/>
  <c r="D61" i="6"/>
  <c r="F67" i="6"/>
  <c r="F43" i="6"/>
  <c r="E61" i="6"/>
  <c r="F49" i="6"/>
  <c r="F64" i="6"/>
  <c r="F65" i="6"/>
  <c r="F41" i="6"/>
  <c r="F42" i="6"/>
  <c r="F44" i="6"/>
  <c r="F46" i="6"/>
  <c r="B61" i="6"/>
  <c r="F48" i="6"/>
  <c r="B68" i="6"/>
  <c r="E68" i="6" s="1"/>
  <c r="C68" i="6"/>
  <c r="C61" i="6"/>
  <c r="M34" i="1"/>
  <c r="M35" i="1"/>
  <c r="J6" i="1"/>
  <c r="J7" i="1"/>
  <c r="J8" i="1"/>
  <c r="J9" i="1"/>
  <c r="J10" i="1"/>
  <c r="J11" i="1"/>
  <c r="J12" i="1"/>
  <c r="J5" i="1"/>
  <c r="H8" i="1"/>
  <c r="H9" i="1"/>
  <c r="I6" i="1"/>
  <c r="I7" i="1"/>
  <c r="I8" i="1"/>
  <c r="I9" i="1"/>
  <c r="I10" i="1"/>
  <c r="I11" i="1"/>
  <c r="I12" i="1"/>
  <c r="I5" i="1"/>
  <c r="H6" i="1"/>
  <c r="H7" i="1"/>
  <c r="H10" i="1"/>
  <c r="H11" i="1"/>
  <c r="H12" i="1"/>
  <c r="H5" i="1"/>
  <c r="J13" i="1" l="1"/>
  <c r="K6" i="1"/>
  <c r="J18" i="1" s="1"/>
  <c r="K11" i="1"/>
  <c r="J23" i="1" s="1"/>
  <c r="K9" i="1"/>
  <c r="H21" i="1" s="1"/>
  <c r="K12" i="1"/>
  <c r="J24" i="1" s="1"/>
  <c r="K7" i="1"/>
  <c r="I19" i="1" s="1"/>
  <c r="K8" i="1"/>
  <c r="J20" i="1" s="1"/>
  <c r="K5" i="1"/>
  <c r="I17" i="1" s="1"/>
  <c r="K10" i="1"/>
  <c r="I22" i="1" s="1"/>
  <c r="I13" i="1"/>
  <c r="H13" i="1"/>
  <c r="C13" i="1"/>
  <c r="D7" i="1"/>
  <c r="E7" i="1"/>
  <c r="F12" i="1"/>
  <c r="E13" i="1"/>
  <c r="E12" i="1"/>
  <c r="E6" i="1"/>
  <c r="D6" i="1"/>
  <c r="C5" i="1"/>
  <c r="F6" i="1"/>
  <c r="C6" i="1"/>
  <c r="C8" i="1"/>
  <c r="E5" i="1"/>
  <c r="F10" i="1"/>
  <c r="D8" i="1"/>
  <c r="C12" i="1"/>
  <c r="C9" i="1"/>
  <c r="D10" i="1"/>
  <c r="E8" i="1"/>
  <c r="D5" i="1"/>
  <c r="F8" i="1"/>
  <c r="F11" i="1"/>
  <c r="E11" i="1"/>
  <c r="C11" i="1"/>
  <c r="D12" i="1"/>
  <c r="D13" i="1"/>
  <c r="D11" i="1"/>
  <c r="E10" i="1"/>
  <c r="C10" i="1"/>
  <c r="E9" i="1"/>
  <c r="F9" i="1"/>
  <c r="F13" i="1"/>
  <c r="C7" i="1"/>
  <c r="F7" i="1"/>
  <c r="F5" i="1"/>
  <c r="D9" i="1"/>
  <c r="H18" i="1" l="1"/>
  <c r="K18" i="1"/>
  <c r="I23" i="1"/>
  <c r="I18" i="1"/>
  <c r="I21" i="1"/>
  <c r="I24" i="1"/>
  <c r="C17" i="1"/>
  <c r="M5" i="1"/>
  <c r="E19" i="1"/>
  <c r="O7" i="1"/>
  <c r="D18" i="1"/>
  <c r="I32" i="1" s="1"/>
  <c r="N32" i="1" s="1"/>
  <c r="N6" i="1"/>
  <c r="E18" i="1"/>
  <c r="O18" i="1" s="1"/>
  <c r="O6" i="1"/>
  <c r="D19" i="1"/>
  <c r="N7" i="1"/>
  <c r="D20" i="1"/>
  <c r="N8" i="1"/>
  <c r="E20" i="1"/>
  <c r="O20" i="1" s="1"/>
  <c r="O8" i="1"/>
  <c r="D21" i="1"/>
  <c r="N9" i="1"/>
  <c r="D22" i="1"/>
  <c r="N10" i="1"/>
  <c r="D24" i="1"/>
  <c r="N12" i="1"/>
  <c r="C19" i="1"/>
  <c r="M7" i="1"/>
  <c r="C20" i="1"/>
  <c r="M8" i="1"/>
  <c r="M9" i="1"/>
  <c r="C21" i="1"/>
  <c r="M21" i="1" s="1"/>
  <c r="E21" i="1"/>
  <c r="O9" i="1"/>
  <c r="C22" i="1"/>
  <c r="M10" i="1"/>
  <c r="O10" i="1"/>
  <c r="E22" i="1"/>
  <c r="C23" i="1"/>
  <c r="H37" i="1" s="1"/>
  <c r="M37" i="1" s="1"/>
  <c r="M11" i="1"/>
  <c r="D23" i="1"/>
  <c r="N11" i="1"/>
  <c r="E23" i="1"/>
  <c r="O23" i="1" s="1"/>
  <c r="O11" i="1"/>
  <c r="D17" i="1"/>
  <c r="N5" i="1"/>
  <c r="C24" i="1"/>
  <c r="M12" i="1"/>
  <c r="E17" i="1"/>
  <c r="O5" i="1"/>
  <c r="M6" i="1"/>
  <c r="C18" i="1"/>
  <c r="H32" i="1" s="1"/>
  <c r="M32" i="1" s="1"/>
  <c r="E24" i="1"/>
  <c r="O24" i="1" s="1"/>
  <c r="O12" i="1"/>
  <c r="C25" i="1"/>
  <c r="E25" i="1"/>
  <c r="O13" i="1"/>
  <c r="D25" i="1"/>
  <c r="F17" i="1"/>
  <c r="F24" i="1"/>
  <c r="F23" i="1"/>
  <c r="F18" i="1"/>
  <c r="P18" i="1" s="1"/>
  <c r="P6" i="1"/>
  <c r="F22" i="1"/>
  <c r="F21" i="1"/>
  <c r="F20" i="1"/>
  <c r="F19" i="1"/>
  <c r="F25" i="1"/>
  <c r="N13" i="1"/>
  <c r="J22" i="1"/>
  <c r="K22" i="1"/>
  <c r="H22" i="1"/>
  <c r="P10" i="1"/>
  <c r="H20" i="1"/>
  <c r="M20" i="1" s="1"/>
  <c r="K20" i="1"/>
  <c r="I20" i="1"/>
  <c r="N20" i="1" s="1"/>
  <c r="P8" i="1"/>
  <c r="N19" i="1"/>
  <c r="K19" i="1"/>
  <c r="P19" i="1" s="1"/>
  <c r="H19" i="1"/>
  <c r="M19" i="1" s="1"/>
  <c r="P7" i="1"/>
  <c r="J19" i="1"/>
  <c r="K24" i="1"/>
  <c r="P12" i="1"/>
  <c r="H24" i="1"/>
  <c r="P9" i="1"/>
  <c r="K21" i="1"/>
  <c r="J21" i="1"/>
  <c r="H23" i="1"/>
  <c r="K23" i="1"/>
  <c r="P11" i="1"/>
  <c r="M13" i="1"/>
  <c r="K13" i="1"/>
  <c r="J17" i="1"/>
  <c r="P5" i="1"/>
  <c r="K17" i="1"/>
  <c r="H17" i="1"/>
  <c r="M17" i="1" s="1"/>
  <c r="N18" i="1"/>
  <c r="M18" i="1"/>
  <c r="I33" i="1" l="1"/>
  <c r="N33" i="1" s="1"/>
  <c r="N23" i="1"/>
  <c r="I37" i="1"/>
  <c r="N37" i="1" s="1"/>
  <c r="H33" i="1"/>
  <c r="M33" i="1" s="1"/>
  <c r="H31" i="1"/>
  <c r="M31" i="1" s="1"/>
  <c r="H36" i="1"/>
  <c r="M36" i="1" s="1"/>
  <c r="M24" i="1"/>
  <c r="N17" i="1"/>
  <c r="I31" i="1"/>
  <c r="N31" i="1" s="1"/>
  <c r="I38" i="1"/>
  <c r="N38" i="1" s="1"/>
  <c r="I34" i="1"/>
  <c r="N34" i="1" s="1"/>
  <c r="N21" i="1"/>
  <c r="I35" i="1"/>
  <c r="N35" i="1" s="1"/>
  <c r="H38" i="1"/>
  <c r="M38" i="1" s="1"/>
  <c r="O19" i="1"/>
  <c r="N22" i="1"/>
  <c r="I36" i="1"/>
  <c r="N36" i="1" s="1"/>
  <c r="M22" i="1"/>
  <c r="O21" i="1"/>
  <c r="P23" i="1"/>
  <c r="M23" i="1"/>
  <c r="N24" i="1"/>
  <c r="K25" i="1"/>
  <c r="P25" i="1" s="1"/>
  <c r="P13" i="1"/>
  <c r="J25" i="1"/>
  <c r="O25" i="1" s="1"/>
  <c r="O22" i="1"/>
  <c r="H25" i="1"/>
  <c r="M25" i="1" s="1"/>
  <c r="P22" i="1"/>
  <c r="P20" i="1"/>
  <c r="P21" i="1"/>
  <c r="P24" i="1"/>
  <c r="I25" i="1"/>
  <c r="N25" i="1" s="1"/>
  <c r="P17" i="1"/>
  <c r="O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PBS&amp;J Employee</author>
  </authors>
  <commentList>
    <comment ref="B7" authorId="0" shapeId="0" xr:uid="{00000000-0006-0000-0100-000001000000}">
      <text>
        <r>
          <rPr>
            <sz val="10"/>
            <color indexed="81"/>
            <rFont val="Tahoma"/>
            <family val="2"/>
          </rPr>
          <t xml:space="preserve">Zeroed out original value.
</t>
        </r>
      </text>
    </comment>
    <comment ref="B8" authorId="0" shapeId="0" xr:uid="{00000000-0006-0000-0100-000002000000}">
      <text>
        <r>
          <rPr>
            <sz val="10"/>
            <color indexed="81"/>
            <rFont val="Tahoma"/>
            <family val="2"/>
          </rPr>
          <t>Zeroed out original value.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<sst xmlns="http://schemas.openxmlformats.org/spreadsheetml/2006/main" count="259" uniqueCount="44">
  <si>
    <t>PERTYPE</t>
  </si>
  <si>
    <t>DAP</t>
  </si>
  <si>
    <t>freq</t>
  </si>
  <si>
    <t>H</t>
  </si>
  <si>
    <t>M</t>
  </si>
  <si>
    <t>N</t>
  </si>
  <si>
    <t>Source: Box\Modeling and Surveys\Development\Travel Model Two Development\Observed Data\RSG_CHTS\CHTS_Summaries\dapSummary.csv</t>
  </si>
  <si>
    <t>Row Labels</t>
  </si>
  <si>
    <t>Grand Total</t>
  </si>
  <si>
    <t>Column Labels</t>
  </si>
  <si>
    <t>Sum of freq</t>
  </si>
  <si>
    <t>Full-time worker</t>
  </si>
  <si>
    <t>Part-time worker</t>
  </si>
  <si>
    <t>University student</t>
  </si>
  <si>
    <t>Non-worker</t>
  </si>
  <si>
    <t>Retired</t>
  </si>
  <si>
    <t>Student of driving age</t>
  </si>
  <si>
    <t>Student of non-driving age</t>
  </si>
  <si>
    <t>Child too young for school</t>
  </si>
  <si>
    <t>California Household Travel Survey</t>
  </si>
  <si>
    <t>Person type</t>
  </si>
  <si>
    <t>Mandatory</t>
  </si>
  <si>
    <t>Non-Mandatory</t>
  </si>
  <si>
    <t>Home</t>
  </si>
  <si>
    <t>Total</t>
  </si>
  <si>
    <t>Model</t>
  </si>
  <si>
    <t>PersonType</t>
  </si>
  <si>
    <t>Model minus Observed</t>
  </si>
  <si>
    <t>Change in Constant</t>
  </si>
  <si>
    <t>New Constant</t>
  </si>
  <si>
    <t>Old Constant</t>
  </si>
  <si>
    <t>dampening</t>
  </si>
  <si>
    <t>Kids</t>
  </si>
  <si>
    <t>Non-workers</t>
  </si>
  <si>
    <t>Students</t>
  </si>
  <si>
    <t>Workers</t>
  </si>
  <si>
    <t>Control calculations</t>
  </si>
  <si>
    <t>Share of Persons</t>
  </si>
  <si>
    <t>SFCTA Adjusted Targets</t>
  </si>
  <si>
    <t>HOUSEHOLD SURVEY SHARES</t>
  </si>
  <si>
    <t>HOUSEHOLD SURVEY</t>
  </si>
  <si>
    <t>Source: M:\Development\Travel Model One\Calibration\Version 03\04 Coordinated Daily Activity Pattern\4cdap_calib_mtccluster_2.xlsx</t>
  </si>
  <si>
    <t>TM1 v03 Target</t>
  </si>
  <si>
    <t xml:space="preserve">Source: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</si>
</sst>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0;[Red]\-0.0000"/>
    <numFmt numFmtId="167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9"/>
      <color indexed="55"/>
      <name val="Calibri"/>
      <family val="2"/>
    </font>
    <font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rgb="FFFF0000"/>
      <name val="Calibri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1" fillId="0" borderId="1" xfId="0" applyNumberFormat="1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0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6" fillId="0" borderId="0" xfId="0" applyFont="1"/>
    <xf numFmtId="165" fontId="0" fillId="0" borderId="0" xfId="0" applyNumberFormat="1"/>
    <xf numFmtId="3" fontId="5" fillId="0" borderId="0" xfId="0" applyNumberFormat="1" applyFont="1" applyFill="1" applyAlignment="1"/>
    <xf numFmtId="3" fontId="7" fillId="0" borderId="0" xfId="0" applyNumberFormat="1" applyFont="1" applyFill="1" applyAlignment="1"/>
    <xf numFmtId="0" fontId="7" fillId="0" borderId="0" xfId="0" applyFont="1" applyFill="1"/>
    <xf numFmtId="166" fontId="1" fillId="0" borderId="0" xfId="0" applyNumberFormat="1" applyFont="1" applyBorder="1"/>
    <xf numFmtId="167" fontId="1" fillId="2" borderId="0" xfId="0" applyNumberFormat="1" applyFont="1" applyFill="1"/>
    <xf numFmtId="166" fontId="1" fillId="0" borderId="1" xfId="0" applyNumberFormat="1" applyFont="1" applyBorder="1"/>
    <xf numFmtId="166" fontId="1" fillId="0" borderId="2" xfId="0" applyNumberFormat="1" applyFont="1" applyBorder="1"/>
    <xf numFmtId="0" fontId="7" fillId="0" borderId="3" xfId="0" applyFont="1" applyBorder="1"/>
    <xf numFmtId="166" fontId="1" fillId="0" borderId="4" xfId="0" applyNumberFormat="1" applyFont="1" applyBorder="1"/>
    <xf numFmtId="0" fontId="7" fillId="0" borderId="5" xfId="0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0" fontId="7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8" xfId="0" applyFont="1" applyBorder="1"/>
    <xf numFmtId="0" fontId="7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6" fillId="0" borderId="0" xfId="1" applyFont="1"/>
    <xf numFmtId="0" fontId="6" fillId="0" borderId="0" xfId="1" applyFont="1" applyFill="1"/>
    <xf numFmtId="164" fontId="9" fillId="0" borderId="0" xfId="1" applyNumberFormat="1" applyFont="1" applyFill="1" applyAlignment="1">
      <alignment horizontal="right" vertical="center"/>
    </xf>
    <xf numFmtId="0" fontId="9" fillId="0" borderId="0" xfId="1" applyFont="1"/>
    <xf numFmtId="164" fontId="6" fillId="3" borderId="0" xfId="1" applyNumberFormat="1" applyFont="1" applyFill="1" applyAlignment="1">
      <alignment horizontal="right" vertical="center"/>
    </xf>
    <xf numFmtId="0" fontId="6" fillId="3" borderId="0" xfId="1" applyFont="1" applyFill="1"/>
    <xf numFmtId="0" fontId="5" fillId="3" borderId="0" xfId="1" applyFont="1" applyFill="1"/>
    <xf numFmtId="164" fontId="6" fillId="0" borderId="0" xfId="2" applyNumberFormat="1" applyFont="1" applyFill="1"/>
    <xf numFmtId="3" fontId="6" fillId="0" borderId="0" xfId="1" applyNumberFormat="1" applyFont="1"/>
    <xf numFmtId="0" fontId="6" fillId="0" borderId="0" xfId="1" applyFont="1" applyFill="1" applyAlignment="1">
      <alignment horizontal="center"/>
    </xf>
    <xf numFmtId="164" fontId="6" fillId="0" borderId="0" xfId="1" applyNumberFormat="1" applyFont="1" applyFill="1" applyAlignment="1">
      <alignment horizontal="right" vertical="center"/>
    </xf>
    <xf numFmtId="3" fontId="5" fillId="0" borderId="0" xfId="1" applyNumberFormat="1" applyFont="1" applyFill="1" applyAlignment="1">
      <alignment horizontal="center"/>
    </xf>
    <xf numFmtId="0" fontId="5" fillId="0" borderId="0" xfId="1" applyFont="1"/>
    <xf numFmtId="164" fontId="6" fillId="3" borderId="0" xfId="1" applyNumberFormat="1" applyFont="1" applyFill="1"/>
    <xf numFmtId="0" fontId="6" fillId="3" borderId="0" xfId="1" applyFont="1" applyFill="1" applyAlignment="1">
      <alignment horizontal="center"/>
    </xf>
    <xf numFmtId="3" fontId="5" fillId="3" borderId="0" xfId="1" applyNumberFormat="1" applyFont="1" applyFill="1" applyAlignment="1">
      <alignment horizontal="center"/>
    </xf>
    <xf numFmtId="164" fontId="6" fillId="3" borderId="0" xfId="2" applyNumberFormat="1" applyFont="1" applyFill="1"/>
    <xf numFmtId="3" fontId="6" fillId="3" borderId="0" xfId="1" applyNumberFormat="1" applyFont="1" applyFill="1"/>
    <xf numFmtId="3" fontId="6" fillId="0" borderId="0" xfId="1" applyNumberFormat="1" applyFont="1" applyFill="1"/>
    <xf numFmtId="9" fontId="6" fillId="0" borderId="0" xfId="2" applyFont="1" applyFill="1"/>
    <xf numFmtId="164" fontId="6" fillId="0" borderId="0" xfId="1" applyNumberFormat="1" applyFont="1" applyFill="1"/>
    <xf numFmtId="165" fontId="8" fillId="0" borderId="0" xfId="1" applyNumberFormat="1" applyFill="1" applyBorder="1"/>
    <xf numFmtId="165" fontId="6" fillId="0" borderId="0" xfId="1" applyNumberFormat="1" applyFont="1" applyFill="1"/>
    <xf numFmtId="165" fontId="8" fillId="0" borderId="0" xfId="1" applyNumberFormat="1" applyFill="1"/>
    <xf numFmtId="0" fontId="13" fillId="0" borderId="0" xfId="1" applyFont="1"/>
    <xf numFmtId="164" fontId="6" fillId="0" borderId="0" xfId="1" applyNumberFormat="1" applyFont="1" applyFill="1" applyAlignment="1">
      <alignment horizontal="right" vertical="center"/>
    </xf>
    <xf numFmtId="3" fontId="5" fillId="0" borderId="0" xfId="1" applyNumberFormat="1" applyFont="1" applyFill="1" applyAlignment="1">
      <alignment horizontal="center"/>
    </xf>
    <xf numFmtId="3" fontId="5" fillId="3" borderId="0" xfId="1" applyNumberFormat="1" applyFont="1" applyFill="1" applyAlignment="1">
      <alignment horizontal="center"/>
    </xf>
    <xf numFmtId="0" fontId="14" fillId="4" borderId="0" xfId="0" applyFont="1" applyFill="1"/>
    <xf numFmtId="0" fontId="15" fillId="4" borderId="0" xfId="0" applyFont="1" applyFill="1"/>
  </cellXfs>
  <cellStyles count="3">
    <cellStyle name="Normal" xfId="0" builtinId="0"/>
    <cellStyle name="Normal 2" xfId="1" xr:uid="{83A0AB90-23CF-41D1-8C82-7D6057588797}"/>
    <cellStyle name="Percent 2" xfId="2" xr:uid="{CB21E4C0-D945-46EE-9A00-BE0A2B1C7632}"/>
  </cellStyles>
  <dxfs count="1"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Activity Pattern by Person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Observed Mandatory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calibration!$B$5:$B$12</c:f>
              <c:strCache>
                <c:ptCount val="8"/>
                <c:pt idx="0">
                  <c:v>Full-time worker</c:v>
                </c:pt>
                <c:pt idx="1">
                  <c:v>Part-time worker</c:v>
                </c:pt>
                <c:pt idx="2">
                  <c:v>University student</c:v>
                </c:pt>
                <c:pt idx="3">
                  <c:v>Non-worker</c:v>
                </c:pt>
                <c:pt idx="4">
                  <c:v>Retired</c:v>
                </c:pt>
                <c:pt idx="5">
                  <c:v>Student of driving age</c:v>
                </c:pt>
                <c:pt idx="6">
                  <c:v>Student of non-driving age</c:v>
                </c:pt>
                <c:pt idx="7">
                  <c:v>Child too young for school</c:v>
                </c:pt>
              </c:strCache>
            </c:strRef>
          </c:cat>
          <c:val>
            <c:numRef>
              <c:f>calibration!$C$5:$C$12</c:f>
              <c:numCache>
                <c:formatCode>#,##0</c:formatCode>
                <c:ptCount val="8"/>
                <c:pt idx="0">
                  <c:v>1764764.9425600001</c:v>
                </c:pt>
                <c:pt idx="1">
                  <c:v>399815.07692999998</c:v>
                </c:pt>
                <c:pt idx="2">
                  <c:v>253890.03575000001</c:v>
                </c:pt>
                <c:pt idx="3">
                  <c:v>0</c:v>
                </c:pt>
                <c:pt idx="4">
                  <c:v>0</c:v>
                </c:pt>
                <c:pt idx="5">
                  <c:v>123094.58867</c:v>
                </c:pt>
                <c:pt idx="6">
                  <c:v>665066.56470999995</c:v>
                </c:pt>
                <c:pt idx="7">
                  <c:v>138048.92214000001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8D5-B274-B62062C07971}"/>
            </c:ext>
          </c:extLst>
        </c:ser>
        <c:ser>
          <c:idx val="1"/>
          <c:order val="1"/>
          <c:tx>
            <c:v>Observed Non-Mandatory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calibration!$B$5:$B$12</c:f>
              <c:strCache>
                <c:ptCount val="8"/>
                <c:pt idx="0">
                  <c:v>Full-time worker</c:v>
                </c:pt>
                <c:pt idx="1">
                  <c:v>Part-time worker</c:v>
                </c:pt>
                <c:pt idx="2">
                  <c:v>University student</c:v>
                </c:pt>
                <c:pt idx="3">
                  <c:v>Non-worker</c:v>
                </c:pt>
                <c:pt idx="4">
                  <c:v>Retired</c:v>
                </c:pt>
                <c:pt idx="5">
                  <c:v>Student of driving age</c:v>
                </c:pt>
                <c:pt idx="6">
                  <c:v>Student of non-driving age</c:v>
                </c:pt>
                <c:pt idx="7">
                  <c:v>Child too young for school</c:v>
                </c:pt>
              </c:strCache>
            </c:strRef>
          </c:cat>
          <c:val>
            <c:numRef>
              <c:f>calibration!$D$5:$D$12</c:f>
              <c:numCache>
                <c:formatCode>#,##0</c:formatCode>
                <c:ptCount val="8"/>
                <c:pt idx="0">
                  <c:v>311834.03589</c:v>
                </c:pt>
                <c:pt idx="1">
                  <c:v>222095.845</c:v>
                </c:pt>
                <c:pt idx="2">
                  <c:v>114521.02589</c:v>
                </c:pt>
                <c:pt idx="3">
                  <c:v>703148.28908000002</c:v>
                </c:pt>
                <c:pt idx="4">
                  <c:v>455344.47132999997</c:v>
                </c:pt>
                <c:pt idx="5">
                  <c:v>17712.811699999998</c:v>
                </c:pt>
                <c:pt idx="6">
                  <c:v>64858.529419999999</c:v>
                </c:pt>
                <c:pt idx="7">
                  <c:v>145623.69245999999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6-48D5-B274-B62062C07971}"/>
            </c:ext>
          </c:extLst>
        </c:ser>
        <c:ser>
          <c:idx val="2"/>
          <c:order val="2"/>
          <c:tx>
            <c:v>Observed Home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calibration!$B$5:$B$12</c:f>
              <c:strCache>
                <c:ptCount val="8"/>
                <c:pt idx="0">
                  <c:v>Full-time worker</c:v>
                </c:pt>
                <c:pt idx="1">
                  <c:v>Part-time worker</c:v>
                </c:pt>
                <c:pt idx="2">
                  <c:v>University student</c:v>
                </c:pt>
                <c:pt idx="3">
                  <c:v>Non-worker</c:v>
                </c:pt>
                <c:pt idx="4">
                  <c:v>Retired</c:v>
                </c:pt>
                <c:pt idx="5">
                  <c:v>Student of driving age</c:v>
                </c:pt>
                <c:pt idx="6">
                  <c:v>Student of non-driving age</c:v>
                </c:pt>
                <c:pt idx="7">
                  <c:v>Child too young for school</c:v>
                </c:pt>
              </c:strCache>
            </c:strRef>
          </c:cat>
          <c:val>
            <c:numRef>
              <c:f>calibration!$E$5:$E$12</c:f>
              <c:numCache>
                <c:formatCode>#,##0</c:formatCode>
                <c:ptCount val="8"/>
                <c:pt idx="0">
                  <c:v>326361.05397000001</c:v>
                </c:pt>
                <c:pt idx="1">
                  <c:v>102734.63729</c:v>
                </c:pt>
                <c:pt idx="2">
                  <c:v>96401.815900000001</c:v>
                </c:pt>
                <c:pt idx="3">
                  <c:v>289890.71801000001</c:v>
                </c:pt>
                <c:pt idx="4">
                  <c:v>274075.47892000002</c:v>
                </c:pt>
                <c:pt idx="5">
                  <c:v>17630.20679</c:v>
                </c:pt>
                <c:pt idx="6">
                  <c:v>85466.730259999997</c:v>
                </c:pt>
                <c:pt idx="7">
                  <c:v>121625.49533999999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6-48D5-B274-B62062C0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04104816"/>
        <c:axId val="404104032"/>
      </c:barChart>
      <c:barChart>
        <c:barDir val="col"/>
        <c:grouping val="percentStacked"/>
        <c:varyColors val="0"/>
        <c:ser>
          <c:idx val="3"/>
          <c:order val="3"/>
          <c:tx>
            <c:v>Modeled Mandatory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calibration!$H$5:$H$12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6-48D5-B274-B62062C07971}"/>
            </c:ext>
          </c:extLst>
        </c:ser>
        <c:ser>
          <c:idx val="4"/>
          <c:order val="4"/>
          <c:tx>
            <c:v>Modeled Non-Mandatory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calibration!$I$5:$I$12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6-48D5-B274-B62062C07971}"/>
            </c:ext>
          </c:extLst>
        </c:ser>
        <c:ser>
          <c:idx val="5"/>
          <c:order val="5"/>
          <c:tx>
            <c:v>Modeled Home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calibration!$J$5:$J$12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96-48D5-B274-B62062C0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434883160"/>
        <c:axId val="-434884728"/>
      </c:barChart>
      <c:catAx>
        <c:axId val="4041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4032"/>
        <c:crosses val="autoZero"/>
        <c:auto val="1"/>
        <c:lblAlgn val="ctr"/>
        <c:lblOffset val="100"/>
        <c:noMultiLvlLbl val="0"/>
      </c:catAx>
      <c:valAx>
        <c:axId val="4041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4816"/>
        <c:crosses val="autoZero"/>
        <c:crossBetween val="between"/>
      </c:valAx>
      <c:valAx>
        <c:axId val="-4348847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83160"/>
        <c:crosses val="max"/>
        <c:crossBetween val="between"/>
      </c:valAx>
      <c:catAx>
        <c:axId val="-434883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43488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72827596734806"/>
          <c:y val="0.7811924566134878"/>
          <c:w val="0.51629651946214361"/>
          <c:h val="7.1055068043056682E-2"/>
        </c:manualLayout>
      </c:layout>
      <c:overlay val="1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el-model-one-calib1.5.2/model-files/model/CoordinatedDailyActivityPatter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OnePerson"/>
      <sheetName val="TwoPeople"/>
      <sheetName val="ThreePeople"/>
      <sheetName val="AllMemberInteraction"/>
      <sheetName val="Debug.OnePerson.A"/>
      <sheetName val="Debug.OnePerson.B"/>
      <sheetName val="Debug.TwoPeople.A"/>
      <sheetName val="Debug.TwoPeople.B"/>
      <sheetName val="Debug.ThreePeople.A"/>
      <sheetName val="Debug.ThreePeople.B"/>
      <sheetName val="Debug.AllMemberInteraction.A"/>
      <sheetName val="Debug.Aggregation.2"/>
      <sheetName val="Debug.Aggregation.3"/>
      <sheetName val="Debug.Aggregation.4"/>
    </sheetNames>
    <sheetDataSet>
      <sheetData sheetId="0" refreshError="1"/>
      <sheetData sheetId="1">
        <row r="31">
          <cell r="G31">
            <v>1.3787345787316232</v>
          </cell>
          <cell r="H31">
            <v>0.62266239059308248</v>
          </cell>
        </row>
        <row r="32">
          <cell r="G32">
            <v>-0.71882373831278568</v>
          </cell>
          <cell r="H32">
            <v>0.63603246691290372</v>
          </cell>
        </row>
        <row r="33">
          <cell r="G33">
            <v>2.3535951758919054</v>
          </cell>
          <cell r="H33">
            <v>0.60970984562298092</v>
          </cell>
        </row>
        <row r="34">
          <cell r="G34">
            <v>-999</v>
          </cell>
          <cell r="H34">
            <v>0.59464538581303306</v>
          </cell>
        </row>
        <row r="35">
          <cell r="G35">
            <v>-999</v>
          </cell>
          <cell r="H35">
            <v>0.40820207084886062</v>
          </cell>
        </row>
        <row r="36">
          <cell r="G36">
            <v>2.3309186846816501</v>
          </cell>
          <cell r="H36">
            <v>-0.59911911193768941</v>
          </cell>
        </row>
        <row r="37">
          <cell r="G37">
            <v>3.295863529134671</v>
          </cell>
          <cell r="H37">
            <v>0.57142434001867992</v>
          </cell>
        </row>
        <row r="38">
          <cell r="G38">
            <v>1.052531188769779</v>
          </cell>
          <cell r="H38">
            <v>-0.83756777620038314</v>
          </cell>
        </row>
        <row r="73">
          <cell r="H73">
            <v>7.2069999999999995E-2</v>
          </cell>
        </row>
        <row r="74">
          <cell r="H74">
            <v>7.2069999999999995E-2</v>
          </cell>
        </row>
        <row r="75">
          <cell r="H75">
            <v>7.2069999999999995E-2</v>
          </cell>
        </row>
        <row r="76">
          <cell r="H76">
            <v>8.233E-2</v>
          </cell>
        </row>
        <row r="77">
          <cell r="H77">
            <v>8.233E-2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Zorn" refreshedDate="43430.767541435183" createdVersion="5" refreshedVersion="5" minRefreshableVersion="3" recordCount="22" xr:uid="{00000000-000A-0000-FFFF-FFFF11000000}">
  <cacheSource type="worksheet">
    <worksheetSource ref="C2:E24" sheet="CHTS"/>
  </cacheSource>
  <cacheFields count="3">
    <cacheField name="PERTYP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AP" numFmtId="0">
      <sharedItems count="3">
        <s v="H"/>
        <s v="M"/>
        <s v="N"/>
      </sharedItems>
    </cacheField>
    <cacheField name="freq" numFmtId="0">
      <sharedItems containsSemiMixedTypes="0" containsString="0" containsNumber="1" minValue="17630.20679" maxValue="1764764.94256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326361.05397000001"/>
  </r>
  <r>
    <x v="0"/>
    <x v="1"/>
    <n v="1764764.9425600001"/>
  </r>
  <r>
    <x v="0"/>
    <x v="2"/>
    <n v="311834.03589"/>
  </r>
  <r>
    <x v="1"/>
    <x v="0"/>
    <n v="102734.63729"/>
  </r>
  <r>
    <x v="1"/>
    <x v="1"/>
    <n v="399815.07692999998"/>
  </r>
  <r>
    <x v="1"/>
    <x v="2"/>
    <n v="222095.845"/>
  </r>
  <r>
    <x v="2"/>
    <x v="0"/>
    <n v="96401.815900000001"/>
  </r>
  <r>
    <x v="2"/>
    <x v="1"/>
    <n v="253890.03575000001"/>
  </r>
  <r>
    <x v="2"/>
    <x v="2"/>
    <n v="114521.02589"/>
  </r>
  <r>
    <x v="3"/>
    <x v="0"/>
    <n v="289890.71801000001"/>
  </r>
  <r>
    <x v="3"/>
    <x v="2"/>
    <n v="703148.28908000002"/>
  </r>
  <r>
    <x v="4"/>
    <x v="0"/>
    <n v="274075.47892000002"/>
  </r>
  <r>
    <x v="4"/>
    <x v="2"/>
    <n v="455344.47132999997"/>
  </r>
  <r>
    <x v="5"/>
    <x v="0"/>
    <n v="17630.20679"/>
  </r>
  <r>
    <x v="5"/>
    <x v="1"/>
    <n v="123094.58867"/>
  </r>
  <r>
    <x v="5"/>
    <x v="2"/>
    <n v="17712.811699999998"/>
  </r>
  <r>
    <x v="6"/>
    <x v="0"/>
    <n v="85466.730259999997"/>
  </r>
  <r>
    <x v="6"/>
    <x v="1"/>
    <n v="665066.56470999995"/>
  </r>
  <r>
    <x v="6"/>
    <x v="2"/>
    <n v="64858.529419999999"/>
  </r>
  <r>
    <x v="7"/>
    <x v="0"/>
    <n v="121625.49533999999"/>
  </r>
  <r>
    <x v="7"/>
    <x v="1"/>
    <n v="138048.92214000001"/>
  </r>
  <r>
    <x v="7"/>
    <x v="2"/>
    <n v="145623.69245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5:M15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freq" fld="2" baseField="0" baseItem="0" numFmtId="3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2:P77"/>
  <sheetViews>
    <sheetView tabSelected="1" topLeftCell="A37" workbookViewId="0">
      <selection activeCell="I80" sqref="I80"/>
    </sheetView>
  </sheetViews>
  <sheetFormatPr defaultRowHeight="12.75" x14ac:dyDescent="0.2"/>
  <cols>
    <col min="1" max="1" width="9.140625" style="1"/>
    <col min="2" max="2" width="24.5703125" style="1" customWidth="1"/>
    <col min="3" max="3" width="11.42578125" style="1" customWidth="1"/>
    <col min="4" max="4" width="14" style="1" customWidth="1"/>
    <col min="5" max="6" width="11.42578125" style="1" customWidth="1"/>
    <col min="7" max="7" width="5.140625" style="1" customWidth="1"/>
    <col min="8" max="8" width="11.140625" style="1" customWidth="1"/>
    <col min="9" max="9" width="14.140625" style="1" customWidth="1"/>
    <col min="10" max="10" width="11.28515625" style="1" customWidth="1"/>
    <col min="11" max="11" width="9.140625" style="1"/>
    <col min="12" max="12" width="4.5703125" style="1" customWidth="1"/>
    <col min="13" max="14" width="13.5703125" style="1" customWidth="1"/>
    <col min="15" max="15" width="10.7109375" style="1" customWidth="1"/>
    <col min="16" max="16384" width="9.140625" style="1"/>
  </cols>
  <sheetData>
    <row r="2" spans="1:16" s="76" customFormat="1" x14ac:dyDescent="0.2">
      <c r="B2" s="77" t="s">
        <v>19</v>
      </c>
      <c r="H2" s="77" t="s">
        <v>25</v>
      </c>
      <c r="M2" s="77" t="s">
        <v>27</v>
      </c>
    </row>
    <row r="3" spans="1:16" x14ac:dyDescent="0.2">
      <c r="C3" s="8" t="s">
        <v>4</v>
      </c>
      <c r="D3" s="8" t="s">
        <v>5</v>
      </c>
      <c r="E3" s="8" t="s">
        <v>3</v>
      </c>
    </row>
    <row r="4" spans="1:16" x14ac:dyDescent="0.2">
      <c r="B4" s="1" t="s">
        <v>20</v>
      </c>
      <c r="C4" s="7" t="s">
        <v>21</v>
      </c>
      <c r="D4" s="7" t="s">
        <v>22</v>
      </c>
      <c r="E4" s="7" t="s">
        <v>23</v>
      </c>
      <c r="F4" s="1" t="s">
        <v>24</v>
      </c>
      <c r="H4" s="7" t="s">
        <v>21</v>
      </c>
      <c r="I4" s="7" t="s">
        <v>22</v>
      </c>
      <c r="J4" s="7" t="s">
        <v>23</v>
      </c>
      <c r="K4" s="1" t="s">
        <v>24</v>
      </c>
      <c r="M4" s="7" t="s">
        <v>21</v>
      </c>
      <c r="N4" s="7" t="s">
        <v>22</v>
      </c>
      <c r="O4" s="7" t="s">
        <v>23</v>
      </c>
      <c r="P4" s="1" t="s">
        <v>24</v>
      </c>
    </row>
    <row r="5" spans="1:16" x14ac:dyDescent="0.2">
      <c r="A5" s="8">
        <v>1</v>
      </c>
      <c r="B5" s="1" t="s">
        <v>11</v>
      </c>
      <c r="C5" s="9">
        <f>GETPIVOTDATA("freq",CHTS!$I$5,"PERTYPE",$A5,"DAP",C$3)</f>
        <v>1764764.9425600001</v>
      </c>
      <c r="D5" s="10">
        <f>GETPIVOTDATA("freq",CHTS!$I$5,"PERTYPE",$A5,"DAP",D$3)</f>
        <v>311834.03589</v>
      </c>
      <c r="E5" s="11">
        <f>GETPIVOTDATA("freq",CHTS!$I$5,"PERTYPE",$A5,"DAP",E$3)</f>
        <v>326361.05397000001</v>
      </c>
      <c r="F5" s="5">
        <f>GETPIVOTDATA("freq",CHTS!$I$5,"PERTYPE",$A5)</f>
        <v>2402960.0324200001</v>
      </c>
      <c r="H5" s="9">
        <f>modeldata!C3</f>
        <v>1</v>
      </c>
      <c r="I5" s="10">
        <f>modeldata!D3</f>
        <v>1</v>
      </c>
      <c r="J5" s="11">
        <f>modeldata!B3</f>
        <v>1</v>
      </c>
      <c r="K5" s="5">
        <f>SUM(H5:J5)</f>
        <v>3</v>
      </c>
      <c r="M5" s="9">
        <f>IFERROR(H5-C5,0)</f>
        <v>-1764763.9425600001</v>
      </c>
      <c r="N5" s="10">
        <f t="shared" ref="N5:N13" si="0">IFERROR(I5-D5,0)</f>
        <v>-311833.03589</v>
      </c>
      <c r="O5" s="11">
        <f t="shared" ref="O5:O13" si="1">IFERROR(J5-E5,0)</f>
        <v>-326360.05397000001</v>
      </c>
      <c r="P5" s="5">
        <f t="shared" ref="P5:P13" si="2">IFERROR(K5-F5,0)</f>
        <v>-2402957.0324200001</v>
      </c>
    </row>
    <row r="6" spans="1:16" x14ac:dyDescent="0.2">
      <c r="A6" s="8">
        <v>2</v>
      </c>
      <c r="B6" s="1" t="s">
        <v>12</v>
      </c>
      <c r="C6" s="12">
        <f>GETPIVOTDATA("freq",CHTS!$I$5,"PERTYPE",$A6,"DAP",C$3)</f>
        <v>399815.07692999998</v>
      </c>
      <c r="D6" s="13">
        <f>GETPIVOTDATA("freq",CHTS!$I$5,"PERTYPE",$A6,"DAP",D$3)</f>
        <v>222095.845</v>
      </c>
      <c r="E6" s="14">
        <f>GETPIVOTDATA("freq",CHTS!$I$5,"PERTYPE",$A6,"DAP",E$3)</f>
        <v>102734.63729</v>
      </c>
      <c r="F6" s="5">
        <f>GETPIVOTDATA("freq",CHTS!$I$5,"PERTYPE",$A6)</f>
        <v>724645.55921999994</v>
      </c>
      <c r="H6" s="12">
        <f>modeldata!C4</f>
        <v>1</v>
      </c>
      <c r="I6" s="13">
        <f>modeldata!D4</f>
        <v>1</v>
      </c>
      <c r="J6" s="14">
        <f>modeldata!B4</f>
        <v>1</v>
      </c>
      <c r="K6" s="5">
        <f t="shared" ref="K6:K12" si="3">SUM(H6:J6)</f>
        <v>3</v>
      </c>
      <c r="M6" s="12">
        <f t="shared" ref="M6:M13" si="4">IFERROR(H6-C6,0)</f>
        <v>-399814.07692999998</v>
      </c>
      <c r="N6" s="13">
        <f t="shared" si="0"/>
        <v>-222094.845</v>
      </c>
      <c r="O6" s="14">
        <f t="shared" si="1"/>
        <v>-102733.63729</v>
      </c>
      <c r="P6" s="5">
        <f t="shared" si="2"/>
        <v>-724642.55921999994</v>
      </c>
    </row>
    <row r="7" spans="1:16" x14ac:dyDescent="0.2">
      <c r="A7" s="8">
        <v>3</v>
      </c>
      <c r="B7" s="1" t="s">
        <v>13</v>
      </c>
      <c r="C7" s="12">
        <f>GETPIVOTDATA("freq",CHTS!$I$5,"PERTYPE",$A7,"DAP",C$3)</f>
        <v>253890.03575000001</v>
      </c>
      <c r="D7" s="13">
        <f>GETPIVOTDATA("freq",CHTS!$I$5,"PERTYPE",$A7,"DAP",D$3)</f>
        <v>114521.02589</v>
      </c>
      <c r="E7" s="14">
        <f>GETPIVOTDATA("freq",CHTS!$I$5,"PERTYPE",$A7,"DAP",E$3)</f>
        <v>96401.815900000001</v>
      </c>
      <c r="F7" s="5">
        <f>GETPIVOTDATA("freq",CHTS!$I$5,"PERTYPE",$A7)</f>
        <v>464812.87754000002</v>
      </c>
      <c r="H7" s="12">
        <f>modeldata!C5</f>
        <v>1</v>
      </c>
      <c r="I7" s="13">
        <f>modeldata!D5</f>
        <v>1</v>
      </c>
      <c r="J7" s="14">
        <f>modeldata!B5</f>
        <v>1</v>
      </c>
      <c r="K7" s="5">
        <f t="shared" si="3"/>
        <v>3</v>
      </c>
      <c r="M7" s="12">
        <f t="shared" si="4"/>
        <v>-253889.03575000001</v>
      </c>
      <c r="N7" s="13">
        <f t="shared" si="0"/>
        <v>-114520.02589</v>
      </c>
      <c r="O7" s="14">
        <f t="shared" si="1"/>
        <v>-96400.815900000001</v>
      </c>
      <c r="P7" s="5">
        <f t="shared" si="2"/>
        <v>-464809.87754000002</v>
      </c>
    </row>
    <row r="8" spans="1:16" x14ac:dyDescent="0.2">
      <c r="A8" s="8">
        <v>4</v>
      </c>
      <c r="B8" s="1" t="s">
        <v>14</v>
      </c>
      <c r="C8" s="12">
        <f>GETPIVOTDATA("freq",CHTS!$I$5,"PERTYPE",$A8,"DAP",C$3)</f>
        <v>0</v>
      </c>
      <c r="D8" s="13">
        <f>GETPIVOTDATA("freq",CHTS!$I$5,"PERTYPE",$A8,"DAP",D$3)</f>
        <v>703148.28908000002</v>
      </c>
      <c r="E8" s="14">
        <f>GETPIVOTDATA("freq",CHTS!$I$5,"PERTYPE",$A8,"DAP",E$3)</f>
        <v>289890.71801000001</v>
      </c>
      <c r="F8" s="5">
        <f>GETPIVOTDATA("freq",CHTS!$I$5,"PERTYPE",$A8)</f>
        <v>993039.00708999997</v>
      </c>
      <c r="H8" s="12">
        <f>modeldata!C6</f>
        <v>1</v>
      </c>
      <c r="I8" s="13">
        <f>modeldata!D6</f>
        <v>1</v>
      </c>
      <c r="J8" s="14">
        <f>modeldata!B6</f>
        <v>1</v>
      </c>
      <c r="K8" s="5">
        <f t="shared" si="3"/>
        <v>3</v>
      </c>
      <c r="M8" s="12">
        <f t="shared" si="4"/>
        <v>1</v>
      </c>
      <c r="N8" s="13">
        <f t="shared" si="0"/>
        <v>-703147.28908000002</v>
      </c>
      <c r="O8" s="14">
        <f t="shared" si="1"/>
        <v>-289889.71801000001</v>
      </c>
      <c r="P8" s="5">
        <f t="shared" si="2"/>
        <v>-993036.00708999997</v>
      </c>
    </row>
    <row r="9" spans="1:16" x14ac:dyDescent="0.2">
      <c r="A9" s="8">
        <v>5</v>
      </c>
      <c r="B9" s="1" t="s">
        <v>15</v>
      </c>
      <c r="C9" s="12">
        <f>GETPIVOTDATA("freq",CHTS!$I$5,"PERTYPE",$A9,"DAP",C$3)</f>
        <v>0</v>
      </c>
      <c r="D9" s="13">
        <f>GETPIVOTDATA("freq",CHTS!$I$5,"PERTYPE",$A9,"DAP",D$3)</f>
        <v>455344.47132999997</v>
      </c>
      <c r="E9" s="14">
        <f>GETPIVOTDATA("freq",CHTS!$I$5,"PERTYPE",$A9,"DAP",E$3)</f>
        <v>274075.47892000002</v>
      </c>
      <c r="F9" s="5">
        <f>GETPIVOTDATA("freq",CHTS!$I$5,"PERTYPE",$A9)</f>
        <v>729419.95024999999</v>
      </c>
      <c r="H9" s="12">
        <f>modeldata!C7</f>
        <v>1</v>
      </c>
      <c r="I9" s="13">
        <f>modeldata!D7</f>
        <v>1</v>
      </c>
      <c r="J9" s="14">
        <f>modeldata!B7</f>
        <v>1</v>
      </c>
      <c r="K9" s="5">
        <f t="shared" si="3"/>
        <v>3</v>
      </c>
      <c r="M9" s="12">
        <f t="shared" si="4"/>
        <v>1</v>
      </c>
      <c r="N9" s="13">
        <f t="shared" si="0"/>
        <v>-455343.47132999997</v>
      </c>
      <c r="O9" s="14">
        <f t="shared" si="1"/>
        <v>-274074.47892000002</v>
      </c>
      <c r="P9" s="5">
        <f t="shared" si="2"/>
        <v>-729416.95024999999</v>
      </c>
    </row>
    <row r="10" spans="1:16" x14ac:dyDescent="0.2">
      <c r="A10" s="8">
        <v>6</v>
      </c>
      <c r="B10" s="1" t="s">
        <v>16</v>
      </c>
      <c r="C10" s="12">
        <f>GETPIVOTDATA("freq",CHTS!$I$5,"PERTYPE",$A10,"DAP",C$3)</f>
        <v>123094.58867</v>
      </c>
      <c r="D10" s="13">
        <f>GETPIVOTDATA("freq",CHTS!$I$5,"PERTYPE",$A10,"DAP",D$3)</f>
        <v>17712.811699999998</v>
      </c>
      <c r="E10" s="14">
        <f>GETPIVOTDATA("freq",CHTS!$I$5,"PERTYPE",$A10,"DAP",E$3)</f>
        <v>17630.20679</v>
      </c>
      <c r="F10" s="5">
        <f>GETPIVOTDATA("freq",CHTS!$I$5,"PERTYPE",$A10)</f>
        <v>158437.60715999999</v>
      </c>
      <c r="H10" s="12">
        <f>modeldata!C8</f>
        <v>1</v>
      </c>
      <c r="I10" s="13">
        <f>modeldata!D8</f>
        <v>1</v>
      </c>
      <c r="J10" s="14">
        <f>modeldata!B8</f>
        <v>1</v>
      </c>
      <c r="K10" s="5">
        <f t="shared" si="3"/>
        <v>3</v>
      </c>
      <c r="M10" s="12">
        <f t="shared" si="4"/>
        <v>-123093.58867</v>
      </c>
      <c r="N10" s="13">
        <f t="shared" si="0"/>
        <v>-17711.811699999998</v>
      </c>
      <c r="O10" s="14">
        <f t="shared" si="1"/>
        <v>-17629.20679</v>
      </c>
      <c r="P10" s="5">
        <f t="shared" si="2"/>
        <v>-158434.60715999999</v>
      </c>
    </row>
    <row r="11" spans="1:16" x14ac:dyDescent="0.2">
      <c r="A11" s="8">
        <v>7</v>
      </c>
      <c r="B11" s="1" t="s">
        <v>17</v>
      </c>
      <c r="C11" s="12">
        <f>GETPIVOTDATA("freq",CHTS!$I$5,"PERTYPE",$A11,"DAP",C$3)</f>
        <v>665066.56470999995</v>
      </c>
      <c r="D11" s="13">
        <f>GETPIVOTDATA("freq",CHTS!$I$5,"PERTYPE",$A11,"DAP",D$3)</f>
        <v>64858.529419999999</v>
      </c>
      <c r="E11" s="14">
        <f>GETPIVOTDATA("freq",CHTS!$I$5,"PERTYPE",$A11,"DAP",E$3)</f>
        <v>85466.730259999997</v>
      </c>
      <c r="F11" s="5">
        <f>GETPIVOTDATA("freq",CHTS!$I$5,"PERTYPE",$A11)</f>
        <v>815391.82438999997</v>
      </c>
      <c r="H11" s="12">
        <f>modeldata!C9</f>
        <v>1</v>
      </c>
      <c r="I11" s="13">
        <f>modeldata!D9</f>
        <v>1</v>
      </c>
      <c r="J11" s="14">
        <f>modeldata!B9</f>
        <v>1</v>
      </c>
      <c r="K11" s="5">
        <f t="shared" si="3"/>
        <v>3</v>
      </c>
      <c r="M11" s="12">
        <f t="shared" si="4"/>
        <v>-665065.56470999995</v>
      </c>
      <c r="N11" s="13">
        <f t="shared" si="0"/>
        <v>-64857.529419999999</v>
      </c>
      <c r="O11" s="14">
        <f t="shared" si="1"/>
        <v>-85465.730259999997</v>
      </c>
      <c r="P11" s="5">
        <f t="shared" si="2"/>
        <v>-815388.82438999997</v>
      </c>
    </row>
    <row r="12" spans="1:16" x14ac:dyDescent="0.2">
      <c r="A12" s="8">
        <v>8</v>
      </c>
      <c r="B12" s="1" t="s">
        <v>18</v>
      </c>
      <c r="C12" s="15">
        <f>GETPIVOTDATA("freq",CHTS!$I$5,"PERTYPE",$A12,"DAP",C$3)</f>
        <v>138048.92214000001</v>
      </c>
      <c r="D12" s="16">
        <f>GETPIVOTDATA("freq",CHTS!$I$5,"PERTYPE",$A12,"DAP",D$3)</f>
        <v>145623.69245999999</v>
      </c>
      <c r="E12" s="17">
        <f>GETPIVOTDATA("freq",CHTS!$I$5,"PERTYPE",$A12,"DAP",E$3)</f>
        <v>121625.49533999999</v>
      </c>
      <c r="F12" s="5">
        <f>GETPIVOTDATA("freq",CHTS!$I$5,"PERTYPE",$A12)</f>
        <v>405298.10993999999</v>
      </c>
      <c r="H12" s="15">
        <f>modeldata!C10</f>
        <v>1</v>
      </c>
      <c r="I12" s="16">
        <f>modeldata!D10</f>
        <v>1</v>
      </c>
      <c r="J12" s="17">
        <f>modeldata!B10</f>
        <v>1</v>
      </c>
      <c r="K12" s="5">
        <f t="shared" si="3"/>
        <v>3</v>
      </c>
      <c r="M12" s="15">
        <f t="shared" si="4"/>
        <v>-138047.92214000001</v>
      </c>
      <c r="N12" s="16">
        <f t="shared" si="0"/>
        <v>-145622.69245999999</v>
      </c>
      <c r="O12" s="17">
        <f t="shared" si="1"/>
        <v>-121624.49533999999</v>
      </c>
      <c r="P12" s="5">
        <f t="shared" si="2"/>
        <v>-405295.10993999999</v>
      </c>
    </row>
    <row r="13" spans="1:16" x14ac:dyDescent="0.2">
      <c r="B13" s="1" t="s">
        <v>24</v>
      </c>
      <c r="C13" s="5">
        <f>GETPIVOTDATA("freq",CHTS!$I$5,"DAP",C$3)</f>
        <v>3344680.1307599996</v>
      </c>
      <c r="D13" s="5">
        <f>GETPIVOTDATA("freq",CHTS!$I$5,"DAP",D$3)</f>
        <v>2035138.70077</v>
      </c>
      <c r="E13" s="5">
        <f>GETPIVOTDATA("freq",CHTS!$I$5,"DAP",E$3)</f>
        <v>1314186.1364800001</v>
      </c>
      <c r="F13" s="5">
        <f>GETPIVOTDATA("freq",CHTS!$I$5)</f>
        <v>6694004.968009999</v>
      </c>
      <c r="H13" s="5">
        <f>SUM(H5:H12)</f>
        <v>8</v>
      </c>
      <c r="I13" s="5">
        <f t="shared" ref="I13:K13" si="5">SUM(I5:I12)</f>
        <v>8</v>
      </c>
      <c r="J13" s="5">
        <f t="shared" si="5"/>
        <v>8</v>
      </c>
      <c r="K13" s="5">
        <f t="shared" si="5"/>
        <v>24</v>
      </c>
      <c r="M13" s="5">
        <f t="shared" si="4"/>
        <v>-3344672.1307599996</v>
      </c>
      <c r="N13" s="5">
        <f t="shared" si="0"/>
        <v>-2035130.70077</v>
      </c>
      <c r="O13" s="5">
        <f t="shared" si="1"/>
        <v>-1314178.1364800001</v>
      </c>
      <c r="P13" s="5">
        <f t="shared" si="2"/>
        <v>-6693980.968009999</v>
      </c>
    </row>
    <row r="16" spans="1:16" x14ac:dyDescent="0.2">
      <c r="B16" s="1" t="s">
        <v>20</v>
      </c>
      <c r="C16" s="7" t="s">
        <v>21</v>
      </c>
      <c r="D16" s="7" t="s">
        <v>22</v>
      </c>
      <c r="E16" s="7" t="s">
        <v>23</v>
      </c>
      <c r="F16" s="1" t="s">
        <v>24</v>
      </c>
      <c r="H16" s="7" t="s">
        <v>21</v>
      </c>
      <c r="I16" s="7" t="s">
        <v>22</v>
      </c>
      <c r="J16" s="7" t="s">
        <v>23</v>
      </c>
      <c r="K16" s="1" t="s">
        <v>24</v>
      </c>
      <c r="M16" s="7" t="s">
        <v>21</v>
      </c>
      <c r="N16" s="7" t="s">
        <v>22</v>
      </c>
      <c r="O16" s="7" t="s">
        <v>23</v>
      </c>
      <c r="P16" s="1" t="s">
        <v>24</v>
      </c>
    </row>
    <row r="17" spans="2:16" x14ac:dyDescent="0.2">
      <c r="B17" s="1" t="s">
        <v>11</v>
      </c>
      <c r="C17" s="19">
        <f>C5/$F5</f>
        <v>0.73441294018640868</v>
      </c>
      <c r="D17" s="20">
        <f t="shared" ref="D17:F17" si="6">D5/$F5</f>
        <v>0.12977079588625312</v>
      </c>
      <c r="E17" s="21">
        <f t="shared" si="6"/>
        <v>0.13581626392733825</v>
      </c>
      <c r="F17" s="18">
        <f t="shared" si="6"/>
        <v>1</v>
      </c>
      <c r="H17" s="19">
        <f>IFERROR(H5/$K5,0)</f>
        <v>0.33333333333333331</v>
      </c>
      <c r="I17" s="20">
        <f t="shared" ref="I17:K17" si="7">IFERROR(I5/$K5,0)</f>
        <v>0.33333333333333331</v>
      </c>
      <c r="J17" s="21">
        <f t="shared" si="7"/>
        <v>0.33333333333333331</v>
      </c>
      <c r="K17" s="18">
        <f t="shared" si="7"/>
        <v>1</v>
      </c>
      <c r="M17" s="19">
        <f>IFERROR(H17-C17,0)</f>
        <v>-0.40107960685307537</v>
      </c>
      <c r="N17" s="20">
        <f t="shared" ref="N17:N25" si="8">IFERROR(I17-D17,0)</f>
        <v>0.20356253744708019</v>
      </c>
      <c r="O17" s="21">
        <f t="shared" ref="O17:O25" si="9">IFERROR(J17-E17,0)</f>
        <v>0.19751706940599506</v>
      </c>
      <c r="P17" s="18">
        <f t="shared" ref="P17:P25" si="10">IFERROR(K17-F17,0)</f>
        <v>0</v>
      </c>
    </row>
    <row r="18" spans="2:16" x14ac:dyDescent="0.2">
      <c r="B18" s="1" t="s">
        <v>12</v>
      </c>
      <c r="C18" s="22">
        <f t="shared" ref="C18:F18" si="11">C6/$F6</f>
        <v>0.55173880781158213</v>
      </c>
      <c r="D18" s="23">
        <f t="shared" si="11"/>
        <v>0.30648893403702271</v>
      </c>
      <c r="E18" s="24">
        <f t="shared" si="11"/>
        <v>0.14177225815139524</v>
      </c>
      <c r="F18" s="18">
        <f t="shared" si="11"/>
        <v>1</v>
      </c>
      <c r="H18" s="22">
        <f t="shared" ref="H18:K18" si="12">IFERROR(H6/$K6,0)</f>
        <v>0.33333333333333331</v>
      </c>
      <c r="I18" s="23">
        <f t="shared" si="12"/>
        <v>0.33333333333333331</v>
      </c>
      <c r="J18" s="24">
        <f t="shared" si="12"/>
        <v>0.33333333333333331</v>
      </c>
      <c r="K18" s="18">
        <f t="shared" si="12"/>
        <v>1</v>
      </c>
      <c r="M18" s="22">
        <f t="shared" ref="M18:M25" si="13">IFERROR(H18-C18,0)</f>
        <v>-0.21840547447824882</v>
      </c>
      <c r="N18" s="23">
        <f t="shared" si="8"/>
        <v>2.6844399296310606E-2</v>
      </c>
      <c r="O18" s="24">
        <f t="shared" si="9"/>
        <v>0.19156107518193807</v>
      </c>
      <c r="P18" s="18">
        <f t="shared" si="10"/>
        <v>0</v>
      </c>
    </row>
    <row r="19" spans="2:16" x14ac:dyDescent="0.2">
      <c r="B19" s="1" t="s">
        <v>13</v>
      </c>
      <c r="C19" s="22">
        <f t="shared" ref="C19:F19" si="14">C7/$F7</f>
        <v>0.54621988335112592</v>
      </c>
      <c r="D19" s="23">
        <f t="shared" si="14"/>
        <v>0.24638092321386851</v>
      </c>
      <c r="E19" s="24">
        <f t="shared" si="14"/>
        <v>0.20739919343500554</v>
      </c>
      <c r="F19" s="18">
        <f t="shared" si="14"/>
        <v>1</v>
      </c>
      <c r="H19" s="22">
        <f t="shared" ref="H19:K19" si="15">IFERROR(H7/$K7,0)</f>
        <v>0.33333333333333331</v>
      </c>
      <c r="I19" s="23">
        <f t="shared" si="15"/>
        <v>0.33333333333333331</v>
      </c>
      <c r="J19" s="24">
        <f t="shared" si="15"/>
        <v>0.33333333333333331</v>
      </c>
      <c r="K19" s="18">
        <f t="shared" si="15"/>
        <v>1</v>
      </c>
      <c r="M19" s="22">
        <f t="shared" si="13"/>
        <v>-0.21288655001779261</v>
      </c>
      <c r="N19" s="23">
        <f t="shared" si="8"/>
        <v>8.6952410119464807E-2</v>
      </c>
      <c r="O19" s="24">
        <f t="shared" si="9"/>
        <v>0.12593413989832777</v>
      </c>
      <c r="P19" s="18">
        <f t="shared" si="10"/>
        <v>0</v>
      </c>
    </row>
    <row r="20" spans="2:16" x14ac:dyDescent="0.2">
      <c r="B20" s="1" t="s">
        <v>14</v>
      </c>
      <c r="C20" s="22">
        <f t="shared" ref="C20:F20" si="16">C8/$F8</f>
        <v>0</v>
      </c>
      <c r="D20" s="23">
        <f t="shared" si="16"/>
        <v>0.70807720951516773</v>
      </c>
      <c r="E20" s="24">
        <f t="shared" si="16"/>
        <v>0.29192279048483233</v>
      </c>
      <c r="F20" s="18">
        <f t="shared" si="16"/>
        <v>1</v>
      </c>
      <c r="H20" s="22">
        <f t="shared" ref="H20:K20" si="17">IFERROR(H8/$K8,0)</f>
        <v>0.33333333333333331</v>
      </c>
      <c r="I20" s="23">
        <f t="shared" si="17"/>
        <v>0.33333333333333331</v>
      </c>
      <c r="J20" s="24">
        <f t="shared" si="17"/>
        <v>0.33333333333333331</v>
      </c>
      <c r="K20" s="18">
        <f t="shared" si="17"/>
        <v>1</v>
      </c>
      <c r="M20" s="22">
        <f t="shared" si="13"/>
        <v>0.33333333333333331</v>
      </c>
      <c r="N20" s="23">
        <f t="shared" si="8"/>
        <v>-0.37474387618183441</v>
      </c>
      <c r="O20" s="24">
        <f t="shared" si="9"/>
        <v>4.1410542848500986E-2</v>
      </c>
      <c r="P20" s="18">
        <f t="shared" si="10"/>
        <v>0</v>
      </c>
    </row>
    <row r="21" spans="2:16" x14ac:dyDescent="0.2">
      <c r="B21" s="1" t="s">
        <v>15</v>
      </c>
      <c r="C21" s="22">
        <f t="shared" ref="C21:F21" si="18">C9/$F9</f>
        <v>0</v>
      </c>
      <c r="D21" s="23">
        <f t="shared" si="18"/>
        <v>0.62425557619302308</v>
      </c>
      <c r="E21" s="24">
        <f t="shared" si="18"/>
        <v>0.37574442380697692</v>
      </c>
      <c r="F21" s="18">
        <f t="shared" si="18"/>
        <v>1</v>
      </c>
      <c r="H21" s="22">
        <f t="shared" ref="H21:K21" si="19">IFERROR(H9/$K9,0)</f>
        <v>0.33333333333333331</v>
      </c>
      <c r="I21" s="23">
        <f t="shared" si="19"/>
        <v>0.33333333333333331</v>
      </c>
      <c r="J21" s="24">
        <f t="shared" si="19"/>
        <v>0.33333333333333331</v>
      </c>
      <c r="K21" s="18">
        <f t="shared" si="19"/>
        <v>1</v>
      </c>
      <c r="M21" s="22">
        <f t="shared" si="13"/>
        <v>0.33333333333333331</v>
      </c>
      <c r="N21" s="23">
        <f t="shared" si="8"/>
        <v>-0.29092224285968976</v>
      </c>
      <c r="O21" s="24">
        <f t="shared" si="9"/>
        <v>-4.2411090473643609E-2</v>
      </c>
      <c r="P21" s="18">
        <f t="shared" si="10"/>
        <v>0</v>
      </c>
    </row>
    <row r="22" spans="2:16" x14ac:dyDescent="0.2">
      <c r="B22" s="1" t="s">
        <v>16</v>
      </c>
      <c r="C22" s="22">
        <f t="shared" ref="C22:F22" si="20">C10/$F10</f>
        <v>0.77692784482469213</v>
      </c>
      <c r="D22" s="23">
        <f t="shared" si="20"/>
        <v>0.11179676351784661</v>
      </c>
      <c r="E22" s="24">
        <f t="shared" si="20"/>
        <v>0.11127539165746135</v>
      </c>
      <c r="F22" s="18">
        <f t="shared" si="20"/>
        <v>1</v>
      </c>
      <c r="H22" s="22">
        <f t="shared" ref="H22:K22" si="21">IFERROR(H10/$K10,0)</f>
        <v>0.33333333333333331</v>
      </c>
      <c r="I22" s="23">
        <f t="shared" si="21"/>
        <v>0.33333333333333331</v>
      </c>
      <c r="J22" s="24">
        <f t="shared" si="21"/>
        <v>0.33333333333333331</v>
      </c>
      <c r="K22" s="18">
        <f t="shared" si="21"/>
        <v>1</v>
      </c>
      <c r="M22" s="22">
        <f t="shared" si="13"/>
        <v>-0.44359451149135881</v>
      </c>
      <c r="N22" s="23">
        <f t="shared" si="8"/>
        <v>0.22153656981548669</v>
      </c>
      <c r="O22" s="24">
        <f t="shared" si="9"/>
        <v>0.22205794167587195</v>
      </c>
      <c r="P22" s="18">
        <f t="shared" si="10"/>
        <v>0</v>
      </c>
    </row>
    <row r="23" spans="2:16" x14ac:dyDescent="0.2">
      <c r="B23" s="1" t="s">
        <v>17</v>
      </c>
      <c r="C23" s="22">
        <f t="shared" ref="C23:F23" si="22">C11/$F11</f>
        <v>0.81564046243355537</v>
      </c>
      <c r="D23" s="23">
        <f t="shared" si="22"/>
        <v>7.954277622113895E-2</v>
      </c>
      <c r="E23" s="24">
        <f t="shared" si="22"/>
        <v>0.10481676134530564</v>
      </c>
      <c r="F23" s="18">
        <f t="shared" si="22"/>
        <v>1</v>
      </c>
      <c r="H23" s="22">
        <f t="shared" ref="H23:K23" si="23">IFERROR(H11/$K11,0)</f>
        <v>0.33333333333333331</v>
      </c>
      <c r="I23" s="23">
        <f t="shared" si="23"/>
        <v>0.33333333333333331</v>
      </c>
      <c r="J23" s="24">
        <f t="shared" si="23"/>
        <v>0.33333333333333331</v>
      </c>
      <c r="K23" s="18">
        <f t="shared" si="23"/>
        <v>1</v>
      </c>
      <c r="M23" s="22">
        <f t="shared" si="13"/>
        <v>-0.48230712910022205</v>
      </c>
      <c r="N23" s="23">
        <f t="shared" si="8"/>
        <v>0.25379055711219434</v>
      </c>
      <c r="O23" s="24">
        <f t="shared" si="9"/>
        <v>0.22851657198802766</v>
      </c>
      <c r="P23" s="18">
        <f t="shared" si="10"/>
        <v>0</v>
      </c>
    </row>
    <row r="24" spans="2:16" x14ac:dyDescent="0.2">
      <c r="B24" s="1" t="s">
        <v>18</v>
      </c>
      <c r="C24" s="25">
        <f t="shared" ref="C24:F24" si="24">C12/$F12</f>
        <v>0.34061082140362475</v>
      </c>
      <c r="D24" s="26">
        <f t="shared" si="24"/>
        <v>0.35930020123103462</v>
      </c>
      <c r="E24" s="27">
        <f t="shared" si="24"/>
        <v>0.30008897736534063</v>
      </c>
      <c r="F24" s="18">
        <f t="shared" si="24"/>
        <v>1</v>
      </c>
      <c r="H24" s="25">
        <f t="shared" ref="H24:K24" si="25">IFERROR(H12/$K12,0)</f>
        <v>0.33333333333333331</v>
      </c>
      <c r="I24" s="26">
        <f t="shared" si="25"/>
        <v>0.33333333333333331</v>
      </c>
      <c r="J24" s="27">
        <f t="shared" si="25"/>
        <v>0.33333333333333331</v>
      </c>
      <c r="K24" s="18">
        <f t="shared" si="25"/>
        <v>1</v>
      </c>
      <c r="M24" s="25">
        <f t="shared" si="13"/>
        <v>-7.277488070291438E-3</v>
      </c>
      <c r="N24" s="26">
        <f t="shared" si="8"/>
        <v>-2.5966867897701307E-2</v>
      </c>
      <c r="O24" s="27">
        <f t="shared" si="9"/>
        <v>3.3244355967992689E-2</v>
      </c>
      <c r="P24" s="18">
        <f t="shared" si="10"/>
        <v>0</v>
      </c>
    </row>
    <row r="25" spans="2:16" x14ac:dyDescent="0.2">
      <c r="B25" s="1" t="s">
        <v>24</v>
      </c>
      <c r="C25" s="18">
        <f t="shared" ref="C25:F25" si="26">C13/$F13</f>
        <v>0.49965306968607009</v>
      </c>
      <c r="D25" s="18">
        <f t="shared" si="26"/>
        <v>0.30402407982900082</v>
      </c>
      <c r="E25" s="18">
        <f t="shared" si="26"/>
        <v>0.19632285048492917</v>
      </c>
      <c r="F25" s="18">
        <f t="shared" si="26"/>
        <v>1</v>
      </c>
      <c r="H25" s="18">
        <f t="shared" ref="H25:K25" si="27">IFERROR(H13/$K13,0)</f>
        <v>0.33333333333333331</v>
      </c>
      <c r="I25" s="18">
        <f t="shared" si="27"/>
        <v>0.33333333333333331</v>
      </c>
      <c r="J25" s="18">
        <f t="shared" si="27"/>
        <v>0.33333333333333331</v>
      </c>
      <c r="K25" s="18">
        <f t="shared" si="27"/>
        <v>1</v>
      </c>
      <c r="M25" s="18">
        <f t="shared" si="13"/>
        <v>-0.16631973635273678</v>
      </c>
      <c r="N25" s="18">
        <f t="shared" si="8"/>
        <v>2.93092535043325E-2</v>
      </c>
      <c r="O25" s="18">
        <f t="shared" si="9"/>
        <v>0.13701048284840414</v>
      </c>
      <c r="P25" s="18">
        <f t="shared" si="10"/>
        <v>0</v>
      </c>
    </row>
    <row r="27" spans="2:16" x14ac:dyDescent="0.2">
      <c r="B27" s="1" t="s">
        <v>31</v>
      </c>
      <c r="C27" s="34">
        <v>0</v>
      </c>
    </row>
    <row r="29" spans="2:16" x14ac:dyDescent="0.2">
      <c r="B29" s="6" t="s">
        <v>30</v>
      </c>
      <c r="C29" s="31"/>
      <c r="D29" s="31"/>
      <c r="E29" s="31"/>
      <c r="F29" s="30"/>
      <c r="H29" s="6" t="s">
        <v>28</v>
      </c>
      <c r="M29" s="6" t="s">
        <v>29</v>
      </c>
    </row>
    <row r="30" spans="2:16" ht="15" x14ac:dyDescent="0.25">
      <c r="B30" s="32" t="s">
        <v>20</v>
      </c>
      <c r="C30" s="46" t="s">
        <v>21</v>
      </c>
      <c r="D30" s="46" t="s">
        <v>22</v>
      </c>
      <c r="E30" s="46" t="s">
        <v>23</v>
      </c>
      <c r="F30" s="47"/>
      <c r="G30" s="7"/>
      <c r="H30" s="46" t="s">
        <v>21</v>
      </c>
      <c r="I30" s="46" t="s">
        <v>22</v>
      </c>
      <c r="J30" s="46" t="s">
        <v>23</v>
      </c>
      <c r="K30" s="7"/>
      <c r="L30" s="7"/>
      <c r="M30" s="46" t="s">
        <v>21</v>
      </c>
      <c r="N30" s="46" t="s">
        <v>22</v>
      </c>
      <c r="O30" s="46" t="s">
        <v>23</v>
      </c>
    </row>
    <row r="31" spans="2:16" ht="15" x14ac:dyDescent="0.25">
      <c r="B31" s="32" t="s">
        <v>11</v>
      </c>
      <c r="C31" s="35">
        <f>[1]OnePerson!G31</f>
        <v>1.3787345787316232</v>
      </c>
      <c r="D31" s="36">
        <f>[1]OnePerson!H31</f>
        <v>0.62266239059308248</v>
      </c>
      <c r="E31" s="37"/>
      <c r="F31" s="29"/>
      <c r="H31" s="35">
        <f t="shared" ref="H31:I33" si="28">damp_cdap*LN(C17/H17)-damp_cdap*LN(E17/J17)</f>
        <v>0</v>
      </c>
      <c r="I31" s="36">
        <f t="shared" si="28"/>
        <v>0</v>
      </c>
      <c r="J31" s="43"/>
      <c r="M31" s="35">
        <f>C31+H31</f>
        <v>1.3787345787316232</v>
      </c>
      <c r="N31" s="36">
        <f>D31+I31</f>
        <v>0.62266239059308248</v>
      </c>
      <c r="O31" s="43"/>
    </row>
    <row r="32" spans="2:16" ht="15" x14ac:dyDescent="0.25">
      <c r="B32" s="32" t="s">
        <v>12</v>
      </c>
      <c r="C32" s="38">
        <f>[1]OnePerson!G32</f>
        <v>-0.71882373831278568</v>
      </c>
      <c r="D32" s="33">
        <f>[1]OnePerson!H32</f>
        <v>0.63603246691290372</v>
      </c>
      <c r="E32" s="39"/>
      <c r="F32" s="29"/>
      <c r="H32" s="38">
        <f t="shared" si="28"/>
        <v>0</v>
      </c>
      <c r="I32" s="33">
        <f t="shared" si="28"/>
        <v>0</v>
      </c>
      <c r="J32" s="44"/>
      <c r="M32" s="38">
        <f t="shared" ref="M32:N38" si="29">C32+H32</f>
        <v>-0.71882373831278568</v>
      </c>
      <c r="N32" s="33">
        <f t="shared" si="29"/>
        <v>0.63603246691290372</v>
      </c>
      <c r="O32" s="44"/>
    </row>
    <row r="33" spans="1:16" ht="15" x14ac:dyDescent="0.25">
      <c r="B33" s="32" t="s">
        <v>13</v>
      </c>
      <c r="C33" s="38">
        <f>[1]OnePerson!G33</f>
        <v>2.3535951758919054</v>
      </c>
      <c r="D33" s="33">
        <f>[1]OnePerson!H33</f>
        <v>0.60970984562298092</v>
      </c>
      <c r="E33" s="39"/>
      <c r="F33" s="29"/>
      <c r="H33" s="38">
        <f t="shared" si="28"/>
        <v>0</v>
      </c>
      <c r="I33" s="33">
        <f t="shared" si="28"/>
        <v>0</v>
      </c>
      <c r="J33" s="44"/>
      <c r="M33" s="38">
        <f t="shared" si="29"/>
        <v>2.3535951758919054</v>
      </c>
      <c r="N33" s="33">
        <f t="shared" si="29"/>
        <v>0.60970984562298092</v>
      </c>
      <c r="O33" s="44"/>
    </row>
    <row r="34" spans="1:16" ht="15" x14ac:dyDescent="0.25">
      <c r="B34" s="32" t="s">
        <v>14</v>
      </c>
      <c r="C34" s="38">
        <f>[1]OnePerson!G34</f>
        <v>-999</v>
      </c>
      <c r="D34" s="33">
        <f>[1]OnePerson!H34</f>
        <v>0.59464538581303306</v>
      </c>
      <c r="E34" s="39"/>
      <c r="F34" s="29"/>
      <c r="H34" s="38"/>
      <c r="I34" s="33">
        <f>damp_cdap*LN(D20/I20)-damp_cdap*LN(F20/K20)</f>
        <v>0</v>
      </c>
      <c r="J34" s="44"/>
      <c r="M34" s="38">
        <f t="shared" si="29"/>
        <v>-999</v>
      </c>
      <c r="N34" s="33">
        <f t="shared" si="29"/>
        <v>0.59464538581303306</v>
      </c>
      <c r="O34" s="44"/>
    </row>
    <row r="35" spans="1:16" ht="15" x14ac:dyDescent="0.25">
      <c r="B35" s="32" t="s">
        <v>15</v>
      </c>
      <c r="C35" s="38">
        <f>[1]OnePerson!G35</f>
        <v>-999</v>
      </c>
      <c r="D35" s="33">
        <f>[1]OnePerson!H35</f>
        <v>0.40820207084886062</v>
      </c>
      <c r="E35" s="39"/>
      <c r="F35" s="29"/>
      <c r="H35" s="38"/>
      <c r="I35" s="33">
        <f>damp_cdap*LN(D21/I21)-damp_cdap*LN(F21/K21)</f>
        <v>0</v>
      </c>
      <c r="J35" s="44"/>
      <c r="M35" s="38">
        <f t="shared" si="29"/>
        <v>-999</v>
      </c>
      <c r="N35" s="33">
        <f t="shared" si="29"/>
        <v>0.40820207084886062</v>
      </c>
      <c r="O35" s="44"/>
    </row>
    <row r="36" spans="1:16" ht="15" x14ac:dyDescent="0.25">
      <c r="B36" s="32" t="s">
        <v>16</v>
      </c>
      <c r="C36" s="38">
        <f>[1]OnePerson!G36</f>
        <v>2.3309186846816501</v>
      </c>
      <c r="D36" s="33">
        <f>[1]OnePerson!H36</f>
        <v>-0.59911911193768941</v>
      </c>
      <c r="E36" s="39"/>
      <c r="F36" s="29"/>
      <c r="H36" s="38">
        <f>damp_cdap*LN(C22/H22)-damp_cdap*LN(E22/J22)</f>
        <v>0</v>
      </c>
      <c r="I36" s="33">
        <f>damp_cdap*LN(D22/I22)-damp_cdap*LN(F22/K22)</f>
        <v>0</v>
      </c>
      <c r="J36" s="44"/>
      <c r="M36" s="38">
        <f t="shared" si="29"/>
        <v>2.3309186846816501</v>
      </c>
      <c r="N36" s="33">
        <f t="shared" si="29"/>
        <v>-0.59911911193768941</v>
      </c>
      <c r="O36" s="44"/>
    </row>
    <row r="37" spans="1:16" ht="15" x14ac:dyDescent="0.25">
      <c r="B37" s="32" t="s">
        <v>17</v>
      </c>
      <c r="C37" s="38">
        <f>[1]OnePerson!G37</f>
        <v>3.295863529134671</v>
      </c>
      <c r="D37" s="33">
        <f>[1]OnePerson!H37</f>
        <v>0.57142434001867992</v>
      </c>
      <c r="E37" s="39"/>
      <c r="F37" s="29"/>
      <c r="H37" s="38">
        <f>damp_cdap*LN(C23/H23)-damp_cdap*LN(E23/J23)</f>
        <v>0</v>
      </c>
      <c r="I37" s="33">
        <f>damp_cdap*LN(D23/I23)-damp_cdap*LN(F23/K23)</f>
        <v>0</v>
      </c>
      <c r="J37" s="44"/>
      <c r="M37" s="38">
        <f t="shared" si="29"/>
        <v>3.295863529134671</v>
      </c>
      <c r="N37" s="33">
        <f t="shared" si="29"/>
        <v>0.57142434001867992</v>
      </c>
      <c r="O37" s="44"/>
    </row>
    <row r="38" spans="1:16" x14ac:dyDescent="0.2">
      <c r="B38" s="32" t="s">
        <v>18</v>
      </c>
      <c r="C38" s="40">
        <f>[1]OnePerson!G38</f>
        <v>1.052531188769779</v>
      </c>
      <c r="D38" s="41">
        <f>[1]OnePerson!H38</f>
        <v>-0.83756777620038314</v>
      </c>
      <c r="E38" s="42"/>
      <c r="F38" s="28"/>
      <c r="H38" s="40">
        <f>damp_cdap*LN(C24/H24)-damp_cdap*LN(E24/J24)</f>
        <v>0</v>
      </c>
      <c r="I38" s="41">
        <f>damp_cdap*LN(D24/I24)-damp_cdap*LN(F24/K24)</f>
        <v>0</v>
      </c>
      <c r="J38" s="45"/>
      <c r="M38" s="40">
        <f t="shared" si="29"/>
        <v>1.052531188769779</v>
      </c>
      <c r="N38" s="41">
        <f t="shared" si="29"/>
        <v>-0.83756777620038314</v>
      </c>
      <c r="O38" s="45"/>
    </row>
    <row r="41" spans="1:16" s="76" customFormat="1" x14ac:dyDescent="0.2">
      <c r="B41" s="77" t="s">
        <v>42</v>
      </c>
      <c r="H41" s="77" t="s">
        <v>25</v>
      </c>
      <c r="M41" s="77" t="s">
        <v>27</v>
      </c>
    </row>
    <row r="42" spans="1:16" x14ac:dyDescent="0.2">
      <c r="C42" s="8" t="s">
        <v>4</v>
      </c>
      <c r="D42" s="8" t="s">
        <v>5</v>
      </c>
      <c r="E42" s="8" t="s">
        <v>3</v>
      </c>
    </row>
    <row r="43" spans="1:16" x14ac:dyDescent="0.2">
      <c r="B43" s="1" t="s">
        <v>20</v>
      </c>
      <c r="C43" s="7" t="s">
        <v>21</v>
      </c>
      <c r="D43" s="7" t="s">
        <v>22</v>
      </c>
      <c r="E43" s="7" t="s">
        <v>23</v>
      </c>
      <c r="F43" s="1" t="s">
        <v>24</v>
      </c>
      <c r="H43" s="7" t="s">
        <v>21</v>
      </c>
      <c r="I43" s="7" t="s">
        <v>22</v>
      </c>
      <c r="J43" s="7" t="s">
        <v>23</v>
      </c>
      <c r="K43" s="1" t="s">
        <v>24</v>
      </c>
      <c r="M43" s="7" t="s">
        <v>21</v>
      </c>
      <c r="N43" s="7" t="s">
        <v>22</v>
      </c>
      <c r="O43" s="7" t="s">
        <v>23</v>
      </c>
      <c r="P43" s="1" t="s">
        <v>24</v>
      </c>
    </row>
    <row r="44" spans="1:16" x14ac:dyDescent="0.2">
      <c r="A44" s="8">
        <v>1</v>
      </c>
      <c r="B44" s="1" t="s">
        <v>11</v>
      </c>
      <c r="C44" s="9">
        <f>'TM1 v03 Targets'!B41</f>
        <v>2294419.0973265339</v>
      </c>
      <c r="D44" s="10">
        <f>'TM1 v03 Targets'!C41</f>
        <v>286469.48864033923</v>
      </c>
      <c r="E44" s="11">
        <f>'TM1 v03 Targets'!D41</f>
        <v>242939.0406774689</v>
      </c>
      <c r="F44" s="5">
        <f>SUM(C44:E44)</f>
        <v>2823827.6266443417</v>
      </c>
      <c r="H44" s="9">
        <f>modeldata!C3</f>
        <v>1</v>
      </c>
      <c r="I44" s="10">
        <f>modeldata!D3</f>
        <v>1</v>
      </c>
      <c r="J44" s="11">
        <f>modeldata!B3</f>
        <v>1</v>
      </c>
      <c r="K44" s="5">
        <f>SUM(H44:J44)</f>
        <v>3</v>
      </c>
      <c r="M44" s="9">
        <f>IFERROR(H44-C44,0)</f>
        <v>-2294418.0973265339</v>
      </c>
      <c r="N44" s="10">
        <f t="shared" ref="N44:N52" si="30">IFERROR(I44-D44,0)</f>
        <v>-286468.48864033923</v>
      </c>
      <c r="O44" s="11">
        <f t="shared" ref="O44:O52" si="31">IFERROR(J44-E44,0)</f>
        <v>-242938.0406774689</v>
      </c>
      <c r="P44" s="5">
        <f t="shared" ref="P44:P52" si="32">IFERROR(K44-F44,0)</f>
        <v>-2823824.6266443417</v>
      </c>
    </row>
    <row r="45" spans="1:16" x14ac:dyDescent="0.2">
      <c r="A45" s="8">
        <v>2</v>
      </c>
      <c r="B45" s="1" t="s">
        <v>12</v>
      </c>
      <c r="C45" s="12">
        <f>'TM1 v03 Targets'!B42</f>
        <v>202827.5805800895</v>
      </c>
      <c r="D45" s="13">
        <f>'TM1 v03 Targets'!C42</f>
        <v>92859.120661932757</v>
      </c>
      <c r="E45" s="14">
        <f>'TM1 v03 Targets'!D42</f>
        <v>41557.416299235068</v>
      </c>
      <c r="F45" s="5">
        <f t="shared" ref="F45:F51" si="33">SUM(C45:E45)</f>
        <v>337244.11754125735</v>
      </c>
      <c r="H45" s="12">
        <f>modeldata!C4</f>
        <v>1</v>
      </c>
      <c r="I45" s="13">
        <f>modeldata!D4</f>
        <v>1</v>
      </c>
      <c r="J45" s="14">
        <f>modeldata!B4</f>
        <v>1</v>
      </c>
      <c r="K45" s="5">
        <f t="shared" ref="K45:K51" si="34">SUM(H45:J45)</f>
        <v>3</v>
      </c>
      <c r="M45" s="12">
        <f t="shared" ref="M45:M52" si="35">IFERROR(H45-C45,0)</f>
        <v>-202826.5805800895</v>
      </c>
      <c r="N45" s="13">
        <f t="shared" si="30"/>
        <v>-92858.120661932757</v>
      </c>
      <c r="O45" s="14">
        <f t="shared" si="31"/>
        <v>-41556.416299235068</v>
      </c>
      <c r="P45" s="5">
        <f t="shared" si="32"/>
        <v>-337241.11754125735</v>
      </c>
    </row>
    <row r="46" spans="1:16" x14ac:dyDescent="0.2">
      <c r="A46" s="8">
        <v>3</v>
      </c>
      <c r="B46" s="1" t="s">
        <v>13</v>
      </c>
      <c r="C46" s="12">
        <f>'TM1 v03 Targets'!B43</f>
        <v>241729.01573183993</v>
      </c>
      <c r="D46" s="13">
        <f>'TM1 v03 Targets'!C43</f>
        <v>75971.976372863995</v>
      </c>
      <c r="E46" s="14">
        <f>'TM1 v03 Targets'!D43</f>
        <v>27626.173226496001</v>
      </c>
      <c r="F46" s="5">
        <f t="shared" si="33"/>
        <v>345327.16533119988</v>
      </c>
      <c r="H46" s="12">
        <f>modeldata!C5</f>
        <v>1</v>
      </c>
      <c r="I46" s="13">
        <f>modeldata!D5</f>
        <v>1</v>
      </c>
      <c r="J46" s="14">
        <f>modeldata!B5</f>
        <v>1</v>
      </c>
      <c r="K46" s="5">
        <f t="shared" si="34"/>
        <v>3</v>
      </c>
      <c r="M46" s="12">
        <f t="shared" si="35"/>
        <v>-241728.01573183993</v>
      </c>
      <c r="N46" s="13">
        <f t="shared" si="30"/>
        <v>-75970.976372863995</v>
      </c>
      <c r="O46" s="14">
        <f t="shared" si="31"/>
        <v>-27625.173226496001</v>
      </c>
      <c r="P46" s="5">
        <f t="shared" si="32"/>
        <v>-345324.16533119988</v>
      </c>
    </row>
    <row r="47" spans="1:16" x14ac:dyDescent="0.2">
      <c r="A47" s="8">
        <v>4</v>
      </c>
      <c r="B47" s="1" t="s">
        <v>14</v>
      </c>
      <c r="C47" s="12">
        <f>'TM1 v03 Targets'!B44</f>
        <v>0</v>
      </c>
      <c r="D47" s="13">
        <f>'TM1 v03 Targets'!C44</f>
        <v>739442.8792821794</v>
      </c>
      <c r="E47" s="14">
        <f>'TM1 v03 Targets'!D44</f>
        <v>171487.78444584779</v>
      </c>
      <c r="F47" s="5">
        <f t="shared" si="33"/>
        <v>910930.66372802714</v>
      </c>
      <c r="H47" s="12">
        <f>modeldata!C6</f>
        <v>1</v>
      </c>
      <c r="I47" s="13">
        <f>modeldata!D6</f>
        <v>1</v>
      </c>
      <c r="J47" s="14">
        <f>modeldata!B6</f>
        <v>1</v>
      </c>
      <c r="K47" s="5">
        <f t="shared" si="34"/>
        <v>3</v>
      </c>
      <c r="M47" s="12">
        <f t="shared" si="35"/>
        <v>1</v>
      </c>
      <c r="N47" s="13">
        <f t="shared" si="30"/>
        <v>-739441.8792821794</v>
      </c>
      <c r="O47" s="14">
        <f t="shared" si="31"/>
        <v>-171486.78444584779</v>
      </c>
      <c r="P47" s="5">
        <f t="shared" si="32"/>
        <v>-910927.66372802714</v>
      </c>
    </row>
    <row r="48" spans="1:16" x14ac:dyDescent="0.2">
      <c r="A48" s="8">
        <v>5</v>
      </c>
      <c r="B48" s="1" t="s">
        <v>15</v>
      </c>
      <c r="C48" s="12">
        <f>'TM1 v03 Targets'!B45</f>
        <v>0</v>
      </c>
      <c r="D48" s="13">
        <f>'TM1 v03 Targets'!C45</f>
        <v>461233.11094630061</v>
      </c>
      <c r="E48" s="14">
        <f>'TM1 v03 Targets'!D45</f>
        <v>128681.21311127224</v>
      </c>
      <c r="F48" s="5">
        <f t="shared" si="33"/>
        <v>589914.32405757287</v>
      </c>
      <c r="H48" s="12">
        <f>modeldata!C7</f>
        <v>1</v>
      </c>
      <c r="I48" s="13">
        <f>modeldata!D7</f>
        <v>1</v>
      </c>
      <c r="J48" s="14">
        <f>modeldata!B7</f>
        <v>1</v>
      </c>
      <c r="K48" s="5">
        <f t="shared" si="34"/>
        <v>3</v>
      </c>
      <c r="M48" s="12">
        <f t="shared" si="35"/>
        <v>1</v>
      </c>
      <c r="N48" s="13">
        <f t="shared" si="30"/>
        <v>-461232.11094630061</v>
      </c>
      <c r="O48" s="14">
        <f t="shared" si="31"/>
        <v>-128680.21311127224</v>
      </c>
      <c r="P48" s="5">
        <f t="shared" si="32"/>
        <v>-589911.32405757287</v>
      </c>
    </row>
    <row r="49" spans="1:16" x14ac:dyDescent="0.2">
      <c r="A49" s="8">
        <v>6</v>
      </c>
      <c r="B49" s="1" t="s">
        <v>16</v>
      </c>
      <c r="C49" s="12">
        <f>'TM1 v03 Targets'!B46</f>
        <v>126159.86987776012</v>
      </c>
      <c r="D49" s="13">
        <f>'TM1 v03 Targets'!C46</f>
        <v>17773.591324115547</v>
      </c>
      <c r="E49" s="14">
        <f>'TM1 v03 Targets'!D46</f>
        <v>21336.195554031539</v>
      </c>
      <c r="F49" s="5">
        <f t="shared" si="33"/>
        <v>165269.65675590723</v>
      </c>
      <c r="H49" s="12">
        <f>modeldata!C8</f>
        <v>1</v>
      </c>
      <c r="I49" s="13">
        <f>modeldata!D8</f>
        <v>1</v>
      </c>
      <c r="J49" s="14">
        <f>modeldata!B8</f>
        <v>1</v>
      </c>
      <c r="K49" s="5">
        <f t="shared" si="34"/>
        <v>3</v>
      </c>
      <c r="M49" s="12">
        <f t="shared" si="35"/>
        <v>-126158.86987776012</v>
      </c>
      <c r="N49" s="13">
        <f t="shared" si="30"/>
        <v>-17772.591324115547</v>
      </c>
      <c r="O49" s="14">
        <f t="shared" si="31"/>
        <v>-21335.195554031539</v>
      </c>
      <c r="P49" s="5">
        <f t="shared" si="32"/>
        <v>-165266.65675590723</v>
      </c>
    </row>
    <row r="50" spans="1:16" x14ac:dyDescent="0.2">
      <c r="A50" s="8">
        <v>7</v>
      </c>
      <c r="B50" s="1" t="s">
        <v>17</v>
      </c>
      <c r="C50" s="12">
        <f>'TM1 v03 Targets'!B47</f>
        <v>744392.92157074693</v>
      </c>
      <c r="D50" s="13">
        <f>'TM1 v03 Targets'!C47</f>
        <v>137950.48633640836</v>
      </c>
      <c r="E50" s="14">
        <f>'TM1 v03 Targets'!D47</f>
        <v>114597.27234005758</v>
      </c>
      <c r="F50" s="5">
        <f t="shared" si="33"/>
        <v>996940.68024721288</v>
      </c>
      <c r="H50" s="12">
        <f>modeldata!C9</f>
        <v>1</v>
      </c>
      <c r="I50" s="13">
        <f>modeldata!D9</f>
        <v>1</v>
      </c>
      <c r="J50" s="14">
        <f>modeldata!B9</f>
        <v>1</v>
      </c>
      <c r="K50" s="5">
        <f t="shared" si="34"/>
        <v>3</v>
      </c>
      <c r="M50" s="12">
        <f t="shared" si="35"/>
        <v>-744391.92157074693</v>
      </c>
      <c r="N50" s="13">
        <f t="shared" si="30"/>
        <v>-137949.48633640836</v>
      </c>
      <c r="O50" s="14">
        <f t="shared" si="31"/>
        <v>-114596.27234005758</v>
      </c>
      <c r="P50" s="5">
        <f t="shared" si="32"/>
        <v>-996937.68024721288</v>
      </c>
    </row>
    <row r="51" spans="1:16" x14ac:dyDescent="0.2">
      <c r="A51" s="8">
        <v>8</v>
      </c>
      <c r="B51" s="1" t="s">
        <v>18</v>
      </c>
      <c r="C51" s="15">
        <f>'TM1 v03 Targets'!B48</f>
        <v>191328.24194493328</v>
      </c>
      <c r="D51" s="16">
        <f>'TM1 v03 Targets'!C48</f>
        <v>171008.54799899619</v>
      </c>
      <c r="E51" s="17">
        <f>'TM1 v03 Targets'!D48</f>
        <v>109116.00135055091</v>
      </c>
      <c r="F51" s="5">
        <f t="shared" si="33"/>
        <v>471452.79129448038</v>
      </c>
      <c r="H51" s="15">
        <f>modeldata!C10</f>
        <v>1</v>
      </c>
      <c r="I51" s="16">
        <f>modeldata!D10</f>
        <v>1</v>
      </c>
      <c r="J51" s="17">
        <f>modeldata!B10</f>
        <v>1</v>
      </c>
      <c r="K51" s="5">
        <f t="shared" si="34"/>
        <v>3</v>
      </c>
      <c r="M51" s="15">
        <f t="shared" si="35"/>
        <v>-191327.24194493328</v>
      </c>
      <c r="N51" s="16">
        <f t="shared" si="30"/>
        <v>-171007.54799899619</v>
      </c>
      <c r="O51" s="17">
        <f t="shared" si="31"/>
        <v>-109115.00135055091</v>
      </c>
      <c r="P51" s="5">
        <f t="shared" si="32"/>
        <v>-471449.79129448038</v>
      </c>
    </row>
    <row r="52" spans="1:16" x14ac:dyDescent="0.2">
      <c r="B52" s="1" t="s">
        <v>24</v>
      </c>
      <c r="C52" s="5">
        <f>SUM(C44:C51)</f>
        <v>3800856.7270319043</v>
      </c>
      <c r="D52" s="5">
        <f>SUM(D44:D51)</f>
        <v>1982709.2015631364</v>
      </c>
      <c r="E52" s="5">
        <f>SUM(E44:E51)</f>
        <v>857341.09700495994</v>
      </c>
      <c r="F52" s="5">
        <f>SUM(F44:F51)</f>
        <v>6640907.0255999994</v>
      </c>
      <c r="H52" s="5">
        <f>SUM(H44:H51)</f>
        <v>8</v>
      </c>
      <c r="I52" s="5">
        <f t="shared" ref="I52:K52" si="36">SUM(I44:I51)</f>
        <v>8</v>
      </c>
      <c r="J52" s="5">
        <f t="shared" si="36"/>
        <v>8</v>
      </c>
      <c r="K52" s="5">
        <f t="shared" si="36"/>
        <v>24</v>
      </c>
      <c r="M52" s="5">
        <f t="shared" si="35"/>
        <v>-3800848.7270319043</v>
      </c>
      <c r="N52" s="5">
        <f t="shared" si="30"/>
        <v>-1982701.2015631364</v>
      </c>
      <c r="O52" s="5">
        <f t="shared" si="31"/>
        <v>-857333.09700495994</v>
      </c>
      <c r="P52" s="5">
        <f t="shared" si="32"/>
        <v>-6640883.0255999994</v>
      </c>
    </row>
    <row r="55" spans="1:16" x14ac:dyDescent="0.2">
      <c r="B55" s="1" t="s">
        <v>20</v>
      </c>
      <c r="C55" s="7" t="s">
        <v>21</v>
      </c>
      <c r="D55" s="7" t="s">
        <v>22</v>
      </c>
      <c r="E55" s="7" t="s">
        <v>23</v>
      </c>
      <c r="F55" s="1" t="s">
        <v>24</v>
      </c>
      <c r="H55" s="7" t="s">
        <v>21</v>
      </c>
      <c r="I55" s="7" t="s">
        <v>22</v>
      </c>
      <c r="J55" s="7" t="s">
        <v>23</v>
      </c>
      <c r="K55" s="1" t="s">
        <v>24</v>
      </c>
      <c r="M55" s="7" t="s">
        <v>21</v>
      </c>
      <c r="N55" s="7" t="s">
        <v>22</v>
      </c>
      <c r="O55" s="7" t="s">
        <v>23</v>
      </c>
      <c r="P55" s="1" t="s">
        <v>24</v>
      </c>
    </row>
    <row r="56" spans="1:16" x14ac:dyDescent="0.2">
      <c r="B56" s="1" t="s">
        <v>11</v>
      </c>
      <c r="C56" s="19">
        <f>C44/$F44</f>
        <v>0.81252094698608657</v>
      </c>
      <c r="D56" s="20">
        <f t="shared" ref="D56:F56" si="37">D44/$F44</f>
        <v>0.10144722926333909</v>
      </c>
      <c r="E56" s="21">
        <f t="shared" si="37"/>
        <v>8.6031823750574429E-2</v>
      </c>
      <c r="F56" s="18">
        <f t="shared" si="37"/>
        <v>1</v>
      </c>
      <c r="H56" s="19">
        <f>IFERROR(H44/$K44,0)</f>
        <v>0.33333333333333331</v>
      </c>
      <c r="I56" s="20">
        <f t="shared" ref="I56:K56" si="38">IFERROR(I44/$K44,0)</f>
        <v>0.33333333333333331</v>
      </c>
      <c r="J56" s="21">
        <f t="shared" si="38"/>
        <v>0.33333333333333331</v>
      </c>
      <c r="K56" s="18">
        <f t="shared" si="38"/>
        <v>1</v>
      </c>
      <c r="M56" s="19">
        <f>IFERROR(H56-C56,0)</f>
        <v>-0.47918761365275325</v>
      </c>
      <c r="N56" s="20">
        <f t="shared" ref="N56:N64" si="39">IFERROR(I56-D56,0)</f>
        <v>0.23188610406999421</v>
      </c>
      <c r="O56" s="21">
        <f t="shared" ref="O56:O64" si="40">IFERROR(J56-E56,0)</f>
        <v>0.24730150958275887</v>
      </c>
      <c r="P56" s="18">
        <f t="shared" ref="P56:P64" si="41">IFERROR(K56-F56,0)</f>
        <v>0</v>
      </c>
    </row>
    <row r="57" spans="1:16" x14ac:dyDescent="0.2">
      <c r="B57" s="1" t="s">
        <v>12</v>
      </c>
      <c r="C57" s="22">
        <f t="shared" ref="C57:F57" si="42">C45/$F45</f>
        <v>0.60142659287534117</v>
      </c>
      <c r="D57" s="23">
        <f t="shared" si="42"/>
        <v>0.27534689511840832</v>
      </c>
      <c r="E57" s="24">
        <f t="shared" si="42"/>
        <v>0.1232265120062504</v>
      </c>
      <c r="F57" s="18">
        <f t="shared" si="42"/>
        <v>1</v>
      </c>
      <c r="H57" s="22">
        <f t="shared" ref="H57:K57" si="43">IFERROR(H45/$K45,0)</f>
        <v>0.33333333333333331</v>
      </c>
      <c r="I57" s="23">
        <f t="shared" si="43"/>
        <v>0.33333333333333331</v>
      </c>
      <c r="J57" s="24">
        <f t="shared" si="43"/>
        <v>0.33333333333333331</v>
      </c>
      <c r="K57" s="18">
        <f t="shared" si="43"/>
        <v>1</v>
      </c>
      <c r="M57" s="22">
        <f t="shared" ref="M57:M64" si="44">IFERROR(H57-C57,0)</f>
        <v>-0.26809325954200786</v>
      </c>
      <c r="N57" s="23">
        <f t="shared" si="39"/>
        <v>5.7986438214924996E-2</v>
      </c>
      <c r="O57" s="24">
        <f t="shared" si="40"/>
        <v>0.21010682132708292</v>
      </c>
      <c r="P57" s="18">
        <f t="shared" si="41"/>
        <v>0</v>
      </c>
    </row>
    <row r="58" spans="1:16" x14ac:dyDescent="0.2">
      <c r="B58" s="1" t="s">
        <v>13</v>
      </c>
      <c r="C58" s="22">
        <f t="shared" ref="C58:F58" si="45">C46/$F46</f>
        <v>0.70000000000000007</v>
      </c>
      <c r="D58" s="23">
        <f t="shared" si="45"/>
        <v>0.22000000000000006</v>
      </c>
      <c r="E58" s="24">
        <f t="shared" si="45"/>
        <v>8.0000000000000029E-2</v>
      </c>
      <c r="F58" s="18">
        <f t="shared" si="45"/>
        <v>1</v>
      </c>
      <c r="H58" s="22">
        <f t="shared" ref="H58:K58" si="46">IFERROR(H46/$K46,0)</f>
        <v>0.33333333333333331</v>
      </c>
      <c r="I58" s="23">
        <f t="shared" si="46"/>
        <v>0.33333333333333331</v>
      </c>
      <c r="J58" s="24">
        <f t="shared" si="46"/>
        <v>0.33333333333333331</v>
      </c>
      <c r="K58" s="18">
        <f t="shared" si="46"/>
        <v>1</v>
      </c>
      <c r="M58" s="22">
        <f t="shared" si="44"/>
        <v>-0.36666666666666675</v>
      </c>
      <c r="N58" s="23">
        <f t="shared" si="39"/>
        <v>0.11333333333333326</v>
      </c>
      <c r="O58" s="24">
        <f t="shared" si="40"/>
        <v>0.2533333333333333</v>
      </c>
      <c r="P58" s="18">
        <f t="shared" si="41"/>
        <v>0</v>
      </c>
    </row>
    <row r="59" spans="1:16" x14ac:dyDescent="0.2">
      <c r="B59" s="1" t="s">
        <v>14</v>
      </c>
      <c r="C59" s="22">
        <f t="shared" ref="C59:F59" si="47">C47/$F47</f>
        <v>0</v>
      </c>
      <c r="D59" s="23">
        <f t="shared" si="47"/>
        <v>0.81174441560236232</v>
      </c>
      <c r="E59" s="24">
        <f t="shared" si="47"/>
        <v>0.18825558439763776</v>
      </c>
      <c r="F59" s="18">
        <f t="shared" si="47"/>
        <v>1</v>
      </c>
      <c r="H59" s="22">
        <f t="shared" ref="H59:K59" si="48">IFERROR(H47/$K47,0)</f>
        <v>0.33333333333333331</v>
      </c>
      <c r="I59" s="23">
        <f t="shared" si="48"/>
        <v>0.33333333333333331</v>
      </c>
      <c r="J59" s="24">
        <f t="shared" si="48"/>
        <v>0.33333333333333331</v>
      </c>
      <c r="K59" s="18">
        <f t="shared" si="48"/>
        <v>1</v>
      </c>
      <c r="M59" s="22">
        <f t="shared" si="44"/>
        <v>0.33333333333333331</v>
      </c>
      <c r="N59" s="23">
        <f t="shared" si="39"/>
        <v>-0.47841108226902901</v>
      </c>
      <c r="O59" s="24">
        <f t="shared" si="40"/>
        <v>0.14507774893569556</v>
      </c>
      <c r="P59" s="18">
        <f t="shared" si="41"/>
        <v>0</v>
      </c>
    </row>
    <row r="60" spans="1:16" x14ac:dyDescent="0.2">
      <c r="B60" s="1" t="s">
        <v>15</v>
      </c>
      <c r="C60" s="22">
        <f t="shared" ref="C60:F60" si="49">C48/$F48</f>
        <v>0</v>
      </c>
      <c r="D60" s="23">
        <f t="shared" si="49"/>
        <v>0.78186457276342802</v>
      </c>
      <c r="E60" s="24">
        <f t="shared" si="49"/>
        <v>0.218135427236572</v>
      </c>
      <c r="F60" s="18">
        <f t="shared" si="49"/>
        <v>1</v>
      </c>
      <c r="H60" s="22">
        <f t="shared" ref="H60:K60" si="50">IFERROR(H48/$K48,0)</f>
        <v>0.33333333333333331</v>
      </c>
      <c r="I60" s="23">
        <f t="shared" si="50"/>
        <v>0.33333333333333331</v>
      </c>
      <c r="J60" s="24">
        <f t="shared" si="50"/>
        <v>0.33333333333333331</v>
      </c>
      <c r="K60" s="18">
        <f t="shared" si="50"/>
        <v>1</v>
      </c>
      <c r="M60" s="22">
        <f t="shared" si="44"/>
        <v>0.33333333333333331</v>
      </c>
      <c r="N60" s="23">
        <f t="shared" si="39"/>
        <v>-0.44853123943009471</v>
      </c>
      <c r="O60" s="24">
        <f t="shared" si="40"/>
        <v>0.11519790609676131</v>
      </c>
      <c r="P60" s="18">
        <f t="shared" si="41"/>
        <v>0</v>
      </c>
    </row>
    <row r="61" spans="1:16" x14ac:dyDescent="0.2">
      <c r="B61" s="1" t="s">
        <v>16</v>
      </c>
      <c r="C61" s="22">
        <f t="shared" ref="C61:F61" si="51">C49/$F49</f>
        <v>0.7633577291449829</v>
      </c>
      <c r="D61" s="23">
        <f t="shared" si="51"/>
        <v>0.10754297959465124</v>
      </c>
      <c r="E61" s="24">
        <f t="shared" si="51"/>
        <v>0.12909929126036573</v>
      </c>
      <c r="F61" s="18">
        <f t="shared" si="51"/>
        <v>1</v>
      </c>
      <c r="H61" s="22">
        <f t="shared" ref="H61:K61" si="52">IFERROR(H49/$K49,0)</f>
        <v>0.33333333333333331</v>
      </c>
      <c r="I61" s="23">
        <f t="shared" si="52"/>
        <v>0.33333333333333331</v>
      </c>
      <c r="J61" s="24">
        <f t="shared" si="52"/>
        <v>0.33333333333333331</v>
      </c>
      <c r="K61" s="18">
        <f t="shared" si="52"/>
        <v>1</v>
      </c>
      <c r="M61" s="22">
        <f t="shared" si="44"/>
        <v>-0.43002439581164958</v>
      </c>
      <c r="N61" s="23">
        <f t="shared" si="39"/>
        <v>0.22579035373868206</v>
      </c>
      <c r="O61" s="24">
        <f t="shared" si="40"/>
        <v>0.20423404207296758</v>
      </c>
      <c r="P61" s="18">
        <f t="shared" si="41"/>
        <v>0</v>
      </c>
    </row>
    <row r="62" spans="1:16" x14ac:dyDescent="0.2">
      <c r="B62" s="1" t="s">
        <v>17</v>
      </c>
      <c r="C62" s="22">
        <f t="shared" ref="C62:F62" si="53">C50/$F50</f>
        <v>0.74667724601844787</v>
      </c>
      <c r="D62" s="23">
        <f t="shared" si="53"/>
        <v>0.13837381608522642</v>
      </c>
      <c r="E62" s="24">
        <f t="shared" si="53"/>
        <v>0.11494893789632571</v>
      </c>
      <c r="F62" s="18">
        <f t="shared" si="53"/>
        <v>1</v>
      </c>
      <c r="H62" s="22">
        <f t="shared" ref="H62:K62" si="54">IFERROR(H50/$K50,0)</f>
        <v>0.33333333333333331</v>
      </c>
      <c r="I62" s="23">
        <f t="shared" si="54"/>
        <v>0.33333333333333331</v>
      </c>
      <c r="J62" s="24">
        <f t="shared" si="54"/>
        <v>0.33333333333333331</v>
      </c>
      <c r="K62" s="18">
        <f t="shared" si="54"/>
        <v>1</v>
      </c>
      <c r="M62" s="22">
        <f t="shared" si="44"/>
        <v>-0.41334391268511456</v>
      </c>
      <c r="N62" s="23">
        <f t="shared" si="39"/>
        <v>0.19495951724810689</v>
      </c>
      <c r="O62" s="24">
        <f t="shared" si="40"/>
        <v>0.21838439543700761</v>
      </c>
      <c r="P62" s="18">
        <f t="shared" si="41"/>
        <v>0</v>
      </c>
    </row>
    <row r="63" spans="1:16" x14ac:dyDescent="0.2">
      <c r="B63" s="1" t="s">
        <v>18</v>
      </c>
      <c r="C63" s="25">
        <f t="shared" ref="C63:F63" si="55">C51/$F51</f>
        <v>0.40582693639292766</v>
      </c>
      <c r="D63" s="26">
        <f t="shared" si="55"/>
        <v>0.36272676958694738</v>
      </c>
      <c r="E63" s="27">
        <f t="shared" si="55"/>
        <v>0.23144629402012495</v>
      </c>
      <c r="F63" s="18">
        <f t="shared" si="55"/>
        <v>1</v>
      </c>
      <c r="H63" s="25">
        <f t="shared" ref="H63:K63" si="56">IFERROR(H51/$K51,0)</f>
        <v>0.33333333333333331</v>
      </c>
      <c r="I63" s="26">
        <f t="shared" si="56"/>
        <v>0.33333333333333331</v>
      </c>
      <c r="J63" s="27">
        <f t="shared" si="56"/>
        <v>0.33333333333333331</v>
      </c>
      <c r="K63" s="18">
        <f t="shared" si="56"/>
        <v>1</v>
      </c>
      <c r="M63" s="25">
        <f t="shared" si="44"/>
        <v>-7.2493603059594347E-2</v>
      </c>
      <c r="N63" s="26">
        <f t="shared" si="39"/>
        <v>-2.9393436253614069E-2</v>
      </c>
      <c r="O63" s="27">
        <f t="shared" si="40"/>
        <v>0.10188703931320836</v>
      </c>
      <c r="P63" s="18">
        <f t="shared" si="41"/>
        <v>0</v>
      </c>
    </row>
    <row r="64" spans="1:16" x14ac:dyDescent="0.2">
      <c r="B64" s="1" t="s">
        <v>24</v>
      </c>
      <c r="C64" s="18">
        <f t="shared" ref="C64:F64" si="57">C52/$F52</f>
        <v>0.57234000000000007</v>
      </c>
      <c r="D64" s="18">
        <f t="shared" si="57"/>
        <v>0.2985600000000001</v>
      </c>
      <c r="E64" s="18">
        <f t="shared" si="57"/>
        <v>0.12909999999999999</v>
      </c>
      <c r="F64" s="18">
        <f t="shared" si="57"/>
        <v>1</v>
      </c>
      <c r="H64" s="18">
        <f t="shared" ref="H64:K64" si="58">IFERROR(H52/$K52,0)</f>
        <v>0.33333333333333331</v>
      </c>
      <c r="I64" s="18">
        <f t="shared" si="58"/>
        <v>0.33333333333333331</v>
      </c>
      <c r="J64" s="18">
        <f t="shared" si="58"/>
        <v>0.33333333333333331</v>
      </c>
      <c r="K64" s="18">
        <f t="shared" si="58"/>
        <v>1</v>
      </c>
      <c r="M64" s="18">
        <f t="shared" si="44"/>
        <v>-0.23900666666666676</v>
      </c>
      <c r="N64" s="18">
        <f t="shared" si="39"/>
        <v>3.4773333333333212E-2</v>
      </c>
      <c r="O64" s="18">
        <f t="shared" si="40"/>
        <v>0.20423333333333332</v>
      </c>
      <c r="P64" s="18">
        <f t="shared" si="41"/>
        <v>0</v>
      </c>
    </row>
    <row r="66" spans="2:15" x14ac:dyDescent="0.2">
      <c r="B66" s="1" t="s">
        <v>31</v>
      </c>
      <c r="C66" s="34">
        <v>0</v>
      </c>
    </row>
    <row r="68" spans="2:15" x14ac:dyDescent="0.2">
      <c r="B68" s="6" t="s">
        <v>30</v>
      </c>
      <c r="C68" s="31"/>
      <c r="D68" s="31"/>
      <c r="E68" s="31"/>
      <c r="F68" s="30"/>
      <c r="H68" s="6" t="s">
        <v>28</v>
      </c>
      <c r="M68" s="6" t="s">
        <v>29</v>
      </c>
    </row>
    <row r="69" spans="2:15" ht="15" x14ac:dyDescent="0.25">
      <c r="B69" s="32" t="s">
        <v>20</v>
      </c>
      <c r="C69" s="46" t="s">
        <v>21</v>
      </c>
      <c r="D69" s="46" t="s">
        <v>22</v>
      </c>
      <c r="E69" s="46" t="s">
        <v>23</v>
      </c>
      <c r="F69" s="47"/>
      <c r="G69" s="7"/>
      <c r="H69" s="46" t="s">
        <v>21</v>
      </c>
      <c r="I69" s="46" t="s">
        <v>22</v>
      </c>
      <c r="J69" s="46" t="s">
        <v>23</v>
      </c>
      <c r="K69" s="7"/>
      <c r="L69" s="7"/>
      <c r="M69" s="46" t="s">
        <v>21</v>
      </c>
      <c r="N69" s="46" t="s">
        <v>22</v>
      </c>
      <c r="O69" s="46" t="s">
        <v>23</v>
      </c>
    </row>
    <row r="70" spans="2:15" ht="15" x14ac:dyDescent="0.25">
      <c r="B70" s="32" t="s">
        <v>11</v>
      </c>
      <c r="C70" s="35">
        <f>[1]OnePerson!G31</f>
        <v>1.3787345787316232</v>
      </c>
      <c r="D70" s="36">
        <f>[1]OnePerson!H70</f>
        <v>0</v>
      </c>
      <c r="E70" s="37"/>
      <c r="F70" s="29"/>
      <c r="H70" s="35">
        <f>damp_cdap_v2*LN(C56/H56)-damp_cdap_v2*LN(E56/J56)</f>
        <v>0</v>
      </c>
      <c r="I70" s="36">
        <f>damp_cdap_v2*LN(D56/I56)-damp_cdap_v2*LN(F56/K56)</f>
        <v>0</v>
      </c>
      <c r="J70" s="43"/>
      <c r="M70" s="35">
        <f>C70+H70</f>
        <v>1.3787345787316232</v>
      </c>
      <c r="N70" s="36">
        <f>D70+I70</f>
        <v>0</v>
      </c>
      <c r="O70" s="43"/>
    </row>
    <row r="71" spans="2:15" ht="15" x14ac:dyDescent="0.25">
      <c r="B71" s="32" t="s">
        <v>12</v>
      </c>
      <c r="C71" s="38">
        <f>[1]OnePerson!G32</f>
        <v>-0.71882373831278568</v>
      </c>
      <c r="D71" s="33">
        <f>[1]OnePerson!H71</f>
        <v>0</v>
      </c>
      <c r="E71" s="39"/>
      <c r="F71" s="29"/>
      <c r="H71" s="38">
        <f>damp_cdap_v2*LN(C57/H57)-damp_cdap_v2*LN(E57/J57)</f>
        <v>0</v>
      </c>
      <c r="I71" s="33">
        <f>damp_cdap_v2*LN(D57/I57)-damp_cdap_v2*LN(F57/K57)</f>
        <v>0</v>
      </c>
      <c r="J71" s="44"/>
      <c r="M71" s="38">
        <f t="shared" ref="M71:M77" si="59">C71+H71</f>
        <v>-0.71882373831278568</v>
      </c>
      <c r="N71" s="33">
        <f t="shared" ref="N71:N77" si="60">D71+I71</f>
        <v>0</v>
      </c>
      <c r="O71" s="44"/>
    </row>
    <row r="72" spans="2:15" ht="15" x14ac:dyDescent="0.25">
      <c r="B72" s="32" t="s">
        <v>13</v>
      </c>
      <c r="C72" s="38">
        <f>[1]OnePerson!G33</f>
        <v>2.3535951758919054</v>
      </c>
      <c r="D72" s="33">
        <f>[1]OnePerson!H72</f>
        <v>0</v>
      </c>
      <c r="E72" s="39"/>
      <c r="F72" s="29"/>
      <c r="H72" s="38">
        <f>damp_cdap_v2*LN(C58/H58)-damp_cdap_v2*LN(E58/J58)</f>
        <v>0</v>
      </c>
      <c r="I72" s="33">
        <f>damp_cdap_v2*LN(D58/I58)-damp_cdap_v2*LN(F58/K58)</f>
        <v>0</v>
      </c>
      <c r="J72" s="44"/>
      <c r="M72" s="38">
        <f t="shared" si="59"/>
        <v>2.3535951758919054</v>
      </c>
      <c r="N72" s="33">
        <f t="shared" si="60"/>
        <v>0</v>
      </c>
      <c r="O72" s="44"/>
    </row>
    <row r="73" spans="2:15" ht="15" x14ac:dyDescent="0.25">
      <c r="B73" s="32" t="s">
        <v>14</v>
      </c>
      <c r="C73" s="38">
        <f>[1]OnePerson!G34</f>
        <v>-999</v>
      </c>
      <c r="D73" s="33">
        <f>[1]OnePerson!H73</f>
        <v>7.2069999999999995E-2</v>
      </c>
      <c r="E73" s="39"/>
      <c r="F73" s="29"/>
      <c r="H73" s="38"/>
      <c r="I73" s="33">
        <f>damp_cdap_v2*LN(D59/I59)-damp_cdap_v2*LN(F59/K59)</f>
        <v>0</v>
      </c>
      <c r="J73" s="44"/>
      <c r="M73" s="38">
        <f t="shared" si="59"/>
        <v>-999</v>
      </c>
      <c r="N73" s="33">
        <f t="shared" si="60"/>
        <v>7.2069999999999995E-2</v>
      </c>
      <c r="O73" s="44"/>
    </row>
    <row r="74" spans="2:15" ht="15" x14ac:dyDescent="0.25">
      <c r="B74" s="32" t="s">
        <v>15</v>
      </c>
      <c r="C74" s="38">
        <f>[1]OnePerson!G35</f>
        <v>-999</v>
      </c>
      <c r="D74" s="33">
        <f>[1]OnePerson!H74</f>
        <v>7.2069999999999995E-2</v>
      </c>
      <c r="E74" s="39"/>
      <c r="F74" s="29"/>
      <c r="H74" s="38"/>
      <c r="I74" s="33">
        <f>damp_cdap_v2*LN(D60/I60)-damp_cdap_v2*LN(F60/K60)</f>
        <v>0</v>
      </c>
      <c r="J74" s="44"/>
      <c r="M74" s="38">
        <f t="shared" si="59"/>
        <v>-999</v>
      </c>
      <c r="N74" s="33">
        <f t="shared" si="60"/>
        <v>7.2069999999999995E-2</v>
      </c>
      <c r="O74" s="44"/>
    </row>
    <row r="75" spans="2:15" ht="15" x14ac:dyDescent="0.25">
      <c r="B75" s="32" t="s">
        <v>16</v>
      </c>
      <c r="C75" s="38">
        <f>[1]OnePerson!G36</f>
        <v>2.3309186846816501</v>
      </c>
      <c r="D75" s="33">
        <f>[1]OnePerson!H75</f>
        <v>7.2069999999999995E-2</v>
      </c>
      <c r="E75" s="39"/>
      <c r="F75" s="29"/>
      <c r="H75" s="38">
        <f>damp_cdap_v2*LN(C61/H61)-damp_cdap_v2*LN(E61/J61)</f>
        <v>0</v>
      </c>
      <c r="I75" s="33">
        <f>damp_cdap_v2*LN(D61/I61)-damp_cdap_v2*LN(F61/K61)</f>
        <v>0</v>
      </c>
      <c r="J75" s="44"/>
      <c r="M75" s="38">
        <f t="shared" si="59"/>
        <v>2.3309186846816501</v>
      </c>
      <c r="N75" s="33">
        <f t="shared" si="60"/>
        <v>7.2069999999999995E-2</v>
      </c>
      <c r="O75" s="44"/>
    </row>
    <row r="76" spans="2:15" ht="15" x14ac:dyDescent="0.25">
      <c r="B76" s="32" t="s">
        <v>17</v>
      </c>
      <c r="C76" s="38">
        <f>[1]OnePerson!G37</f>
        <v>3.295863529134671</v>
      </c>
      <c r="D76" s="33">
        <f>[1]OnePerson!H76</f>
        <v>8.233E-2</v>
      </c>
      <c r="E76" s="39"/>
      <c r="F76" s="29"/>
      <c r="H76" s="38">
        <f>damp_cdap_v2*LN(C62/H62)-damp_cdap_v2*LN(E62/J62)</f>
        <v>0</v>
      </c>
      <c r="I76" s="33">
        <f>damp_cdap_v2*LN(D62/I62)-damp_cdap_v2*LN(F62/K62)</f>
        <v>0</v>
      </c>
      <c r="J76" s="44"/>
      <c r="M76" s="38">
        <f t="shared" si="59"/>
        <v>3.295863529134671</v>
      </c>
      <c r="N76" s="33">
        <f t="shared" si="60"/>
        <v>8.233E-2</v>
      </c>
      <c r="O76" s="44"/>
    </row>
    <row r="77" spans="2:15" x14ac:dyDescent="0.2">
      <c r="B77" s="32" t="s">
        <v>18</v>
      </c>
      <c r="C77" s="40">
        <f>[1]OnePerson!G38</f>
        <v>1.052531188769779</v>
      </c>
      <c r="D77" s="41">
        <f>[1]OnePerson!H77</f>
        <v>8.233E-2</v>
      </c>
      <c r="E77" s="42"/>
      <c r="F77" s="28"/>
      <c r="H77" s="40">
        <f>damp_cdap_v2*LN(C63/H63)-damp_cdap_v2*LN(E63/J63)</f>
        <v>0</v>
      </c>
      <c r="I77" s="41">
        <f>damp_cdap_v2*LN(D63/I63)-damp_cdap_v2*LN(F63/K63)</f>
        <v>0</v>
      </c>
      <c r="J77" s="45"/>
      <c r="M77" s="40">
        <f t="shared" si="59"/>
        <v>1.052531188769779</v>
      </c>
      <c r="N77" s="41">
        <f t="shared" si="60"/>
        <v>8.233E-2</v>
      </c>
      <c r="O77" s="45"/>
    </row>
  </sheetData>
  <conditionalFormatting sqref="M17:O24">
    <cfRule type="colorScale" priority="2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M56:O63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D10"/>
  <sheetViews>
    <sheetView workbookViewId="0">
      <selection activeCell="E14" sqref="E14"/>
    </sheetView>
  </sheetViews>
  <sheetFormatPr defaultRowHeight="15" x14ac:dyDescent="0.25"/>
  <cols>
    <col min="1" max="1" width="13.7109375" customWidth="1"/>
  </cols>
  <sheetData>
    <row r="1" spans="1:4" x14ac:dyDescent="0.25">
      <c r="A1" s="2" t="s">
        <v>43</v>
      </c>
    </row>
    <row r="2" spans="1:4" x14ac:dyDescent="0.25">
      <c r="A2" s="1" t="s">
        <v>26</v>
      </c>
      <c r="B2" s="1" t="s">
        <v>3</v>
      </c>
      <c r="C2" s="1" t="s">
        <v>4</v>
      </c>
      <c r="D2" s="1" t="s">
        <v>5</v>
      </c>
    </row>
    <row r="3" spans="1:4" x14ac:dyDescent="0.25">
      <c r="A3" s="1">
        <v>1</v>
      </c>
      <c r="B3" s="9">
        <v>1</v>
      </c>
      <c r="C3" s="10">
        <v>1</v>
      </c>
      <c r="D3" s="11">
        <v>1</v>
      </c>
    </row>
    <row r="4" spans="1:4" x14ac:dyDescent="0.25">
      <c r="A4" s="1">
        <v>2</v>
      </c>
      <c r="B4" s="12">
        <v>1</v>
      </c>
      <c r="C4" s="13">
        <v>1</v>
      </c>
      <c r="D4" s="14">
        <v>1</v>
      </c>
    </row>
    <row r="5" spans="1:4" x14ac:dyDescent="0.25">
      <c r="A5" s="1">
        <v>3</v>
      </c>
      <c r="B5" s="12">
        <v>1</v>
      </c>
      <c r="C5" s="13">
        <v>1</v>
      </c>
      <c r="D5" s="14">
        <v>1</v>
      </c>
    </row>
    <row r="6" spans="1:4" x14ac:dyDescent="0.25">
      <c r="A6" s="1">
        <v>4</v>
      </c>
      <c r="B6" s="12">
        <v>1</v>
      </c>
      <c r="C6" s="13">
        <v>1</v>
      </c>
      <c r="D6" s="14">
        <v>1</v>
      </c>
    </row>
    <row r="7" spans="1:4" x14ac:dyDescent="0.25">
      <c r="A7" s="1">
        <v>5</v>
      </c>
      <c r="B7" s="12">
        <v>1</v>
      </c>
      <c r="C7" s="13">
        <v>1</v>
      </c>
      <c r="D7" s="14">
        <v>1</v>
      </c>
    </row>
    <row r="8" spans="1:4" x14ac:dyDescent="0.25">
      <c r="A8" s="1">
        <v>6</v>
      </c>
      <c r="B8" s="12">
        <v>1</v>
      </c>
      <c r="C8" s="13">
        <v>1</v>
      </c>
      <c r="D8" s="14">
        <v>1</v>
      </c>
    </row>
    <row r="9" spans="1:4" x14ac:dyDescent="0.25">
      <c r="A9" s="1">
        <v>7</v>
      </c>
      <c r="B9" s="12">
        <v>1</v>
      </c>
      <c r="C9" s="13">
        <v>1</v>
      </c>
      <c r="D9" s="14">
        <v>1</v>
      </c>
    </row>
    <row r="10" spans="1:4" x14ac:dyDescent="0.25">
      <c r="A10" s="1">
        <v>8</v>
      </c>
      <c r="B10" s="15">
        <v>1</v>
      </c>
      <c r="C10" s="16">
        <v>1</v>
      </c>
      <c r="D10" s="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B1:M24"/>
  <sheetViews>
    <sheetView workbookViewId="0">
      <selection activeCell="E29" sqref="E29"/>
    </sheetView>
  </sheetViews>
  <sheetFormatPr defaultRowHeight="15" x14ac:dyDescent="0.25"/>
  <cols>
    <col min="1" max="1" width="5.5703125" customWidth="1"/>
    <col min="8" max="8" width="24.140625" customWidth="1"/>
    <col min="9" max="9" width="13.140625" bestFit="1" customWidth="1"/>
    <col min="10" max="10" width="16.28515625" bestFit="1" customWidth="1"/>
    <col min="11" max="12" width="9.140625" customWidth="1"/>
    <col min="13" max="13" width="11.28515625" customWidth="1"/>
  </cols>
  <sheetData>
    <row r="1" spans="2:13" x14ac:dyDescent="0.25">
      <c r="B1" s="2" t="s">
        <v>6</v>
      </c>
    </row>
    <row r="2" spans="2:13" x14ac:dyDescent="0.25">
      <c r="B2" s="1"/>
      <c r="C2" s="1" t="s">
        <v>0</v>
      </c>
      <c r="D2" s="1" t="s">
        <v>1</v>
      </c>
      <c r="E2" s="1" t="s">
        <v>2</v>
      </c>
    </row>
    <row r="3" spans="2:13" x14ac:dyDescent="0.25">
      <c r="B3" s="1">
        <v>1</v>
      </c>
      <c r="C3" s="1">
        <v>1</v>
      </c>
      <c r="D3" s="1" t="s">
        <v>3</v>
      </c>
      <c r="E3" s="1">
        <v>326361.05397000001</v>
      </c>
    </row>
    <row r="4" spans="2:13" x14ac:dyDescent="0.25">
      <c r="B4" s="1">
        <v>2</v>
      </c>
      <c r="C4" s="1">
        <v>1</v>
      </c>
      <c r="D4" s="1" t="s">
        <v>4</v>
      </c>
      <c r="E4" s="1">
        <v>1764764.9425600001</v>
      </c>
    </row>
    <row r="5" spans="2:13" x14ac:dyDescent="0.25">
      <c r="B5" s="1">
        <v>3</v>
      </c>
      <c r="C5" s="1">
        <v>1</v>
      </c>
      <c r="D5" s="1" t="s">
        <v>5</v>
      </c>
      <c r="E5" s="1">
        <v>311834.03589</v>
      </c>
      <c r="I5" s="3" t="s">
        <v>10</v>
      </c>
      <c r="J5" s="3" t="s">
        <v>9</v>
      </c>
      <c r="K5" s="1"/>
      <c r="L5" s="1"/>
      <c r="M5" s="1"/>
    </row>
    <row r="6" spans="2:13" x14ac:dyDescent="0.25">
      <c r="B6" s="1">
        <v>4</v>
      </c>
      <c r="C6" s="1">
        <v>2</v>
      </c>
      <c r="D6" s="1" t="s">
        <v>3</v>
      </c>
      <c r="E6" s="1">
        <v>102734.63729</v>
      </c>
      <c r="I6" s="3" t="s">
        <v>7</v>
      </c>
      <c r="J6" s="1" t="s">
        <v>3</v>
      </c>
      <c r="K6" s="1" t="s">
        <v>4</v>
      </c>
      <c r="L6" s="1" t="s">
        <v>5</v>
      </c>
      <c r="M6" s="1" t="s">
        <v>8</v>
      </c>
    </row>
    <row r="7" spans="2:13" x14ac:dyDescent="0.25">
      <c r="B7" s="1">
        <v>5</v>
      </c>
      <c r="C7" s="1">
        <v>2</v>
      </c>
      <c r="D7" s="1" t="s">
        <v>4</v>
      </c>
      <c r="E7" s="1">
        <v>399815.07692999998</v>
      </c>
      <c r="H7" s="1" t="s">
        <v>11</v>
      </c>
      <c r="I7" s="4">
        <v>1</v>
      </c>
      <c r="J7" s="5">
        <v>326361.05397000001</v>
      </c>
      <c r="K7" s="5">
        <v>1764764.9425600001</v>
      </c>
      <c r="L7" s="5">
        <v>311834.03589</v>
      </c>
      <c r="M7" s="5">
        <v>2402960.0324200001</v>
      </c>
    </row>
    <row r="8" spans="2:13" x14ac:dyDescent="0.25">
      <c r="B8" s="1">
        <v>6</v>
      </c>
      <c r="C8" s="1">
        <v>2</v>
      </c>
      <c r="D8" s="1" t="s">
        <v>5</v>
      </c>
      <c r="E8" s="1">
        <v>222095.845</v>
      </c>
      <c r="H8" s="1" t="s">
        <v>12</v>
      </c>
      <c r="I8" s="4">
        <v>2</v>
      </c>
      <c r="J8" s="5">
        <v>102734.63729</v>
      </c>
      <c r="K8" s="5">
        <v>399815.07692999998</v>
      </c>
      <c r="L8" s="5">
        <v>222095.845</v>
      </c>
      <c r="M8" s="5">
        <v>724645.55921999994</v>
      </c>
    </row>
    <row r="9" spans="2:13" x14ac:dyDescent="0.25">
      <c r="B9" s="1">
        <v>7</v>
      </c>
      <c r="C9" s="1">
        <v>3</v>
      </c>
      <c r="D9" s="1" t="s">
        <v>3</v>
      </c>
      <c r="E9" s="1">
        <v>96401.815900000001</v>
      </c>
      <c r="H9" s="1" t="s">
        <v>13</v>
      </c>
      <c r="I9" s="4">
        <v>3</v>
      </c>
      <c r="J9" s="5">
        <v>96401.815900000001</v>
      </c>
      <c r="K9" s="5">
        <v>253890.03575000001</v>
      </c>
      <c r="L9" s="5">
        <v>114521.02589</v>
      </c>
      <c r="M9" s="5">
        <v>464812.87754000002</v>
      </c>
    </row>
    <row r="10" spans="2:13" x14ac:dyDescent="0.25">
      <c r="B10" s="1">
        <v>8</v>
      </c>
      <c r="C10" s="1">
        <v>3</v>
      </c>
      <c r="D10" s="1" t="s">
        <v>4</v>
      </c>
      <c r="E10" s="1">
        <v>253890.03575000001</v>
      </c>
      <c r="H10" s="1" t="s">
        <v>14</v>
      </c>
      <c r="I10" s="4">
        <v>4</v>
      </c>
      <c r="J10" s="5">
        <v>289890.71801000001</v>
      </c>
      <c r="K10" s="5"/>
      <c r="L10" s="5">
        <v>703148.28908000002</v>
      </c>
      <c r="M10" s="5">
        <v>993039.00708999997</v>
      </c>
    </row>
    <row r="11" spans="2:13" x14ac:dyDescent="0.25">
      <c r="B11" s="1">
        <v>9</v>
      </c>
      <c r="C11" s="1">
        <v>3</v>
      </c>
      <c r="D11" s="1" t="s">
        <v>5</v>
      </c>
      <c r="E11" s="1">
        <v>114521.02589</v>
      </c>
      <c r="H11" s="1" t="s">
        <v>15</v>
      </c>
      <c r="I11" s="4">
        <v>5</v>
      </c>
      <c r="J11" s="5">
        <v>274075.47892000002</v>
      </c>
      <c r="K11" s="5"/>
      <c r="L11" s="5">
        <v>455344.47132999997</v>
      </c>
      <c r="M11" s="5">
        <v>729419.95024999999</v>
      </c>
    </row>
    <row r="12" spans="2:13" x14ac:dyDescent="0.25">
      <c r="B12" s="1">
        <v>10</v>
      </c>
      <c r="C12" s="1">
        <v>4</v>
      </c>
      <c r="D12" s="1" t="s">
        <v>3</v>
      </c>
      <c r="E12" s="1">
        <v>289890.71801000001</v>
      </c>
      <c r="H12" s="1" t="s">
        <v>16</v>
      </c>
      <c r="I12" s="4">
        <v>6</v>
      </c>
      <c r="J12" s="5">
        <v>17630.20679</v>
      </c>
      <c r="K12" s="5">
        <v>123094.58867</v>
      </c>
      <c r="L12" s="5">
        <v>17712.811699999998</v>
      </c>
      <c r="M12" s="5">
        <v>158437.60715999999</v>
      </c>
    </row>
    <row r="13" spans="2:13" x14ac:dyDescent="0.25">
      <c r="B13" s="1">
        <v>11</v>
      </c>
      <c r="C13" s="1">
        <v>4</v>
      </c>
      <c r="D13" s="1" t="s">
        <v>5</v>
      </c>
      <c r="E13" s="1">
        <v>703148.28908000002</v>
      </c>
      <c r="H13" s="1" t="s">
        <v>17</v>
      </c>
      <c r="I13" s="4">
        <v>7</v>
      </c>
      <c r="J13" s="5">
        <v>85466.730259999997</v>
      </c>
      <c r="K13" s="5">
        <v>665066.56470999995</v>
      </c>
      <c r="L13" s="5">
        <v>64858.529419999999</v>
      </c>
      <c r="M13" s="5">
        <v>815391.82438999997</v>
      </c>
    </row>
    <row r="14" spans="2:13" x14ac:dyDescent="0.25">
      <c r="B14" s="1">
        <v>12</v>
      </c>
      <c r="C14" s="1">
        <v>5</v>
      </c>
      <c r="D14" s="1" t="s">
        <v>3</v>
      </c>
      <c r="E14" s="1">
        <v>274075.47892000002</v>
      </c>
      <c r="H14" s="1" t="s">
        <v>18</v>
      </c>
      <c r="I14" s="4">
        <v>8</v>
      </c>
      <c r="J14" s="5">
        <v>121625.49533999999</v>
      </c>
      <c r="K14" s="5">
        <v>138048.92214000001</v>
      </c>
      <c r="L14" s="5">
        <v>145623.69245999999</v>
      </c>
      <c r="M14" s="5">
        <v>405298.10993999999</v>
      </c>
    </row>
    <row r="15" spans="2:13" x14ac:dyDescent="0.25">
      <c r="B15" s="1">
        <v>13</v>
      </c>
      <c r="C15" s="1">
        <v>5</v>
      </c>
      <c r="D15" s="1" t="s">
        <v>5</v>
      </c>
      <c r="E15" s="1">
        <v>455344.47132999997</v>
      </c>
      <c r="I15" s="4" t="s">
        <v>8</v>
      </c>
      <c r="J15" s="5">
        <v>1314186.1364800001</v>
      </c>
      <c r="K15" s="5">
        <v>3344680.1307599996</v>
      </c>
      <c r="L15" s="5">
        <v>2035138.70077</v>
      </c>
      <c r="M15" s="5">
        <v>6694004.968009999</v>
      </c>
    </row>
    <row r="16" spans="2:13" x14ac:dyDescent="0.25">
      <c r="B16" s="1">
        <v>14</v>
      </c>
      <c r="C16" s="1">
        <v>6</v>
      </c>
      <c r="D16" s="1" t="s">
        <v>3</v>
      </c>
      <c r="E16" s="1">
        <v>17630.20679</v>
      </c>
    </row>
    <row r="17" spans="2:5" x14ac:dyDescent="0.25">
      <c r="B17" s="1">
        <v>15</v>
      </c>
      <c r="C17" s="1">
        <v>6</v>
      </c>
      <c r="D17" s="1" t="s">
        <v>4</v>
      </c>
      <c r="E17" s="1">
        <v>123094.58867</v>
      </c>
    </row>
    <row r="18" spans="2:5" x14ac:dyDescent="0.25">
      <c r="B18" s="1">
        <v>16</v>
      </c>
      <c r="C18" s="1">
        <v>6</v>
      </c>
      <c r="D18" s="1" t="s">
        <v>5</v>
      </c>
      <c r="E18" s="1">
        <v>17712.811699999998</v>
      </c>
    </row>
    <row r="19" spans="2:5" x14ac:dyDescent="0.25">
      <c r="B19" s="1">
        <v>17</v>
      </c>
      <c r="C19" s="1">
        <v>7</v>
      </c>
      <c r="D19" s="1" t="s">
        <v>3</v>
      </c>
      <c r="E19" s="1">
        <v>85466.730259999997</v>
      </c>
    </row>
    <row r="20" spans="2:5" x14ac:dyDescent="0.25">
      <c r="B20" s="1">
        <v>18</v>
      </c>
      <c r="C20" s="1">
        <v>7</v>
      </c>
      <c r="D20" s="1" t="s">
        <v>4</v>
      </c>
      <c r="E20" s="1">
        <v>665066.56470999995</v>
      </c>
    </row>
    <row r="21" spans="2:5" x14ac:dyDescent="0.25">
      <c r="B21" s="1">
        <v>19</v>
      </c>
      <c r="C21" s="1">
        <v>7</v>
      </c>
      <c r="D21" s="1" t="s">
        <v>5</v>
      </c>
      <c r="E21" s="1">
        <v>64858.529419999999</v>
      </c>
    </row>
    <row r="22" spans="2:5" x14ac:dyDescent="0.25">
      <c r="B22" s="1">
        <v>20</v>
      </c>
      <c r="C22" s="1">
        <v>8</v>
      </c>
      <c r="D22" s="1" t="s">
        <v>3</v>
      </c>
      <c r="E22" s="1">
        <v>121625.49533999999</v>
      </c>
    </row>
    <row r="23" spans="2:5" x14ac:dyDescent="0.25">
      <c r="B23" s="1">
        <v>21</v>
      </c>
      <c r="C23" s="1">
        <v>8</v>
      </c>
      <c r="D23" s="1" t="s">
        <v>4</v>
      </c>
      <c r="E23" s="1">
        <v>138048.92214000001</v>
      </c>
    </row>
    <row r="24" spans="2:5" x14ac:dyDescent="0.25">
      <c r="B24" s="1">
        <v>22</v>
      </c>
      <c r="C24" s="1">
        <v>8</v>
      </c>
      <c r="D24" s="1" t="s">
        <v>5</v>
      </c>
      <c r="E24" s="1">
        <v>145623.69245999999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26BC-8008-4246-A2BE-D028218F22D7}">
  <sheetPr>
    <tabColor theme="8"/>
  </sheetPr>
  <dimension ref="A1:O75"/>
  <sheetViews>
    <sheetView topLeftCell="A22" workbookViewId="0">
      <selection activeCell="E55" sqref="E55"/>
    </sheetView>
  </sheetViews>
  <sheetFormatPr defaultRowHeight="12" x14ac:dyDescent="0.2"/>
  <cols>
    <col min="1" max="1" width="22" style="48" bestFit="1" customWidth="1"/>
    <col min="2" max="6" width="12.7109375" style="48" customWidth="1"/>
    <col min="7" max="7" width="9.140625" style="48"/>
    <col min="8" max="8" width="22" style="48" bestFit="1" customWidth="1"/>
    <col min="9" max="12" width="12.7109375" style="48" customWidth="1"/>
    <col min="13" max="16384" width="9.140625" style="48"/>
  </cols>
  <sheetData>
    <row r="1" spans="1:15" x14ac:dyDescent="0.2">
      <c r="A1" s="72" t="s">
        <v>41</v>
      </c>
    </row>
    <row r="2" spans="1:15" x14ac:dyDescent="0.2">
      <c r="A2" s="75" t="s">
        <v>40</v>
      </c>
      <c r="B2" s="75"/>
      <c r="C2" s="75"/>
      <c r="D2" s="75"/>
      <c r="E2" s="75"/>
      <c r="F2" s="63"/>
      <c r="H2" s="74"/>
      <c r="I2" s="74"/>
      <c r="J2" s="74"/>
      <c r="K2" s="74"/>
      <c r="L2" s="74"/>
      <c r="M2" s="49"/>
      <c r="N2" s="49"/>
      <c r="O2" s="49"/>
    </row>
    <row r="3" spans="1:15" x14ac:dyDescent="0.2">
      <c r="A3" s="53" t="s">
        <v>20</v>
      </c>
      <c r="B3" s="62" t="s">
        <v>21</v>
      </c>
      <c r="C3" s="62" t="s">
        <v>22</v>
      </c>
      <c r="D3" s="62" t="s">
        <v>23</v>
      </c>
      <c r="E3" s="62" t="s">
        <v>24</v>
      </c>
      <c r="F3" s="62"/>
      <c r="H3" s="49"/>
      <c r="I3" s="57"/>
      <c r="J3" s="57"/>
      <c r="K3" s="57"/>
      <c r="L3" s="57"/>
      <c r="M3" s="49"/>
      <c r="N3" s="49"/>
      <c r="O3" s="49"/>
    </row>
    <row r="4" spans="1:15" x14ac:dyDescent="0.2">
      <c r="A4" s="53" t="s">
        <v>11</v>
      </c>
      <c r="B4" s="65">
        <v>2245780.8484</v>
      </c>
      <c r="C4" s="65">
        <v>359741.64317</v>
      </c>
      <c r="D4" s="65">
        <v>327500.47006000002</v>
      </c>
      <c r="E4" s="65">
        <v>2933022.9616</v>
      </c>
      <c r="F4" s="64">
        <f t="shared" ref="F4:F12" si="0">E4/$E$12</f>
        <v>0.44165999468047124</v>
      </c>
      <c r="H4" s="49"/>
      <c r="I4" s="66"/>
      <c r="J4" s="66"/>
      <c r="K4" s="66"/>
      <c r="L4" s="66"/>
      <c r="M4" s="67"/>
      <c r="N4" s="49"/>
      <c r="O4" s="49"/>
    </row>
    <row r="5" spans="1:15" x14ac:dyDescent="0.2">
      <c r="A5" s="53" t="s">
        <v>12</v>
      </c>
      <c r="B5" s="65">
        <v>198527.93961</v>
      </c>
      <c r="C5" s="65">
        <v>116610.29874</v>
      </c>
      <c r="D5" s="65">
        <v>56022.586302000003</v>
      </c>
      <c r="E5" s="65">
        <v>371160.82465000002</v>
      </c>
      <c r="F5" s="64">
        <f t="shared" si="0"/>
        <v>5.5890079957333229E-2</v>
      </c>
      <c r="H5" s="49"/>
      <c r="I5" s="66"/>
      <c r="J5" s="66"/>
      <c r="K5" s="66"/>
      <c r="L5" s="66"/>
      <c r="M5" s="67"/>
      <c r="N5" s="49"/>
      <c r="O5" s="49"/>
    </row>
    <row r="6" spans="1:15" x14ac:dyDescent="0.2">
      <c r="A6" s="53" t="s">
        <v>13</v>
      </c>
      <c r="B6" s="65">
        <v>204361.06034</v>
      </c>
      <c r="C6" s="65">
        <v>82763.101364000002</v>
      </c>
      <c r="D6" s="65">
        <v>59894.928143999998</v>
      </c>
      <c r="E6" s="65">
        <v>347019.08983999997</v>
      </c>
      <c r="F6" s="64">
        <f t="shared" si="0"/>
        <v>5.2254773105884146E-2</v>
      </c>
      <c r="H6" s="49"/>
      <c r="I6" s="66"/>
      <c r="J6" s="66"/>
      <c r="K6" s="66"/>
      <c r="L6" s="66"/>
      <c r="M6" s="67"/>
      <c r="N6" s="49"/>
      <c r="O6" s="49"/>
    </row>
    <row r="7" spans="1:15" x14ac:dyDescent="0.2">
      <c r="A7" s="53" t="s">
        <v>14</v>
      </c>
      <c r="B7" s="65">
        <v>0</v>
      </c>
      <c r="C7" s="65">
        <f>80256.338677+370934.90183</f>
        <v>451191.24050700001</v>
      </c>
      <c r="D7" s="65">
        <v>189396.05090999999</v>
      </c>
      <c r="E7" s="65">
        <v>640587.29142000002</v>
      </c>
      <c r="F7" s="64">
        <f t="shared" si="0"/>
        <v>9.6460813101373527E-2</v>
      </c>
      <c r="H7" s="49"/>
      <c r="I7" s="66"/>
      <c r="J7" s="66"/>
      <c r="K7" s="66"/>
      <c r="L7" s="66"/>
      <c r="M7" s="67"/>
      <c r="N7" s="49"/>
      <c r="O7" s="49"/>
    </row>
    <row r="8" spans="1:15" x14ac:dyDescent="0.2">
      <c r="A8" s="53" t="s">
        <v>15</v>
      </c>
      <c r="B8" s="65">
        <v>0</v>
      </c>
      <c r="C8" s="65">
        <f>36006.162668+245427.79974</f>
        <v>281433.96240799996</v>
      </c>
      <c r="D8" s="65">
        <v>142119.23997</v>
      </c>
      <c r="E8" s="65">
        <v>423553.20237999997</v>
      </c>
      <c r="F8" s="64">
        <f t="shared" si="0"/>
        <v>6.377942060433113E-2</v>
      </c>
      <c r="H8" s="49"/>
      <c r="I8" s="66"/>
      <c r="J8" s="66"/>
      <c r="K8" s="66"/>
      <c r="L8" s="66"/>
      <c r="M8" s="67"/>
      <c r="N8" s="49"/>
      <c r="O8" s="49"/>
    </row>
    <row r="9" spans="1:15" x14ac:dyDescent="0.2">
      <c r="A9" s="53" t="s">
        <v>16</v>
      </c>
      <c r="B9" s="65">
        <v>132569.66722999999</v>
      </c>
      <c r="C9" s="65">
        <v>23624.495212000002</v>
      </c>
      <c r="D9" s="65">
        <v>32689.305359999998</v>
      </c>
      <c r="E9" s="65">
        <v>188883.46781</v>
      </c>
      <c r="F9" s="64">
        <f t="shared" si="0"/>
        <v>2.8442420151625982E-2</v>
      </c>
      <c r="H9" s="49"/>
      <c r="I9" s="66"/>
      <c r="J9" s="66"/>
      <c r="K9" s="66"/>
      <c r="L9" s="66"/>
      <c r="M9" s="67"/>
      <c r="N9" s="49"/>
      <c r="O9" s="49"/>
    </row>
    <row r="10" spans="1:15" x14ac:dyDescent="0.2">
      <c r="A10" s="53" t="s">
        <v>17</v>
      </c>
      <c r="B10" s="65">
        <v>782213.25051000004</v>
      </c>
      <c r="C10" s="65">
        <v>183362.52614999999</v>
      </c>
      <c r="D10" s="65">
        <v>175575.12628999999</v>
      </c>
      <c r="E10" s="65">
        <v>1141150.9029999999</v>
      </c>
      <c r="F10" s="64">
        <f t="shared" si="0"/>
        <v>0.1718366028316588</v>
      </c>
      <c r="H10" s="49"/>
      <c r="I10" s="66"/>
      <c r="J10" s="66"/>
      <c r="K10" s="66"/>
      <c r="L10" s="66"/>
      <c r="M10" s="67"/>
      <c r="N10" s="49"/>
      <c r="O10" s="49"/>
    </row>
    <row r="11" spans="1:15" x14ac:dyDescent="0.2">
      <c r="A11" s="53" t="s">
        <v>18</v>
      </c>
      <c r="B11" s="65">
        <v>201049.04508000001</v>
      </c>
      <c r="C11" s="65">
        <v>227302.99969999999</v>
      </c>
      <c r="D11" s="65">
        <v>167177.24014000001</v>
      </c>
      <c r="E11" s="65">
        <v>595529.28492000001</v>
      </c>
      <c r="F11" s="64">
        <f t="shared" si="0"/>
        <v>8.967589557033355E-2</v>
      </c>
      <c r="H11" s="49"/>
      <c r="I11" s="66"/>
      <c r="J11" s="66"/>
      <c r="K11" s="66"/>
      <c r="L11" s="66"/>
      <c r="M11" s="67"/>
      <c r="N11" s="49"/>
      <c r="O11" s="49"/>
    </row>
    <row r="12" spans="1:15" x14ac:dyDescent="0.2">
      <c r="A12" s="53" t="s">
        <v>24</v>
      </c>
      <c r="B12" s="65">
        <v>3880764.3125</v>
      </c>
      <c r="C12" s="65">
        <v>1609767.7659</v>
      </c>
      <c r="D12" s="65">
        <v>1150374.9472000001</v>
      </c>
      <c r="E12" s="65">
        <v>6640907.0256000003</v>
      </c>
      <c r="F12" s="64">
        <f t="shared" si="0"/>
        <v>1</v>
      </c>
      <c r="H12" s="49"/>
      <c r="I12" s="66"/>
      <c r="J12" s="66"/>
      <c r="K12" s="66"/>
      <c r="L12" s="66"/>
      <c r="M12" s="67"/>
      <c r="N12" s="49"/>
      <c r="O12" s="49"/>
    </row>
    <row r="13" spans="1:15" x14ac:dyDescent="0.2">
      <c r="A13" s="53"/>
      <c r="B13" s="53"/>
      <c r="C13" s="53"/>
      <c r="D13" s="53"/>
      <c r="E13" s="53"/>
      <c r="F13" s="53"/>
      <c r="H13" s="49"/>
      <c r="I13" s="49"/>
      <c r="J13" s="49"/>
      <c r="K13" s="49"/>
      <c r="L13" s="49"/>
      <c r="M13" s="49"/>
      <c r="N13" s="49"/>
      <c r="O13" s="49"/>
    </row>
    <row r="14" spans="1:15" x14ac:dyDescent="0.2">
      <c r="A14" s="75" t="s">
        <v>39</v>
      </c>
      <c r="B14" s="75"/>
      <c r="C14" s="75"/>
      <c r="D14" s="75"/>
      <c r="E14" s="75"/>
      <c r="F14" s="63"/>
      <c r="H14" s="74"/>
      <c r="I14" s="74"/>
      <c r="J14" s="74"/>
      <c r="K14" s="74"/>
      <c r="L14" s="74"/>
      <c r="M14" s="49"/>
      <c r="N14" s="49"/>
      <c r="O14" s="49"/>
    </row>
    <row r="15" spans="1:15" x14ac:dyDescent="0.2">
      <c r="A15" s="53" t="s">
        <v>20</v>
      </c>
      <c r="B15" s="62" t="s">
        <v>21</v>
      </c>
      <c r="C15" s="62" t="s">
        <v>22</v>
      </c>
      <c r="D15" s="62" t="s">
        <v>23</v>
      </c>
      <c r="E15" s="62" t="s">
        <v>24</v>
      </c>
      <c r="F15" s="62"/>
      <c r="H15" s="49"/>
      <c r="I15" s="57"/>
      <c r="J15" s="57"/>
      <c r="K15" s="57"/>
      <c r="L15" s="57"/>
      <c r="M15" s="49"/>
      <c r="N15" s="49"/>
      <c r="O15" s="49"/>
    </row>
    <row r="16" spans="1:15" x14ac:dyDescent="0.2">
      <c r="A16" s="53" t="s">
        <v>11</v>
      </c>
      <c r="B16" s="61">
        <f t="shared" ref="B16:E24" si="1">B4/$E4</f>
        <v>0.76568812375573736</v>
      </c>
      <c r="C16" s="61">
        <f t="shared" si="1"/>
        <v>0.12265217418337444</v>
      </c>
      <c r="D16" s="61">
        <f t="shared" si="1"/>
        <v>0.11165970207111658</v>
      </c>
      <c r="E16" s="61">
        <f t="shared" si="1"/>
        <v>1</v>
      </c>
      <c r="F16" s="61"/>
      <c r="H16" s="49"/>
      <c r="I16" s="68"/>
      <c r="J16" s="68"/>
      <c r="K16" s="68"/>
      <c r="L16" s="68"/>
      <c r="M16" s="49"/>
      <c r="N16" s="49"/>
      <c r="O16" s="49"/>
    </row>
    <row r="17" spans="1:15" x14ac:dyDescent="0.2">
      <c r="A17" s="53" t="s">
        <v>12</v>
      </c>
      <c r="B17" s="61">
        <f t="shared" si="1"/>
        <v>0.53488387358016387</v>
      </c>
      <c r="C17" s="61">
        <f t="shared" si="1"/>
        <v>0.31417728110169502</v>
      </c>
      <c r="D17" s="61">
        <f t="shared" si="1"/>
        <v>0.1509388453235295</v>
      </c>
      <c r="E17" s="61">
        <f t="shared" si="1"/>
        <v>1</v>
      </c>
      <c r="F17" s="61"/>
      <c r="H17" s="49"/>
      <c r="I17" s="68"/>
      <c r="J17" s="68"/>
      <c r="K17" s="68"/>
      <c r="L17" s="68"/>
      <c r="M17" s="49"/>
      <c r="N17" s="49"/>
      <c r="O17" s="49"/>
    </row>
    <row r="18" spans="1:15" x14ac:dyDescent="0.2">
      <c r="A18" s="53" t="s">
        <v>13</v>
      </c>
      <c r="B18" s="61">
        <f t="shared" si="1"/>
        <v>0.58890437535936346</v>
      </c>
      <c r="C18" s="61">
        <f t="shared" si="1"/>
        <v>0.23849725789483101</v>
      </c>
      <c r="D18" s="61">
        <f t="shared" si="1"/>
        <v>0.17259836676885915</v>
      </c>
      <c r="E18" s="61">
        <f t="shared" si="1"/>
        <v>1</v>
      </c>
      <c r="F18" s="61"/>
      <c r="H18" s="49"/>
      <c r="I18" s="68"/>
      <c r="J18" s="68"/>
      <c r="K18" s="68"/>
      <c r="L18" s="68"/>
      <c r="M18" s="49"/>
      <c r="N18" s="49"/>
      <c r="O18" s="49"/>
    </row>
    <row r="19" spans="1:15" x14ac:dyDescent="0.2">
      <c r="A19" s="53" t="s">
        <v>14</v>
      </c>
      <c r="B19" s="61">
        <f t="shared" si="1"/>
        <v>0</v>
      </c>
      <c r="C19" s="61">
        <f t="shared" si="1"/>
        <v>0.70433998074928594</v>
      </c>
      <c r="D19" s="61">
        <f t="shared" si="1"/>
        <v>0.29566001924603086</v>
      </c>
      <c r="E19" s="61">
        <f t="shared" si="1"/>
        <v>1</v>
      </c>
      <c r="F19" s="61"/>
      <c r="H19" s="49"/>
      <c r="I19" s="68"/>
      <c r="J19" s="68"/>
      <c r="K19" s="68"/>
      <c r="L19" s="68"/>
      <c r="M19" s="49"/>
      <c r="N19" s="49"/>
      <c r="O19" s="49"/>
    </row>
    <row r="20" spans="1:15" x14ac:dyDescent="0.2">
      <c r="A20" s="53" t="s">
        <v>15</v>
      </c>
      <c r="B20" s="61">
        <f t="shared" si="1"/>
        <v>0</v>
      </c>
      <c r="C20" s="61">
        <f t="shared" si="1"/>
        <v>0.66445953147464432</v>
      </c>
      <c r="D20" s="61">
        <f t="shared" si="1"/>
        <v>0.33554046852063374</v>
      </c>
      <c r="E20" s="61">
        <f t="shared" si="1"/>
        <v>1</v>
      </c>
      <c r="F20" s="61"/>
      <c r="H20" s="49"/>
      <c r="I20" s="68"/>
      <c r="J20" s="68"/>
      <c r="K20" s="68"/>
      <c r="L20" s="68"/>
      <c r="M20" s="49"/>
      <c r="N20" s="49"/>
      <c r="O20" s="49"/>
    </row>
    <row r="21" spans="1:15" x14ac:dyDescent="0.2">
      <c r="A21" s="53" t="s">
        <v>16</v>
      </c>
      <c r="B21" s="61">
        <f t="shared" si="1"/>
        <v>0.70185955799664435</v>
      </c>
      <c r="C21" s="61">
        <f t="shared" si="1"/>
        <v>0.12507444661998765</v>
      </c>
      <c r="D21" s="61">
        <f t="shared" si="1"/>
        <v>0.17306599534101386</v>
      </c>
      <c r="E21" s="61">
        <f t="shared" si="1"/>
        <v>1</v>
      </c>
      <c r="F21" s="61"/>
      <c r="H21" s="49"/>
      <c r="I21" s="68"/>
      <c r="J21" s="68"/>
      <c r="K21" s="68"/>
      <c r="L21" s="68"/>
      <c r="M21" s="49"/>
      <c r="N21" s="49"/>
      <c r="O21" s="49"/>
    </row>
    <row r="22" spans="1:15" x14ac:dyDescent="0.2">
      <c r="A22" s="53" t="s">
        <v>17</v>
      </c>
      <c r="B22" s="61">
        <f t="shared" si="1"/>
        <v>0.68545995841007545</v>
      </c>
      <c r="C22" s="61">
        <f t="shared" si="1"/>
        <v>0.16068210231263341</v>
      </c>
      <c r="D22" s="61">
        <f t="shared" si="1"/>
        <v>0.15385793923347577</v>
      </c>
      <c r="E22" s="61">
        <f t="shared" si="1"/>
        <v>1</v>
      </c>
      <c r="F22" s="61"/>
      <c r="H22" s="49"/>
      <c r="I22" s="68"/>
      <c r="J22" s="68"/>
      <c r="K22" s="68"/>
      <c r="L22" s="68"/>
      <c r="M22" s="49"/>
      <c r="N22" s="49"/>
      <c r="O22" s="49"/>
    </row>
    <row r="23" spans="1:15" x14ac:dyDescent="0.2">
      <c r="A23" s="53" t="s">
        <v>18</v>
      </c>
      <c r="B23" s="61">
        <f t="shared" si="1"/>
        <v>0.33759724361331417</v>
      </c>
      <c r="C23" s="61">
        <f t="shared" si="1"/>
        <v>0.38168232101387689</v>
      </c>
      <c r="D23" s="61">
        <f t="shared" si="1"/>
        <v>0.280720435372809</v>
      </c>
      <c r="E23" s="61">
        <f t="shared" si="1"/>
        <v>1</v>
      </c>
      <c r="F23" s="61"/>
      <c r="H23" s="49"/>
      <c r="I23" s="68"/>
      <c r="J23" s="68"/>
      <c r="K23" s="68"/>
      <c r="L23" s="68"/>
      <c r="M23" s="49"/>
      <c r="N23" s="49"/>
      <c r="O23" s="49"/>
    </row>
    <row r="24" spans="1:15" x14ac:dyDescent="0.2">
      <c r="A24" s="53" t="s">
        <v>24</v>
      </c>
      <c r="B24" s="61">
        <f t="shared" si="1"/>
        <v>0.58437263125956451</v>
      </c>
      <c r="C24" s="61">
        <f t="shared" si="1"/>
        <v>0.24240179235976561</v>
      </c>
      <c r="D24" s="61">
        <f t="shared" si="1"/>
        <v>0.17322557638066988</v>
      </c>
      <c r="E24" s="61">
        <f t="shared" si="1"/>
        <v>1</v>
      </c>
      <c r="F24" s="61"/>
      <c r="H24" s="49"/>
      <c r="I24" s="68"/>
      <c r="J24" s="68"/>
      <c r="K24" s="68"/>
      <c r="L24" s="68"/>
      <c r="M24" s="49"/>
      <c r="N24" s="49"/>
      <c r="O24" s="49"/>
    </row>
    <row r="25" spans="1:15" x14ac:dyDescent="0.2">
      <c r="A25" s="60"/>
      <c r="H25" s="49"/>
      <c r="I25" s="49"/>
      <c r="J25" s="49"/>
      <c r="K25" s="49"/>
      <c r="L25" s="49"/>
      <c r="M25" s="49"/>
      <c r="N25" s="49"/>
      <c r="O25" s="49"/>
    </row>
    <row r="26" spans="1:15" x14ac:dyDescent="0.2">
      <c r="H26" s="49"/>
      <c r="I26" s="49"/>
      <c r="J26" s="49"/>
      <c r="K26" s="49"/>
      <c r="L26" s="49"/>
      <c r="M26" s="49"/>
      <c r="N26" s="49"/>
      <c r="O26" s="49"/>
    </row>
    <row r="27" spans="1:15" x14ac:dyDescent="0.2">
      <c r="A27" s="74" t="s">
        <v>38</v>
      </c>
      <c r="B27" s="74"/>
      <c r="C27" s="74"/>
      <c r="D27" s="74"/>
      <c r="E27" s="74"/>
      <c r="F27" s="59"/>
      <c r="H27" s="74"/>
      <c r="I27" s="74"/>
      <c r="J27" s="74"/>
      <c r="K27" s="74"/>
      <c r="L27" s="74"/>
      <c r="M27" s="49"/>
      <c r="N27" s="49"/>
      <c r="O27" s="49"/>
    </row>
    <row r="28" spans="1:15" x14ac:dyDescent="0.2">
      <c r="A28" s="49" t="s">
        <v>20</v>
      </c>
      <c r="B28" s="57" t="s">
        <v>21</v>
      </c>
      <c r="C28" s="57" t="s">
        <v>22</v>
      </c>
      <c r="D28" s="57" t="s">
        <v>23</v>
      </c>
      <c r="E28" s="57" t="s">
        <v>24</v>
      </c>
      <c r="F28" s="57" t="s">
        <v>37</v>
      </c>
      <c r="H28" s="49"/>
      <c r="I28" s="57"/>
      <c r="J28" s="57"/>
      <c r="K28" s="57"/>
      <c r="L28" s="57"/>
      <c r="M28" s="49"/>
      <c r="N28" s="49"/>
      <c r="O28" s="49"/>
    </row>
    <row r="29" spans="1:15" x14ac:dyDescent="0.2">
      <c r="A29" s="49" t="s">
        <v>11</v>
      </c>
      <c r="B29" s="73">
        <v>0.79</v>
      </c>
      <c r="C29" s="73">
        <v>0.12</v>
      </c>
      <c r="D29" s="73">
        <v>0.09</v>
      </c>
      <c r="E29" s="73">
        <f>SUM(B29:D29)</f>
        <v>1</v>
      </c>
      <c r="F29" s="73">
        <v>0.47599999999999998</v>
      </c>
      <c r="H29" s="49"/>
      <c r="I29" s="68"/>
      <c r="J29" s="68"/>
      <c r="K29" s="68"/>
      <c r="L29" s="68"/>
      <c r="M29" s="49"/>
      <c r="N29" s="49"/>
      <c r="O29" s="49"/>
    </row>
    <row r="30" spans="1:15" x14ac:dyDescent="0.2">
      <c r="A30" s="49" t="s">
        <v>12</v>
      </c>
      <c r="B30" s="73"/>
      <c r="C30" s="73"/>
      <c r="D30" s="73"/>
      <c r="E30" s="73"/>
      <c r="F30" s="73"/>
      <c r="H30" s="49"/>
      <c r="I30" s="68"/>
      <c r="J30" s="68"/>
      <c r="K30" s="68"/>
      <c r="L30" s="68"/>
      <c r="M30" s="49"/>
      <c r="N30" s="49"/>
      <c r="O30" s="49"/>
    </row>
    <row r="31" spans="1:15" x14ac:dyDescent="0.2">
      <c r="A31" s="49" t="s">
        <v>13</v>
      </c>
      <c r="B31" s="58">
        <v>0.7</v>
      </c>
      <c r="C31" s="58">
        <v>0.22</v>
      </c>
      <c r="D31" s="58">
        <v>0.08</v>
      </c>
      <c r="E31" s="58">
        <f>SUM(B31:D31)</f>
        <v>0.99999999999999989</v>
      </c>
      <c r="F31" s="58">
        <v>5.1999999999999998E-2</v>
      </c>
      <c r="H31" s="49"/>
      <c r="I31" s="68"/>
      <c r="J31" s="68"/>
      <c r="K31" s="68"/>
      <c r="L31" s="68"/>
      <c r="M31" s="49"/>
      <c r="N31" s="49"/>
      <c r="O31" s="49"/>
    </row>
    <row r="32" spans="1:15" x14ac:dyDescent="0.2">
      <c r="A32" s="49" t="s">
        <v>14</v>
      </c>
      <c r="B32" s="73">
        <v>0</v>
      </c>
      <c r="C32" s="73">
        <v>0.8</v>
      </c>
      <c r="D32" s="73">
        <v>0.2</v>
      </c>
      <c r="E32" s="73">
        <f>SUM(B32:D32)</f>
        <v>1</v>
      </c>
      <c r="F32" s="73">
        <v>0.22600000000000001</v>
      </c>
      <c r="H32" s="49"/>
      <c r="I32" s="68"/>
      <c r="J32" s="68"/>
      <c r="K32" s="68"/>
      <c r="L32" s="68"/>
      <c r="M32" s="49"/>
      <c r="N32" s="49"/>
      <c r="O32" s="49"/>
    </row>
    <row r="33" spans="1:15" x14ac:dyDescent="0.2">
      <c r="A33" s="49" t="s">
        <v>15</v>
      </c>
      <c r="B33" s="73"/>
      <c r="C33" s="73"/>
      <c r="D33" s="73"/>
      <c r="E33" s="73"/>
      <c r="F33" s="73"/>
      <c r="H33" s="49"/>
      <c r="I33" s="68"/>
      <c r="J33" s="68"/>
      <c r="K33" s="68"/>
      <c r="L33" s="68"/>
      <c r="M33" s="49"/>
      <c r="N33" s="49"/>
      <c r="O33" s="49"/>
    </row>
    <row r="34" spans="1:15" x14ac:dyDescent="0.2">
      <c r="A34" s="49" t="s">
        <v>16</v>
      </c>
      <c r="B34" s="73">
        <v>0.65</v>
      </c>
      <c r="C34" s="73">
        <v>0.2</v>
      </c>
      <c r="D34" s="73">
        <v>0.15</v>
      </c>
      <c r="E34" s="73">
        <f>SUM(B34:D34)</f>
        <v>1</v>
      </c>
      <c r="F34" s="73">
        <v>0.246</v>
      </c>
      <c r="H34" s="49"/>
      <c r="I34" s="68"/>
      <c r="J34" s="68"/>
      <c r="K34" s="68"/>
      <c r="L34" s="68"/>
      <c r="M34" s="49"/>
      <c r="N34" s="49"/>
      <c r="O34" s="49"/>
    </row>
    <row r="35" spans="1:15" x14ac:dyDescent="0.2">
      <c r="A35" s="49" t="s">
        <v>17</v>
      </c>
      <c r="B35" s="73"/>
      <c r="C35" s="73"/>
      <c r="D35" s="73"/>
      <c r="E35" s="73"/>
      <c r="F35" s="73"/>
      <c r="H35" s="49"/>
      <c r="I35" s="68"/>
      <c r="J35" s="68"/>
      <c r="K35" s="68"/>
      <c r="L35" s="68"/>
      <c r="M35" s="49"/>
      <c r="N35" s="49"/>
      <c r="O35" s="49"/>
    </row>
    <row r="36" spans="1:15" x14ac:dyDescent="0.2">
      <c r="A36" s="49" t="s">
        <v>18</v>
      </c>
      <c r="B36" s="73"/>
      <c r="C36" s="73"/>
      <c r="D36" s="73"/>
      <c r="E36" s="73"/>
      <c r="F36" s="73"/>
      <c r="H36" s="49"/>
      <c r="I36" s="68"/>
      <c r="J36" s="68"/>
      <c r="K36" s="68"/>
      <c r="L36" s="68"/>
      <c r="M36" s="49"/>
      <c r="N36" s="49"/>
      <c r="O36" s="49"/>
    </row>
    <row r="37" spans="1:15" x14ac:dyDescent="0.2">
      <c r="A37" s="49" t="s">
        <v>24</v>
      </c>
      <c r="B37" s="58">
        <f>SUMPRODUCT(B29:B36,$F29:$F36)</f>
        <v>0.57233999999999996</v>
      </c>
      <c r="C37" s="58">
        <f>SUMPRODUCT(C29:C36,$F29:$F36)</f>
        <v>0.29856000000000005</v>
      </c>
      <c r="D37" s="58">
        <f>SUMPRODUCT(D29:D36,$F29:$F36)</f>
        <v>0.12909999999999999</v>
      </c>
      <c r="E37" s="58">
        <f>SUM(B37:D37)</f>
        <v>1</v>
      </c>
      <c r="F37" s="58">
        <f>SUM(F29:F36)</f>
        <v>1</v>
      </c>
      <c r="H37" s="49"/>
      <c r="I37" s="68"/>
      <c r="J37" s="68"/>
      <c r="K37" s="68"/>
      <c r="L37" s="68"/>
      <c r="M37" s="49"/>
      <c r="N37" s="49"/>
      <c r="O37" s="49"/>
    </row>
    <row r="38" spans="1:15" x14ac:dyDescent="0.2">
      <c r="H38" s="49"/>
      <c r="I38" s="49"/>
      <c r="J38" s="49"/>
      <c r="K38" s="49"/>
      <c r="L38" s="49"/>
      <c r="M38" s="49"/>
      <c r="N38" s="49"/>
      <c r="O38" s="49"/>
    </row>
    <row r="39" spans="1:15" x14ac:dyDescent="0.2">
      <c r="B39" s="48" t="str">
        <f>A27&amp;" split into 8 person types"</f>
        <v>SFCTA Adjusted Targets split into 8 person types</v>
      </c>
      <c r="H39" s="49"/>
      <c r="I39" s="49"/>
      <c r="J39" s="49"/>
      <c r="K39" s="49"/>
      <c r="L39" s="49"/>
      <c r="M39" s="49"/>
      <c r="N39" s="49"/>
      <c r="O39" s="49"/>
    </row>
    <row r="40" spans="1:15" x14ac:dyDescent="0.2">
      <c r="A40" s="49" t="s">
        <v>20</v>
      </c>
      <c r="B40" s="57" t="s">
        <v>21</v>
      </c>
      <c r="C40" s="57" t="s">
        <v>22</v>
      </c>
      <c r="D40" s="57" t="s">
        <v>23</v>
      </c>
      <c r="E40" s="57" t="s">
        <v>24</v>
      </c>
      <c r="F40" s="57" t="s">
        <v>37</v>
      </c>
      <c r="H40" s="74"/>
      <c r="I40" s="74"/>
      <c r="J40" s="74"/>
      <c r="K40" s="74"/>
      <c r="L40" s="74"/>
      <c r="M40" s="49"/>
      <c r="N40" s="49"/>
      <c r="O40" s="49"/>
    </row>
    <row r="41" spans="1:15" ht="12.75" x14ac:dyDescent="0.2">
      <c r="A41" s="49" t="s">
        <v>11</v>
      </c>
      <c r="B41" s="56">
        <f t="shared" ref="B41:D42" si="2">B4*B$29/(SUM(B$4:B$5)/SUM($E$4:$E$5))*$F$29/($F$4+$F$5)</f>
        <v>2294419.0973265339</v>
      </c>
      <c r="C41" s="56">
        <f t="shared" si="2"/>
        <v>286469.48864033923</v>
      </c>
      <c r="D41" s="56">
        <f t="shared" si="2"/>
        <v>242939.0406774689</v>
      </c>
      <c r="E41" s="56">
        <f t="shared" ref="E41:E48" si="3">SUM(B41:D41)</f>
        <v>2823827.6266443417</v>
      </c>
      <c r="F41" s="55">
        <f t="shared" ref="F41:F49" si="4">E41/$E$49</f>
        <v>0.42521716021001088</v>
      </c>
      <c r="H41" s="49"/>
      <c r="I41" s="49"/>
      <c r="J41" s="49"/>
      <c r="K41" s="49"/>
      <c r="L41" s="69"/>
      <c r="M41" s="69"/>
      <c r="N41" s="49"/>
      <c r="O41" s="49"/>
    </row>
    <row r="42" spans="1:15" ht="12.75" x14ac:dyDescent="0.2">
      <c r="A42" s="49" t="s">
        <v>12</v>
      </c>
      <c r="B42" s="56">
        <f t="shared" si="2"/>
        <v>202827.5805800895</v>
      </c>
      <c r="C42" s="56">
        <f t="shared" si="2"/>
        <v>92859.120661932757</v>
      </c>
      <c r="D42" s="56">
        <f t="shared" si="2"/>
        <v>41557.416299235068</v>
      </c>
      <c r="E42" s="56">
        <f t="shared" si="3"/>
        <v>337244.11754125735</v>
      </c>
      <c r="F42" s="55">
        <f t="shared" si="4"/>
        <v>5.0782839789989029E-2</v>
      </c>
      <c r="H42" s="49"/>
      <c r="I42" s="70"/>
      <c r="J42" s="70"/>
      <c r="K42" s="49"/>
      <c r="L42" s="71"/>
      <c r="M42" s="71"/>
      <c r="N42" s="49"/>
      <c r="O42" s="49"/>
    </row>
    <row r="43" spans="1:15" ht="12.75" x14ac:dyDescent="0.2">
      <c r="A43" s="49" t="s">
        <v>13</v>
      </c>
      <c r="B43" s="56">
        <f>B6*B31/B18*$F$31/$F$6</f>
        <v>241729.01573183993</v>
      </c>
      <c r="C43" s="56">
        <f>C6*C31/C18*$F$31/$F$6</f>
        <v>75971.976372863995</v>
      </c>
      <c r="D43" s="56">
        <f>D6*D31/D18*$F$31/$F$6</f>
        <v>27626.173226496001</v>
      </c>
      <c r="E43" s="56">
        <f t="shared" si="3"/>
        <v>345327.16533119988</v>
      </c>
      <c r="F43" s="55">
        <f t="shared" si="4"/>
        <v>5.1999999999999991E-2</v>
      </c>
      <c r="H43" s="49"/>
      <c r="I43" s="70"/>
      <c r="J43" s="70"/>
      <c r="K43" s="49"/>
      <c r="L43" s="71"/>
      <c r="M43" s="71"/>
      <c r="N43" s="49"/>
      <c r="O43" s="49"/>
    </row>
    <row r="44" spans="1:15" ht="12.75" x14ac:dyDescent="0.2">
      <c r="A44" s="49" t="s">
        <v>14</v>
      </c>
      <c r="B44" s="56">
        <v>0</v>
      </c>
      <c r="C44" s="56">
        <f>C7*C$32/(SUM(C$7:C$8)/SUM($E$7:$E$8))*$F32/($F$7+$F$8)</f>
        <v>739442.8792821794</v>
      </c>
      <c r="D44" s="56">
        <f>D7*D$32/(SUM(D$7:D$8)/SUM($E$7:$E$8))*$F32/($F$7+$F$8)</f>
        <v>171487.78444584779</v>
      </c>
      <c r="E44" s="56">
        <f t="shared" si="3"/>
        <v>910930.66372802714</v>
      </c>
      <c r="F44" s="55">
        <f t="shared" si="4"/>
        <v>0.13716961556854884</v>
      </c>
      <c r="H44" s="49"/>
      <c r="I44" s="70"/>
      <c r="J44" s="70"/>
      <c r="K44" s="49"/>
      <c r="L44" s="71"/>
      <c r="M44" s="71"/>
      <c r="N44" s="49"/>
      <c r="O44" s="49"/>
    </row>
    <row r="45" spans="1:15" ht="12.75" x14ac:dyDescent="0.2">
      <c r="A45" s="49" t="s">
        <v>15</v>
      </c>
      <c r="B45" s="56">
        <v>0</v>
      </c>
      <c r="C45" s="56">
        <f>C8*C$32/(SUM(C$7:C$8)/SUM($E$7:$E$8))*$F32/($F$7+$F$8)</f>
        <v>461233.11094630061</v>
      </c>
      <c r="D45" s="56">
        <f>D8*D$32/(SUM(D$7:D$8)/SUM($E$7:$E$8))*$F32/($F$7+$F$8)</f>
        <v>128681.21311127224</v>
      </c>
      <c r="E45" s="56">
        <f t="shared" si="3"/>
        <v>589914.32405757287</v>
      </c>
      <c r="F45" s="55">
        <f t="shared" si="4"/>
        <v>8.8830384431451165E-2</v>
      </c>
      <c r="H45" s="49"/>
      <c r="I45" s="70"/>
      <c r="J45" s="70"/>
      <c r="K45" s="49"/>
      <c r="L45" s="71"/>
      <c r="M45" s="71"/>
      <c r="N45" s="49"/>
      <c r="O45" s="49"/>
    </row>
    <row r="46" spans="1:15" ht="12.75" x14ac:dyDescent="0.2">
      <c r="A46" s="49" t="s">
        <v>16</v>
      </c>
      <c r="B46" s="56">
        <f t="shared" ref="B46:D48" si="5">B9*B$34/(SUM(B$9:B$11)/SUM($E$9:$E$11))*$F$34/($F$9+$F$10+$F$11)</f>
        <v>126159.86987776012</v>
      </c>
      <c r="C46" s="56">
        <f t="shared" si="5"/>
        <v>17773.591324115547</v>
      </c>
      <c r="D46" s="56">
        <f t="shared" si="5"/>
        <v>21336.195554031539</v>
      </c>
      <c r="E46" s="56">
        <f t="shared" si="3"/>
        <v>165269.65675590723</v>
      </c>
      <c r="F46" s="55">
        <f t="shared" si="4"/>
        <v>2.4886609030786013E-2</v>
      </c>
      <c r="H46" s="49"/>
      <c r="I46" s="70"/>
      <c r="J46" s="70"/>
      <c r="K46" s="49"/>
      <c r="L46" s="71"/>
      <c r="M46" s="71"/>
      <c r="N46" s="49"/>
      <c r="O46" s="49"/>
    </row>
    <row r="47" spans="1:15" ht="12.75" x14ac:dyDescent="0.2">
      <c r="A47" s="49" t="s">
        <v>17</v>
      </c>
      <c r="B47" s="56">
        <f t="shared" si="5"/>
        <v>744392.92157074693</v>
      </c>
      <c r="C47" s="56">
        <f t="shared" si="5"/>
        <v>137950.48633640836</v>
      </c>
      <c r="D47" s="56">
        <f t="shared" si="5"/>
        <v>114597.27234005758</v>
      </c>
      <c r="E47" s="56">
        <f t="shared" si="3"/>
        <v>996940.68024721288</v>
      </c>
      <c r="F47" s="55">
        <f t="shared" si="4"/>
        <v>0.15012116212500962</v>
      </c>
      <c r="H47" s="49"/>
      <c r="I47" s="70"/>
      <c r="J47" s="70"/>
      <c r="K47" s="49"/>
      <c r="L47" s="71"/>
      <c r="M47" s="71"/>
      <c r="N47" s="49"/>
      <c r="O47" s="49"/>
    </row>
    <row r="48" spans="1:15" ht="12.75" x14ac:dyDescent="0.2">
      <c r="A48" s="49" t="s">
        <v>18</v>
      </c>
      <c r="B48" s="56">
        <f t="shared" si="5"/>
        <v>191328.24194493328</v>
      </c>
      <c r="C48" s="56">
        <f t="shared" si="5"/>
        <v>171008.54799899619</v>
      </c>
      <c r="D48" s="56">
        <f t="shared" si="5"/>
        <v>109116.00135055091</v>
      </c>
      <c r="E48" s="56">
        <f t="shared" si="3"/>
        <v>471452.79129448038</v>
      </c>
      <c r="F48" s="55">
        <f t="shared" si="4"/>
        <v>7.0992228844204475E-2</v>
      </c>
      <c r="H48" s="49"/>
      <c r="I48" s="70"/>
      <c r="J48" s="70"/>
      <c r="K48" s="49"/>
      <c r="L48" s="71"/>
      <c r="M48" s="71"/>
      <c r="N48" s="49"/>
      <c r="O48" s="49"/>
    </row>
    <row r="49" spans="1:15" x14ac:dyDescent="0.2">
      <c r="A49" s="49" t="s">
        <v>24</v>
      </c>
      <c r="B49" s="56">
        <f>SUM(B41:B48)</f>
        <v>3800856.7270319043</v>
      </c>
      <c r="C49" s="56">
        <f>SUM(C41:C48)</f>
        <v>1982709.2015631364</v>
      </c>
      <c r="D49" s="56">
        <f>SUM(D41:D48)</f>
        <v>857341.09700495994</v>
      </c>
      <c r="E49" s="56">
        <f>SUM(E41:E48)</f>
        <v>6640907.0255999994</v>
      </c>
      <c r="F49" s="55">
        <f t="shared" si="4"/>
        <v>1</v>
      </c>
      <c r="H49" s="49"/>
      <c r="I49" s="70"/>
      <c r="J49" s="70"/>
      <c r="K49" s="49"/>
      <c r="L49" s="49"/>
      <c r="M49" s="49"/>
      <c r="N49" s="49"/>
      <c r="O49" s="49"/>
    </row>
    <row r="50" spans="1:15" x14ac:dyDescent="0.2">
      <c r="H50" s="49"/>
      <c r="I50" s="49"/>
      <c r="J50" s="49"/>
      <c r="K50" s="49"/>
      <c r="L50" s="49"/>
      <c r="M50" s="49"/>
      <c r="N50" s="49"/>
      <c r="O50" s="49"/>
    </row>
    <row r="51" spans="1:15" x14ac:dyDescent="0.2">
      <c r="A51" s="53"/>
      <c r="B51" s="54" t="str">
        <f>B39&amp;" - Percent Share"</f>
        <v>SFCTA Adjusted Targets split into 8 person types - Percent Share</v>
      </c>
      <c r="C51" s="53"/>
      <c r="D51" s="53"/>
      <c r="E51" s="53"/>
      <c r="H51" s="49"/>
      <c r="I51" s="49"/>
      <c r="J51" s="49"/>
      <c r="K51" s="49"/>
      <c r="L51" s="49"/>
      <c r="M51" s="49"/>
      <c r="N51" s="49"/>
      <c r="O51" s="49"/>
    </row>
    <row r="52" spans="1:15" x14ac:dyDescent="0.2">
      <c r="A52" s="53" t="str">
        <f>A40</f>
        <v>Person type</v>
      </c>
      <c r="B52" s="53" t="str">
        <f>B40</f>
        <v>Mandatory</v>
      </c>
      <c r="C52" s="53" t="str">
        <f>C40</f>
        <v>Non-Mandatory</v>
      </c>
      <c r="D52" s="53" t="str">
        <f>D40</f>
        <v>Home</v>
      </c>
      <c r="E52" s="53" t="str">
        <f>E40</f>
        <v>Total</v>
      </c>
      <c r="H52" s="74"/>
      <c r="I52" s="74"/>
      <c r="J52" s="74"/>
      <c r="K52" s="74"/>
      <c r="L52" s="74"/>
      <c r="M52" s="49"/>
      <c r="N52" s="49"/>
      <c r="O52" s="49"/>
    </row>
    <row r="53" spans="1:15" x14ac:dyDescent="0.2">
      <c r="A53" s="53" t="str">
        <f t="shared" ref="A53:A61" si="6">A41</f>
        <v>Full-time worker</v>
      </c>
      <c r="B53" s="52">
        <f t="shared" ref="B53:E61" si="7">B41/$E41</f>
        <v>0.81252094698608657</v>
      </c>
      <c r="C53" s="52">
        <f t="shared" si="7"/>
        <v>0.10144722926333909</v>
      </c>
      <c r="D53" s="52">
        <f t="shared" si="7"/>
        <v>8.6031823750574429E-2</v>
      </c>
      <c r="E53" s="52">
        <f t="shared" si="7"/>
        <v>1</v>
      </c>
      <c r="H53" s="49"/>
      <c r="I53" s="49"/>
      <c r="J53" s="49"/>
      <c r="K53" s="49"/>
      <c r="L53" s="49"/>
      <c r="M53" s="49"/>
      <c r="N53" s="49"/>
      <c r="O53" s="49"/>
    </row>
    <row r="54" spans="1:15" x14ac:dyDescent="0.2">
      <c r="A54" s="53" t="str">
        <f t="shared" si="6"/>
        <v>Part-time worker</v>
      </c>
      <c r="B54" s="52">
        <f t="shared" si="7"/>
        <v>0.60142659287534117</v>
      </c>
      <c r="C54" s="52">
        <f t="shared" si="7"/>
        <v>0.27534689511840832</v>
      </c>
      <c r="D54" s="52">
        <f t="shared" si="7"/>
        <v>0.1232265120062504</v>
      </c>
      <c r="E54" s="52">
        <f t="shared" si="7"/>
        <v>1</v>
      </c>
      <c r="H54" s="49"/>
      <c r="I54" s="70"/>
      <c r="J54" s="70"/>
      <c r="K54" s="70"/>
      <c r="L54" s="49"/>
      <c r="M54" s="49"/>
      <c r="N54" s="49"/>
      <c r="O54" s="49"/>
    </row>
    <row r="55" spans="1:15" x14ac:dyDescent="0.2">
      <c r="A55" s="53" t="str">
        <f t="shared" si="6"/>
        <v>University student</v>
      </c>
      <c r="B55" s="52">
        <f t="shared" si="7"/>
        <v>0.70000000000000007</v>
      </c>
      <c r="C55" s="52">
        <f t="shared" si="7"/>
        <v>0.22000000000000006</v>
      </c>
      <c r="D55" s="52">
        <f t="shared" si="7"/>
        <v>8.0000000000000029E-2</v>
      </c>
      <c r="E55" s="52">
        <f t="shared" si="7"/>
        <v>1</v>
      </c>
      <c r="H55" s="49"/>
      <c r="I55" s="70"/>
      <c r="J55" s="70"/>
      <c r="K55" s="70"/>
      <c r="L55" s="49"/>
      <c r="M55" s="49"/>
      <c r="N55" s="49"/>
      <c r="O55" s="49"/>
    </row>
    <row r="56" spans="1:15" x14ac:dyDescent="0.2">
      <c r="A56" s="53" t="str">
        <f t="shared" si="6"/>
        <v>Non-worker</v>
      </c>
      <c r="B56" s="52">
        <f t="shared" si="7"/>
        <v>0</v>
      </c>
      <c r="C56" s="52">
        <f t="shared" si="7"/>
        <v>0.81174441560236232</v>
      </c>
      <c r="D56" s="52">
        <f t="shared" si="7"/>
        <v>0.18825558439763776</v>
      </c>
      <c r="E56" s="52">
        <f t="shared" si="7"/>
        <v>1</v>
      </c>
      <c r="H56" s="49"/>
      <c r="I56" s="70"/>
      <c r="J56" s="70"/>
      <c r="K56" s="70"/>
      <c r="L56" s="49"/>
      <c r="M56" s="49"/>
      <c r="N56" s="49"/>
      <c r="O56" s="49"/>
    </row>
    <row r="57" spans="1:15" x14ac:dyDescent="0.2">
      <c r="A57" s="53" t="str">
        <f t="shared" si="6"/>
        <v>Retired</v>
      </c>
      <c r="B57" s="52">
        <f t="shared" si="7"/>
        <v>0</v>
      </c>
      <c r="C57" s="52">
        <f t="shared" si="7"/>
        <v>0.78186457276342802</v>
      </c>
      <c r="D57" s="52">
        <f t="shared" si="7"/>
        <v>0.218135427236572</v>
      </c>
      <c r="E57" s="52">
        <f t="shared" si="7"/>
        <v>1</v>
      </c>
      <c r="H57" s="49"/>
      <c r="I57" s="70"/>
      <c r="J57" s="70"/>
      <c r="K57" s="70"/>
      <c r="L57" s="49"/>
      <c r="M57" s="49"/>
      <c r="N57" s="49"/>
      <c r="O57" s="49"/>
    </row>
    <row r="58" spans="1:15" x14ac:dyDescent="0.2">
      <c r="A58" s="53" t="str">
        <f t="shared" si="6"/>
        <v>Student of driving age</v>
      </c>
      <c r="B58" s="52">
        <f t="shared" si="7"/>
        <v>0.7633577291449829</v>
      </c>
      <c r="C58" s="52">
        <f t="shared" si="7"/>
        <v>0.10754297959465124</v>
      </c>
      <c r="D58" s="52">
        <f t="shared" si="7"/>
        <v>0.12909929126036573</v>
      </c>
      <c r="E58" s="52">
        <f t="shared" si="7"/>
        <v>1</v>
      </c>
      <c r="H58" s="49"/>
      <c r="I58" s="70"/>
      <c r="J58" s="70"/>
      <c r="K58" s="70"/>
      <c r="L58" s="49"/>
      <c r="M58" s="49"/>
      <c r="N58" s="49"/>
      <c r="O58" s="49"/>
    </row>
    <row r="59" spans="1:15" x14ac:dyDescent="0.2">
      <c r="A59" s="53" t="str">
        <f t="shared" si="6"/>
        <v>Student of non-driving age</v>
      </c>
      <c r="B59" s="52">
        <f t="shared" si="7"/>
        <v>0.74667724601844787</v>
      </c>
      <c r="C59" s="52">
        <f t="shared" si="7"/>
        <v>0.13837381608522642</v>
      </c>
      <c r="D59" s="52">
        <f t="shared" si="7"/>
        <v>0.11494893789632571</v>
      </c>
      <c r="E59" s="52">
        <f t="shared" si="7"/>
        <v>1</v>
      </c>
      <c r="H59" s="49"/>
      <c r="I59" s="70"/>
      <c r="J59" s="70"/>
      <c r="K59" s="70"/>
      <c r="L59" s="49"/>
      <c r="M59" s="49"/>
      <c r="N59" s="49"/>
      <c r="O59" s="49"/>
    </row>
    <row r="60" spans="1:15" x14ac:dyDescent="0.2">
      <c r="A60" s="53" t="str">
        <f t="shared" si="6"/>
        <v>Child too young for school</v>
      </c>
      <c r="B60" s="52">
        <f t="shared" si="7"/>
        <v>0.40582693639292766</v>
      </c>
      <c r="C60" s="52">
        <f t="shared" si="7"/>
        <v>0.36272676958694738</v>
      </c>
      <c r="D60" s="52">
        <f t="shared" si="7"/>
        <v>0.23144629402012495</v>
      </c>
      <c r="E60" s="52">
        <f t="shared" si="7"/>
        <v>1</v>
      </c>
      <c r="H60" s="49"/>
      <c r="I60" s="70"/>
      <c r="J60" s="70"/>
      <c r="K60" s="70"/>
      <c r="L60" s="49"/>
      <c r="M60" s="49"/>
      <c r="N60" s="49"/>
      <c r="O60" s="49"/>
    </row>
    <row r="61" spans="1:15" x14ac:dyDescent="0.2">
      <c r="A61" s="53" t="str">
        <f t="shared" si="6"/>
        <v>Total</v>
      </c>
      <c r="B61" s="52">
        <f t="shared" si="7"/>
        <v>0.57234000000000007</v>
      </c>
      <c r="C61" s="52">
        <f t="shared" si="7"/>
        <v>0.2985600000000001</v>
      </c>
      <c r="D61" s="52">
        <f t="shared" si="7"/>
        <v>0.12909999999999999</v>
      </c>
      <c r="E61" s="52">
        <f t="shared" si="7"/>
        <v>1</v>
      </c>
      <c r="H61" s="49"/>
      <c r="I61" s="70"/>
      <c r="J61" s="70"/>
      <c r="K61" s="70"/>
      <c r="L61" s="49"/>
      <c r="M61" s="49"/>
      <c r="N61" s="49"/>
      <c r="O61" s="49"/>
    </row>
    <row r="62" spans="1:15" x14ac:dyDescent="0.2">
      <c r="H62" s="49"/>
      <c r="I62" s="49"/>
      <c r="J62" s="49"/>
      <c r="K62" s="49"/>
      <c r="L62" s="49"/>
      <c r="M62" s="49"/>
      <c r="N62" s="49"/>
      <c r="O62" s="49"/>
    </row>
    <row r="63" spans="1:15" x14ac:dyDescent="0.2">
      <c r="A63" s="51" t="s">
        <v>36</v>
      </c>
      <c r="B63" s="51"/>
      <c r="C63" s="51"/>
      <c r="D63" s="51"/>
      <c r="E63" s="51"/>
      <c r="F63" s="51"/>
      <c r="H63" s="49"/>
      <c r="I63" s="49"/>
      <c r="J63" s="49"/>
      <c r="K63" s="49"/>
      <c r="L63" s="49"/>
      <c r="M63" s="49"/>
      <c r="N63" s="49"/>
      <c r="O63" s="49"/>
    </row>
    <row r="64" spans="1:15" x14ac:dyDescent="0.2">
      <c r="A64" s="51" t="s">
        <v>35</v>
      </c>
      <c r="B64" s="50">
        <f>SUM(B41:B42)/SUM($E$41:$E$42)</f>
        <v>0.79000000000000015</v>
      </c>
      <c r="C64" s="50">
        <f>SUM(C41:C42)/SUM($E$41:$E$42)</f>
        <v>0.12000000000000002</v>
      </c>
      <c r="D64" s="50">
        <f>SUM(D41:D42)/SUM($E$41:$E$42)</f>
        <v>9.0000000000000011E-2</v>
      </c>
      <c r="E64" s="50">
        <f>SUM(B64:D64)</f>
        <v>1.0000000000000002</v>
      </c>
      <c r="F64" s="50">
        <f>SUM(E41:E42)/$E$49</f>
        <v>0.47599999999999992</v>
      </c>
      <c r="H64" s="74"/>
      <c r="I64" s="74"/>
      <c r="J64" s="74"/>
      <c r="K64" s="74"/>
      <c r="L64" s="74"/>
      <c r="M64" s="49"/>
      <c r="N64" s="49"/>
      <c r="O64" s="49"/>
    </row>
    <row r="65" spans="1:15" x14ac:dyDescent="0.2">
      <c r="A65" s="51" t="s">
        <v>34</v>
      </c>
      <c r="B65" s="50">
        <f>B43/$E$43</f>
        <v>0.70000000000000007</v>
      </c>
      <c r="C65" s="50">
        <f>C43/$E$43</f>
        <v>0.22000000000000006</v>
      </c>
      <c r="D65" s="50">
        <f>D43/$E$43</f>
        <v>8.0000000000000029E-2</v>
      </c>
      <c r="E65" s="50">
        <f>SUM(B65:D65)</f>
        <v>1.0000000000000002</v>
      </c>
      <c r="F65" s="50">
        <f>SUM(E43)/$E$49</f>
        <v>5.1999999999999991E-2</v>
      </c>
      <c r="H65" s="49"/>
      <c r="I65" s="49"/>
      <c r="J65" s="49"/>
      <c r="K65" s="49"/>
      <c r="L65" s="49"/>
      <c r="M65" s="49"/>
      <c r="N65" s="49"/>
      <c r="O65" s="49"/>
    </row>
    <row r="66" spans="1:15" x14ac:dyDescent="0.2">
      <c r="A66" s="51" t="s">
        <v>33</v>
      </c>
      <c r="B66" s="50">
        <f>SUM(B44:B45)/SUM($E$44:$E$45)</f>
        <v>0</v>
      </c>
      <c r="C66" s="50">
        <f>SUM(C44:C45)/SUM($E$44:$E$45)</f>
        <v>0.79999999999999993</v>
      </c>
      <c r="D66" s="50">
        <f>SUM(D44:D45)/SUM($E$44:$E$45)</f>
        <v>0.2</v>
      </c>
      <c r="E66" s="50">
        <f>SUM(B66:D66)</f>
        <v>1</v>
      </c>
      <c r="F66" s="50">
        <f>SUM(E44:E45)/$E$49</f>
        <v>0.22600000000000003</v>
      </c>
      <c r="H66" s="49"/>
      <c r="I66" s="70"/>
      <c r="J66" s="70"/>
      <c r="K66" s="70"/>
      <c r="L66" s="49"/>
      <c r="M66" s="49"/>
      <c r="N66" s="49"/>
      <c r="O66" s="49"/>
    </row>
    <row r="67" spans="1:15" x14ac:dyDescent="0.2">
      <c r="A67" s="51" t="s">
        <v>32</v>
      </c>
      <c r="B67" s="50">
        <f>SUM(B46:B48)/SUM($E$46:$E$48)</f>
        <v>0.64999999999999991</v>
      </c>
      <c r="C67" s="50">
        <f>SUM(C46:C48)/SUM($E$46:$E$48)</f>
        <v>0.19999999999999998</v>
      </c>
      <c r="D67" s="50">
        <f>SUM(D46:D48)/SUM($E$46:$E$48)</f>
        <v>0.14999999999999997</v>
      </c>
      <c r="E67" s="50">
        <f>SUM(B67:D67)</f>
        <v>0.99999999999999978</v>
      </c>
      <c r="F67" s="50">
        <f>SUM(E46:E48)/$E$49</f>
        <v>0.24600000000000014</v>
      </c>
      <c r="H67" s="49"/>
      <c r="I67" s="70"/>
      <c r="J67" s="70"/>
      <c r="K67" s="70"/>
      <c r="L67" s="49"/>
      <c r="M67" s="49"/>
      <c r="N67" s="49"/>
      <c r="O67" s="49"/>
    </row>
    <row r="68" spans="1:15" x14ac:dyDescent="0.2">
      <c r="A68" s="51" t="s">
        <v>24</v>
      </c>
      <c r="B68" s="50">
        <f>B49/$E$49</f>
        <v>0.57234000000000007</v>
      </c>
      <c r="C68" s="50">
        <f>C49/$E$49</f>
        <v>0.2985600000000001</v>
      </c>
      <c r="D68" s="50">
        <f>D49/$E$49</f>
        <v>0.12909999999999999</v>
      </c>
      <c r="E68" s="50">
        <f>SUM(B68:D68)</f>
        <v>1.0000000000000002</v>
      </c>
      <c r="F68" s="50">
        <f>SUM(E45:E46)/$E$49</f>
        <v>0.11371699346223718</v>
      </c>
      <c r="H68" s="49"/>
      <c r="I68" s="70"/>
      <c r="J68" s="70"/>
      <c r="K68" s="70"/>
      <c r="L68" s="49"/>
      <c r="M68" s="49"/>
      <c r="N68" s="49"/>
      <c r="O68" s="49"/>
    </row>
    <row r="69" spans="1:15" x14ac:dyDescent="0.2">
      <c r="H69" s="49"/>
      <c r="I69" s="70"/>
      <c r="J69" s="70"/>
      <c r="K69" s="70"/>
      <c r="L69" s="49"/>
      <c r="M69" s="49"/>
      <c r="N69" s="49"/>
      <c r="O69" s="49"/>
    </row>
    <row r="70" spans="1:15" x14ac:dyDescent="0.2">
      <c r="H70" s="49"/>
      <c r="I70" s="70"/>
      <c r="J70" s="70"/>
      <c r="K70" s="70"/>
      <c r="L70" s="49"/>
      <c r="M70" s="49"/>
      <c r="N70" s="49"/>
      <c r="O70" s="49"/>
    </row>
    <row r="71" spans="1:15" x14ac:dyDescent="0.2">
      <c r="H71" s="49"/>
      <c r="I71" s="70"/>
      <c r="J71" s="70"/>
      <c r="K71" s="70"/>
      <c r="L71" s="49"/>
      <c r="M71" s="49"/>
      <c r="N71" s="49"/>
      <c r="O71" s="49"/>
    </row>
    <row r="72" spans="1:15" x14ac:dyDescent="0.2">
      <c r="H72" s="49"/>
      <c r="I72" s="70"/>
      <c r="J72" s="70"/>
      <c r="K72" s="70"/>
      <c r="L72" s="49"/>
      <c r="M72" s="49"/>
      <c r="N72" s="49"/>
      <c r="O72" s="49"/>
    </row>
    <row r="73" spans="1:15" x14ac:dyDescent="0.2">
      <c r="H73" s="49"/>
      <c r="I73" s="70"/>
      <c r="J73" s="70"/>
      <c r="K73" s="70"/>
      <c r="L73" s="49"/>
      <c r="M73" s="49"/>
      <c r="N73" s="49"/>
      <c r="O73" s="49"/>
    </row>
    <row r="74" spans="1:15" x14ac:dyDescent="0.2">
      <c r="H74" s="49"/>
      <c r="I74" s="49"/>
      <c r="J74" s="49"/>
      <c r="K74" s="49"/>
      <c r="L74" s="49"/>
      <c r="M74" s="49"/>
      <c r="N74" s="49"/>
      <c r="O74" s="49"/>
    </row>
    <row r="75" spans="1:15" x14ac:dyDescent="0.2">
      <c r="H75" s="49"/>
      <c r="I75" s="49"/>
      <c r="J75" s="49"/>
      <c r="K75" s="49"/>
      <c r="L75" s="49"/>
      <c r="M75" s="49"/>
      <c r="N75" s="49"/>
      <c r="O75" s="49"/>
    </row>
  </sheetData>
  <mergeCells count="24">
    <mergeCell ref="B29:B30"/>
    <mergeCell ref="C29:C30"/>
    <mergeCell ref="B34:B36"/>
    <mergeCell ref="B32:B33"/>
    <mergeCell ref="C32:C33"/>
    <mergeCell ref="A2:E2"/>
    <mergeCell ref="H2:L2"/>
    <mergeCell ref="A14:E14"/>
    <mergeCell ref="H14:L14"/>
    <mergeCell ref="A27:E27"/>
    <mergeCell ref="C34:C36"/>
    <mergeCell ref="D34:D36"/>
    <mergeCell ref="E34:E36"/>
    <mergeCell ref="E32:E33"/>
    <mergeCell ref="H27:L27"/>
    <mergeCell ref="F29:F30"/>
    <mergeCell ref="F32:F33"/>
    <mergeCell ref="D29:D30"/>
    <mergeCell ref="D32:D33"/>
    <mergeCell ref="E29:E30"/>
    <mergeCell ref="F34:F36"/>
    <mergeCell ref="H52:L52"/>
    <mergeCell ref="H64:L64"/>
    <mergeCell ref="H40:L40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calibration</vt:lpstr>
      <vt:lpstr>modeldata</vt:lpstr>
      <vt:lpstr>CHTS</vt:lpstr>
      <vt:lpstr>TM1 v03 Targets</vt:lpstr>
      <vt:lpstr>PersonType Chart</vt:lpstr>
      <vt:lpstr>'TM1 v03 Targets'!damp</vt:lpstr>
      <vt:lpstr>damp</vt:lpstr>
      <vt:lpstr>damp_cdap</vt:lpstr>
      <vt:lpstr>damp_cdap_v2</vt:lpstr>
    </vt:vector>
  </TitlesOfParts>
  <Company>MTC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2018-11-27T02:19:41Z</dcterms:created>
  <dcterms:modified xsi:type="dcterms:W3CDTF">2020-01-23T23:58:25Z</dcterms:modified>
</cp:coreProperties>
</file>