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autoCompressPictures="0"/>
  <mc:AlternateContent xmlns:mc="http://schemas.openxmlformats.org/markup-compatibility/2006">
    <mc:Choice Requires="x15">
      <x15ac:absPath xmlns:x15ac="http://schemas.microsoft.com/office/spreadsheetml/2010/11/ac" url="C:\Users\61406\Box\ICF PBA50+ Off-Model_EXT shared\Scripting\MTC Manual Process\IPA_TM2\PBA50+ Off-Model Calculators\"/>
    </mc:Choice>
  </mc:AlternateContent>
  <xr:revisionPtr revIDLastSave="0" documentId="13_ncr:1_{5BA4D15B-599D-4541-B10F-9F4A5825EACD}" xr6:coauthVersionLast="47" xr6:coauthVersionMax="47" xr10:uidLastSave="{00000000-0000-0000-0000-000000000000}"/>
  <bookViews>
    <workbookView xWindow="-120" yWindow="-120" windowWidth="29040" windowHeight="15720" activeTab="5" xr2:uid="{00000000-000D-0000-FFFF-FFFF00000000}"/>
  </bookViews>
  <sheets>
    <sheet name="Main sheet" sheetId="50" r:id="rId1"/>
    <sheet name="Research" sheetId="49" r:id="rId2"/>
    <sheet name="Model Data" sheetId="62" r:id="rId3"/>
    <sheet name="Emission Factors" sheetId="64" r:id="rId4"/>
    <sheet name="SB 375 calcs" sheetId="2" r:id="rId5"/>
    <sheet name="Output" sheetId="65" r:id="rId6"/>
  </sheets>
  <externalReferences>
    <externalReference r:id="rId7"/>
    <externalReference r:id="rId8"/>
    <externalReference r:id="rId9"/>
    <externalReference r:id="rId10"/>
  </externalReferences>
  <definedNames>
    <definedName name="altWord">[1]info!$G$22</definedName>
    <definedName name="altWord2">[2]info!$G$22</definedName>
    <definedName name="missingWord">[3]info!$G$20</definedName>
    <definedName name="runA">#REF!</definedName>
    <definedName name="runB">#REF!</definedName>
    <definedName name="runC">#REF!</definedName>
    <definedName name="Shifted2035">[4]TransitJobs!$P$15</definedName>
    <definedName name="tourpurpose">#REF!</definedName>
    <definedName name="toururpose">#REF!</definedName>
    <definedName name="tripA">#REF!</definedName>
    <definedName name="tripB">#REF!</definedName>
    <definedName name="tripC">#REF!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C29" i="50" l="1" a="1"/>
  <c r="C29" i="50"/>
  <c r="D29" i="50" a="1"/>
  <c r="D29" i="50" s="1"/>
  <c r="D30" i="50" a="1"/>
  <c r="D30" i="50" s="1"/>
  <c r="D31" i="50" a="1"/>
  <c r="D31" i="50" s="1"/>
  <c r="D32" i="50" a="1"/>
  <c r="D32" i="50" s="1"/>
  <c r="C32" i="50" a="1"/>
  <c r="C32" i="50" s="1"/>
  <c r="C31" i="50" a="1"/>
  <c r="C31" i="50" s="1"/>
  <c r="C30" i="50" a="1"/>
  <c r="C30" i="50" s="1"/>
  <c r="F21" i="49"/>
  <c r="B21" i="49"/>
  <c r="F19" i="49"/>
  <c r="E19" i="49"/>
  <c r="C21" i="49"/>
  <c r="B12" i="49"/>
  <c r="C12" i="49"/>
  <c r="D12" i="49"/>
  <c r="E12" i="49"/>
  <c r="F12" i="49" s="1"/>
  <c r="B29" i="50" a="1"/>
  <c r="B29" i="50" s="1"/>
  <c r="E29" i="50" a="1"/>
  <c r="E29" i="50" s="1"/>
  <c r="E30" i="50" a="1"/>
  <c r="E30" i="50" s="1"/>
  <c r="E140" i="50"/>
  <c r="E118" i="50"/>
  <c r="E96" i="50"/>
  <c r="E74" i="50"/>
  <c r="E52" i="50"/>
  <c r="E47" i="50"/>
  <c r="E46" i="50"/>
  <c r="E48" i="50" s="1"/>
  <c r="E32" i="50" a="1"/>
  <c r="E32" i="50" s="1"/>
  <c r="E31" i="50" a="1"/>
  <c r="E31" i="50" s="1"/>
  <c r="E120" i="50" l="1" a="1"/>
  <c r="E120" i="50" s="1"/>
  <c r="E121" i="50" a="1"/>
  <c r="E121" i="50" s="1"/>
  <c r="F145" i="50"/>
  <c r="E145" i="50" s="1" a="1"/>
  <c r="E145" i="50" s="1"/>
  <c r="D145" i="50" a="1"/>
  <c r="D145" i="50" s="1"/>
  <c r="F144" i="50"/>
  <c r="E144" i="50" s="1" a="1"/>
  <c r="E144" i="50" s="1"/>
  <c r="D144" i="50" a="1"/>
  <c r="D144" i="50" s="1"/>
  <c r="F143" i="50"/>
  <c r="B143" i="50" a="1"/>
  <c r="B143" i="50" s="1"/>
  <c r="F142" i="50"/>
  <c r="D140" i="50"/>
  <c r="C140" i="50"/>
  <c r="B140" i="50"/>
  <c r="B20" i="50" a="1"/>
  <c r="B20" i="50" s="1"/>
  <c r="B19" i="50" a="1"/>
  <c r="B19" i="50" s="1"/>
  <c r="F123" i="50"/>
  <c r="E123" i="50" s="1" a="1"/>
  <c r="E123" i="50" s="1"/>
  <c r="F122" i="50"/>
  <c r="E122" i="50" s="1" a="1"/>
  <c r="E122" i="50" s="1"/>
  <c r="F121" i="50"/>
  <c r="F120" i="50"/>
  <c r="D118" i="50"/>
  <c r="D120" i="50" s="1" a="1"/>
  <c r="D120" i="50" s="1"/>
  <c r="C118" i="50"/>
  <c r="C123" i="50" s="1" a="1"/>
  <c r="C123" i="50" s="1"/>
  <c r="B118" i="50"/>
  <c r="B123" i="50" s="1" a="1"/>
  <c r="B123" i="50" s="1"/>
  <c r="F101" i="50"/>
  <c r="E101" i="50" s="1" a="1"/>
  <c r="E101" i="50" s="1"/>
  <c r="F100" i="50"/>
  <c r="E100" i="50" s="1" a="1"/>
  <c r="E100" i="50" s="1"/>
  <c r="F99" i="50"/>
  <c r="E99" i="50" s="1" a="1"/>
  <c r="E99" i="50" s="1"/>
  <c r="F98" i="50"/>
  <c r="E98" i="50" s="1" a="1"/>
  <c r="E98" i="50" s="1"/>
  <c r="D96" i="50"/>
  <c r="C96" i="50"/>
  <c r="C101" i="50" s="1" a="1"/>
  <c r="C101" i="50" s="1"/>
  <c r="B96" i="50"/>
  <c r="B145" i="50" s="1" a="1"/>
  <c r="B145" i="50" s="1"/>
  <c r="C143" i="50" l="1" a="1"/>
  <c r="C143" i="50" s="1"/>
  <c r="E143" i="50" a="1"/>
  <c r="E143" i="50" s="1"/>
  <c r="B144" i="50" a="1"/>
  <c r="B144" i="50" s="1"/>
  <c r="C144" i="50" a="1"/>
  <c r="C144" i="50" s="1"/>
  <c r="D100" i="50" a="1"/>
  <c r="D100" i="50" s="1"/>
  <c r="D142" i="50" a="1"/>
  <c r="D142" i="50" s="1"/>
  <c r="E142" i="50" a="1"/>
  <c r="E142" i="50" s="1"/>
  <c r="C145" i="50" a="1"/>
  <c r="C145" i="50" s="1"/>
  <c r="B142" i="50" a="1"/>
  <c r="B142" i="50" s="1"/>
  <c r="C142" i="50" a="1"/>
  <c r="C142" i="50" s="1"/>
  <c r="D143" i="50" a="1"/>
  <c r="D143" i="50" s="1"/>
  <c r="D122" i="50" a="1"/>
  <c r="D122" i="50" s="1"/>
  <c r="B101" i="50" a="1"/>
  <c r="B101" i="50" s="1"/>
  <c r="B98" i="50" a="1"/>
  <c r="B98" i="50" s="1"/>
  <c r="D123" i="50" a="1"/>
  <c r="D123" i="50" s="1"/>
  <c r="B120" i="50" a="1"/>
  <c r="B120" i="50" s="1"/>
  <c r="C120" i="50" a="1"/>
  <c r="C120" i="50" s="1"/>
  <c r="D121" i="50" a="1"/>
  <c r="D121" i="50" s="1"/>
  <c r="C122" i="50" a="1"/>
  <c r="C122" i="50" s="1"/>
  <c r="D99" i="50" a="1"/>
  <c r="D99" i="50" s="1"/>
  <c r="C100" i="50" a="1"/>
  <c r="C100" i="50" s="1"/>
  <c r="B121" i="50" a="1"/>
  <c r="B121" i="50" s="1"/>
  <c r="D101" i="50" a="1"/>
  <c r="D101" i="50" s="1"/>
  <c r="C98" i="50" a="1"/>
  <c r="C98" i="50" s="1"/>
  <c r="B100" i="50" a="1"/>
  <c r="B100" i="50" s="1"/>
  <c r="C121" i="50" a="1"/>
  <c r="C121" i="50" s="1"/>
  <c r="B122" i="50" a="1"/>
  <c r="B122" i="50" s="1"/>
  <c r="D98" i="50" a="1"/>
  <c r="D98" i="50" s="1"/>
  <c r="C99" i="50" a="1"/>
  <c r="C99" i="50" s="1"/>
  <c r="B99" i="50" a="1"/>
  <c r="B99" i="50" s="1"/>
  <c r="B30" i="50" a="1"/>
  <c r="B30" i="50" s="1"/>
  <c r="B31" i="50" a="1"/>
  <c r="B31" i="50" s="1"/>
  <c r="B32" i="50" a="1"/>
  <c r="B32" i="50" s="1"/>
  <c r="F79" i="50"/>
  <c r="E79" i="50" s="1" a="1"/>
  <c r="E79" i="50" s="1"/>
  <c r="F78" i="50"/>
  <c r="E78" i="50" s="1" a="1"/>
  <c r="E78" i="50" s="1"/>
  <c r="F77" i="50"/>
  <c r="E77" i="50" s="1" a="1"/>
  <c r="E77" i="50" s="1"/>
  <c r="F76" i="50"/>
  <c r="E76" i="50" s="1" a="1"/>
  <c r="E76" i="50" s="1"/>
  <c r="F57" i="50"/>
  <c r="E57" i="50" s="1" a="1"/>
  <c r="E57" i="50" s="1"/>
  <c r="F56" i="50"/>
  <c r="E56" i="50" s="1" a="1"/>
  <c r="E56" i="50" s="1"/>
  <c r="F55" i="50"/>
  <c r="E55" i="50" s="1" a="1"/>
  <c r="E55" i="50" s="1"/>
  <c r="F54" i="50"/>
  <c r="E54" i="50" s="1" a="1"/>
  <c r="E54" i="50" s="1"/>
  <c r="D46" i="50" l="1"/>
  <c r="D47" i="50"/>
  <c r="C47" i="50"/>
  <c r="C46" i="50"/>
  <c r="C48" i="50" l="1"/>
  <c r="D48" i="50"/>
  <c r="D74" i="50" l="1"/>
  <c r="C74" i="50"/>
  <c r="B74" i="50"/>
  <c r="B52" i="50"/>
  <c r="C52" i="50"/>
  <c r="D52" i="50"/>
  <c r="C57" i="50" l="1" a="1"/>
  <c r="C57" i="50" s="1"/>
  <c r="C55" i="50" a="1"/>
  <c r="C55" i="50" s="1"/>
  <c r="C56" i="50" a="1"/>
  <c r="C56" i="50" s="1"/>
  <c r="C54" i="50" a="1"/>
  <c r="C54" i="50" s="1"/>
  <c r="B57" i="50" a="1"/>
  <c r="B57" i="50" s="1"/>
  <c r="B56" i="50" a="1"/>
  <c r="B56" i="50" s="1"/>
  <c r="B55" i="50" a="1"/>
  <c r="B55" i="50" s="1"/>
  <c r="B54" i="50" a="1"/>
  <c r="B54" i="50" s="1"/>
  <c r="B78" i="50" a="1"/>
  <c r="B78" i="50" s="1"/>
  <c r="B77" i="50" a="1"/>
  <c r="B77" i="50" s="1"/>
  <c r="B76" i="50" a="1"/>
  <c r="B76" i="50" s="1"/>
  <c r="B79" i="50" a="1"/>
  <c r="B79" i="50" s="1"/>
  <c r="C78" i="50" a="1"/>
  <c r="C78" i="50" s="1"/>
  <c r="C77" i="50" a="1"/>
  <c r="C77" i="50" s="1"/>
  <c r="C79" i="50" a="1"/>
  <c r="C79" i="50" s="1"/>
  <c r="C76" i="50" a="1"/>
  <c r="C76" i="50" s="1"/>
  <c r="D76" i="50" a="1"/>
  <c r="D76" i="50" s="1"/>
  <c r="D78" i="50" a="1"/>
  <c r="D78" i="50" s="1"/>
  <c r="D77" i="50" a="1"/>
  <c r="D77" i="50" s="1"/>
  <c r="D79" i="50" a="1"/>
  <c r="D79" i="50" s="1"/>
  <c r="D56" i="50" a="1"/>
  <c r="D56" i="50" s="1"/>
  <c r="D54" i="50" a="1"/>
  <c r="D54" i="50" s="1"/>
  <c r="D57" i="50" a="1"/>
  <c r="D57" i="50" s="1"/>
  <c r="D55" i="50" a="1"/>
  <c r="D55" i="50" s="1"/>
  <c r="B15" i="50" l="1"/>
  <c r="F20" i="49" l="1"/>
  <c r="G20" i="49" s="1"/>
  <c r="F18" i="49"/>
  <c r="G18" i="49" s="1"/>
  <c r="F17" i="49"/>
  <c r="F16" i="49"/>
  <c r="G16" i="49" s="1"/>
  <c r="F15" i="49"/>
  <c r="G15" i="49" s="1"/>
  <c r="F14" i="49"/>
  <c r="G14" i="49" s="1"/>
  <c r="D21" i="49"/>
  <c r="G17" i="49"/>
  <c r="H31" i="49" l="1"/>
  <c r="G31" i="49"/>
  <c r="F31" i="49"/>
  <c r="E31" i="49"/>
  <c r="D31" i="49"/>
  <c r="C31" i="49"/>
  <c r="B31" i="49"/>
  <c r="H28" i="49"/>
  <c r="G28" i="49"/>
  <c r="F28" i="49"/>
  <c r="E28" i="49"/>
  <c r="D28" i="49"/>
  <c r="C28" i="49"/>
  <c r="B28" i="49"/>
  <c r="F10" i="49"/>
  <c r="F9" i="49"/>
  <c r="I28" i="49" l="1"/>
  <c r="B14" i="50" s="1"/>
  <c r="B13" i="50"/>
  <c r="B11" i="50"/>
  <c r="B9" i="50"/>
  <c r="E21" i="49"/>
  <c r="I31" i="49"/>
  <c r="B10" i="50" s="1"/>
  <c r="G12" i="49" l="1"/>
  <c r="G21" i="49" s="1"/>
  <c r="E150" i="50"/>
  <c r="E152" i="50" s="1"/>
  <c r="E155" i="50" s="1"/>
  <c r="E106" i="50"/>
  <c r="E108" i="50" s="1"/>
  <c r="E111" i="50" s="1"/>
  <c r="E62" i="50"/>
  <c r="E64" i="50" s="1"/>
  <c r="E67" i="50" s="1"/>
  <c r="E37" i="50"/>
  <c r="E39" i="50" s="1"/>
  <c r="E42" i="50" s="1"/>
  <c r="E128" i="50"/>
  <c r="E130" i="50" s="1"/>
  <c r="E133" i="50" s="1"/>
  <c r="E84" i="50"/>
  <c r="E86" i="50" s="1"/>
  <c r="E89" i="50" s="1"/>
  <c r="D150" i="50"/>
  <c r="D152" i="50" s="1"/>
  <c r="D155" i="50" s="1"/>
  <c r="D106" i="50"/>
  <c r="D108" i="50" s="1"/>
  <c r="D111" i="50" s="1"/>
  <c r="C150" i="50"/>
  <c r="C152" i="50" s="1"/>
  <c r="C155" i="50" s="1"/>
  <c r="C106" i="50"/>
  <c r="C108" i="50" s="1"/>
  <c r="C111" i="50" s="1"/>
  <c r="B150" i="50"/>
  <c r="B152" i="50" s="1"/>
  <c r="B155" i="50" s="1"/>
  <c r="B106" i="50"/>
  <c r="B108" i="50" s="1"/>
  <c r="B111" i="50" s="1"/>
  <c r="E83" i="50"/>
  <c r="E85" i="50" s="1"/>
  <c r="E149" i="50"/>
  <c r="E151" i="50" s="1"/>
  <c r="E105" i="50"/>
  <c r="E107" i="50" s="1"/>
  <c r="E36" i="50"/>
  <c r="E38" i="50" s="1"/>
  <c r="E61" i="50"/>
  <c r="E63" i="50" s="1"/>
  <c r="E127" i="50"/>
  <c r="E129" i="50" s="1"/>
  <c r="D149" i="50"/>
  <c r="D151" i="50" s="1"/>
  <c r="D105" i="50"/>
  <c r="D107" i="50" s="1"/>
  <c r="C149" i="50"/>
  <c r="C151" i="50" s="1"/>
  <c r="C105" i="50"/>
  <c r="C107" i="50" s="1"/>
  <c r="B149" i="50"/>
  <c r="B151" i="50" s="1"/>
  <c r="B105" i="50"/>
  <c r="B107" i="50" s="1"/>
  <c r="E35" i="50"/>
  <c r="C148" i="50"/>
  <c r="E34" i="50"/>
  <c r="E103" i="50"/>
  <c r="E104" i="50"/>
  <c r="E126" i="50"/>
  <c r="E125" i="50"/>
  <c r="B148" i="50"/>
  <c r="D147" i="50"/>
  <c r="B147" i="50"/>
  <c r="D148" i="50"/>
  <c r="E82" i="50"/>
  <c r="E148" i="50"/>
  <c r="E59" i="50"/>
  <c r="E147" i="50"/>
  <c r="E81" i="50"/>
  <c r="E60" i="50"/>
  <c r="C147" i="50"/>
  <c r="B128" i="50"/>
  <c r="B130" i="50" s="1"/>
  <c r="B133" i="50" s="1"/>
  <c r="D84" i="50"/>
  <c r="D86" i="50" s="1"/>
  <c r="D89" i="50" s="1"/>
  <c r="B84" i="50"/>
  <c r="B86" i="50" s="1"/>
  <c r="B89" i="50" s="1"/>
  <c r="D128" i="50"/>
  <c r="D130" i="50" s="1"/>
  <c r="D133" i="50" s="1"/>
  <c r="C84" i="50"/>
  <c r="C86" i="50" s="1"/>
  <c r="C128" i="50"/>
  <c r="C130" i="50" s="1"/>
  <c r="C133" i="50" s="1"/>
  <c r="D127" i="50"/>
  <c r="D129" i="50" s="1"/>
  <c r="B127" i="50"/>
  <c r="B129" i="50" s="1"/>
  <c r="D83" i="50"/>
  <c r="D85" i="50" s="1"/>
  <c r="D88" i="50" s="1"/>
  <c r="C83" i="50"/>
  <c r="C85" i="50" s="1"/>
  <c r="C88" i="50" s="1"/>
  <c r="C127" i="50"/>
  <c r="C129" i="50" s="1"/>
  <c r="B83" i="50"/>
  <c r="B85" i="50" s="1"/>
  <c r="B88" i="50" s="1"/>
  <c r="D125" i="50"/>
  <c r="D104" i="50"/>
  <c r="B104" i="50"/>
  <c r="D126" i="50"/>
  <c r="C104" i="50"/>
  <c r="D103" i="50"/>
  <c r="C103" i="50"/>
  <c r="B103" i="50"/>
  <c r="C125" i="50"/>
  <c r="C126" i="50"/>
  <c r="B126" i="50"/>
  <c r="B125" i="50"/>
  <c r="C9" i="50"/>
  <c r="C10" i="50"/>
  <c r="D61" i="50"/>
  <c r="D63" i="50" s="1"/>
  <c r="D66" i="50" s="1"/>
  <c r="D82" i="50"/>
  <c r="C60" i="50"/>
  <c r="B81" i="50"/>
  <c r="C82" i="50"/>
  <c r="D60" i="50"/>
  <c r="C61" i="50"/>
  <c r="C63" i="50" s="1"/>
  <c r="C66" i="50" s="1"/>
  <c r="C34" i="50"/>
  <c r="B60" i="50"/>
  <c r="B61" i="50"/>
  <c r="B35" i="50"/>
  <c r="C36" i="50"/>
  <c r="C38" i="50" s="1"/>
  <c r="C41" i="50" s="1"/>
  <c r="C81" i="50"/>
  <c r="D35" i="50"/>
  <c r="D34" i="50"/>
  <c r="C59" i="50"/>
  <c r="B36" i="50"/>
  <c r="D81" i="50"/>
  <c r="B34" i="50"/>
  <c r="D36" i="50"/>
  <c r="D38" i="50" s="1"/>
  <c r="D41" i="50" s="1"/>
  <c r="B82" i="50"/>
  <c r="C35" i="50"/>
  <c r="D59" i="50"/>
  <c r="B59" i="50"/>
  <c r="C37" i="50"/>
  <c r="C39" i="50" s="1"/>
  <c r="C42" i="50" s="1"/>
  <c r="D37" i="50"/>
  <c r="D39" i="50" s="1"/>
  <c r="D42" i="50" s="1"/>
  <c r="B62" i="50"/>
  <c r="C62" i="50"/>
  <c r="C64" i="50" s="1"/>
  <c r="C67" i="50" s="1"/>
  <c r="D62" i="50"/>
  <c r="D64" i="50" s="1"/>
  <c r="B37" i="50"/>
  <c r="E41" i="50" l="1"/>
  <c r="E43" i="50" s="1"/>
  <c r="E40" i="50"/>
  <c r="E44" i="50" s="1"/>
  <c r="E45" i="50" s="1"/>
  <c r="B153" i="50"/>
  <c r="B154" i="50"/>
  <c r="B156" i="50" s="1"/>
  <c r="E110" i="50"/>
  <c r="E112" i="50" s="1"/>
  <c r="E109" i="50"/>
  <c r="E154" i="50"/>
  <c r="E156" i="50" s="1"/>
  <c r="E153" i="50"/>
  <c r="C153" i="50"/>
  <c r="C154" i="50"/>
  <c r="C156" i="50" s="1"/>
  <c r="C157" i="50" s="1"/>
  <c r="C158" i="50" s="1"/>
  <c r="E87" i="50"/>
  <c r="E88" i="50"/>
  <c r="E90" i="50" s="1"/>
  <c r="D153" i="50"/>
  <c r="D154" i="50"/>
  <c r="D156" i="50" s="1"/>
  <c r="E132" i="50"/>
  <c r="E134" i="50" s="1"/>
  <c r="E131" i="50"/>
  <c r="E66" i="50"/>
  <c r="E68" i="50" s="1"/>
  <c r="E65" i="50"/>
  <c r="E69" i="50" s="1"/>
  <c r="E70" i="50" s="1"/>
  <c r="C109" i="50"/>
  <c r="C110" i="50"/>
  <c r="C112" i="50" s="1"/>
  <c r="C131" i="50"/>
  <c r="C132" i="50"/>
  <c r="C134" i="50" s="1"/>
  <c r="D110" i="50"/>
  <c r="D112" i="50" s="1"/>
  <c r="D109" i="50"/>
  <c r="B132" i="50"/>
  <c r="B134" i="50" s="1"/>
  <c r="B131" i="50"/>
  <c r="D132" i="50"/>
  <c r="D134" i="50" s="1"/>
  <c r="D131" i="50"/>
  <c r="B109" i="50"/>
  <c r="B110" i="50"/>
  <c r="B112" i="50" s="1"/>
  <c r="B38" i="50"/>
  <c r="B41" i="50" s="1"/>
  <c r="B39" i="50"/>
  <c r="B42" i="50" s="1"/>
  <c r="B63" i="50"/>
  <c r="B64" i="50"/>
  <c r="B67" i="50" s="1"/>
  <c r="C40" i="50"/>
  <c r="C89" i="50"/>
  <c r="C90" i="50" s="1"/>
  <c r="C87" i="50"/>
  <c r="D40" i="50"/>
  <c r="C68" i="50"/>
  <c r="D67" i="50"/>
  <c r="D68" i="50" s="1"/>
  <c r="D65" i="50"/>
  <c r="C65" i="50"/>
  <c r="D90" i="50"/>
  <c r="B87" i="50"/>
  <c r="C43" i="50"/>
  <c r="B90" i="50"/>
  <c r="D87" i="50"/>
  <c r="D43" i="50"/>
  <c r="C113" i="50" l="1"/>
  <c r="C114" i="50" s="1"/>
  <c r="B157" i="50"/>
  <c r="B158" i="50" s="1"/>
  <c r="B113" i="50"/>
  <c r="B114" i="50" s="1"/>
  <c r="E113" i="50"/>
  <c r="E114" i="50" s="1"/>
  <c r="E135" i="50"/>
  <c r="E136" i="50" s="1"/>
  <c r="E157" i="50"/>
  <c r="E158" i="50" s="1"/>
  <c r="D157" i="50"/>
  <c r="D158" i="50" s="1"/>
  <c r="E91" i="50"/>
  <c r="E92" i="50" s="1"/>
  <c r="B40" i="50"/>
  <c r="D135" i="50"/>
  <c r="D136" i="50" s="1"/>
  <c r="B65" i="50"/>
  <c r="D113" i="50"/>
  <c r="D114" i="50" s="1"/>
  <c r="C135" i="50"/>
  <c r="C136" i="50" s="1"/>
  <c r="B135" i="50"/>
  <c r="B136" i="50" s="1"/>
  <c r="B43" i="50"/>
  <c r="B66" i="50"/>
  <c r="B68" i="50" s="1"/>
  <c r="C69" i="50"/>
  <c r="C70" i="50" s="1"/>
  <c r="D44" i="50"/>
  <c r="D45" i="50" s="1"/>
  <c r="B91" i="50"/>
  <c r="B92" i="50" s="1"/>
  <c r="D69" i="50"/>
  <c r="D70" i="50" s="1"/>
  <c r="C91" i="50"/>
  <c r="C92" i="50" s="1"/>
  <c r="D91" i="50"/>
  <c r="D92" i="50" s="1"/>
  <c r="C44" i="50"/>
  <c r="C45" i="50" s="1"/>
  <c r="B44" i="50" l="1"/>
  <c r="B45" i="50" s="1"/>
  <c r="B69" i="50"/>
  <c r="B70" i="5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James Choe</author>
    <author>tc={3F747207-DFC8-4D4A-AA9F-FBB5B5E8C823}</author>
  </authors>
  <commentList>
    <comment ref="C10" authorId="0" shapeId="0" xr:uid="{D7064A42-1251-44F0-B004-18B9410D6120}">
      <text>
        <r>
          <rPr>
            <sz val="9"/>
            <color indexed="81"/>
            <rFont val="Tahoma"/>
            <family val="2"/>
          </rPr>
          <t>Based on NETS Bay Area employment data from Telecommute analysis, 2.5M workers in &lt;50 establishments</t>
        </r>
      </text>
    </comment>
    <comment ref="B14" authorId="1" shapeId="0" xr:uid="{3F747207-DFC8-4D4A-AA9F-FBB5B5E8C823}">
      <text>
        <t>[Threaded comment]
Your version of Excel allows you to read this threaded comment; however, any edits to it will get removed if the file is opened in a newer version of Excel. Learn more: https://go.microsoft.com/fwlink/?linkid=870924
Comment:
    May change to 10% -- see what Duncan says once back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James Choe</author>
  </authors>
  <commentList>
    <comment ref="D11" authorId="0" shapeId="0" xr:uid="{97D57E60-C774-4127-8C50-7753184FBCB9}">
      <text>
        <r>
          <rPr>
            <b/>
            <sz val="9"/>
            <color indexed="81"/>
            <rFont val="Tahoma"/>
            <family val="2"/>
          </rPr>
          <t>James Choe:</t>
        </r>
        <r>
          <rPr>
            <sz val="9"/>
            <color indexed="81"/>
            <rFont val="Tahoma"/>
            <family val="2"/>
          </rPr>
          <t xml:space="preserve">
Copied from PBA2040 calculator based on
EMFAC2007 V2.3 Nov 1 2006 ** WIS Enabled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<sst xmlns="http://schemas.openxmlformats.org/spreadsheetml/2006/main" count="1809" uniqueCount="488">
  <si>
    <t>Targeted Transportation Alternatives</t>
  </si>
  <si>
    <t>Inputs</t>
  </si>
  <si>
    <t xml:space="preserve">Variable </t>
  </si>
  <si>
    <t>Value</t>
  </si>
  <si>
    <t>Source/Notes</t>
  </si>
  <si>
    <t>Program investment assumptions</t>
  </si>
  <si>
    <t xml:space="preserve"> </t>
  </si>
  <si>
    <t>Annual investment in residential programs ($2020)</t>
  </si>
  <si>
    <t>Annual investment in employee programs ($2020)</t>
  </si>
  <si>
    <t>Start year of programs</t>
  </si>
  <si>
    <t>Effectiveness of programs</t>
  </si>
  <si>
    <t>Average cost/year of marketing to a household</t>
  </si>
  <si>
    <t>Evaluations of various transportation alternatives programs compiled by SANDAG and Portland TTA study (see Research sheet)</t>
  </si>
  <si>
    <t>Average cost/year of marketing to an employee</t>
  </si>
  <si>
    <t xml:space="preserve">Evaluations of Portland-area transportation alternatives programs (see Research sheet) </t>
  </si>
  <si>
    <t>Average residential penetration rate</t>
  </si>
  <si>
    <t xml:space="preserve">Evaluations of various transportation alternatives programs (see Research sheet) </t>
  </si>
  <si>
    <t>Average employee penetration rate</t>
  </si>
  <si>
    <t>Assumption based on discussion w/ Portland Metro RTO staff</t>
  </si>
  <si>
    <t>Average reduction in SOV mode share for participating households</t>
  </si>
  <si>
    <t>Average reduction in SOV mode share for participating employees</t>
  </si>
  <si>
    <t>Average daily one-way driving trips per household for households living near transit</t>
  </si>
  <si>
    <t>MTC, Characteristics of Rail and Ferry Station Area Residents in the SF Bay Area</t>
  </si>
  <si>
    <t>Average daily one-way employee commute trips</t>
  </si>
  <si>
    <t>ICF assumption</t>
  </si>
  <si>
    <t>Average number of years for which behavior change persists</t>
  </si>
  <si>
    <t>ICF assumption, supported by SANDAG Community Based Travel Planning program consultant</t>
  </si>
  <si>
    <t>Baseline population</t>
  </si>
  <si>
    <t>Total households, 2015</t>
  </si>
  <si>
    <t>MTC Travel Model 1.5</t>
  </si>
  <si>
    <t>Total jobs, 2015</t>
  </si>
  <si>
    <t>Eligible population</t>
  </si>
  <si>
    <t>Current total households living near transit stations</t>
  </si>
  <si>
    <t xml:space="preserve">CTOD TOD database, households within 1/2 mi. of rail (existing and potential), 2010, http://toddata.cnt.org/ </t>
  </si>
  <si>
    <t>Current total employees living near transit stations</t>
  </si>
  <si>
    <t xml:space="preserve">CTOD TOD database, jobs within 1/2 mi. of rail (existing and potential), 2010, http://toddata.cnt.org/ </t>
  </si>
  <si>
    <t>IPA</t>
  </si>
  <si>
    <t>IPA_15</t>
  </si>
  <si>
    <t>FBP_PlusCrossing_24</t>
  </si>
  <si>
    <t>FBP_Plus_22</t>
  </si>
  <si>
    <t>Variable</t>
  </si>
  <si>
    <t>Model outputs</t>
  </si>
  <si>
    <t>Lookup Value</t>
  </si>
  <si>
    <t>Total households</t>
  </si>
  <si>
    <t>total_households</t>
  </si>
  <si>
    <t>Total jobs</t>
  </si>
  <si>
    <t>total_jobs</t>
  </si>
  <si>
    <t>Average one-way trip length for all trips (miles)</t>
  </si>
  <si>
    <t>avg_trip_length</t>
  </si>
  <si>
    <t>Average one-way trip length for home-based work drive alone trips (miles)</t>
  </si>
  <si>
    <t>avg_trip_length_work_da</t>
  </si>
  <si>
    <t>Results</t>
  </si>
  <si>
    <t>Total households that are likely to change behavior</t>
  </si>
  <si>
    <t>This value serves as a reality check; it is not used in the calculations.  If the "total households that change behavior" value below is greater than this value, it means that MTC will be marketing to more households than live near transit.</t>
  </si>
  <si>
    <t>Total employees that are likely to change behavior</t>
  </si>
  <si>
    <t>This value serves as a reality check; it is not used in the calculations.  If the "total employees that change behavior" value below is greater than this value, it means that MTC will be marketing to more employees than live near transit.</t>
  </si>
  <si>
    <t>Total households who change behavior</t>
  </si>
  <si>
    <t>Total employees who change behavior</t>
  </si>
  <si>
    <t>Total daily vehicle trip reductions - households</t>
  </si>
  <si>
    <t>2020 values assume that the program has only been operational less than a year</t>
  </si>
  <si>
    <t>Total daily vehicle trip reductions - employees</t>
  </si>
  <si>
    <t>Total daily vehicle trip reductions - all</t>
  </si>
  <si>
    <t>Total daily VMT reductions - households</t>
  </si>
  <si>
    <t>Total daily VMT reductions - employees</t>
  </si>
  <si>
    <t>Total daily VMT reductions - all</t>
  </si>
  <si>
    <t>Total daily GHG reductions (tons)</t>
  </si>
  <si>
    <t>Per capita GHG reductions</t>
  </si>
  <si>
    <t>Total cumulative program cost, residential (YOE$)</t>
  </si>
  <si>
    <t>Total cumulative program cost, employee (YOE$)</t>
  </si>
  <si>
    <t>Total cumulative program cost, all (YOE$)</t>
  </si>
  <si>
    <t>EIR Alternative 1</t>
  </si>
  <si>
    <t>FBP_NoProject_16</t>
  </si>
  <si>
    <t>EIR_Alt1_06</t>
  </si>
  <si>
    <t>EIR Alternative 2</t>
  </si>
  <si>
    <t>EIR_Alt2_04</t>
  </si>
  <si>
    <t>EIR_Alt2_05</t>
  </si>
  <si>
    <t>DEIR Final Blueprint</t>
  </si>
  <si>
    <t>FBP_Plus_20</t>
  </si>
  <si>
    <t>FBP_PlusCrossing_21</t>
  </si>
  <si>
    <t>2020 values assume that the program has only been operational for 3 years</t>
  </si>
  <si>
    <t>Scenario</t>
  </si>
  <si>
    <t>IPA_04</t>
  </si>
  <si>
    <t>n/a</t>
  </si>
  <si>
    <t>PBA2040 investment: $2,000,000/yr</t>
  </si>
  <si>
    <t>PBA2040 investment: $150,000/yr</t>
  </si>
  <si>
    <t>Draft Blueprint</t>
  </si>
  <si>
    <t>DBP_Plus_08</t>
  </si>
  <si>
    <t>DBP_PlusCrossing_08</t>
  </si>
  <si>
    <t>Assumed PBA2040 investment: $2,000,000/yr</t>
  </si>
  <si>
    <t>Assumed PBA2040 investment: $150,000/yr</t>
  </si>
  <si>
    <t>Portland SmartTrips evaluation - residential programs</t>
  </si>
  <si>
    <t>Descrease in SOV trips</t>
  </si>
  <si>
    <t>Penetration rate</t>
  </si>
  <si>
    <t># of HHs marketed to that participate</t>
  </si>
  <si>
    <t>Cost</t>
  </si>
  <si>
    <t>Cost/ participating HH</t>
  </si>
  <si>
    <t>Cost/HH marketed to</t>
  </si>
  <si>
    <t>SW Pilot</t>
  </si>
  <si>
    <t>Interstate</t>
  </si>
  <si>
    <t>Eastside hub area</t>
  </si>
  <si>
    <t>Northeast</t>
  </si>
  <si>
    <t>Southeast</t>
  </si>
  <si>
    <t>Southwest</t>
  </si>
  <si>
    <t>North-Northwest</t>
  </si>
  <si>
    <t>Green line</t>
  </si>
  <si>
    <t>2023 Report</t>
  </si>
  <si>
    <t>Portland Average (places w/ data points only)</t>
  </si>
  <si>
    <t>Other Program Data - collected by SANDAG</t>
  </si>
  <si>
    <t>City of Issaquah &amp; King County Metro Transit, Salmon Friendly Trips, 2017</t>
  </si>
  <si>
    <t>King County Metro Transit, Green Lake in Motion, 2015</t>
  </si>
  <si>
    <t>King County Metro Transit, Renton in Motion, 2014</t>
  </si>
  <si>
    <t>King County Metro Transit, Burien in Motion, 2014</t>
  </si>
  <si>
    <t>Community Transit, Curb @ Home, 2017</t>
  </si>
  <si>
    <t>King County Metro Transit, In Motion 2017 Report</t>
  </si>
  <si>
    <t>SANDAG, Travel Encinitas, 2014</t>
  </si>
  <si>
    <t>Average of all Programs</t>
  </si>
  <si>
    <t>Metro RTO program evaluation - employer programs</t>
  </si>
  <si>
    <t>Trimet</t>
  </si>
  <si>
    <t>RTO</t>
  </si>
  <si>
    <t>Wilsonville</t>
  </si>
  <si>
    <t>Gresham TMA</t>
  </si>
  <si>
    <t>Lloyd TMA</t>
  </si>
  <si>
    <t>WTA</t>
  </si>
  <si>
    <t>Swan Island</t>
  </si>
  <si>
    <t>Employee-weighted average</t>
  </si>
  <si>
    <t>Baseline SOV trips</t>
  </si>
  <si>
    <t>Follow up SOV trips</t>
  </si>
  <si>
    <t>% reduction in trips due to outreach program</t>
  </si>
  <si>
    <t>Total cost (two years)</t>
  </si>
  <si>
    <t>Number of employees</t>
  </si>
  <si>
    <t>Cost/employee/yr</t>
  </si>
  <si>
    <t>index</t>
  </si>
  <si>
    <t>year</t>
  </si>
  <si>
    <t>category</t>
  </si>
  <si>
    <t>directory</t>
  </si>
  <si>
    <t>variable</t>
  </si>
  <si>
    <t>value</t>
  </si>
  <si>
    <t>Output by C:\Users\lzorn\Documents\travel-model-one-v05\utilities\PBA40\emissions\Off Model Calculators\TargetedTransportationAlternatives.R on Wed Apr 05 15:48:22 2017</t>
  </si>
  <si>
    <t>2005-Past year-avg_trip_length</t>
  </si>
  <si>
    <t>Past year</t>
  </si>
  <si>
    <t>2005_05_003</t>
  </si>
  <si>
    <t>2005-Past year-avg_trip_length_work_da</t>
  </si>
  <si>
    <t>2005-Past year-total_households</t>
  </si>
  <si>
    <t>2005-Past year-total_jobs</t>
  </si>
  <si>
    <t>2010-Past year-avg_trip_length</t>
  </si>
  <si>
    <t>2010_06_003</t>
  </si>
  <si>
    <t>2010-Past year-avg_trip_length_work_da</t>
  </si>
  <si>
    <t>2010-Past year-total_households</t>
  </si>
  <si>
    <t>2010-Past year-total_jobs</t>
  </si>
  <si>
    <t>2015-Past year-avg_trip_length</t>
  </si>
  <si>
    <t>2015_06_002</t>
  </si>
  <si>
    <t>2015-Past year-avg_trip_length_work_da</t>
  </si>
  <si>
    <t>2015-Past year-total_households</t>
  </si>
  <si>
    <t>2015-Past year-total_jobs</t>
  </si>
  <si>
    <t>2020-Big Cities-avg_trip_length</t>
  </si>
  <si>
    <t>Big Cities</t>
  </si>
  <si>
    <t>2020_06_693</t>
  </si>
  <si>
    <t>2020-Big Cities-avg_trip_length_work_da</t>
  </si>
  <si>
    <t>2020-Big Cities-total_households</t>
  </si>
  <si>
    <t>2020-Big Cities-total_jobs</t>
  </si>
  <si>
    <t>2020-EEJ-avg_trip_length</t>
  </si>
  <si>
    <t>EEJ</t>
  </si>
  <si>
    <t>2020_06_695</t>
  </si>
  <si>
    <t>2020-EEJ-avg_trip_length_work_da</t>
  </si>
  <si>
    <t>2020-EEJ-total_households</t>
  </si>
  <si>
    <t>2020-EEJ-total_jobs</t>
  </si>
  <si>
    <t>2020-Main Streets-avg_trip_length</t>
  </si>
  <si>
    <t>Main Streets</t>
  </si>
  <si>
    <t>2020_06_691</t>
  </si>
  <si>
    <t>2020-Main Streets-avg_trip_length_work_da</t>
  </si>
  <si>
    <t>2020-Main Streets-total_households</t>
  </si>
  <si>
    <t>2020-Main Streets-total_jobs</t>
  </si>
  <si>
    <t>2020-No Project-avg_trip_length</t>
  </si>
  <si>
    <t>No Project</t>
  </si>
  <si>
    <t>2020_06_690</t>
  </si>
  <si>
    <t>2020-No Project-avg_trip_length_work_da</t>
  </si>
  <si>
    <t>2020-No Project-total_households</t>
  </si>
  <si>
    <t>2020-No Project-total_jobs</t>
  </si>
  <si>
    <t>2020-Proposed Plan-avg_trip_length</t>
  </si>
  <si>
    <t>Proposed Plan</t>
  </si>
  <si>
    <t>2020_06_694</t>
  </si>
  <si>
    <t>2020-Proposed Plan-avg_trip_length_work_da</t>
  </si>
  <si>
    <t>2020-Proposed Plan-total_households</t>
  </si>
  <si>
    <t>2020-Proposed Plan-total_jobs</t>
  </si>
  <si>
    <t>2035-Big Cities-avg_trip_length</t>
  </si>
  <si>
    <t>2035_06_693</t>
  </si>
  <si>
    <t>2035-Big Cities-avg_trip_length_work_da</t>
  </si>
  <si>
    <t>2035-Big Cities-total_households</t>
  </si>
  <si>
    <t>2035-Big Cities-total_jobs</t>
  </si>
  <si>
    <t>2035-EEJ-avg_trip_length</t>
  </si>
  <si>
    <t>2035_06_697</t>
  </si>
  <si>
    <t>2035-EEJ-avg_trip_length_work_da</t>
  </si>
  <si>
    <t>2035-EEJ-total_households</t>
  </si>
  <si>
    <t>2035-EEJ-total_jobs</t>
  </si>
  <si>
    <t>2035-Main Streets-avg_trip_length</t>
  </si>
  <si>
    <t>2035_06_691</t>
  </si>
  <si>
    <t>2035-Main Streets-avg_trip_length_work_da</t>
  </si>
  <si>
    <t>2035-Main Streets-total_households</t>
  </si>
  <si>
    <t>2035-Main Streets-total_jobs</t>
  </si>
  <si>
    <t>2035-No Project-avg_trip_length</t>
  </si>
  <si>
    <t>2035_06_690</t>
  </si>
  <si>
    <t>2035-No Project-avg_trip_length_work_da</t>
  </si>
  <si>
    <t>2035-No Project-total_households</t>
  </si>
  <si>
    <t>2035-No Project-total_jobs</t>
  </si>
  <si>
    <t>2035-Proposed Plan-avg_trip_length</t>
  </si>
  <si>
    <t>2035_06_694</t>
  </si>
  <si>
    <t>2035-Proposed Plan-avg_trip_length_work_da</t>
  </si>
  <si>
    <t>2035-Proposed Plan-total_households</t>
  </si>
  <si>
    <t>2035-Proposed Plan-total_jobs</t>
  </si>
  <si>
    <t>2040-Big Cities-avg_trip_length</t>
  </si>
  <si>
    <t>2040_06_693</t>
  </si>
  <si>
    <t>2040-Big Cities-avg_trip_length_work_da</t>
  </si>
  <si>
    <t>2040-Big Cities-total_households</t>
  </si>
  <si>
    <t>2040-Big Cities-total_jobs</t>
  </si>
  <si>
    <t>2040-EEJ-avg_trip_length</t>
  </si>
  <si>
    <t>2040_06_697</t>
  </si>
  <si>
    <t>2040-EEJ-avg_trip_length_work_da</t>
  </si>
  <si>
    <t>2040-EEJ-total_households</t>
  </si>
  <si>
    <t>2040-EEJ-total_jobs</t>
  </si>
  <si>
    <t>2040-Main Streets-avg_trip_length</t>
  </si>
  <si>
    <t>2040_06_691</t>
  </si>
  <si>
    <t>2040-Main Streets-avg_trip_length_work_da</t>
  </si>
  <si>
    <t>2040-Main Streets-total_households</t>
  </si>
  <si>
    <t>2040-Main Streets-total_jobs</t>
  </si>
  <si>
    <t>2040-No Project-avg_trip_length</t>
  </si>
  <si>
    <t>2040_06_690</t>
  </si>
  <si>
    <t>2040-No Project-avg_trip_length_work_da</t>
  </si>
  <si>
    <t>2040-No Project-total_households</t>
  </si>
  <si>
    <t>2040-No Project-total_jobs</t>
  </si>
  <si>
    <t>2040-Proposed Plan-avg_trip_length</t>
  </si>
  <si>
    <t>2040_06_694</t>
  </si>
  <si>
    <t>2040-Proposed Plan-avg_trip_length_work_da</t>
  </si>
  <si>
    <t>2040-Proposed Plan-total_households</t>
  </si>
  <si>
    <t>2040-Proposed Plan-total_jobs</t>
  </si>
  <si>
    <t>Output by X:/travel-model-one-master/utilities/RTP/Emissions/Off Model Calculators/TargetedTransportationAlternatives.R on Thu Aug 19 17:59:24 2021</t>
  </si>
  <si>
    <t>2005-IP-avg_trip_length</t>
  </si>
  <si>
    <t>IP</t>
  </si>
  <si>
    <t>2005_TM152_IPA_03</t>
  </si>
  <si>
    <t>2005-IP-avg_trip_length_work_da</t>
  </si>
  <si>
    <t>2005-IP-total_households</t>
  </si>
  <si>
    <t>2005-IP-total_jobs</t>
  </si>
  <si>
    <t>2015-IP-avg_trip_length</t>
  </si>
  <si>
    <t>2015_TM152_IPA_16</t>
  </si>
  <si>
    <t>2015_TM152_IPA_17</t>
  </si>
  <si>
    <t>2015-IP-avg_trip_length_work_da</t>
  </si>
  <si>
    <t>2015-IP-total_households</t>
  </si>
  <si>
    <t>2015-IP-total_jobs</t>
  </si>
  <si>
    <t>2025-No Project-avg_trip_length</t>
  </si>
  <si>
    <t>2025_TM152_FBP_NoProject_21</t>
  </si>
  <si>
    <t>2025_TM152_FBP_NoProject_22</t>
  </si>
  <si>
    <t>2025-No Project-avg_trip_length_work_da</t>
  </si>
  <si>
    <t>2025-No Project-total_households</t>
  </si>
  <si>
    <t>2025-No Project-total_jobs</t>
  </si>
  <si>
    <t>2025-Plus-avg_trip_length</t>
  </si>
  <si>
    <t>Plus</t>
  </si>
  <si>
    <t>2025_TM152_FBP_Plus_21</t>
  </si>
  <si>
    <t>2025_TM152_FBP_Plus_22</t>
  </si>
  <si>
    <t>2025-Plus-avg_trip_length_work_da</t>
  </si>
  <si>
    <t>2025-Plus-total_households</t>
  </si>
  <si>
    <t>2025-Plus-total_jobs</t>
  </si>
  <si>
    <t>2030-No Project-avg_trip_length</t>
  </si>
  <si>
    <t>2030_TM152_FBP_NoProject_21</t>
  </si>
  <si>
    <t>2030_TM152_FBP_NoProject_22</t>
  </si>
  <si>
    <t>2030-No Project-avg_trip_length_work_da</t>
  </si>
  <si>
    <t>2030-No Project-total_households</t>
  </si>
  <si>
    <t>2030-No Project-total_jobs</t>
  </si>
  <si>
    <t>2030-Plus-avg_trip_length</t>
  </si>
  <si>
    <t>2030_TM152_FBP_Plus_21</t>
  </si>
  <si>
    <t>2030_TM152_FBP_Plus_23</t>
  </si>
  <si>
    <t>2030-Plus-avg_trip_length_work_da</t>
  </si>
  <si>
    <t>2030-Plus-total_households</t>
  </si>
  <si>
    <t>2030-Plus-total_jobs</t>
  </si>
  <si>
    <t>2035-Alt1-avg_trip_length</t>
  </si>
  <si>
    <t>Alt1</t>
  </si>
  <si>
    <t>2035_TM152_EIR_Alt1_03</t>
  </si>
  <si>
    <t>2035_TM152_EIR_Alt1_06</t>
  </si>
  <si>
    <t>2035-Alt1-avg_trip_length_work_da</t>
  </si>
  <si>
    <t>2035-Alt1-total_households</t>
  </si>
  <si>
    <t>2035-Alt1-total_jobs</t>
  </si>
  <si>
    <t>2035-Alt2-avg_trip_length</t>
  </si>
  <si>
    <t>Alt2</t>
  </si>
  <si>
    <t>2035_TM152_EIR_Alt2_02</t>
  </si>
  <si>
    <t>2035_TM152_EIR_Alt2_04</t>
  </si>
  <si>
    <t>2035-Alt2-avg_trip_length_work_da</t>
  </si>
  <si>
    <t>2035-Alt2-total_households</t>
  </si>
  <si>
    <t>2035-Alt2-total_jobs</t>
  </si>
  <si>
    <t>2035-IP-avg_trip_length</t>
  </si>
  <si>
    <t>2035_TM152_IPA_03</t>
  </si>
  <si>
    <t>2035_TM152_IPA_04</t>
  </si>
  <si>
    <t>2035-IP-avg_trip_length_work_da</t>
  </si>
  <si>
    <t>2035-IP-total_households</t>
  </si>
  <si>
    <t>2035-IP-total_jobs</t>
  </si>
  <si>
    <t>2035_TM152_FBP_NoProject_22</t>
  </si>
  <si>
    <t>2035_TM152_FBP_NoProject_24</t>
  </si>
  <si>
    <t>2035-Plus-avg_trip_length</t>
  </si>
  <si>
    <t>2035_TM152_FBP_Plus_20</t>
  </si>
  <si>
    <t>2035_TM152_FBP_Plus_24</t>
  </si>
  <si>
    <t>2035-Plus-avg_trip_length_work_da</t>
  </si>
  <si>
    <t>2035-Plus-total_households</t>
  </si>
  <si>
    <t>2035-Plus-total_jobs</t>
  </si>
  <si>
    <t>2040_TM152_FBP_NoProject_20</t>
  </si>
  <si>
    <t>2040_TM152_FBP_NoProject_21</t>
  </si>
  <si>
    <t>2040-Plus-avg_trip_length</t>
  </si>
  <si>
    <t>2040_TM152_FBP_Plus_20</t>
  </si>
  <si>
    <t>2040_TM152_FBP_Plus_24</t>
  </si>
  <si>
    <t>2040-Plus-avg_trip_length_work_da</t>
  </si>
  <si>
    <t>2040-Plus-total_households</t>
  </si>
  <si>
    <t>2040-Plus-total_jobs</t>
  </si>
  <si>
    <t>2050-Alt1-avg_trip_length</t>
  </si>
  <si>
    <t>2050_TM152_EIR_Alt1_03</t>
  </si>
  <si>
    <t>2050_TM152_EIR_Alt1_06</t>
  </si>
  <si>
    <t>2050-Alt1-avg_trip_length_work_da</t>
  </si>
  <si>
    <t>2050-Alt1-total_households</t>
  </si>
  <si>
    <t>2050-Alt1-total_jobs</t>
  </si>
  <si>
    <t>2050-Alt2-avg_trip_length</t>
  </si>
  <si>
    <t>2050_TM152_EIR_Alt2_02</t>
  </si>
  <si>
    <t>2050_TM152_EIR_Alt2_05</t>
  </si>
  <si>
    <t>2050-Alt2-avg_trip_length_work_da</t>
  </si>
  <si>
    <t>2050-Alt2-total_households</t>
  </si>
  <si>
    <t>2050-Alt2-total_jobs</t>
  </si>
  <si>
    <t>2050-No Project-avg_trip_length</t>
  </si>
  <si>
    <t>2050_TM152_FBP_NoProject_22</t>
  </si>
  <si>
    <t>2050_TM152_FBP_NoProject_24</t>
  </si>
  <si>
    <t>2050-No Project-avg_trip_length_work_da</t>
  </si>
  <si>
    <t>2050-No Project-total_households</t>
  </si>
  <si>
    <t>2050-No Project-total_jobs</t>
  </si>
  <si>
    <t>2050-Plus-avg_trip_length</t>
  </si>
  <si>
    <t>2050_TM152_FBP_PlusCrossing_21</t>
  </si>
  <si>
    <t>2050_TM152_FBP_PlusCrossing_24</t>
  </si>
  <si>
    <t>2050-Plus-avg_trip_length_work_da</t>
  </si>
  <si>
    <t>2050-Plus-total_households</t>
  </si>
  <si>
    <t>2050-Plus-total_jobs</t>
  </si>
  <si>
    <t>Output by X:/travel-model-one-master/utilities/RTP/Emissions/Off Model Calculators/TargetedTransportationAlternatives.R on Sun Nov 26 12:36:27 2023</t>
  </si>
  <si>
    <t>2005-SB375 Base year-avg_trip_length</t>
  </si>
  <si>
    <t>SB375 Base year</t>
  </si>
  <si>
    <t>2005_TM160_IPA_02</t>
  </si>
  <si>
    <t>2005-SB375 Base year-avg_trip_length_work_da</t>
  </si>
  <si>
    <t>2005-SB375 Base year-total_households</t>
  </si>
  <si>
    <t>2005-SB375 Base year-total_jobs</t>
  </si>
  <si>
    <t>2015-Previous base year-avg_trip_length</t>
  </si>
  <si>
    <t>Previous base year</t>
  </si>
  <si>
    <t>2015_TM160_IPA_03</t>
  </si>
  <si>
    <t>2015-Previous base year-avg_trip_length_work_da</t>
  </si>
  <si>
    <t>2015-Previous base year-total_households</t>
  </si>
  <si>
    <t>2015-Previous base year-total_jobs</t>
  </si>
  <si>
    <t>2023-Base year-avg_trip_length</t>
  </si>
  <si>
    <t>Base year</t>
  </si>
  <si>
    <t>2023_TM160_IPA_42</t>
  </si>
  <si>
    <t>2023-Base year-avg_trip_length_work_da</t>
  </si>
  <si>
    <t>2023-Base year-total_households</t>
  </si>
  <si>
    <t>2023-Base year-total_jobs</t>
  </si>
  <si>
    <t>2025-Previous Plan-avg_trip_length</t>
  </si>
  <si>
    <t>Previous Plan</t>
  </si>
  <si>
    <t>2025-Previous Plan-avg_trip_length_work_da</t>
  </si>
  <si>
    <t>2025-Previous Plan-total_households</t>
  </si>
  <si>
    <t>2025-Previous Plan-total_jobs</t>
  </si>
  <si>
    <t>2035-IPA-avg_trip_length</t>
  </si>
  <si>
    <t>2035_TM160_IPA_09</t>
  </si>
  <si>
    <t>2035_TM160_IPA_09_PBA50aoc</t>
  </si>
  <si>
    <t>2035_TM160_IPA_09_PBA50ixex</t>
  </si>
  <si>
    <t>2035_TM160_IPA_09_PBA50landuse</t>
  </si>
  <si>
    <t>2035_TM160_IPA_09_minusModePref</t>
  </si>
  <si>
    <t>2035_TM160_IPA_10</t>
  </si>
  <si>
    <t>2035_TM160_IPA_10_plusEN7</t>
  </si>
  <si>
    <t>2035_TM160_IPA_11</t>
  </si>
  <si>
    <t>2035-IPA-avg_trip_length_work_da</t>
  </si>
  <si>
    <t>2035-IPA-total_households</t>
  </si>
  <si>
    <t>2035-IPA-total_jobs</t>
  </si>
  <si>
    <t>2035-Previous Plan-avg_trip_length</t>
  </si>
  <si>
    <t>2035-Previous Plan-avg_trip_length_work_da</t>
  </si>
  <si>
    <t>2035-Previous Plan-total_households</t>
  </si>
  <si>
    <t>2035-Previous Plan-total_jobs</t>
  </si>
  <si>
    <t>Output by X:/travel-model-one-master/utilities/RTP/Emissions/Off Model Calculators/TargetedTransportationAlternatives.R on Thu Feb 01 12:29:26 2024</t>
  </si>
  <si>
    <t>2035_TM160_IPA_11_network2023</t>
  </si>
  <si>
    <t>2035_TM160_IPA_12</t>
  </si>
  <si>
    <t>2035_TM160_IPA_14</t>
  </si>
  <si>
    <t>2035_TM160_IPA_15</t>
  </si>
  <si>
    <t>2035_TM160_IPA_16</t>
  </si>
  <si>
    <t>Emission Factors</t>
  </si>
  <si>
    <t>EMFAC2021 v1.0.2 (in PBA50, used EMFAC2014, v1.0.7)</t>
  </si>
  <si>
    <t>All rates in grams per mile</t>
  </si>
  <si>
    <t>Provided to James and Joel by Harold on 10-26-23</t>
  </si>
  <si>
    <t xml:space="preserve">Any numbers unupdated from last cycle are highlighted in red </t>
  </si>
  <si>
    <t>DO WE NEED ANOTHER YEAR IN THIS COLUMN?</t>
  </si>
  <si>
    <t>Regional CO2 running EF (grams/mi)</t>
  </si>
  <si>
    <t>g/lb conversion</t>
  </si>
  <si>
    <t>lb/ton conversion</t>
  </si>
  <si>
    <t>Regional CO2 running EF (tons/mi)</t>
  </si>
  <si>
    <t>MAY NEED TO RENAME VARIABLE NAMES IN THIS ROW</t>
  </si>
  <si>
    <t>Regional CO2 tripend EF (grams/trip)</t>
  </si>
  <si>
    <t>Regional CO2 tripend EF (tons/trip)</t>
  </si>
  <si>
    <t>Regional Urban Bus CO2 exhaust EF (grams/mi)</t>
  </si>
  <si>
    <t>Regional Urban Bus CO2 exhaust EF (tons/mi)</t>
  </si>
  <si>
    <t>CAN I DELETE THIS ROW AND ASSOCIATED TABLES?</t>
  </si>
  <si>
    <t>YEAR 2035</t>
  </si>
  <si>
    <r>
      <t>NO CONTROLS CO</t>
    </r>
    <r>
      <rPr>
        <b/>
        <i/>
        <u/>
        <vertAlign val="subscript"/>
        <sz val="11"/>
        <rFont val="Calibri"/>
        <family val="2"/>
      </rPr>
      <t>2</t>
    </r>
    <r>
      <rPr>
        <b/>
        <i/>
        <u/>
        <sz val="11"/>
        <rFont val="Calibri"/>
        <family val="2"/>
      </rPr>
      <t xml:space="preserve"> Exhaust &amp; Tripend Emission Rates</t>
    </r>
  </si>
  <si>
    <t>Exhaust</t>
  </si>
  <si>
    <t>Tripend</t>
  </si>
  <si>
    <t>Urban Buses</t>
  </si>
  <si>
    <r>
      <t>CO</t>
    </r>
    <r>
      <rPr>
        <b/>
        <vertAlign val="subscript"/>
        <sz val="11"/>
        <rFont val="Arial"/>
        <family val="2"/>
      </rPr>
      <t>2</t>
    </r>
    <r>
      <rPr>
        <b/>
        <sz val="11"/>
        <rFont val="Arial"/>
        <family val="2"/>
      </rPr>
      <t xml:space="preserve"> Exhaust Emisison Rates</t>
    </r>
  </si>
  <si>
    <t xml:space="preserve">Alameda </t>
  </si>
  <si>
    <t xml:space="preserve">Contra Costa </t>
  </si>
  <si>
    <t>Alameda</t>
  </si>
  <si>
    <t xml:space="preserve">Marin </t>
  </si>
  <si>
    <t>Contra Costa</t>
  </si>
  <si>
    <t xml:space="preserve">Napa </t>
  </si>
  <si>
    <t>Marin</t>
  </si>
  <si>
    <t xml:space="preserve">San Francisco </t>
  </si>
  <si>
    <t>Napa</t>
  </si>
  <si>
    <t xml:space="preserve">San Mateo </t>
  </si>
  <si>
    <t>San Francisco</t>
  </si>
  <si>
    <t xml:space="preserve">Santa Clara </t>
  </si>
  <si>
    <t>San Mateo</t>
  </si>
  <si>
    <t>Solano (SF)</t>
  </si>
  <si>
    <t>Santa Clara</t>
  </si>
  <si>
    <t>Solano (SV)</t>
  </si>
  <si>
    <t>Solano</t>
  </si>
  <si>
    <t>Sonoma (NC)</t>
  </si>
  <si>
    <t>Sonoma</t>
  </si>
  <si>
    <t>Sonoma (SF)</t>
  </si>
  <si>
    <t>Region</t>
  </si>
  <si>
    <t>in grams per mile</t>
  </si>
  <si>
    <t>Regionwide</t>
  </si>
  <si>
    <t>YEAR 2050</t>
  </si>
  <si>
    <t>Final Blueprint</t>
  </si>
  <si>
    <t>Population</t>
  </si>
  <si>
    <t>Daily CO2 emissions (short tons)</t>
  </si>
  <si>
    <t>IPA_02</t>
  </si>
  <si>
    <t>NP_16</t>
  </si>
  <si>
    <t>IPA_11</t>
  </si>
  <si>
    <t>FBP_21</t>
  </si>
  <si>
    <t>Sheet</t>
  </si>
  <si>
    <t>Baseline Run ID</t>
  </si>
  <si>
    <t>Horizon Run ID</t>
  </si>
  <si>
    <t>Annual_investment_residential</t>
  </si>
  <si>
    <t>Annual_investment_employee</t>
  </si>
  <si>
    <t>Start_year</t>
  </si>
  <si>
    <t>Average_cost_household</t>
  </si>
  <si>
    <t>Average_cost_employee</t>
  </si>
  <si>
    <t>Average_residential_penetration</t>
  </si>
  <si>
    <t>Average_reduction_in_households</t>
  </si>
  <si>
    <t>Average_reduction_in_employees</t>
  </si>
  <si>
    <t>Average_daily_one_way_trips_near_transit</t>
  </si>
  <si>
    <t>Average_daily_commute_trips</t>
  </si>
  <si>
    <t>Average_years_behavior_persists</t>
  </si>
  <si>
    <t>Total_households_baseline</t>
  </si>
  <si>
    <t>Total_jobs_baseline</t>
  </si>
  <si>
    <t>Current_households_near_transit</t>
  </si>
  <si>
    <t>Current_employees_near_transit</t>
  </si>
  <si>
    <t>Total_households_2035</t>
  </si>
  <si>
    <t>Total_households_2050</t>
  </si>
  <si>
    <t>Total_jobs_2035</t>
  </si>
  <si>
    <t>Total_jobs_2050</t>
  </si>
  <si>
    <t>Average_one_way_trip_length_2035</t>
  </si>
  <si>
    <t>Average_one_way_trip_length_2050</t>
  </si>
  <si>
    <t>Average_one_way_trip_length_for_home_based_work_drive_trips_2035</t>
  </si>
  <si>
    <t>Average_one_way_trip_length_for_home_based_work_drive_trips_2050</t>
  </si>
  <si>
    <t>Total_households_that_are_likely_change_2035</t>
  </si>
  <si>
    <t>Total_households_that_are_likely_change_2050</t>
  </si>
  <si>
    <t>Total_employees_that_are_likely_change_2035</t>
  </si>
  <si>
    <t>Total_employees_that_are_likely_change_2050</t>
  </si>
  <si>
    <t>Total_households_change_2035</t>
  </si>
  <si>
    <t>Total_households_change_2050</t>
  </si>
  <si>
    <t>Total_employees_change_2035</t>
  </si>
  <si>
    <t>Total_employees_change_2050</t>
  </si>
  <si>
    <t>Total_daily_trip_reductions_HH_2035</t>
  </si>
  <si>
    <t>Total_daily_trip_reductions_HH_2050</t>
  </si>
  <si>
    <t>Total_daily_trip_reductions_emp_2035</t>
  </si>
  <si>
    <t>Total_daily_trip_reductions_emp_2050</t>
  </si>
  <si>
    <t>Total_daily_trip_reductions_2035</t>
  </si>
  <si>
    <t>Total_daily_trip_reductions_2050</t>
  </si>
  <si>
    <t>Total_daily_VMT_reductions_HH_2035</t>
  </si>
  <si>
    <t>Total_daily_VMT_reductions_HH_2050</t>
  </si>
  <si>
    <t>Total_daily_VMT_reductions_emp_2035</t>
  </si>
  <si>
    <t>Total_daily_VMT_reductions_emp_2050</t>
  </si>
  <si>
    <t>Out_daily_VMT_reduced_2035</t>
  </si>
  <si>
    <t>Out_daily_VMT_reduced_2050</t>
  </si>
  <si>
    <t>Out_daily_GHG_reduced_2035</t>
  </si>
  <si>
    <t>Out_daily_GHG_reduced_2050</t>
  </si>
  <si>
    <t>Out_per_capita_GHG_reduced_2035</t>
  </si>
  <si>
    <t>Out_per_capita_GHG_reduced_2050</t>
  </si>
  <si>
    <t>Total_program_cost_res_2035</t>
  </si>
  <si>
    <t>Total_program_cost_res_2050</t>
  </si>
  <si>
    <t>Total_program_cost_employee_2035</t>
  </si>
  <si>
    <t>Total_program_cost_employee_2050</t>
  </si>
  <si>
    <t>Total_program_cost_2035</t>
  </si>
  <si>
    <t>Total_program_cost_2050</t>
  </si>
  <si>
    <t>Main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</si>
</sst>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4" formatCode="0.0%"/>
    <numFmt numFmtId="165" formatCode="_(* #,##0_);_(* \(#,##0\);_(* &quot;-&quot;??_);_(@_)"/>
    <numFmt numFmtId="166" formatCode="&quot;$&quot;#,##0.00"/>
    <numFmt numFmtId="167" formatCode="&quot;$&quot;#,##0"/>
    <numFmt numFmtId="168" formatCode="_(&quot;$&quot;* #,##0_);_(&quot;$&quot;* \(#,##0\);_(&quot;$&quot;* &quot;-&quot;??_);_(@_)"/>
    <numFmt numFmtId="169" formatCode="_(* #,##0.0_);_(* \(#,##0.0\);_(* &quot;-&quot;??_);_(@_)"/>
  </numFmts>
  <fonts count="53" x14ac:knownFonts="1">
    <font>
      <sz val="11"/>
      <color theme="1"/>
      <name val="Calibri"/>
      <family val="2"/>
      <scheme val="minor"/>
    </font>
    <font>
      <sz val="11"/>
      <color theme="1"/>
      <name val="Calibri"/>
      <family val="2"/>
      <scheme val="minor"/>
    </font>
    <font>
      <sz val="10"/>
      <color theme="1"/>
      <name val="Calibri"/>
      <family val="2"/>
      <scheme val="minor"/>
    </font>
    <font>
      <b/>
      <sz val="10"/>
      <color theme="1"/>
      <name val="Calibri"/>
      <family val="2"/>
      <scheme val="minor"/>
    </font>
    <font>
      <sz val="10"/>
      <color rgb="FF000000"/>
      <name val="Calibri"/>
      <family val="2"/>
    </font>
    <font>
      <b/>
      <sz val="10"/>
      <color rgb="FF000000"/>
      <name val="Calibri"/>
      <family val="2"/>
    </font>
    <font>
      <b/>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u/>
      <sz val="11"/>
      <color theme="11"/>
      <name val="Calibri"/>
      <family val="2"/>
      <scheme val="minor"/>
    </font>
    <font>
      <i/>
      <sz val="10"/>
      <color theme="1"/>
      <name val="Calibri"/>
      <family val="2"/>
      <scheme val="minor"/>
    </font>
    <font>
      <u/>
      <sz val="11"/>
      <color theme="10"/>
      <name val="Calibri"/>
      <family val="2"/>
      <scheme val="minor"/>
    </font>
    <font>
      <sz val="9"/>
      <color indexed="81"/>
      <name val="Tahoma"/>
      <family val="2"/>
    </font>
    <font>
      <b/>
      <sz val="9"/>
      <color indexed="81"/>
      <name val="Tahoma"/>
      <family val="2"/>
    </font>
    <font>
      <sz val="10"/>
      <color rgb="FFFF0000"/>
      <name val="Calibri"/>
      <family val="2"/>
      <scheme val="minor"/>
    </font>
    <font>
      <sz val="10"/>
      <color theme="0" tint="-0.34998626667073579"/>
      <name val="Calibri"/>
      <family val="2"/>
      <scheme val="minor"/>
    </font>
    <font>
      <sz val="11"/>
      <name val="Calibri"/>
      <family val="2"/>
      <scheme val="minor"/>
    </font>
    <font>
      <b/>
      <sz val="12"/>
      <color theme="0"/>
      <name val="Calibri"/>
      <family val="2"/>
      <scheme val="minor"/>
    </font>
    <font>
      <b/>
      <sz val="10"/>
      <color theme="0"/>
      <name val="Calibri"/>
      <family val="2"/>
      <scheme val="minor"/>
    </font>
    <font>
      <b/>
      <sz val="10"/>
      <color rgb="FFFFFFFF"/>
      <name val="Calibri"/>
      <family val="2"/>
    </font>
    <font>
      <sz val="10"/>
      <name val="Calibri"/>
      <family val="2"/>
      <scheme val="minor"/>
    </font>
    <font>
      <sz val="10"/>
      <color theme="1" tint="0.499984740745262"/>
      <name val="Calibri"/>
      <family val="2"/>
      <scheme val="minor"/>
    </font>
    <font>
      <sz val="11"/>
      <color rgb="FF000000"/>
      <name val="Calibri"/>
      <family val="2"/>
    </font>
    <font>
      <b/>
      <sz val="11"/>
      <color rgb="FF000000"/>
      <name val="Calibri"/>
      <family val="2"/>
    </font>
    <font>
      <sz val="11"/>
      <color rgb="FFFF0000"/>
      <name val="Calibri"/>
      <family val="2"/>
    </font>
    <font>
      <sz val="12"/>
      <color rgb="FF000000"/>
      <name val="Calibri"/>
      <family val="2"/>
    </font>
    <font>
      <b/>
      <sz val="11"/>
      <color rgb="FFFF0000"/>
      <name val="Calibri"/>
      <family val="2"/>
    </font>
    <font>
      <b/>
      <sz val="11"/>
      <color rgb="FF0000FF"/>
      <name val="Calibri"/>
      <family val="2"/>
    </font>
    <font>
      <b/>
      <i/>
      <u/>
      <sz val="11"/>
      <name val="Calibri"/>
      <family val="2"/>
    </font>
    <font>
      <b/>
      <i/>
      <u/>
      <vertAlign val="subscript"/>
      <sz val="11"/>
      <name val="Calibri"/>
      <family val="2"/>
    </font>
    <font>
      <b/>
      <sz val="11"/>
      <name val="Arial"/>
      <family val="2"/>
    </font>
    <font>
      <b/>
      <sz val="11"/>
      <color rgb="FFFF0000"/>
      <name val="Arial"/>
      <family val="2"/>
    </font>
    <font>
      <sz val="11"/>
      <name val="Arial"/>
      <family val="2"/>
    </font>
    <font>
      <b/>
      <vertAlign val="subscript"/>
      <sz val="11"/>
      <name val="Arial"/>
      <family val="2"/>
    </font>
    <font>
      <sz val="11"/>
      <color rgb="FF0000FF"/>
      <name val="Calibri"/>
      <family val="2"/>
    </font>
    <font>
      <sz val="11"/>
      <name val="Calibri"/>
      <family val="2"/>
    </font>
    <font>
      <sz val="11"/>
      <color rgb="FFFF0000"/>
      <name val="Arial"/>
      <family val="2"/>
    </font>
    <font>
      <b/>
      <sz val="10"/>
      <color rgb="FFFF0000"/>
      <name val="Calibri"/>
      <family val="2"/>
    </font>
    <font>
      <sz val="10"/>
      <color rgb="FFFF0000"/>
      <name val="Calibri"/>
      <family val="2"/>
    </font>
    <font>
      <sz val="7"/>
      <color rgb="FF986516"/>
      <name val="Courier New"/>
      <family val="3"/>
    </font>
  </fonts>
  <fills count="43">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0"/>
        <bgColor indexed="64"/>
      </patternFill>
    </fill>
    <fill>
      <patternFill patternType="solid">
        <fgColor rgb="FF305496"/>
        <bgColor indexed="64"/>
      </patternFill>
    </fill>
    <fill>
      <patternFill patternType="solid">
        <fgColor rgb="FF4472C4"/>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rgb="FF4472C4"/>
        <bgColor rgb="FF000000"/>
      </patternFill>
    </fill>
    <fill>
      <patternFill patternType="solid">
        <fgColor rgb="FFFFFFFF"/>
        <bgColor rgb="FF000000"/>
      </patternFill>
    </fill>
    <fill>
      <patternFill patternType="solid">
        <fgColor rgb="FFFFF2CC"/>
        <bgColor indexed="64"/>
      </patternFill>
    </fill>
  </fills>
  <borders count="19">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auto="1"/>
      </left>
      <right/>
      <top/>
      <bottom/>
      <diagonal/>
    </border>
  </borders>
  <cellStyleXfs count="67">
    <xf numFmtId="0" fontId="0" fillId="0" borderId="0"/>
    <xf numFmtId="9" fontId="1" fillId="0" borderId="0" applyFont="0" applyFill="0" applyBorder="0" applyAlignment="0" applyProtection="0"/>
    <xf numFmtId="43" fontId="1" fillId="0" borderId="0" applyFont="0" applyFill="0" applyBorder="0" applyAlignment="0" applyProtection="0"/>
    <xf numFmtId="0" fontId="7" fillId="0" borderId="0" applyNumberFormat="0" applyFill="0" applyBorder="0" applyAlignment="0" applyProtection="0"/>
    <xf numFmtId="0" fontId="8" fillId="0" borderId="6" applyNumberFormat="0" applyFill="0" applyAlignment="0" applyProtection="0"/>
    <xf numFmtId="0" fontId="9" fillId="0" borderId="7" applyNumberFormat="0" applyFill="0" applyAlignment="0" applyProtection="0"/>
    <xf numFmtId="0" fontId="10" fillId="0" borderId="8" applyNumberFormat="0" applyFill="0" applyAlignment="0" applyProtection="0"/>
    <xf numFmtId="0" fontId="10" fillId="0" borderId="0" applyNumberFormat="0" applyFill="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0" applyNumberFormat="0" applyBorder="0" applyAlignment="0" applyProtection="0"/>
    <xf numFmtId="0" fontId="14" fillId="6" borderId="9" applyNumberFormat="0" applyAlignment="0" applyProtection="0"/>
    <xf numFmtId="0" fontId="15" fillId="7" borderId="10" applyNumberFormat="0" applyAlignment="0" applyProtection="0"/>
    <xf numFmtId="0" fontId="16" fillId="7" borderId="9" applyNumberFormat="0" applyAlignment="0" applyProtection="0"/>
    <xf numFmtId="0" fontId="17" fillId="0" borderId="11" applyNumberFormat="0" applyFill="0" applyAlignment="0" applyProtection="0"/>
    <xf numFmtId="0" fontId="18" fillId="8" borderId="12" applyNumberFormat="0" applyAlignment="0" applyProtection="0"/>
    <xf numFmtId="0" fontId="19" fillId="0" borderId="0" applyNumberFormat="0" applyFill="0" applyBorder="0" applyAlignment="0" applyProtection="0"/>
    <xf numFmtId="0" fontId="1" fillId="9" borderId="13" applyNumberFormat="0" applyFont="0" applyAlignment="0" applyProtection="0"/>
    <xf numFmtId="0" fontId="20" fillId="0" borderId="0" applyNumberFormat="0" applyFill="0" applyBorder="0" applyAlignment="0" applyProtection="0"/>
    <xf numFmtId="0" fontId="6" fillId="0" borderId="14" applyNumberFormat="0" applyFill="0" applyAlignment="0" applyProtection="0"/>
    <xf numFmtId="0" fontId="2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1" fillId="13" borderId="0" applyNumberFormat="0" applyBorder="0" applyAlignment="0" applyProtection="0"/>
    <xf numFmtId="0" fontId="2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1" fillId="17" borderId="0" applyNumberFormat="0" applyBorder="0" applyAlignment="0" applyProtection="0"/>
    <xf numFmtId="0" fontId="2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1" fillId="21" borderId="0" applyNumberFormat="0" applyBorder="0" applyAlignment="0" applyProtection="0"/>
    <xf numFmtId="0" fontId="2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1" fillId="25" borderId="0" applyNumberFormat="0" applyBorder="0" applyAlignment="0" applyProtection="0"/>
    <xf numFmtId="0" fontId="2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1" fillId="29" borderId="0" applyNumberFormat="0" applyBorder="0" applyAlignment="0" applyProtection="0"/>
    <xf numFmtId="0" fontId="2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33" borderId="0" applyNumberFormat="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44" fontId="1" fillId="0" borderId="0" applyFont="0" applyFill="0" applyBorder="0" applyAlignment="0" applyProtection="0"/>
    <xf numFmtId="0" fontId="24" fillId="0" borderId="0" applyNumberFormat="0" applyFill="0" applyBorder="0" applyAlignment="0" applyProtection="0"/>
  </cellStyleXfs>
  <cellXfs count="129">
    <xf numFmtId="0" fontId="0" fillId="0" borderId="0" xfId="0"/>
    <xf numFmtId="0" fontId="2" fillId="0" borderId="0" xfId="0" applyFont="1"/>
    <xf numFmtId="0" fontId="3" fillId="0" borderId="0" xfId="0" applyFont="1"/>
    <xf numFmtId="165" fontId="2" fillId="0" borderId="0" xfId="2" applyNumberFormat="1" applyFont="1"/>
    <xf numFmtId="0" fontId="6" fillId="0" borderId="0" xfId="0" applyFont="1"/>
    <xf numFmtId="10" fontId="2" fillId="0" borderId="0" xfId="1" applyNumberFormat="1" applyFont="1"/>
    <xf numFmtId="166" fontId="2" fillId="0" borderId="0" xfId="0" applyNumberFormat="1" applyFont="1"/>
    <xf numFmtId="9" fontId="2" fillId="0" borderId="0" xfId="0" applyNumberFormat="1" applyFont="1"/>
    <xf numFmtId="0" fontId="24" fillId="0" borderId="0" xfId="66"/>
    <xf numFmtId="0" fontId="3" fillId="0" borderId="0" xfId="0" applyFont="1" applyAlignment="1">
      <alignment horizontal="center" vertical="center" wrapText="1"/>
    </xf>
    <xf numFmtId="167" fontId="2" fillId="0" borderId="0" xfId="0" applyNumberFormat="1" applyFont="1"/>
    <xf numFmtId="9" fontId="3" fillId="0" borderId="0" xfId="0" applyNumberFormat="1" applyFont="1"/>
    <xf numFmtId="165" fontId="3" fillId="0" borderId="0" xfId="0" applyNumberFormat="1" applyFont="1"/>
    <xf numFmtId="167" fontId="3" fillId="0" borderId="0" xfId="0" applyNumberFormat="1" applyFont="1"/>
    <xf numFmtId="44" fontId="3" fillId="0" borderId="0" xfId="65" applyFont="1"/>
    <xf numFmtId="0" fontId="24" fillId="0" borderId="0" xfId="66" applyAlignment="1"/>
    <xf numFmtId="164" fontId="2" fillId="0" borderId="0" xfId="1" applyNumberFormat="1" applyFont="1"/>
    <xf numFmtId="166" fontId="2" fillId="0" borderId="0" xfId="65" applyNumberFormat="1" applyFont="1"/>
    <xf numFmtId="0" fontId="27" fillId="0" borderId="0" xfId="0" applyFont="1"/>
    <xf numFmtId="0" fontId="29" fillId="0" borderId="0" xfId="0" applyFont="1"/>
    <xf numFmtId="0" fontId="3" fillId="0" borderId="0" xfId="0" applyFont="1" applyAlignment="1">
      <alignment vertical="center"/>
    </xf>
    <xf numFmtId="0" fontId="2" fillId="35" borderId="0" xfId="0" applyFont="1" applyFill="1"/>
    <xf numFmtId="168" fontId="2" fillId="35" borderId="0" xfId="0" applyNumberFormat="1" applyFont="1" applyFill="1"/>
    <xf numFmtId="0" fontId="3" fillId="35" borderId="0" xfId="0" applyFont="1" applyFill="1" applyAlignment="1">
      <alignment horizontal="center"/>
    </xf>
    <xf numFmtId="166" fontId="2" fillId="35" borderId="0" xfId="0" applyNumberFormat="1" applyFont="1" applyFill="1"/>
    <xf numFmtId="9" fontId="2" fillId="35" borderId="0" xfId="0" applyNumberFormat="1" applyFont="1" applyFill="1"/>
    <xf numFmtId="1" fontId="2" fillId="35" borderId="0" xfId="0" applyNumberFormat="1" applyFont="1" applyFill="1"/>
    <xf numFmtId="165" fontId="2" fillId="35" borderId="0" xfId="2" applyNumberFormat="1" applyFont="1" applyFill="1"/>
    <xf numFmtId="165" fontId="2" fillId="35" borderId="0" xfId="0" applyNumberFormat="1" applyFont="1" applyFill="1"/>
    <xf numFmtId="10" fontId="2" fillId="35" borderId="0" xfId="1" applyNumberFormat="1" applyFont="1" applyFill="1" applyBorder="1"/>
    <xf numFmtId="0" fontId="30" fillId="36" borderId="0" xfId="0" applyFont="1" applyFill="1" applyAlignment="1">
      <alignment horizontal="left" vertical="center"/>
    </xf>
    <xf numFmtId="0" fontId="2" fillId="36" borderId="0" xfId="0" applyFont="1" applyFill="1"/>
    <xf numFmtId="0" fontId="3" fillId="35" borderId="1" xfId="0" applyFont="1" applyFill="1" applyBorder="1" applyAlignment="1">
      <alignment horizontal="center"/>
    </xf>
    <xf numFmtId="0" fontId="2" fillId="35" borderId="1" xfId="0" applyFont="1" applyFill="1" applyBorder="1" applyAlignment="1">
      <alignment horizontal="left" indent="1"/>
    </xf>
    <xf numFmtId="165" fontId="2" fillId="35" borderId="1" xfId="2" applyNumberFormat="1" applyFont="1" applyFill="1" applyBorder="1"/>
    <xf numFmtId="0" fontId="31" fillId="37" borderId="0" xfId="0" applyFont="1" applyFill="1" applyAlignment="1">
      <alignment horizontal="left"/>
    </xf>
    <xf numFmtId="0" fontId="31" fillId="37" borderId="0" xfId="0" applyFont="1" applyFill="1" applyAlignment="1">
      <alignment horizontal="center"/>
    </xf>
    <xf numFmtId="0" fontId="2" fillId="35" borderId="1" xfId="0" applyFont="1" applyFill="1" applyBorder="1" applyAlignment="1">
      <alignment horizontal="left"/>
    </xf>
    <xf numFmtId="169" fontId="2" fillId="35" borderId="1" xfId="2" applyNumberFormat="1" applyFont="1" applyFill="1" applyBorder="1"/>
    <xf numFmtId="165" fontId="2" fillId="35" borderId="0" xfId="2" applyNumberFormat="1" applyFont="1" applyFill="1" applyBorder="1"/>
    <xf numFmtId="0" fontId="2" fillId="0" borderId="1" xfId="0" applyFont="1" applyBorder="1"/>
    <xf numFmtId="9" fontId="2" fillId="0" borderId="1" xfId="0" applyNumberFormat="1" applyFont="1" applyBorder="1"/>
    <xf numFmtId="164" fontId="2" fillId="0" borderId="1" xfId="0" applyNumberFormat="1" applyFont="1" applyBorder="1"/>
    <xf numFmtId="10" fontId="2" fillId="0" borderId="1" xfId="0" applyNumberFormat="1" applyFont="1" applyBorder="1"/>
    <xf numFmtId="167" fontId="2" fillId="0" borderId="1" xfId="0" applyNumberFormat="1" applyFont="1" applyBorder="1"/>
    <xf numFmtId="165" fontId="2" fillId="0" borderId="1" xfId="2" applyNumberFormat="1" applyFont="1" applyBorder="1"/>
    <xf numFmtId="166" fontId="2" fillId="0" borderId="1" xfId="0" applyNumberFormat="1" applyFont="1" applyBorder="1"/>
    <xf numFmtId="0" fontId="3" fillId="0" borderId="1" xfId="0" applyFont="1" applyBorder="1"/>
    <xf numFmtId="9" fontId="3" fillId="0" borderId="1" xfId="0" applyNumberFormat="1" applyFont="1" applyBorder="1"/>
    <xf numFmtId="165" fontId="3" fillId="0" borderId="1" xfId="0" applyNumberFormat="1" applyFont="1" applyBorder="1"/>
    <xf numFmtId="167" fontId="3" fillId="0" borderId="1" xfId="0" applyNumberFormat="1" applyFont="1" applyBorder="1"/>
    <xf numFmtId="44" fontId="3" fillId="0" borderId="1" xfId="65" applyFont="1" applyBorder="1"/>
    <xf numFmtId="0" fontId="3" fillId="38" borderId="1" xfId="0" applyFont="1" applyFill="1" applyBorder="1" applyAlignment="1">
      <alignment vertical="center"/>
    </xf>
    <xf numFmtId="0" fontId="3" fillId="38" borderId="1" xfId="0" applyFont="1" applyFill="1" applyBorder="1" applyAlignment="1">
      <alignment horizontal="center" vertical="center" wrapText="1"/>
    </xf>
    <xf numFmtId="0" fontId="0" fillId="0" borderId="1" xfId="0" applyBorder="1" applyAlignment="1">
      <alignment horizontal="left" wrapText="1"/>
    </xf>
    <xf numFmtId="9" fontId="0" fillId="0" borderId="1" xfId="1" applyFont="1" applyBorder="1" applyAlignment="1">
      <alignment horizontal="right"/>
    </xf>
    <xf numFmtId="165" fontId="2" fillId="0" borderId="1" xfId="0" applyNumberFormat="1" applyFont="1" applyBorder="1"/>
    <xf numFmtId="44" fontId="2" fillId="0" borderId="1" xfId="65" applyFont="1" applyBorder="1"/>
    <xf numFmtId="0" fontId="0" fillId="0" borderId="1" xfId="0" applyBorder="1" applyAlignment="1">
      <alignment wrapText="1"/>
    </xf>
    <xf numFmtId="9" fontId="0" fillId="0" borderId="1" xfId="0" applyNumberFormat="1" applyBorder="1" applyAlignment="1">
      <alignment horizontal="right"/>
    </xf>
    <xf numFmtId="0" fontId="0" fillId="0" borderId="5" xfId="0" applyBorder="1" applyAlignment="1">
      <alignment horizontal="left" wrapText="1"/>
    </xf>
    <xf numFmtId="9" fontId="0" fillId="0" borderId="5" xfId="1" applyFont="1" applyBorder="1" applyAlignment="1">
      <alignment horizontal="right"/>
    </xf>
    <xf numFmtId="165" fontId="2" fillId="0" borderId="5" xfId="0" applyNumberFormat="1" applyFont="1" applyBorder="1"/>
    <xf numFmtId="167" fontId="2" fillId="0" borderId="5" xfId="0" applyNumberFormat="1" applyFont="1" applyBorder="1"/>
    <xf numFmtId="44" fontId="2" fillId="0" borderId="5" xfId="65" applyFont="1" applyBorder="1"/>
    <xf numFmtId="0" fontId="3" fillId="39" borderId="15" xfId="0" applyFont="1" applyFill="1" applyBorder="1"/>
    <xf numFmtId="164" fontId="3" fillId="39" borderId="16" xfId="0" applyNumberFormat="1" applyFont="1" applyFill="1" applyBorder="1"/>
    <xf numFmtId="165" fontId="3" fillId="39" borderId="16" xfId="0" applyNumberFormat="1" applyFont="1" applyFill="1" applyBorder="1"/>
    <xf numFmtId="167" fontId="3" fillId="39" borderId="16" xfId="0" applyNumberFormat="1" applyFont="1" applyFill="1" applyBorder="1"/>
    <xf numFmtId="44" fontId="3" fillId="39" borderId="17" xfId="65" applyFont="1" applyFill="1" applyBorder="1"/>
    <xf numFmtId="0" fontId="32" fillId="40" borderId="0" xfId="0" applyFont="1" applyFill="1" applyAlignment="1">
      <alignment horizontal="left" wrapText="1"/>
    </xf>
    <xf numFmtId="0" fontId="4" fillId="41" borderId="0" xfId="0" applyFont="1" applyFill="1"/>
    <xf numFmtId="0" fontId="23" fillId="34" borderId="3" xfId="0" applyFont="1" applyFill="1" applyBorder="1"/>
    <xf numFmtId="0" fontId="23" fillId="34" borderId="4" xfId="0" applyFont="1" applyFill="1" applyBorder="1"/>
    <xf numFmtId="0" fontId="23" fillId="34" borderId="2" xfId="0" applyFont="1" applyFill="1" applyBorder="1"/>
    <xf numFmtId="167" fontId="2" fillId="42" borderId="1" xfId="0" applyNumberFormat="1" applyFont="1" applyFill="1" applyBorder="1"/>
    <xf numFmtId="166" fontId="2" fillId="42" borderId="1" xfId="0" applyNumberFormat="1" applyFont="1" applyFill="1" applyBorder="1"/>
    <xf numFmtId="0" fontId="2" fillId="42" borderId="1" xfId="0" applyFont="1" applyFill="1" applyBorder="1"/>
    <xf numFmtId="1" fontId="2" fillId="42" borderId="1" xfId="0" applyNumberFormat="1" applyFont="1" applyFill="1" applyBorder="1"/>
    <xf numFmtId="10" fontId="2" fillId="35" borderId="1" xfId="1" applyNumberFormat="1" applyFont="1" applyFill="1" applyBorder="1"/>
    <xf numFmtId="3" fontId="2" fillId="35" borderId="0" xfId="0" applyNumberFormat="1" applyFont="1" applyFill="1"/>
    <xf numFmtId="0" fontId="2" fillId="35" borderId="1" xfId="0" applyFont="1" applyFill="1" applyBorder="1" applyAlignment="1">
      <alignment horizontal="left" vertical="top" indent="1"/>
    </xf>
    <xf numFmtId="0" fontId="2" fillId="42" borderId="2" xfId="0" applyFont="1" applyFill="1" applyBorder="1"/>
    <xf numFmtId="167" fontId="2" fillId="35" borderId="1" xfId="1" applyNumberFormat="1" applyFont="1" applyFill="1" applyBorder="1"/>
    <xf numFmtId="3" fontId="28" fillId="35" borderId="0" xfId="0" applyNumberFormat="1" applyFont="1" applyFill="1"/>
    <xf numFmtId="0" fontId="34" fillId="35" borderId="1" xfId="0" applyFont="1" applyFill="1" applyBorder="1" applyAlignment="1">
      <alignment horizontal="left"/>
    </xf>
    <xf numFmtId="10" fontId="34" fillId="35" borderId="1" xfId="1" applyNumberFormat="1" applyFont="1" applyFill="1" applyBorder="1"/>
    <xf numFmtId="0" fontId="34" fillId="35" borderId="1" xfId="0" applyFont="1" applyFill="1" applyBorder="1" applyAlignment="1">
      <alignment horizontal="left" indent="1"/>
    </xf>
    <xf numFmtId="165" fontId="23" fillId="35" borderId="1" xfId="2" applyNumberFormat="1" applyFont="1" applyFill="1" applyBorder="1"/>
    <xf numFmtId="3" fontId="2" fillId="42" borderId="2" xfId="0" applyNumberFormat="1" applyFont="1" applyFill="1" applyBorder="1"/>
    <xf numFmtId="0" fontId="5" fillId="2" borderId="0" xfId="0" applyFont="1" applyFill="1" applyAlignment="1">
      <alignment vertical="center"/>
    </xf>
    <xf numFmtId="0" fontId="5" fillId="0" borderId="0" xfId="0" applyFont="1" applyAlignment="1">
      <alignment horizontal="center" vertical="center"/>
    </xf>
    <xf numFmtId="0" fontId="4" fillId="0" borderId="0" xfId="0" applyFont="1" applyAlignment="1">
      <alignment vertical="center"/>
    </xf>
    <xf numFmtId="3" fontId="4" fillId="0" borderId="0" xfId="0" applyNumberFormat="1" applyFont="1" applyAlignment="1">
      <alignment horizontal="right" vertical="center"/>
    </xf>
    <xf numFmtId="0" fontId="3" fillId="35" borderId="18" xfId="0" applyFont="1" applyFill="1" applyBorder="1"/>
    <xf numFmtId="168" fontId="2" fillId="35" borderId="18" xfId="0" applyNumberFormat="1" applyFont="1" applyFill="1" applyBorder="1"/>
    <xf numFmtId="0" fontId="2" fillId="35" borderId="18" xfId="0" applyFont="1" applyFill="1" applyBorder="1"/>
    <xf numFmtId="0" fontId="32" fillId="40" borderId="0" xfId="0" applyFont="1" applyFill="1" applyAlignment="1">
      <alignment wrapText="1"/>
    </xf>
    <xf numFmtId="0" fontId="33" fillId="35" borderId="18" xfId="0" applyFont="1" applyFill="1" applyBorder="1"/>
    <xf numFmtId="0" fontId="23" fillId="35" borderId="18" xfId="0" applyFont="1" applyFill="1" applyBorder="1"/>
    <xf numFmtId="0" fontId="27" fillId="2" borderId="0" xfId="0" applyFont="1" applyFill="1"/>
    <xf numFmtId="9" fontId="2" fillId="0" borderId="1" xfId="1" applyFont="1" applyBorder="1"/>
    <xf numFmtId="10" fontId="2" fillId="42" borderId="1" xfId="0" applyNumberFormat="1" applyFont="1" applyFill="1" applyBorder="1"/>
    <xf numFmtId="164" fontId="2" fillId="42" borderId="1" xfId="0" applyNumberFormat="1" applyFont="1" applyFill="1" applyBorder="1"/>
    <xf numFmtId="0" fontId="19" fillId="2" borderId="0" xfId="0" applyFont="1" applyFill="1"/>
    <xf numFmtId="0" fontId="35" fillId="0" borderId="0" xfId="0" applyFont="1"/>
    <xf numFmtId="0" fontId="36" fillId="0" borderId="0" xfId="0" applyFont="1"/>
    <xf numFmtId="0" fontId="37" fillId="0" borderId="0" xfId="0" applyFont="1"/>
    <xf numFmtId="0" fontId="38" fillId="0" borderId="0" xfId="0" applyFont="1"/>
    <xf numFmtId="0" fontId="39" fillId="0" borderId="0" xfId="0" applyFont="1"/>
    <xf numFmtId="11" fontId="36" fillId="0" borderId="0" xfId="0" applyNumberFormat="1" applyFont="1"/>
    <xf numFmtId="4" fontId="37" fillId="0" borderId="0" xfId="0" applyNumberFormat="1" applyFont="1"/>
    <xf numFmtId="0" fontId="40" fillId="0" borderId="0" xfId="0" applyFont="1"/>
    <xf numFmtId="0" fontId="41" fillId="0" borderId="0" xfId="0" applyFont="1"/>
    <xf numFmtId="0" fontId="44" fillId="0" borderId="0" xfId="0" applyFont="1"/>
    <xf numFmtId="0" fontId="45" fillId="0" borderId="0" xfId="0" applyFont="1"/>
    <xf numFmtId="0" fontId="47" fillId="0" borderId="0" xfId="0" applyFont="1"/>
    <xf numFmtId="0" fontId="48" fillId="0" borderId="0" xfId="0" applyFont="1"/>
    <xf numFmtId="4" fontId="45" fillId="0" borderId="0" xfId="0" applyNumberFormat="1" applyFont="1"/>
    <xf numFmtId="4" fontId="43" fillId="0" borderId="0" xfId="0" applyNumberFormat="1" applyFont="1"/>
    <xf numFmtId="0" fontId="49" fillId="0" borderId="0" xfId="0" applyFont="1"/>
    <xf numFmtId="0" fontId="50" fillId="0" borderId="0" xfId="0" applyFont="1" applyAlignment="1">
      <alignment horizontal="center" vertical="center"/>
    </xf>
    <xf numFmtId="3" fontId="51" fillId="0" borderId="0" xfId="0" applyNumberFormat="1" applyFont="1" applyAlignment="1">
      <alignment horizontal="right" vertical="center"/>
    </xf>
    <xf numFmtId="0" fontId="52" fillId="0" borderId="0" xfId="0" applyFont="1"/>
    <xf numFmtId="0" fontId="43" fillId="0" borderId="0" xfId="0" applyFont="1"/>
    <xf numFmtId="0" fontId="3" fillId="38" borderId="3" xfId="0" applyFont="1" applyFill="1" applyBorder="1" applyAlignment="1">
      <alignment horizontal="left"/>
    </xf>
    <xf numFmtId="0" fontId="3" fillId="38" borderId="4" xfId="0" applyFont="1" applyFill="1" applyBorder="1" applyAlignment="1">
      <alignment horizontal="left"/>
    </xf>
    <xf numFmtId="0" fontId="3" fillId="38" borderId="2" xfId="0" applyFont="1" applyFill="1" applyBorder="1" applyAlignment="1">
      <alignment horizontal="left"/>
    </xf>
    <xf numFmtId="0" fontId="43" fillId="0" borderId="0" xfId="0" applyFont="1"/>
  </cellXfs>
  <cellStyles count="67">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2" builtinId="3"/>
    <cellStyle name="Currency" xfId="65" builtinId="4"/>
    <cellStyle name="Explanatory Text" xfId="18" builtinId="53" customBuiltin="1"/>
    <cellStyle name="Followed Hyperlink" xfId="63" builtinId="9" hidden="1"/>
    <cellStyle name="Followed Hyperlink" xfId="57" builtinId="9" hidden="1"/>
    <cellStyle name="Followed Hyperlink" xfId="55" builtinId="9" hidden="1"/>
    <cellStyle name="Followed Hyperlink" xfId="62" builtinId="9" hidden="1"/>
    <cellStyle name="Followed Hyperlink" xfId="56" builtinId="9" hidden="1"/>
    <cellStyle name="Followed Hyperlink" xfId="64" builtinId="9" hidden="1"/>
    <cellStyle name="Followed Hyperlink" xfId="61" builtinId="9" hidden="1"/>
    <cellStyle name="Followed Hyperlink" xfId="60" builtinId="9" hidden="1"/>
    <cellStyle name="Followed Hyperlink" xfId="58" builtinId="9" hidden="1"/>
    <cellStyle name="Followed Hyperlink" xfId="59" builtinId="9" hidden="1"/>
    <cellStyle name="Followed Hyperlink" xfId="54" builtinId="9" hidden="1"/>
    <cellStyle name="Followed Hyperlink" xfId="45" builtinId="9" hidden="1"/>
    <cellStyle name="Followed Hyperlink" xfId="51" builtinId="9" hidden="1"/>
    <cellStyle name="Followed Hyperlink" xfId="48" builtinId="9" hidden="1"/>
    <cellStyle name="Followed Hyperlink" xfId="53" builtinId="9" hidden="1"/>
    <cellStyle name="Followed Hyperlink" xfId="47" builtinId="9" hidden="1"/>
    <cellStyle name="Followed Hyperlink" xfId="49" builtinId="9" hidden="1"/>
    <cellStyle name="Followed Hyperlink" xfId="44" builtinId="9" hidden="1"/>
    <cellStyle name="Followed Hyperlink" xfId="52" builtinId="9" hidden="1"/>
    <cellStyle name="Followed Hyperlink" xfId="46" builtinId="9" hidden="1"/>
    <cellStyle name="Followed Hyperlink" xfId="50" builtinId="9" hidde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66" builtinId="8"/>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1" builtinId="5"/>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colors>
    <mruColors>
      <color rgb="FFFFF2CC"/>
      <color rgb="FFC65911"/>
      <color rgb="FF548235"/>
      <color rgb="FF4472C4"/>
      <color rgb="FF9BC2E6"/>
      <color rgb="FF3054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haredStrings" Target="sharedString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externalLink" Target="externalLinks/externalLink4.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sheetMetadata" Target="metadata.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icfonline.sharepoint.com/Z/Documents%20and%20Settings/25004/Local%20Settings/Temporary%20Internet%20Files/Content.Outlook/7PYWN2VZ/From%20MTC/forFrank/2005/CommuteByEmploymentLocatio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icfonline.sharepoint.com/Z/Documents%20and%20Settings/25004/Local%20Settings/Temporary%20Internet%20Files/Content.Outlook/7PYWN2VZ/From%20MTC/forFrank/2035%20CRP/CommuteByEmploymentLocation.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icfonline.sharepoint.com/Users/eliotrose/Downloads/CommuteByEmploymentLocation.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icfonline.sharepoint.com/Users/29480/Desktop/MTC%20strategies/Resources/MTC%20CBO%20Calculator%20v5.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fo"/>
      <sheetName val="summary.tours"/>
      <sheetName val="summary.mode share"/>
      <sheetName val="summary.distance"/>
      <sheetName val="summary.cost"/>
      <sheetName val="CommuteByEmploymentLocation.csv"/>
      <sheetName val="reference.taz to county"/>
      <sheetName val="reference.county names"/>
      <sheetName val="reference.inflatio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fo"/>
      <sheetName val="summary.tours"/>
      <sheetName val="summary.mode share"/>
      <sheetName val="summary.distance"/>
      <sheetName val="summary.cost"/>
      <sheetName val="CommuteByEmploymentLocation.csv"/>
      <sheetName val="reference.taz to county"/>
      <sheetName val="reference.county names"/>
      <sheetName val="reference.inflation"/>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fo"/>
      <sheetName val="summary.tours"/>
      <sheetName val="summary.mode share"/>
      <sheetName val="summary.distance"/>
      <sheetName val="summary.cost"/>
      <sheetName val="CommuteByEmploymentLocation.csv"/>
      <sheetName val="reference.taz to county"/>
      <sheetName val="reference.county names"/>
      <sheetName val="reference.inflatio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p"/>
      <sheetName val="Index"/>
      <sheetName val="Summary"/>
      <sheetName val="SB 375"/>
      <sheetName val="CBO-1_2020"/>
      <sheetName val="CBO-1_2035"/>
      <sheetName val="CBO-2_2020"/>
      <sheetName val="CBO-2_2035"/>
      <sheetName val="CBO1+2_2020"/>
      <sheetName val="CBO1+2_2035"/>
      <sheetName val="Job Growth and Trip Rates"/>
      <sheetName val="Emissions Impacts"/>
      <sheetName val="Assumptions"/>
      <sheetName val="TransitJobs"/>
      <sheetName val="TransitStations"/>
      <sheetName val="Cost"/>
      <sheetName val="Trips2020"/>
      <sheetName val="Trips2035"/>
      <sheetName val="tazData2005"/>
      <sheetName val="tazData2020"/>
      <sheetName val="tazData2035"/>
      <sheetName val="EmFactors2020"/>
      <sheetName val="EmFactors2035"/>
      <sheetName val="EmployerDistribution"/>
      <sheetName val="TransitE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persons/person.xml><?xml version="1.0" encoding="utf-8"?>
<personList xmlns="http://schemas.microsoft.com/office/spreadsheetml/2018/threadedcomments" xmlns:x="http://schemas.openxmlformats.org/spreadsheetml/2006/main">
  <person displayName="Joel Mandella" id="{36BA8F8F-9F2B-48EF-84FD-E57C46B713BE}" userId="S::jmandella@bayareametro.gov::02385b90-6fe6-48c3-992c-0ec2bc0c2af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14" dT="2024-02-02T23:40:30.51" personId="{36BA8F8F-9F2B-48EF-84FD-E57C46B713BE}" id="{3F747207-DFC8-4D4A-AA9F-FBB5B5E8C823}">
    <text>May change to 10% -- see what Duncan says once back</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G158"/>
  <sheetViews>
    <sheetView zoomScaleNormal="100" zoomScalePageLayoutView="90" workbookViewId="0">
      <selection activeCell="A48" sqref="A48"/>
    </sheetView>
  </sheetViews>
  <sheetFormatPr defaultColWidth="8.7109375" defaultRowHeight="12.75" x14ac:dyDescent="0.2"/>
  <cols>
    <col min="1" max="1" width="53.28515625" style="21" customWidth="1"/>
    <col min="2" max="2" width="13.28515625" style="21" bestFit="1" customWidth="1"/>
    <col min="3" max="5" width="13.28515625" style="21" customWidth="1"/>
    <col min="6" max="6" width="7.7109375" style="21" customWidth="1"/>
    <col min="7" max="7" width="86" style="21" customWidth="1"/>
    <col min="8" max="16384" width="8.7109375" style="21"/>
  </cols>
  <sheetData>
    <row r="1" spans="1:7" s="31" customFormat="1" ht="27.6" customHeight="1" x14ac:dyDescent="0.2">
      <c r="A1" s="30" t="s">
        <v>0</v>
      </c>
    </row>
    <row r="2" spans="1:7" s="71" customFormat="1" x14ac:dyDescent="0.2">
      <c r="A2" s="70" t="s">
        <v>1</v>
      </c>
      <c r="B2" s="70"/>
      <c r="C2" s="70"/>
      <c r="D2" s="70"/>
      <c r="E2" s="70"/>
      <c r="F2" s="70"/>
      <c r="G2" s="70"/>
    </row>
    <row r="3" spans="1:7" x14ac:dyDescent="0.2">
      <c r="A3" s="32" t="s">
        <v>2</v>
      </c>
      <c r="B3" s="32" t="s">
        <v>3</v>
      </c>
      <c r="G3" s="94" t="s">
        <v>4</v>
      </c>
    </row>
    <row r="4" spans="1:7" x14ac:dyDescent="0.2">
      <c r="A4" s="72" t="s">
        <v>5</v>
      </c>
      <c r="B4" s="74" t="s">
        <v>6</v>
      </c>
      <c r="G4" s="94"/>
    </row>
    <row r="5" spans="1:7" x14ac:dyDescent="0.2">
      <c r="A5" s="33" t="s">
        <v>7</v>
      </c>
      <c r="B5" s="75">
        <v>3000000</v>
      </c>
      <c r="C5" s="22"/>
      <c r="D5" s="22"/>
      <c r="E5" s="22"/>
      <c r="F5" s="22"/>
      <c r="G5" s="94"/>
    </row>
    <row r="6" spans="1:7" x14ac:dyDescent="0.2">
      <c r="A6" s="33" t="s">
        <v>8</v>
      </c>
      <c r="B6" s="75">
        <v>2000000</v>
      </c>
      <c r="C6" s="22"/>
      <c r="D6" s="22"/>
      <c r="E6" s="22"/>
      <c r="F6" s="22"/>
      <c r="G6" s="95"/>
    </row>
    <row r="7" spans="1:7" x14ac:dyDescent="0.2">
      <c r="A7" s="33" t="s">
        <v>9</v>
      </c>
      <c r="B7" s="82">
        <v>2021</v>
      </c>
      <c r="C7" s="22"/>
      <c r="D7" s="22"/>
      <c r="E7" s="22"/>
      <c r="F7" s="22"/>
      <c r="G7" s="95"/>
    </row>
    <row r="8" spans="1:7" x14ac:dyDescent="0.2">
      <c r="A8" s="72" t="s">
        <v>10</v>
      </c>
      <c r="B8" s="74"/>
      <c r="D8" s="22"/>
      <c r="E8" s="22"/>
      <c r="F8" s="22"/>
      <c r="G8" s="96"/>
    </row>
    <row r="9" spans="1:7" x14ac:dyDescent="0.2">
      <c r="A9" s="33" t="s">
        <v>11</v>
      </c>
      <c r="B9" s="76">
        <f>Research!F21</f>
        <v>20.617734630855324</v>
      </c>
      <c r="C9" s="80">
        <f>B5/B9</f>
        <v>145505.80137501485</v>
      </c>
      <c r="F9" s="24"/>
      <c r="G9" s="96" t="s">
        <v>12</v>
      </c>
    </row>
    <row r="10" spans="1:7" x14ac:dyDescent="0.2">
      <c r="A10" s="33" t="s">
        <v>13</v>
      </c>
      <c r="B10" s="76">
        <f>Research!I31</f>
        <v>4.3427098583599388</v>
      </c>
      <c r="C10" s="80">
        <f>B6/B10</f>
        <v>460541.93469773204</v>
      </c>
      <c r="F10" s="24"/>
      <c r="G10" s="96" t="s">
        <v>14</v>
      </c>
    </row>
    <row r="11" spans="1:7" ht="14.85" customHeight="1" x14ac:dyDescent="0.2">
      <c r="A11" s="33" t="s">
        <v>15</v>
      </c>
      <c r="B11" s="103">
        <f>Research!C21</f>
        <v>0.16838608667044122</v>
      </c>
      <c r="C11" s="25"/>
      <c r="D11" s="25"/>
      <c r="E11" s="25"/>
      <c r="F11" s="25"/>
      <c r="G11" s="96" t="s">
        <v>16</v>
      </c>
    </row>
    <row r="12" spans="1:7" x14ac:dyDescent="0.2">
      <c r="A12" s="72" t="s">
        <v>17</v>
      </c>
      <c r="B12" s="74">
        <v>0.33</v>
      </c>
      <c r="C12" s="25"/>
      <c r="D12" s="25"/>
      <c r="E12" s="25"/>
      <c r="F12" s="25"/>
      <c r="G12" s="96" t="s">
        <v>18</v>
      </c>
    </row>
    <row r="13" spans="1:7" x14ac:dyDescent="0.2">
      <c r="A13" s="33" t="s">
        <v>19</v>
      </c>
      <c r="B13" s="102">
        <f>Research!B21</f>
        <v>0.12021428571428572</v>
      </c>
      <c r="C13" s="25"/>
      <c r="D13" s="25"/>
      <c r="E13" s="25"/>
      <c r="F13" s="25"/>
      <c r="G13" s="96" t="s">
        <v>16</v>
      </c>
    </row>
    <row r="14" spans="1:7" x14ac:dyDescent="0.2">
      <c r="A14" s="33" t="s">
        <v>20</v>
      </c>
      <c r="B14" s="102">
        <f>Research!I28</f>
        <v>9.1028367113964073E-2</v>
      </c>
      <c r="C14" s="25"/>
      <c r="D14" s="25"/>
      <c r="E14" s="25"/>
      <c r="F14" s="25"/>
      <c r="G14" s="96" t="s">
        <v>14</v>
      </c>
    </row>
    <row r="15" spans="1:7" ht="13.5" customHeight="1" x14ac:dyDescent="0.2">
      <c r="A15" s="33" t="s">
        <v>21</v>
      </c>
      <c r="B15" s="77">
        <f>2.735*2</f>
        <v>5.47</v>
      </c>
      <c r="G15" s="96" t="s">
        <v>22</v>
      </c>
    </row>
    <row r="16" spans="1:7" ht="13.5" customHeight="1" x14ac:dyDescent="0.2">
      <c r="A16" s="33" t="s">
        <v>23</v>
      </c>
      <c r="B16" s="77">
        <v>2</v>
      </c>
      <c r="G16" s="96" t="s">
        <v>24</v>
      </c>
    </row>
    <row r="17" spans="1:7" x14ac:dyDescent="0.2">
      <c r="A17" s="33" t="s">
        <v>25</v>
      </c>
      <c r="B17" s="78">
        <v>5</v>
      </c>
      <c r="C17" s="26"/>
      <c r="D17" s="26"/>
      <c r="E17" s="26"/>
      <c r="F17" s="26"/>
      <c r="G17" s="96" t="s">
        <v>26</v>
      </c>
    </row>
    <row r="18" spans="1:7" x14ac:dyDescent="0.2">
      <c r="A18" s="72" t="s">
        <v>27</v>
      </c>
      <c r="B18" s="74"/>
      <c r="C18" s="26"/>
      <c r="D18" s="26"/>
      <c r="E18" s="26"/>
      <c r="F18" s="26"/>
      <c r="G18" s="96"/>
    </row>
    <row r="19" spans="1:7" x14ac:dyDescent="0.2">
      <c r="A19" s="33" t="s">
        <v>28</v>
      </c>
      <c r="B19" s="89" cm="1">
        <f t="array" ref="B19">INDEX('Model Data'!$F:$F,MATCH(1,(CONCATENATE("2015_TM152_IPA_16")='Model Data'!$D:$D)*("total_households"='Model Data'!$E:$E),0))</f>
        <v>2700805</v>
      </c>
      <c r="C19" s="26"/>
      <c r="D19" s="26"/>
      <c r="E19" s="26"/>
      <c r="F19" s="26"/>
      <c r="G19" s="96" t="s">
        <v>29</v>
      </c>
    </row>
    <row r="20" spans="1:7" x14ac:dyDescent="0.2">
      <c r="A20" s="33" t="s">
        <v>30</v>
      </c>
      <c r="B20" s="89" cm="1">
        <f t="array" ref="B20">INDEX('Model Data'!$F:$F,MATCH(1,(CONCATENATE("2015_TM152_IPA_16")='Model Data'!$D:$D)*("total_jobs"='Model Data'!$E:$E),0))</f>
        <v>3861318</v>
      </c>
      <c r="C20" s="26"/>
      <c r="D20" s="26"/>
      <c r="E20" s="26"/>
      <c r="F20" s="26"/>
      <c r="G20" s="96" t="s">
        <v>29</v>
      </c>
    </row>
    <row r="21" spans="1:7" x14ac:dyDescent="0.2">
      <c r="A21" s="72" t="s">
        <v>31</v>
      </c>
      <c r="B21" s="74"/>
      <c r="C21" s="25"/>
      <c r="D21" s="25"/>
      <c r="E21" s="25"/>
      <c r="F21" s="25"/>
      <c r="G21" s="96"/>
    </row>
    <row r="22" spans="1:7" x14ac:dyDescent="0.2">
      <c r="A22" s="33" t="s">
        <v>32</v>
      </c>
      <c r="B22" s="89">
        <v>3189930</v>
      </c>
      <c r="C22" s="27"/>
      <c r="D22" s="27"/>
      <c r="E22" s="27"/>
      <c r="F22" s="27"/>
      <c r="G22" s="96" t="s">
        <v>33</v>
      </c>
    </row>
    <row r="23" spans="1:7" x14ac:dyDescent="0.2">
      <c r="A23" s="33" t="s">
        <v>34</v>
      </c>
      <c r="B23" s="89">
        <v>1148386</v>
      </c>
      <c r="C23" s="27"/>
      <c r="D23" s="27"/>
      <c r="E23" s="27"/>
      <c r="F23" s="27"/>
      <c r="G23" s="96" t="s">
        <v>35</v>
      </c>
    </row>
    <row r="26" spans="1:7" x14ac:dyDescent="0.2">
      <c r="A26" s="35" t="s">
        <v>36</v>
      </c>
      <c r="B26" s="36"/>
      <c r="C26" s="36" t="s">
        <v>37</v>
      </c>
      <c r="D26" s="36" t="s">
        <v>38</v>
      </c>
      <c r="E26" s="36" t="s">
        <v>39</v>
      </c>
      <c r="F26" s="70"/>
      <c r="G26" s="97"/>
    </row>
    <row r="27" spans="1:7" x14ac:dyDescent="0.2">
      <c r="A27" s="32" t="s">
        <v>40</v>
      </c>
      <c r="B27" s="32">
        <v>2020</v>
      </c>
      <c r="C27" s="32">
        <v>2035</v>
      </c>
      <c r="D27" s="32">
        <v>2050</v>
      </c>
      <c r="E27" s="32">
        <v>2025</v>
      </c>
      <c r="F27" s="23"/>
      <c r="G27" s="94" t="s">
        <v>4</v>
      </c>
    </row>
    <row r="28" spans="1:7" x14ac:dyDescent="0.2">
      <c r="A28" s="72" t="s">
        <v>41</v>
      </c>
      <c r="B28" s="73"/>
      <c r="C28" s="73"/>
      <c r="D28" s="74"/>
      <c r="E28" s="74"/>
      <c r="F28" s="84" t="s">
        <v>42</v>
      </c>
      <c r="G28" s="94"/>
    </row>
    <row r="29" spans="1:7" x14ac:dyDescent="0.2">
      <c r="A29" s="33" t="s">
        <v>43</v>
      </c>
      <c r="B29" s="34" t="e" cm="1">
        <f t="array" ref="B29">INDEX('Model Data'!$F:$F,MATCH(1,(CONCATENATE(B$27,"_TM152_",B$26)='Model Data'!$D:$D)*($F29='Model Data'!$E:$E),0))</f>
        <v>#N/A</v>
      </c>
      <c r="C29" s="34" cm="1">
        <f t="array" ref="C29">INDEX('Model Data'!$F:$F,MATCH(1,(CONCATENATE(C$27,"_TM160_",C$26)='Model Data'!$D:$D)*($F29='Model Data'!$E:$E),0))</f>
        <v>3311530</v>
      </c>
      <c r="D29" s="34" cm="1">
        <f t="array" ref="D29">INDEX('Model Data'!$F:$F,MATCH(1,(CONCATENATE(D$27,"_TM152_",D$26)='Model Data'!$D:$D)*($F29='Model Data'!$E:$E),0))</f>
        <v>4043312</v>
      </c>
      <c r="E29" s="34" cm="1">
        <f t="array" ref="E29">INDEX('Model Data'!$F:$F,MATCH(1,(CONCATENATE(E$27,"_TM152_",E$26)='Model Data'!$D:$D)*($F29='Model Data'!$E:$E),0))</f>
        <v>2951569</v>
      </c>
      <c r="F29" s="84" t="s">
        <v>44</v>
      </c>
      <c r="G29" s="94"/>
    </row>
    <row r="30" spans="1:7" x14ac:dyDescent="0.2">
      <c r="A30" s="33" t="s">
        <v>45</v>
      </c>
      <c r="B30" s="34" t="e" cm="1">
        <f t="array" ref="B30">INDEX('Model Data'!$F:$F,MATCH(1,(CONCATENATE(B$27,"_TM152_",B$26)='Model Data'!$D:$D)*($F30='Model Data'!$E:$E),0))</f>
        <v>#N/A</v>
      </c>
      <c r="C30" s="34" cm="1">
        <f t="array" ref="C30">INDEX('Model Data'!$F:$F,MATCH(1,(CONCATENATE(C$27,"_TM160_",C$26)='Model Data'!$D:$D)*($F30='Model Data'!$E:$E),0))</f>
        <v>4854742</v>
      </c>
      <c r="D30" s="34" cm="1">
        <f t="array" ref="D30">INDEX('Model Data'!$F:$F,MATCH(1,(CONCATENATE(D$27,"_TM152_",D$26)='Model Data'!$D:$D)*($F30='Model Data'!$E:$E),0))</f>
        <v>5408460</v>
      </c>
      <c r="E30" s="34" cm="1">
        <f t="array" ref="E30">INDEX('Model Data'!$F:$F,MATCH(1,(CONCATENATE(E$27,"_TM152_",E$26)='Model Data'!$D:$D)*($F30='Model Data'!$E:$E),0))</f>
        <v>4147691</v>
      </c>
      <c r="F30" s="84" t="s">
        <v>46</v>
      </c>
      <c r="G30" s="94"/>
    </row>
    <row r="31" spans="1:7" x14ac:dyDescent="0.2">
      <c r="A31" s="33" t="s">
        <v>47</v>
      </c>
      <c r="B31" s="38" t="e" cm="1">
        <f t="array" ref="B31">INDEX('Model Data'!$F:$F,MATCH(1,(CONCATENATE(B$27,"_TM152_",B$26)='Model Data'!$D:$D)*($F31='Model Data'!$E:$E),0))</f>
        <v>#N/A</v>
      </c>
      <c r="C31" s="38" cm="1">
        <f t="array" ref="C31">INDEX('Model Data'!$F:$F,MATCH(1,(CONCATENATE(C$27,"_TM160_",C$26)='Model Data'!$D:$D)*($F31='Model Data'!$E:$E),0))</f>
        <v>5.9357548081756297</v>
      </c>
      <c r="D31" s="38" cm="1">
        <f t="array" ref="D31">INDEX('Model Data'!$F:$F,MATCH(1,(CONCATENATE(D$27,"_TM152_",D$26)='Model Data'!$D:$D)*($F31='Model Data'!$E:$E),0))</f>
        <v>5.8865336656458398</v>
      </c>
      <c r="E31" s="38" cm="1">
        <f t="array" ref="E31">INDEX('Model Data'!$F:$F,MATCH(1,(CONCATENATE(E$27,"_TM152_",E$26)='Model Data'!$D:$D)*($F31='Model Data'!$E:$E),0))</f>
        <v>6.3176208630912098</v>
      </c>
      <c r="F31" s="84" t="s">
        <v>48</v>
      </c>
      <c r="G31" s="94"/>
    </row>
    <row r="32" spans="1:7" x14ac:dyDescent="0.2">
      <c r="A32" s="33" t="s">
        <v>49</v>
      </c>
      <c r="B32" s="38" t="e" cm="1">
        <f t="array" ref="B32">INDEX('Model Data'!$F:$F,MATCH(1,(CONCATENATE(B$27,"_TM152_",B$26)='Model Data'!$D:$D)*($F32='Model Data'!$E:$E),0))</f>
        <v>#N/A</v>
      </c>
      <c r="C32" s="38" cm="1">
        <f t="array" ref="C32">INDEX('Model Data'!$F:$F,MATCH(1,(CONCATENATE(C$27,"_TM160_",C$26)='Model Data'!$D:$D)*($F32='Model Data'!$E:$E),0))</f>
        <v>10.0018946702164</v>
      </c>
      <c r="D32" s="38" cm="1">
        <f t="array" ref="D32">INDEX('Model Data'!$F:$F,MATCH(1,(CONCATENATE(D$27,"_TM152_",D$26)='Model Data'!$D:$D)*($F32='Model Data'!$E:$E),0))</f>
        <v>9.7814867135766708</v>
      </c>
      <c r="E32" s="38" cm="1">
        <f t="array" ref="E32">INDEX('Model Data'!$F:$F,MATCH(1,(CONCATENATE(E$27,"_TM152_",E$26)='Model Data'!$D:$D)*($F32='Model Data'!$E:$E),0))</f>
        <v>10.382779876482999</v>
      </c>
      <c r="F32" s="84" t="s">
        <v>50</v>
      </c>
      <c r="G32" s="94"/>
    </row>
    <row r="33" spans="1:7" x14ac:dyDescent="0.2">
      <c r="A33" s="72" t="s">
        <v>51</v>
      </c>
      <c r="B33" s="73"/>
      <c r="C33" s="73"/>
      <c r="D33" s="74"/>
      <c r="E33" s="74"/>
      <c r="F33" s="23"/>
      <c r="G33" s="94"/>
    </row>
    <row r="34" spans="1:7" x14ac:dyDescent="0.2">
      <c r="A34" s="33" t="s">
        <v>52</v>
      </c>
      <c r="B34" s="34" t="e">
        <f t="shared" ref="B34:D35" si="0">$B$22*B29/$B$19*$B$11</f>
        <v>#N/A</v>
      </c>
      <c r="C34" s="34">
        <f t="shared" si="0"/>
        <v>658601.66114447464</v>
      </c>
      <c r="D34" s="34">
        <f t="shared" si="0"/>
        <v>804139.47623164766</v>
      </c>
      <c r="E34" s="34">
        <f t="shared" ref="E34" si="1">$B$22*E29/$B$19*$B$11</f>
        <v>587012.12019294279</v>
      </c>
      <c r="F34" s="39"/>
      <c r="G34" s="96" t="s">
        <v>53</v>
      </c>
    </row>
    <row r="35" spans="1:7" x14ac:dyDescent="0.2">
      <c r="A35" s="33" t="s">
        <v>54</v>
      </c>
      <c r="B35" s="34" t="e">
        <f t="shared" si="0"/>
        <v>#N/A</v>
      </c>
      <c r="C35" s="34">
        <f t="shared" si="0"/>
        <v>965517.7955893043</v>
      </c>
      <c r="D35" s="34">
        <f t="shared" si="0"/>
        <v>1075641.9963682785</v>
      </c>
      <c r="E35" s="34">
        <f t="shared" ref="E35" si="2">$B$22*E30/$B$19*$B$11</f>
        <v>824898.51594700548</v>
      </c>
      <c r="F35" s="39"/>
      <c r="G35" s="96" t="s">
        <v>55</v>
      </c>
    </row>
    <row r="36" spans="1:7" x14ac:dyDescent="0.2">
      <c r="A36" s="33" t="s">
        <v>56</v>
      </c>
      <c r="B36" s="34">
        <f>$B$5/$B$9*$B$11</f>
        <v>24501.152481385256</v>
      </c>
      <c r="C36" s="34">
        <f>$B$5/$B$9*$B$11</f>
        <v>24501.152481385256</v>
      </c>
      <c r="D36" s="34">
        <f>$B$5/$B$9*$B$11</f>
        <v>24501.152481385256</v>
      </c>
      <c r="E36" s="34">
        <f>$B$5/$B$9*$B$11</f>
        <v>24501.152481385256</v>
      </c>
      <c r="F36" s="39"/>
      <c r="G36" s="96"/>
    </row>
    <row r="37" spans="1:7" x14ac:dyDescent="0.2">
      <c r="A37" s="33" t="s">
        <v>57</v>
      </c>
      <c r="B37" s="34">
        <f>$B$6/$B$10*$B$12</f>
        <v>151978.83845025158</v>
      </c>
      <c r="C37" s="34">
        <f>$B$6/$B$10*$B$12</f>
        <v>151978.83845025158</v>
      </c>
      <c r="D37" s="34">
        <f>$B$6/$B$10*$B$12</f>
        <v>151978.83845025158</v>
      </c>
      <c r="E37" s="34">
        <f>$B$6/$B$10*$B$12</f>
        <v>151978.83845025158</v>
      </c>
      <c r="F37" s="39"/>
      <c r="G37" s="96"/>
    </row>
    <row r="38" spans="1:7" x14ac:dyDescent="0.2">
      <c r="A38" s="33" t="s">
        <v>58</v>
      </c>
      <c r="B38" s="34">
        <f>B36*$B$13*$B$15*($B$17-5)</f>
        <v>0</v>
      </c>
      <c r="C38" s="34">
        <f>C36*$B$13*$B$15*($B$17)</f>
        <v>80556.376698270527</v>
      </c>
      <c r="D38" s="34">
        <f>D36*$B$13*$B$15*($B$17)</f>
        <v>80556.376698270527</v>
      </c>
      <c r="E38" s="34">
        <f>E36*$B$13*$B$15*($B$17)</f>
        <v>80556.376698270527</v>
      </c>
      <c r="F38" s="39"/>
      <c r="G38" s="96" t="s">
        <v>59</v>
      </c>
    </row>
    <row r="39" spans="1:7" x14ac:dyDescent="0.2">
      <c r="A39" s="33" t="s">
        <v>60</v>
      </c>
      <c r="B39" s="34">
        <f>B37*$B$14*$B$16*($B$17-5)</f>
        <v>0</v>
      </c>
      <c r="C39" s="34">
        <f>C37*$B$14*$B$16*$B$17</f>
        <v>138343.85500003339</v>
      </c>
      <c r="D39" s="34">
        <f>D37*$B$14*$B$16*$B$17</f>
        <v>138343.85500003339</v>
      </c>
      <c r="E39" s="34">
        <f>E37*$B$14*$B$16*$B$17</f>
        <v>138343.85500003339</v>
      </c>
      <c r="F39" s="39"/>
      <c r="G39" s="96" t="s">
        <v>59</v>
      </c>
    </row>
    <row r="40" spans="1:7" x14ac:dyDescent="0.2">
      <c r="A40" s="33" t="s">
        <v>61</v>
      </c>
      <c r="B40" s="34">
        <f>B38+B39</f>
        <v>0</v>
      </c>
      <c r="C40" s="34">
        <f>C38+C39</f>
        <v>218900.23169830392</v>
      </c>
      <c r="D40" s="34">
        <f>D38+D39</f>
        <v>218900.23169830392</v>
      </c>
      <c r="E40" s="34">
        <f>E38+E39</f>
        <v>218900.23169830392</v>
      </c>
      <c r="F40" s="39"/>
      <c r="G40" s="96"/>
    </row>
    <row r="41" spans="1:7" x14ac:dyDescent="0.2">
      <c r="A41" s="33" t="s">
        <v>62</v>
      </c>
      <c r="B41" s="34" t="e">
        <f t="shared" ref="B41:D42" si="3">B38*B31</f>
        <v>#N/A</v>
      </c>
      <c r="C41" s="34">
        <f t="shared" si="3"/>
        <v>478162.90031596652</v>
      </c>
      <c r="D41" s="34">
        <f t="shared" si="3"/>
        <v>474197.82341681753</v>
      </c>
      <c r="E41" s="34">
        <f t="shared" ref="E41" si="4">E38*E31</f>
        <v>508924.64608402847</v>
      </c>
      <c r="F41" s="39"/>
      <c r="G41" s="96"/>
    </row>
    <row r="42" spans="1:7" x14ac:dyDescent="0.2">
      <c r="A42" s="33" t="s">
        <v>63</v>
      </c>
      <c r="B42" s="34" t="e">
        <f t="shared" si="3"/>
        <v>#N/A</v>
      </c>
      <c r="C42" s="34">
        <f t="shared" si="3"/>
        <v>1383700.6659820245</v>
      </c>
      <c r="D42" s="34">
        <f t="shared" si="3"/>
        <v>1353208.5795878042</v>
      </c>
      <c r="E42" s="34">
        <f t="shared" ref="E42" si="5">E39*E32</f>
        <v>1436393.7937294287</v>
      </c>
      <c r="F42" s="39"/>
      <c r="G42" s="96"/>
    </row>
    <row r="43" spans="1:7" x14ac:dyDescent="0.2">
      <c r="A43" s="33" t="s">
        <v>64</v>
      </c>
      <c r="B43" s="34" t="e">
        <f>B41+B42</f>
        <v>#N/A</v>
      </c>
      <c r="C43" s="34">
        <f>C41+C42</f>
        <v>1861863.566297991</v>
      </c>
      <c r="D43" s="34">
        <f>D41+D42</f>
        <v>1827406.4030046216</v>
      </c>
      <c r="E43" s="34">
        <f>E41+E42</f>
        <v>1945318.4398134572</v>
      </c>
      <c r="F43" s="39"/>
      <c r="G43" s="96"/>
    </row>
    <row r="44" spans="1:7" x14ac:dyDescent="0.2">
      <c r="A44" s="33" t="s">
        <v>65</v>
      </c>
      <c r="B44" s="34" t="e">
        <f>B40*INDEX('Emission Factors'!$10:$10,,MATCH(B27,'Emission Factors'!$2:$2,0))+B43*INDEX('Emission Factors'!$6:$6,,MATCH(B27,'Emission Factors'!$2:$2,0))</f>
        <v>#N/A</v>
      </c>
      <c r="C44" s="34">
        <f>C40*INDEX('Emission Factors'!$10:$10,,MATCH(C27,'Emission Factors'!$2:$2,0))+C43*INDEX('Emission Factors'!$6:$6,,MATCH(C27,'Emission Factors'!$2:$2,0))</f>
        <v>736.36526371538503</v>
      </c>
      <c r="D44" s="34">
        <f>D40*INDEX('Emission Factors'!$10:$10,,MATCH(D27,'Emission Factors'!$2:$2,0))+D43*INDEX('Emission Factors'!$6:$6,,MATCH(D27,'Emission Factors'!$2:$2,0))</f>
        <v>726.84162874612639</v>
      </c>
      <c r="E44" s="34" t="e">
        <f>E40*INDEX('Emission Factors'!$10:$10,,MATCH(E27,'Emission Factors'!$2:$2,0))+E43*INDEX('Emission Factors'!$6:$6,,MATCH(E27,'Emission Factors'!$2:$2,0))</f>
        <v>#N/A</v>
      </c>
      <c r="F44" s="28"/>
      <c r="G44" s="96"/>
    </row>
    <row r="45" spans="1:7" x14ac:dyDescent="0.2">
      <c r="A45" s="87" t="s">
        <v>66</v>
      </c>
      <c r="B45" s="86" t="e">
        <f>-(B44/'SB 375 calcs'!C$2)/('SB 375 calcs'!$B$3/'SB 375 calcs'!$B$2)</f>
        <v>#N/A</v>
      </c>
      <c r="C45" s="86">
        <f>-(C44/'SB 375 calcs'!D$2)/('SB 375 calcs'!$B$3/'SB 375 calcs'!$B$2)</f>
        <v>-9.879177279890539E-3</v>
      </c>
      <c r="D45" s="86">
        <f>-(D44/'SB 375 calcs'!E$2)/('SB 375 calcs'!$B$3/'SB 375 calcs'!$B$2)</f>
        <v>-8.0182457113962217E-3</v>
      </c>
      <c r="E45" s="86" t="e">
        <f>-(E44/'SB 375 calcs'!F$2)/('SB 375 calcs'!$B$3/'SB 375 calcs'!$B$2)</f>
        <v>#N/A</v>
      </c>
      <c r="F45" s="29"/>
      <c r="G45" s="96"/>
    </row>
    <row r="46" spans="1:7" x14ac:dyDescent="0.2">
      <c r="A46" s="81" t="s">
        <v>67</v>
      </c>
      <c r="B46" s="79"/>
      <c r="C46" s="83">
        <f>$B$5*(1-(1.022^(C$27-$B$7+1)))/(1-1.022)</f>
        <v>52636453.591876037</v>
      </c>
      <c r="D46" s="83">
        <f>$B$5*(1-(1.022^(D$27-$B$7+1)))/(1-1.022)</f>
        <v>125590612.99310334</v>
      </c>
      <c r="E46" s="83">
        <f>$B$5*(1-(1.022^(E$27-$B$7+1)))/(1-1.022)</f>
        <v>15674680.422767991</v>
      </c>
      <c r="F46" s="29"/>
      <c r="G46" s="96"/>
    </row>
    <row r="47" spans="1:7" x14ac:dyDescent="0.2">
      <c r="A47" s="81" t="s">
        <v>68</v>
      </c>
      <c r="B47" s="79"/>
      <c r="C47" s="83">
        <f>$B$6*(1-(1.022^(C$27-$B$7+1)))/(1-1.022)</f>
        <v>35090969.061250694</v>
      </c>
      <c r="D47" s="83">
        <f>$B$6*(1-(1.022^(D$27-$B$7+1)))/(1-1.022)</f>
        <v>83727075.32873556</v>
      </c>
      <c r="E47" s="83">
        <f>$B$6*(1-(1.022^(E$27-$B$7+1)))/(1-1.022)</f>
        <v>10449786.948511994</v>
      </c>
      <c r="F47" s="29"/>
      <c r="G47" s="96"/>
    </row>
    <row r="48" spans="1:7" x14ac:dyDescent="0.2">
      <c r="A48" s="81" t="s">
        <v>69</v>
      </c>
      <c r="B48" s="79"/>
      <c r="C48" s="83">
        <f>SUM(C46:C47)</f>
        <v>87727422.653126732</v>
      </c>
      <c r="D48" s="83">
        <f>SUM(D46:D47)</f>
        <v>209317688.32183892</v>
      </c>
      <c r="E48" s="83">
        <f>SUM(E46:E47)</f>
        <v>26124467.371279985</v>
      </c>
      <c r="F48" s="29"/>
      <c r="G48" s="96"/>
    </row>
    <row r="51" spans="1:7" x14ac:dyDescent="0.2">
      <c r="A51" s="35" t="s">
        <v>70</v>
      </c>
      <c r="B51" s="36" t="s">
        <v>71</v>
      </c>
      <c r="C51" s="36" t="s">
        <v>72</v>
      </c>
      <c r="D51" s="36" t="s">
        <v>72</v>
      </c>
      <c r="E51" s="36" t="s">
        <v>72</v>
      </c>
      <c r="F51" s="70"/>
      <c r="G51" s="97"/>
    </row>
    <row r="52" spans="1:7" x14ac:dyDescent="0.2">
      <c r="A52" s="32" t="s">
        <v>40</v>
      </c>
      <c r="B52" s="32">
        <f t="shared" ref="B52:E52" si="6">B$27</f>
        <v>2020</v>
      </c>
      <c r="C52" s="32">
        <f t="shared" si="6"/>
        <v>2035</v>
      </c>
      <c r="D52" s="32">
        <f t="shared" si="6"/>
        <v>2050</v>
      </c>
      <c r="E52" s="32">
        <f t="shared" si="6"/>
        <v>2025</v>
      </c>
      <c r="F52" s="23"/>
      <c r="G52" s="94" t="s">
        <v>4</v>
      </c>
    </row>
    <row r="53" spans="1:7" x14ac:dyDescent="0.2">
      <c r="A53" s="72" t="s">
        <v>41</v>
      </c>
      <c r="B53" s="73"/>
      <c r="C53" s="73"/>
      <c r="D53" s="74"/>
      <c r="E53" s="74"/>
      <c r="F53" s="84" t="s">
        <v>42</v>
      </c>
      <c r="G53" s="94"/>
    </row>
    <row r="54" spans="1:7" x14ac:dyDescent="0.2">
      <c r="A54" s="37" t="s">
        <v>43</v>
      </c>
      <c r="B54" s="34" t="e" cm="1">
        <f t="array" ref="B54">INDEX('Model Data'!$F:$F,MATCH(1,(CONCATENATE(B$52,"_TM152_",B$51)='Model Data'!$D:$D)*($F54='Model Data'!$E:$E),0))</f>
        <v>#N/A</v>
      </c>
      <c r="C54" s="34" cm="1">
        <f t="array" ref="C54">INDEX('Model Data'!$F:$F,MATCH(1,(CONCATENATE(C$52,"_TM152_",C$51)='Model Data'!$D:$D)*($F54='Model Data'!$E:$E),0))</f>
        <v>3495212</v>
      </c>
      <c r="D54" s="34" cm="1">
        <f t="array" ref="D54">INDEX('Model Data'!$F:$F,MATCH(1,(CONCATENATE(D$52,"_TM152_",D$51)='Model Data'!$D:$D)*($F54='Model Data'!$E:$E),0))</f>
        <v>4043312</v>
      </c>
      <c r="E54" s="34" t="e" cm="1">
        <f t="array" ref="E54">INDEX('Model Data'!$F:$F,MATCH(1,(CONCATENATE(E$52,"_TM152_",E$51)='Model Data'!$D:$D)*($F54='Model Data'!$E:$E),0))</f>
        <v>#N/A</v>
      </c>
      <c r="F54" s="84" t="str">
        <f>F$29</f>
        <v>total_households</v>
      </c>
      <c r="G54" s="98"/>
    </row>
    <row r="55" spans="1:7" x14ac:dyDescent="0.2">
      <c r="A55" s="37" t="s">
        <v>45</v>
      </c>
      <c r="B55" s="34" t="e" cm="1">
        <f t="array" ref="B55">INDEX('Model Data'!$F:$F,MATCH(1,(CONCATENATE(B$52,"_TM152_",B$51)='Model Data'!$D:$D)*($F55='Model Data'!$E:$E),0))</f>
        <v>#N/A</v>
      </c>
      <c r="C55" s="34" cm="1">
        <f t="array" ref="C55">INDEX('Model Data'!$F:$F,MATCH(1,(CONCATENATE(C$52,"_TM152_",C$51)='Model Data'!$D:$D)*($F55='Model Data'!$E:$E),0))</f>
        <v>4834513</v>
      </c>
      <c r="D55" s="34" cm="1">
        <f t="array" ref="D55">INDEX('Model Data'!$F:$F,MATCH(1,(CONCATENATE(D$52,"_TM152_",D$51)='Model Data'!$D:$D)*($F55='Model Data'!$E:$E),0))</f>
        <v>5408460</v>
      </c>
      <c r="E55" s="34" t="e" cm="1">
        <f t="array" ref="E55">INDEX('Model Data'!$F:$F,MATCH(1,(CONCATENATE(E$52,"_TM152_",E$51)='Model Data'!$D:$D)*($F55='Model Data'!$E:$E),0))</f>
        <v>#N/A</v>
      </c>
      <c r="F55" s="84" t="str">
        <f>F$30</f>
        <v>total_jobs</v>
      </c>
      <c r="G55" s="98"/>
    </row>
    <row r="56" spans="1:7" x14ac:dyDescent="0.2">
      <c r="A56" s="37" t="s">
        <v>47</v>
      </c>
      <c r="B56" s="38" t="e" cm="1">
        <f t="array" ref="B56">INDEX('Model Data'!$F:$F,MATCH(1,(CONCATENATE(B$52,"_TM152_",B$51)='Model Data'!$D:$D)*($F56='Model Data'!$E:$E),0))</f>
        <v>#N/A</v>
      </c>
      <c r="C56" s="38" cm="1">
        <f t="array" ref="C56">INDEX('Model Data'!$F:$F,MATCH(1,(CONCATENATE(C$52,"_TM152_",C$51)='Model Data'!$D:$D)*($F56='Model Data'!$E:$E),0))</f>
        <v>6.2021666222291501</v>
      </c>
      <c r="D56" s="38" cm="1">
        <f t="array" ref="D56">INDEX('Model Data'!$F:$F,MATCH(1,(CONCATENATE(D$52,"_TM152_",D$51)='Model Data'!$D:$D)*($F56='Model Data'!$E:$E),0))</f>
        <v>5.7998308343109199</v>
      </c>
      <c r="E56" s="38" t="e" cm="1">
        <f t="array" ref="E56">INDEX('Model Data'!$F:$F,MATCH(1,(CONCATENATE(E$52,"_TM152_",E$51)='Model Data'!$D:$D)*($F56='Model Data'!$E:$E),0))</f>
        <v>#N/A</v>
      </c>
      <c r="F56" s="84" t="str">
        <f>F$31</f>
        <v>avg_trip_length</v>
      </c>
      <c r="G56" s="98"/>
    </row>
    <row r="57" spans="1:7" x14ac:dyDescent="0.2">
      <c r="A57" s="37" t="s">
        <v>49</v>
      </c>
      <c r="B57" s="38" t="e" cm="1">
        <f t="array" ref="B57">INDEX('Model Data'!$F:$F,MATCH(1,(CONCATENATE(B$52,"_TM152_",B$51)='Model Data'!$D:$D)*($F57='Model Data'!$E:$E),0))</f>
        <v>#N/A</v>
      </c>
      <c r="C57" s="38" cm="1">
        <f t="array" ref="C57">INDEX('Model Data'!$F:$F,MATCH(1,(CONCATENATE(C$52,"_TM152_",C$51)='Model Data'!$D:$D)*($F57='Model Data'!$E:$E),0))</f>
        <v>9.9522278862686395</v>
      </c>
      <c r="D57" s="38" cm="1">
        <f t="array" ref="D57">INDEX('Model Data'!$F:$F,MATCH(1,(CONCATENATE(D$52,"_TM152_",D$51)='Model Data'!$D:$D)*($F57='Model Data'!$E:$E),0))</f>
        <v>9.6057522657338907</v>
      </c>
      <c r="E57" s="38" t="e" cm="1">
        <f t="array" ref="E57">INDEX('Model Data'!$F:$F,MATCH(1,(CONCATENATE(E$52,"_TM152_",E$51)='Model Data'!$D:$D)*($F57='Model Data'!$E:$E),0))</f>
        <v>#N/A</v>
      </c>
      <c r="F57" s="84" t="str">
        <f>F$32</f>
        <v>avg_trip_length_work_da</v>
      </c>
      <c r="G57" s="98"/>
    </row>
    <row r="58" spans="1:7" x14ac:dyDescent="0.2">
      <c r="A58" s="72" t="s">
        <v>51</v>
      </c>
      <c r="B58" s="73"/>
      <c r="C58" s="73"/>
      <c r="D58" s="74"/>
      <c r="E58" s="74"/>
      <c r="F58" s="23"/>
      <c r="G58" s="94"/>
    </row>
    <row r="59" spans="1:7" x14ac:dyDescent="0.2">
      <c r="A59" s="37" t="s">
        <v>52</v>
      </c>
      <c r="B59" s="34" t="e">
        <f t="shared" ref="B59:D60" si="7">$B$22*B54/$B$19*$B$11</f>
        <v>#N/A</v>
      </c>
      <c r="C59" s="34">
        <f t="shared" si="7"/>
        <v>695132.59105371276</v>
      </c>
      <c r="D59" s="34">
        <f t="shared" si="7"/>
        <v>804139.47623164766</v>
      </c>
      <c r="E59" s="34" t="e">
        <f t="shared" ref="E59" si="8">$B$22*E54/$B$19*$B$11</f>
        <v>#N/A</v>
      </c>
      <c r="F59" s="27"/>
      <c r="G59" s="96" t="s">
        <v>53</v>
      </c>
    </row>
    <row r="60" spans="1:7" x14ac:dyDescent="0.2">
      <c r="A60" s="37" t="s">
        <v>54</v>
      </c>
      <c r="B60" s="34" t="e">
        <f t="shared" si="7"/>
        <v>#N/A</v>
      </c>
      <c r="C60" s="34">
        <f t="shared" si="7"/>
        <v>961494.62412376073</v>
      </c>
      <c r="D60" s="34">
        <f t="shared" si="7"/>
        <v>1075641.9963682785</v>
      </c>
      <c r="E60" s="34" t="e">
        <f t="shared" ref="E60" si="9">$B$22*E55/$B$19*$B$11</f>
        <v>#N/A</v>
      </c>
      <c r="F60" s="27"/>
      <c r="G60" s="96" t="s">
        <v>55</v>
      </c>
    </row>
    <row r="61" spans="1:7" x14ac:dyDescent="0.2">
      <c r="A61" s="37" t="s">
        <v>56</v>
      </c>
      <c r="B61" s="34">
        <f>$B$5/$B$9*$B$11</f>
        <v>24501.152481385256</v>
      </c>
      <c r="C61" s="34">
        <f>$B$5/$B$9*$B$11</f>
        <v>24501.152481385256</v>
      </c>
      <c r="D61" s="34">
        <f>$B$5/$B$9*$B$11</f>
        <v>24501.152481385256</v>
      </c>
      <c r="E61" s="34">
        <f>$B$5/$B$9*$B$11</f>
        <v>24501.152481385256</v>
      </c>
      <c r="F61" s="27"/>
      <c r="G61" s="96"/>
    </row>
    <row r="62" spans="1:7" x14ac:dyDescent="0.2">
      <c r="A62" s="37" t="s">
        <v>57</v>
      </c>
      <c r="B62" s="34">
        <f>$B$6/$B$10*$B$12</f>
        <v>151978.83845025158</v>
      </c>
      <c r="C62" s="34">
        <f>$B$6/$B$10*$B$12</f>
        <v>151978.83845025158</v>
      </c>
      <c r="D62" s="34">
        <f>$B$6/$B$10*$B$12</f>
        <v>151978.83845025158</v>
      </c>
      <c r="E62" s="34">
        <f>$B$6/$B$10*$B$12</f>
        <v>151978.83845025158</v>
      </c>
      <c r="F62" s="27"/>
      <c r="G62" s="96"/>
    </row>
    <row r="63" spans="1:7" x14ac:dyDescent="0.2">
      <c r="A63" s="37" t="s">
        <v>58</v>
      </c>
      <c r="B63" s="34">
        <f>B61*$B$13*$B$15*($B$17-5)</f>
        <v>0</v>
      </c>
      <c r="C63" s="34">
        <f>C61*$B$13*$B$15*($B$17)</f>
        <v>80556.376698270527</v>
      </c>
      <c r="D63" s="34">
        <f>D61*$B$13*$B$15*($B$17)</f>
        <v>80556.376698270527</v>
      </c>
      <c r="E63" s="34">
        <f>E61*$B$13*$B$15*($B$17)</f>
        <v>80556.376698270527</v>
      </c>
      <c r="F63" s="27"/>
      <c r="G63" s="96" t="s">
        <v>59</v>
      </c>
    </row>
    <row r="64" spans="1:7" x14ac:dyDescent="0.2">
      <c r="A64" s="37" t="s">
        <v>60</v>
      </c>
      <c r="B64" s="34">
        <f>B62*$B$14*$B$16*($B$17-5)</f>
        <v>0</v>
      </c>
      <c r="C64" s="34">
        <f>C62*$B$14*$B$16*$B$17</f>
        <v>138343.85500003339</v>
      </c>
      <c r="D64" s="34">
        <f>D62*$B$14*$B$16*$B$17</f>
        <v>138343.85500003339</v>
      </c>
      <c r="E64" s="34">
        <f>E62*$B$14*$B$16*$B$17</f>
        <v>138343.85500003339</v>
      </c>
      <c r="F64" s="27"/>
      <c r="G64" s="96" t="s">
        <v>59</v>
      </c>
    </row>
    <row r="65" spans="1:7" x14ac:dyDescent="0.2">
      <c r="A65" s="37" t="s">
        <v>61</v>
      </c>
      <c r="B65" s="34">
        <f>B63+B64</f>
        <v>0</v>
      </c>
      <c r="C65" s="34">
        <f>C63+C64</f>
        <v>218900.23169830392</v>
      </c>
      <c r="D65" s="34">
        <f>D63+D64</f>
        <v>218900.23169830392</v>
      </c>
      <c r="E65" s="34">
        <f>E63+E64</f>
        <v>218900.23169830392</v>
      </c>
      <c r="F65" s="27"/>
      <c r="G65" s="96"/>
    </row>
    <row r="66" spans="1:7" x14ac:dyDescent="0.2">
      <c r="A66" s="37" t="s">
        <v>62</v>
      </c>
      <c r="B66" s="34" t="e">
        <f t="shared" ref="B66:D67" si="10">B63*B56</f>
        <v>#N/A</v>
      </c>
      <c r="C66" s="34">
        <f t="shared" si="10"/>
        <v>499624.07076573151</v>
      </c>
      <c r="D66" s="34">
        <f t="shared" si="10"/>
        <v>467213.35747499508</v>
      </c>
      <c r="E66" s="34" t="e">
        <f t="shared" ref="E66" si="11">E63*E56</f>
        <v>#N/A</v>
      </c>
      <c r="F66" s="27"/>
      <c r="G66" s="96"/>
    </row>
    <row r="67" spans="1:7" x14ac:dyDescent="0.2">
      <c r="A67" s="37" t="s">
        <v>63</v>
      </c>
      <c r="B67" s="34" t="e">
        <f t="shared" si="10"/>
        <v>#N/A</v>
      </c>
      <c r="C67" s="34">
        <f t="shared" si="10"/>
        <v>1376829.5716252376</v>
      </c>
      <c r="D67" s="34">
        <f t="shared" si="10"/>
        <v>1328896.7986169315</v>
      </c>
      <c r="E67" s="34" t="e">
        <f t="shared" ref="E67" si="12">E64*E57</f>
        <v>#N/A</v>
      </c>
      <c r="F67" s="27"/>
      <c r="G67" s="96"/>
    </row>
    <row r="68" spans="1:7" x14ac:dyDescent="0.2">
      <c r="A68" s="37" t="s">
        <v>64</v>
      </c>
      <c r="B68" s="34" t="e">
        <f>B66+B67</f>
        <v>#N/A</v>
      </c>
      <c r="C68" s="34">
        <f>C66+C67</f>
        <v>1876453.6423909692</v>
      </c>
      <c r="D68" s="34">
        <f>D66+D67</f>
        <v>1796110.1560919266</v>
      </c>
      <c r="E68" s="34" t="e">
        <f>E66+E67</f>
        <v>#N/A</v>
      </c>
      <c r="F68" s="27"/>
      <c r="G68" s="96"/>
    </row>
    <row r="69" spans="1:7" x14ac:dyDescent="0.2">
      <c r="A69" s="37" t="s">
        <v>65</v>
      </c>
      <c r="B69" s="34" t="e">
        <f>B65*INDEX('Emission Factors'!$10:$10,,MATCH(B52,'Emission Factors'!$2:$2,0))+B68*INDEX('Emission Factors'!$6:$6,,MATCH(B52,'Emission Factors'!$2:$2,0))</f>
        <v>#N/A</v>
      </c>
      <c r="C69" s="34">
        <f>C65*INDEX('Emission Factors'!$10:$10,,MATCH(C52,'Emission Factors'!$2:$2,0))+C68*INDEX('Emission Factors'!$6:$6,,MATCH(C52,'Emission Factors'!$2:$2,0))</f>
        <v>741.98244301118166</v>
      </c>
      <c r="D69" s="34">
        <f>D65*INDEX('Emission Factors'!$10:$10,,MATCH(D52,'Emission Factors'!$2:$2,0))+D68*INDEX('Emission Factors'!$6:$6,,MATCH(D52,'Emission Factors'!$2:$2,0))</f>
        <v>714.72998119091346</v>
      </c>
      <c r="E69" s="34" t="e">
        <f>E65*INDEX('Emission Factors'!$10:$10,,MATCH(E52,'Emission Factors'!$2:$2,0))+E68*INDEX('Emission Factors'!$6:$6,,MATCH(E52,'Emission Factors'!$2:$2,0))</f>
        <v>#N/A</v>
      </c>
      <c r="F69" s="28"/>
      <c r="G69" s="96"/>
    </row>
    <row r="70" spans="1:7" x14ac:dyDescent="0.2">
      <c r="A70" s="85" t="s">
        <v>66</v>
      </c>
      <c r="B70" s="86" t="e">
        <f>-(B69/'SB 375 calcs'!C$2)/('SB 375 calcs'!$B$3/'SB 375 calcs'!$B$2)</f>
        <v>#N/A</v>
      </c>
      <c r="C70" s="86">
        <f>-(C69/'SB 375 calcs'!D$2)/('SB 375 calcs'!$B$3/'SB 375 calcs'!$B$2)</f>
        <v>-9.9545381270278836E-3</v>
      </c>
      <c r="D70" s="86">
        <f>-(D69/'SB 375 calcs'!E$2)/('SB 375 calcs'!$B$3/'SB 375 calcs'!$B$2)</f>
        <v>-7.8846345336282941E-3</v>
      </c>
      <c r="E70" s="86" t="e">
        <f>-(E69/'SB 375 calcs'!F$2)/('SB 375 calcs'!$B$3/'SB 375 calcs'!$B$2)</f>
        <v>#N/A</v>
      </c>
      <c r="F70" s="29"/>
      <c r="G70" s="96"/>
    </row>
    <row r="73" spans="1:7" x14ac:dyDescent="0.2">
      <c r="A73" s="35" t="s">
        <v>73</v>
      </c>
      <c r="B73" s="36" t="s">
        <v>71</v>
      </c>
      <c r="C73" s="36" t="s">
        <v>74</v>
      </c>
      <c r="D73" s="36" t="s">
        <v>75</v>
      </c>
      <c r="E73" s="36" t="s">
        <v>75</v>
      </c>
      <c r="F73" s="70"/>
      <c r="G73" s="97"/>
    </row>
    <row r="74" spans="1:7" x14ac:dyDescent="0.2">
      <c r="A74" s="32" t="s">
        <v>40</v>
      </c>
      <c r="B74" s="32">
        <f t="shared" ref="B74:E74" si="13">B$27</f>
        <v>2020</v>
      </c>
      <c r="C74" s="32">
        <f t="shared" si="13"/>
        <v>2035</v>
      </c>
      <c r="D74" s="32">
        <f t="shared" si="13"/>
        <v>2050</v>
      </c>
      <c r="E74" s="32">
        <f t="shared" si="13"/>
        <v>2025</v>
      </c>
      <c r="F74" s="23"/>
      <c r="G74" s="94" t="s">
        <v>4</v>
      </c>
    </row>
    <row r="75" spans="1:7" x14ac:dyDescent="0.2">
      <c r="A75" s="72" t="s">
        <v>41</v>
      </c>
      <c r="B75" s="73"/>
      <c r="C75" s="73"/>
      <c r="D75" s="74"/>
      <c r="E75" s="74"/>
      <c r="F75" s="84" t="s">
        <v>42</v>
      </c>
      <c r="G75" s="94"/>
    </row>
    <row r="76" spans="1:7" x14ac:dyDescent="0.2">
      <c r="A76" s="37" t="s">
        <v>43</v>
      </c>
      <c r="B76" s="34" t="e" cm="1">
        <f t="array" ref="B76">INDEX('Model Data'!$F:$F,MATCH(1,(CONCATENATE(B$74,"_TM152_",B$73)='Model Data'!$D:$D)*($F76='Model Data'!$E:$E),0))</f>
        <v>#N/A</v>
      </c>
      <c r="C76" s="34" cm="1">
        <f t="array" ref="C76">INDEX('Model Data'!$F:$F,MATCH(1,(CONCATENATE(C$74,"_TM152_",C$73)='Model Data'!$D:$D)*($F76='Model Data'!$E:$E),0))</f>
        <v>3495212</v>
      </c>
      <c r="D76" s="34" cm="1">
        <f t="array" ref="D76">INDEX('Model Data'!$F:$F,MATCH(1,(CONCATENATE(D$74,"_TM152_",D$73)='Model Data'!$D:$D)*($F76='Model Data'!$E:$E),0))</f>
        <v>4043312</v>
      </c>
      <c r="E76" s="34" t="e" cm="1">
        <f t="array" ref="E76">INDEX('Model Data'!$F:$F,MATCH(1,(CONCATENATE(E$74,"_TM152_",E$73)='Model Data'!$D:$D)*($F76='Model Data'!$E:$E),0))</f>
        <v>#N/A</v>
      </c>
      <c r="F76" s="84" t="str">
        <f>F$29</f>
        <v>total_households</v>
      </c>
      <c r="G76" s="98"/>
    </row>
    <row r="77" spans="1:7" x14ac:dyDescent="0.2">
      <c r="A77" s="37" t="s">
        <v>45</v>
      </c>
      <c r="B77" s="34" t="e" cm="1">
        <f t="array" ref="B77">INDEX('Model Data'!$F:$F,MATCH(1,(CONCATENATE(B$74,"_TM152_",B$73)='Model Data'!$D:$D)*($F77='Model Data'!$E:$E),0))</f>
        <v>#N/A</v>
      </c>
      <c r="C77" s="34" cm="1">
        <f t="array" ref="C77">INDEX('Model Data'!$F:$F,MATCH(1,(CONCATENATE(C$74,"_TM152_",C$73)='Model Data'!$D:$D)*($F77='Model Data'!$E:$E),0))</f>
        <v>4834513</v>
      </c>
      <c r="D77" s="34" cm="1">
        <f t="array" ref="D77">INDEX('Model Data'!$F:$F,MATCH(1,(CONCATENATE(D$74,"_TM152_",D$73)='Model Data'!$D:$D)*($F77='Model Data'!$E:$E),0))</f>
        <v>5408460</v>
      </c>
      <c r="E77" s="34" t="e" cm="1">
        <f t="array" ref="E77">INDEX('Model Data'!$F:$F,MATCH(1,(CONCATENATE(E$74,"_TM152_",E$73)='Model Data'!$D:$D)*($F77='Model Data'!$E:$E),0))</f>
        <v>#N/A</v>
      </c>
      <c r="F77" s="84" t="str">
        <f>F$30</f>
        <v>total_jobs</v>
      </c>
      <c r="G77" s="98"/>
    </row>
    <row r="78" spans="1:7" x14ac:dyDescent="0.2">
      <c r="A78" s="37" t="s">
        <v>47</v>
      </c>
      <c r="B78" s="38" t="e" cm="1">
        <f t="array" ref="B78">INDEX('Model Data'!$F:$F,MATCH(1,(CONCATENATE(B$74,"_TM152_",B$73)='Model Data'!$D:$D)*($F78='Model Data'!$E:$E),0))</f>
        <v>#N/A</v>
      </c>
      <c r="C78" s="38" cm="1">
        <f t="array" ref="C78">INDEX('Model Data'!$F:$F,MATCH(1,(CONCATENATE(C$74,"_TM152_",C$73)='Model Data'!$D:$D)*($F78='Model Data'!$E:$E),0))</f>
        <v>6.1998825687262897</v>
      </c>
      <c r="D78" s="38" cm="1">
        <f t="array" ref="D78">INDEX('Model Data'!$F:$F,MATCH(1,(CONCATENATE(D$74,"_TM152_",D$73)='Model Data'!$D:$D)*($F78='Model Data'!$E:$E),0))</f>
        <v>5.9528887430061603</v>
      </c>
      <c r="E78" s="38" t="e" cm="1">
        <f t="array" ref="E78">INDEX('Model Data'!$F:$F,MATCH(1,(CONCATENATE(E$74,"_TM152_",E$73)='Model Data'!$D:$D)*($F78='Model Data'!$E:$E),0))</f>
        <v>#N/A</v>
      </c>
      <c r="F78" s="84" t="str">
        <f>F$31</f>
        <v>avg_trip_length</v>
      </c>
      <c r="G78" s="98"/>
    </row>
    <row r="79" spans="1:7" x14ac:dyDescent="0.2">
      <c r="A79" s="37" t="s">
        <v>49</v>
      </c>
      <c r="B79" s="38" t="e" cm="1">
        <f t="array" ref="B79">INDEX('Model Data'!$F:$F,MATCH(1,(CONCATENATE(B$74,"_TM152_",B$73)='Model Data'!$D:$D)*($F79='Model Data'!$E:$E),0))</f>
        <v>#N/A</v>
      </c>
      <c r="C79" s="38" cm="1">
        <f t="array" ref="C79">INDEX('Model Data'!$F:$F,MATCH(1,(CONCATENATE(C$74,"_TM152_",C$73)='Model Data'!$D:$D)*($F79='Model Data'!$E:$E),0))</f>
        <v>9.8729179049255702</v>
      </c>
      <c r="D79" s="38" cm="1">
        <f t="array" ref="D79">INDEX('Model Data'!$F:$F,MATCH(1,(CONCATENATE(D$74,"_TM152_",D$73)='Model Data'!$D:$D)*($F79='Model Data'!$E:$E),0))</f>
        <v>9.7553923010960606</v>
      </c>
      <c r="E79" s="38" t="e" cm="1">
        <f t="array" ref="E79">INDEX('Model Data'!$F:$F,MATCH(1,(CONCATENATE(E$74,"_TM152_",E$73)='Model Data'!$D:$D)*($F79='Model Data'!$E:$E),0))</f>
        <v>#N/A</v>
      </c>
      <c r="F79" s="84" t="str">
        <f>F$32</f>
        <v>avg_trip_length_work_da</v>
      </c>
      <c r="G79" s="98"/>
    </row>
    <row r="80" spans="1:7" x14ac:dyDescent="0.2">
      <c r="A80" s="72" t="s">
        <v>51</v>
      </c>
      <c r="B80" s="73"/>
      <c r="C80" s="73"/>
      <c r="D80" s="74"/>
      <c r="E80" s="74"/>
      <c r="F80" s="23"/>
      <c r="G80" s="94"/>
    </row>
    <row r="81" spans="1:7" x14ac:dyDescent="0.2">
      <c r="A81" s="37" t="s">
        <v>52</v>
      </c>
      <c r="B81" s="34" t="e">
        <f t="shared" ref="B81:D82" si="14">$B$22*B76/$B$19*$B$11</f>
        <v>#N/A</v>
      </c>
      <c r="C81" s="34">
        <f t="shared" si="14"/>
        <v>695132.59105371276</v>
      </c>
      <c r="D81" s="34">
        <f t="shared" si="14"/>
        <v>804139.47623164766</v>
      </c>
      <c r="E81" s="34" t="e">
        <f t="shared" ref="E81" si="15">$B$22*E76/$B$19*$B$11</f>
        <v>#N/A</v>
      </c>
      <c r="F81" s="27"/>
      <c r="G81" s="96" t="s">
        <v>53</v>
      </c>
    </row>
    <row r="82" spans="1:7" x14ac:dyDescent="0.2">
      <c r="A82" s="37" t="s">
        <v>54</v>
      </c>
      <c r="B82" s="34" t="e">
        <f t="shared" si="14"/>
        <v>#N/A</v>
      </c>
      <c r="C82" s="34">
        <f t="shared" si="14"/>
        <v>961494.62412376073</v>
      </c>
      <c r="D82" s="34">
        <f t="shared" si="14"/>
        <v>1075641.9963682785</v>
      </c>
      <c r="E82" s="34" t="e">
        <f t="shared" ref="E82" si="16">$B$22*E77/$B$19*$B$11</f>
        <v>#N/A</v>
      </c>
      <c r="F82" s="27"/>
      <c r="G82" s="96" t="s">
        <v>55</v>
      </c>
    </row>
    <row r="83" spans="1:7" x14ac:dyDescent="0.2">
      <c r="A83" s="37" t="s">
        <v>56</v>
      </c>
      <c r="B83" s="34">
        <f>$B$5/$B$9*$B$11</f>
        <v>24501.152481385256</v>
      </c>
      <c r="C83" s="34">
        <f>$B$5/$B$9*$B$11</f>
        <v>24501.152481385256</v>
      </c>
      <c r="D83" s="34">
        <f>$B$5/$B$9*$B$11</f>
        <v>24501.152481385256</v>
      </c>
      <c r="E83" s="34">
        <f>$B$5/$B$9*$B$11</f>
        <v>24501.152481385256</v>
      </c>
      <c r="F83" s="27"/>
      <c r="G83" s="96"/>
    </row>
    <row r="84" spans="1:7" x14ac:dyDescent="0.2">
      <c r="A84" s="37" t="s">
        <v>57</v>
      </c>
      <c r="B84" s="34">
        <f>$B$6/$B$10*$B$12</f>
        <v>151978.83845025158</v>
      </c>
      <c r="C84" s="34">
        <f>$B$6/$B$10*$B$12</f>
        <v>151978.83845025158</v>
      </c>
      <c r="D84" s="34">
        <f>$B$6/$B$10*$B$12</f>
        <v>151978.83845025158</v>
      </c>
      <c r="E84" s="34">
        <f>$B$6/$B$10*$B$12</f>
        <v>151978.83845025158</v>
      </c>
      <c r="F84" s="27"/>
      <c r="G84" s="96"/>
    </row>
    <row r="85" spans="1:7" x14ac:dyDescent="0.2">
      <c r="A85" s="37" t="s">
        <v>58</v>
      </c>
      <c r="B85" s="34">
        <f>B83*$B$13*$B$15*($B$17-5)</f>
        <v>0</v>
      </c>
      <c r="C85" s="34">
        <f>C83*$B$13*$B$15*($B$17)</f>
        <v>80556.376698270527</v>
      </c>
      <c r="D85" s="34">
        <f>D83*$B$13*$B$15*($B$17)</f>
        <v>80556.376698270527</v>
      </c>
      <c r="E85" s="34">
        <f>E83*$B$13*$B$15*($B$17)</f>
        <v>80556.376698270527</v>
      </c>
      <c r="F85" s="27"/>
      <c r="G85" s="96" t="s">
        <v>59</v>
      </c>
    </row>
    <row r="86" spans="1:7" x14ac:dyDescent="0.2">
      <c r="A86" s="37" t="s">
        <v>60</v>
      </c>
      <c r="B86" s="34">
        <f>B84*$B$14*$B$16*($B$17-5)</f>
        <v>0</v>
      </c>
      <c r="C86" s="34">
        <f>C84*$B$14*$B$16*$B$17</f>
        <v>138343.85500003339</v>
      </c>
      <c r="D86" s="34">
        <f>D84*$B$14*$B$16*$B$17</f>
        <v>138343.85500003339</v>
      </c>
      <c r="E86" s="34">
        <f>E84*$B$14*$B$16*$B$17</f>
        <v>138343.85500003339</v>
      </c>
      <c r="F86" s="27"/>
      <c r="G86" s="96" t="s">
        <v>59</v>
      </c>
    </row>
    <row r="87" spans="1:7" x14ac:dyDescent="0.2">
      <c r="A87" s="37" t="s">
        <v>61</v>
      </c>
      <c r="B87" s="34">
        <f>B85+B86</f>
        <v>0</v>
      </c>
      <c r="C87" s="34">
        <f>C85+C86</f>
        <v>218900.23169830392</v>
      </c>
      <c r="D87" s="34">
        <f>D85+D86</f>
        <v>218900.23169830392</v>
      </c>
      <c r="E87" s="34">
        <f>E85+E86</f>
        <v>218900.23169830392</v>
      </c>
      <c r="F87" s="27"/>
      <c r="G87" s="96"/>
    </row>
    <row r="88" spans="1:7" x14ac:dyDescent="0.2">
      <c r="A88" s="37" t="s">
        <v>62</v>
      </c>
      <c r="B88" s="34" t="e">
        <f t="shared" ref="B88:D89" si="17">B85*B78</f>
        <v>#N/A</v>
      </c>
      <c r="C88" s="34">
        <f t="shared" si="17"/>
        <v>499440.07569135609</v>
      </c>
      <c r="D88" s="34">
        <f t="shared" si="17"/>
        <v>479543.14802449837</v>
      </c>
      <c r="E88" s="34" t="e">
        <f t="shared" ref="E88" si="18">E85*E78</f>
        <v>#N/A</v>
      </c>
      <c r="F88" s="27"/>
      <c r="G88" s="96"/>
    </row>
    <row r="89" spans="1:7" x14ac:dyDescent="0.2">
      <c r="A89" s="37" t="s">
        <v>63</v>
      </c>
      <c r="B89" s="34" t="e">
        <f t="shared" si="17"/>
        <v>#N/A</v>
      </c>
      <c r="C89" s="34">
        <f t="shared" si="17"/>
        <v>1365857.5230662567</v>
      </c>
      <c r="D89" s="34">
        <f t="shared" si="17"/>
        <v>1349598.5779712754</v>
      </c>
      <c r="E89" s="34" t="e">
        <f t="shared" ref="E89" si="19">E86*E79</f>
        <v>#N/A</v>
      </c>
      <c r="F89" s="27"/>
      <c r="G89" s="96"/>
    </row>
    <row r="90" spans="1:7" x14ac:dyDescent="0.2">
      <c r="A90" s="37" t="s">
        <v>64</v>
      </c>
      <c r="B90" s="34" t="e">
        <f>B88+B89</f>
        <v>#N/A</v>
      </c>
      <c r="C90" s="34">
        <f>C88+C89</f>
        <v>1865297.5987576128</v>
      </c>
      <c r="D90" s="34">
        <f>D88+D89</f>
        <v>1829141.7259957739</v>
      </c>
      <c r="E90" s="34" t="e">
        <f>E88+E89</f>
        <v>#N/A</v>
      </c>
      <c r="F90" s="27"/>
      <c r="G90" s="96"/>
    </row>
    <row r="91" spans="1:7" x14ac:dyDescent="0.2">
      <c r="A91" s="37" t="s">
        <v>65</v>
      </c>
      <c r="B91" s="34" t="e">
        <f>B87*INDEX('Emission Factors'!$10:$10,,MATCH(B74,'Emission Factors'!$2:$2,0))+B90*INDEX('Emission Factors'!$6:$6,,MATCH(B74,'Emission Factors'!$2:$2,0))</f>
        <v>#N/A</v>
      </c>
      <c r="C91" s="34">
        <f>C87*INDEX('Emission Factors'!$10:$10,,MATCH(C74,'Emission Factors'!$2:$2,0))+C90*INDEX('Emission Factors'!$6:$6,,MATCH(C74,'Emission Factors'!$2:$2,0))</f>
        <v>737.68736621233938</v>
      </c>
      <c r="D91" s="34">
        <f>D87*INDEX('Emission Factors'!$10:$10,,MATCH(D74,'Emission Factors'!$2:$2,0))+D90*INDEX('Emission Factors'!$6:$6,,MATCH(D74,'Emission Factors'!$2:$2,0))</f>
        <v>727.51319874370233</v>
      </c>
      <c r="E91" s="34" t="e">
        <f>E87*INDEX('Emission Factors'!$10:$10,,MATCH(E74,'Emission Factors'!$2:$2,0))+E90*INDEX('Emission Factors'!$6:$6,,MATCH(E74,'Emission Factors'!$2:$2,0))</f>
        <v>#N/A</v>
      </c>
      <c r="F91" s="28"/>
      <c r="G91" s="96"/>
    </row>
    <row r="92" spans="1:7" x14ac:dyDescent="0.2">
      <c r="A92" s="85" t="s">
        <v>66</v>
      </c>
      <c r="B92" s="86" t="e">
        <f>-(B91/'SB 375 calcs'!C$2)/('SB 375 calcs'!$B$3/'SB 375 calcs'!$B$2)</f>
        <v>#N/A</v>
      </c>
      <c r="C92" s="86">
        <f>-(C91/'SB 375 calcs'!D$2)/('SB 375 calcs'!$B$3/'SB 375 calcs'!$B$2)</f>
        <v>-9.8969147881533496E-3</v>
      </c>
      <c r="D92" s="86">
        <f>-(D91/'SB 375 calcs'!E$2)/('SB 375 calcs'!$B$3/'SB 375 calcs'!$B$2)</f>
        <v>-8.0256542210907673E-3</v>
      </c>
      <c r="E92" s="86" t="e">
        <f>-(E91/'SB 375 calcs'!F$2)/('SB 375 calcs'!$B$3/'SB 375 calcs'!$B$2)</f>
        <v>#N/A</v>
      </c>
      <c r="F92" s="29"/>
      <c r="G92" s="96"/>
    </row>
    <row r="95" spans="1:7" x14ac:dyDescent="0.2">
      <c r="A95" s="35" t="s">
        <v>76</v>
      </c>
      <c r="B95" s="36" t="s">
        <v>71</v>
      </c>
      <c r="C95" s="36" t="s">
        <v>77</v>
      </c>
      <c r="D95" s="36" t="s">
        <v>78</v>
      </c>
      <c r="E95" s="36" t="s">
        <v>78</v>
      </c>
      <c r="F95" s="70"/>
      <c r="G95" s="97"/>
    </row>
    <row r="96" spans="1:7" x14ac:dyDescent="0.2">
      <c r="A96" s="32" t="s">
        <v>40</v>
      </c>
      <c r="B96" s="32">
        <f t="shared" ref="B96:E96" si="20">B$27</f>
        <v>2020</v>
      </c>
      <c r="C96" s="32">
        <f t="shared" si="20"/>
        <v>2035</v>
      </c>
      <c r="D96" s="32">
        <f t="shared" si="20"/>
        <v>2050</v>
      </c>
      <c r="E96" s="32">
        <f t="shared" si="20"/>
        <v>2025</v>
      </c>
      <c r="F96" s="23"/>
      <c r="G96" s="94" t="s">
        <v>4</v>
      </c>
    </row>
    <row r="97" spans="1:7" x14ac:dyDescent="0.2">
      <c r="A97" s="72" t="s">
        <v>41</v>
      </c>
      <c r="B97" s="73"/>
      <c r="C97" s="73"/>
      <c r="D97" s="74"/>
      <c r="E97" s="74"/>
      <c r="F97" s="84" t="s">
        <v>42</v>
      </c>
      <c r="G97" s="94"/>
    </row>
    <row r="98" spans="1:7" x14ac:dyDescent="0.2">
      <c r="A98" s="37" t="s">
        <v>43</v>
      </c>
      <c r="B98" s="34" t="e" cm="1">
        <f t="array" ref="B98">INDEX('Model Data'!$F:$F,MATCH(1,(CONCATENATE(B$96,"_TM152_",B$95)='Model Data'!$D:$D)*($F98='Model Data'!$E:$E),0))</f>
        <v>#N/A</v>
      </c>
      <c r="C98" s="34" cm="1">
        <f t="array" ref="C98">INDEX('Model Data'!$F:$F,MATCH(1,(CONCATENATE(C$96,"_TM152_",C$95)='Model Data'!$D:$D)*($F98='Model Data'!$E:$E),0))</f>
        <v>3495212</v>
      </c>
      <c r="D98" s="34" cm="1">
        <f t="array" ref="D98">INDEX('Model Data'!$F:$F,MATCH(1,(CONCATENATE(D$96,"_TM152_",D$95)='Model Data'!$D:$D)*($F98='Model Data'!$E:$E),0))</f>
        <v>4043312</v>
      </c>
      <c r="E98" s="34" t="e" cm="1">
        <f t="array" ref="E98">INDEX('Model Data'!$F:$F,MATCH(1,(CONCATENATE(E$96,"_TM152_",E$95)='Model Data'!$D:$D)*($F98='Model Data'!$E:$E),0))</f>
        <v>#N/A</v>
      </c>
      <c r="F98" s="84" t="str">
        <f>F$29</f>
        <v>total_households</v>
      </c>
      <c r="G98" s="98"/>
    </row>
    <row r="99" spans="1:7" x14ac:dyDescent="0.2">
      <c r="A99" s="37" t="s">
        <v>45</v>
      </c>
      <c r="B99" s="34" t="e" cm="1">
        <f t="array" ref="B99">INDEX('Model Data'!$F:$F,MATCH(1,(CONCATENATE(B$96,"_TM152_",B$95)='Model Data'!$D:$D)*($F99='Model Data'!$E:$E),0))</f>
        <v>#N/A</v>
      </c>
      <c r="C99" s="34" cm="1">
        <f t="array" ref="C99">INDEX('Model Data'!$F:$F,MATCH(1,(CONCATENATE(C$96,"_TM152_",C$95)='Model Data'!$D:$D)*($F99='Model Data'!$E:$E),0))</f>
        <v>4834513</v>
      </c>
      <c r="D99" s="34" cm="1">
        <f t="array" ref="D99">INDEX('Model Data'!$F:$F,MATCH(1,(CONCATENATE(D$96,"_TM152_",D$95)='Model Data'!$D:$D)*($F99='Model Data'!$E:$E),0))</f>
        <v>5408460</v>
      </c>
      <c r="E99" s="34" t="e" cm="1">
        <f t="array" ref="E99">INDEX('Model Data'!$F:$F,MATCH(1,(CONCATENATE(E$96,"_TM152_",E$95)='Model Data'!$D:$D)*($F99='Model Data'!$E:$E),0))</f>
        <v>#N/A</v>
      </c>
      <c r="F99" s="84" t="str">
        <f>F$30</f>
        <v>total_jobs</v>
      </c>
      <c r="G99" s="98"/>
    </row>
    <row r="100" spans="1:7" x14ac:dyDescent="0.2">
      <c r="A100" s="37" t="s">
        <v>47</v>
      </c>
      <c r="B100" s="38" t="e" cm="1">
        <f t="array" ref="B100">INDEX('Model Data'!$F:$F,MATCH(1,(CONCATENATE(B$96,"_TM152_",B$95)='Model Data'!$D:$D)*($F100='Model Data'!$E:$E),0))</f>
        <v>#N/A</v>
      </c>
      <c r="C100" s="38" cm="1">
        <f t="array" ref="C100">INDEX('Model Data'!$F:$F,MATCH(1,(CONCATENATE(C$96,"_TM152_",C$95)='Model Data'!$D:$D)*($F100='Model Data'!$E:$E),0))</f>
        <v>6.1541204597507999</v>
      </c>
      <c r="D100" s="38" cm="1">
        <f t="array" ref="D100">INDEX('Model Data'!$F:$F,MATCH(1,(CONCATENATE(D$96,"_TM152_",D$95)='Model Data'!$D:$D)*($F100='Model Data'!$E:$E),0))</f>
        <v>5.7903472607508304</v>
      </c>
      <c r="E100" s="38" t="e" cm="1">
        <f t="array" ref="E100">INDEX('Model Data'!$F:$F,MATCH(1,(CONCATENATE(E$96,"_TM152_",E$95)='Model Data'!$D:$D)*($F100='Model Data'!$E:$E),0))</f>
        <v>#N/A</v>
      </c>
      <c r="F100" s="84" t="str">
        <f>F$31</f>
        <v>avg_trip_length</v>
      </c>
      <c r="G100" s="98"/>
    </row>
    <row r="101" spans="1:7" x14ac:dyDescent="0.2">
      <c r="A101" s="37" t="s">
        <v>49</v>
      </c>
      <c r="B101" s="38" t="e" cm="1">
        <f t="array" ref="B101">INDEX('Model Data'!$F:$F,MATCH(1,(CONCATENATE(B$96,"_TM152_",B$95)='Model Data'!$D:$D)*($F101='Model Data'!$E:$E),0))</f>
        <v>#N/A</v>
      </c>
      <c r="C101" s="38" cm="1">
        <f t="array" ref="C101">INDEX('Model Data'!$F:$F,MATCH(1,(CONCATENATE(C$96,"_TM152_",C$95)='Model Data'!$D:$D)*($F101='Model Data'!$E:$E),0))</f>
        <v>9.9599562133018296</v>
      </c>
      <c r="D101" s="38" cm="1">
        <f t="array" ref="D101">INDEX('Model Data'!$F:$F,MATCH(1,(CONCATENATE(D$96,"_TM152_",D$95)='Model Data'!$D:$D)*($F101='Model Data'!$E:$E),0))</f>
        <v>9.7400160136244391</v>
      </c>
      <c r="E101" s="38" t="e" cm="1">
        <f t="array" ref="E101">INDEX('Model Data'!$F:$F,MATCH(1,(CONCATENATE(E$96,"_TM152_",E$95)='Model Data'!$D:$D)*($F101='Model Data'!$E:$E),0))</f>
        <v>#N/A</v>
      </c>
      <c r="F101" s="84" t="str">
        <f>F$32</f>
        <v>avg_trip_length_work_da</v>
      </c>
      <c r="G101" s="98"/>
    </row>
    <row r="102" spans="1:7" x14ac:dyDescent="0.2">
      <c r="A102" s="72" t="s">
        <v>51</v>
      </c>
      <c r="B102" s="73"/>
      <c r="C102" s="73"/>
      <c r="D102" s="74"/>
      <c r="E102" s="74"/>
      <c r="F102" s="23"/>
      <c r="G102" s="94"/>
    </row>
    <row r="103" spans="1:7" x14ac:dyDescent="0.2">
      <c r="A103" s="37" t="s">
        <v>52</v>
      </c>
      <c r="B103" s="34" t="e">
        <f t="shared" ref="B103:D104" si="21">$B$22*B98/$B$19*$B$11</f>
        <v>#N/A</v>
      </c>
      <c r="C103" s="34">
        <f t="shared" si="21"/>
        <v>695132.59105371276</v>
      </c>
      <c r="D103" s="34">
        <f t="shared" si="21"/>
        <v>804139.47623164766</v>
      </c>
      <c r="E103" s="34" t="e">
        <f t="shared" ref="E103" si="22">$B$22*E98/$B$19*$B$11</f>
        <v>#N/A</v>
      </c>
      <c r="F103" s="27"/>
      <c r="G103" s="96" t="s">
        <v>53</v>
      </c>
    </row>
    <row r="104" spans="1:7" x14ac:dyDescent="0.2">
      <c r="A104" s="37" t="s">
        <v>54</v>
      </c>
      <c r="B104" s="34" t="e">
        <f t="shared" si="21"/>
        <v>#N/A</v>
      </c>
      <c r="C104" s="34">
        <f t="shared" si="21"/>
        <v>961494.62412376073</v>
      </c>
      <c r="D104" s="34">
        <f t="shared" si="21"/>
        <v>1075641.9963682785</v>
      </c>
      <c r="E104" s="34" t="e">
        <f t="shared" ref="E104" si="23">$B$22*E99/$B$19*$B$11</f>
        <v>#N/A</v>
      </c>
      <c r="F104" s="27"/>
      <c r="G104" s="96" t="s">
        <v>55</v>
      </c>
    </row>
    <row r="105" spans="1:7" x14ac:dyDescent="0.2">
      <c r="A105" s="37" t="s">
        <v>56</v>
      </c>
      <c r="B105" s="34">
        <f>$B$5/$B$9*$B$11</f>
        <v>24501.152481385256</v>
      </c>
      <c r="C105" s="34">
        <f>$B$5/$B$9*$B$11</f>
        <v>24501.152481385256</v>
      </c>
      <c r="D105" s="34">
        <f>$B$5/$B$9*$B$11</f>
        <v>24501.152481385256</v>
      </c>
      <c r="E105" s="34">
        <f>$B$5/$B$9*$B$11</f>
        <v>24501.152481385256</v>
      </c>
      <c r="F105" s="27"/>
      <c r="G105" s="96"/>
    </row>
    <row r="106" spans="1:7" x14ac:dyDescent="0.2">
      <c r="A106" s="37" t="s">
        <v>57</v>
      </c>
      <c r="B106" s="34">
        <f>$B$6/$B$10*$B$12</f>
        <v>151978.83845025158</v>
      </c>
      <c r="C106" s="34">
        <f>$B$6/$B$10*$B$12</f>
        <v>151978.83845025158</v>
      </c>
      <c r="D106" s="34">
        <f>$B$6/$B$10*$B$12</f>
        <v>151978.83845025158</v>
      </c>
      <c r="E106" s="34">
        <f>$B$6/$B$10*$B$12</f>
        <v>151978.83845025158</v>
      </c>
      <c r="F106" s="27"/>
      <c r="G106" s="96"/>
    </row>
    <row r="107" spans="1:7" x14ac:dyDescent="0.2">
      <c r="A107" s="37" t="s">
        <v>58</v>
      </c>
      <c r="B107" s="34">
        <f>B105*$B$13*$B$15*($B$17-2)</f>
        <v>48333.826018962311</v>
      </c>
      <c r="C107" s="34">
        <f>C105*$B$13*$B$15*($B$17)</f>
        <v>80556.376698270527</v>
      </c>
      <c r="D107" s="34">
        <f>D105*$B$13*$B$15*($B$17)</f>
        <v>80556.376698270527</v>
      </c>
      <c r="E107" s="34">
        <f>E105*$B$13*$B$15*($B$17)</f>
        <v>80556.376698270527</v>
      </c>
      <c r="F107" s="27"/>
      <c r="G107" s="96" t="s">
        <v>79</v>
      </c>
    </row>
    <row r="108" spans="1:7" x14ac:dyDescent="0.2">
      <c r="A108" s="37" t="s">
        <v>60</v>
      </c>
      <c r="B108" s="34">
        <f>B106*$B$14*$B$16*($B$17-2)</f>
        <v>83006.313000020047</v>
      </c>
      <c r="C108" s="34">
        <f>C106*$B$14*$B$16*$B$17</f>
        <v>138343.85500003339</v>
      </c>
      <c r="D108" s="34">
        <f>D106*$B$14*$B$16*$B$17</f>
        <v>138343.85500003339</v>
      </c>
      <c r="E108" s="34">
        <f>E106*$B$14*$B$16*$B$17</f>
        <v>138343.85500003339</v>
      </c>
      <c r="F108" s="27"/>
      <c r="G108" s="96" t="s">
        <v>79</v>
      </c>
    </row>
    <row r="109" spans="1:7" x14ac:dyDescent="0.2">
      <c r="A109" s="37" t="s">
        <v>61</v>
      </c>
      <c r="B109" s="34">
        <f>B107+B108</f>
        <v>131340.13901898236</v>
      </c>
      <c r="C109" s="34">
        <f>C107+C108</f>
        <v>218900.23169830392</v>
      </c>
      <c r="D109" s="34">
        <f>D107+D108</f>
        <v>218900.23169830392</v>
      </c>
      <c r="E109" s="34">
        <f>E107+E108</f>
        <v>218900.23169830392</v>
      </c>
      <c r="F109" s="27"/>
      <c r="G109" s="96"/>
    </row>
    <row r="110" spans="1:7" x14ac:dyDescent="0.2">
      <c r="A110" s="37" t="s">
        <v>62</v>
      </c>
      <c r="B110" s="34" t="e">
        <f t="shared" ref="B110:D110" si="24">B107*B100</f>
        <v>#N/A</v>
      </c>
      <c r="C110" s="34">
        <f t="shared" si="24"/>
        <v>495753.64600221923</v>
      </c>
      <c r="D110" s="34">
        <f t="shared" si="24"/>
        <v>466449.39515084279</v>
      </c>
      <c r="E110" s="34" t="e">
        <f t="shared" ref="E110" si="25">E107*E100</f>
        <v>#N/A</v>
      </c>
      <c r="F110" s="27"/>
      <c r="G110" s="96"/>
    </row>
    <row r="111" spans="1:7" x14ac:dyDescent="0.2">
      <c r="A111" s="37" t="s">
        <v>63</v>
      </c>
      <c r="B111" s="34" t="e">
        <f t="shared" ref="B111:D111" si="26">B108*B101</f>
        <v>#N/A</v>
      </c>
      <c r="C111" s="34">
        <f t="shared" si="26"/>
        <v>1377898.73817971</v>
      </c>
      <c r="D111" s="34">
        <f t="shared" si="26"/>
        <v>1347471.3630868627</v>
      </c>
      <c r="E111" s="34" t="e">
        <f t="shared" ref="E111" si="27">E108*E101</f>
        <v>#N/A</v>
      </c>
      <c r="F111" s="27"/>
      <c r="G111" s="96"/>
    </row>
    <row r="112" spans="1:7" x14ac:dyDescent="0.2">
      <c r="A112" s="37" t="s">
        <v>64</v>
      </c>
      <c r="B112" s="34" t="e">
        <f>B110+B111</f>
        <v>#N/A</v>
      </c>
      <c r="C112" s="34">
        <f>C110+C111</f>
        <v>1873652.3841819293</v>
      </c>
      <c r="D112" s="34">
        <f>D110+D111</f>
        <v>1813920.7582377056</v>
      </c>
      <c r="E112" s="34" t="e">
        <f>E110+E111</f>
        <v>#N/A</v>
      </c>
      <c r="F112" s="27"/>
      <c r="G112" s="96"/>
    </row>
    <row r="113" spans="1:7" x14ac:dyDescent="0.2">
      <c r="A113" s="37" t="s">
        <v>65</v>
      </c>
      <c r="B113" s="34" t="e">
        <f>B109*INDEX('Emission Factors'!$10:$10,,MATCH(B96,'Emission Factors'!$2:$2,0))+B112*INDEX('Emission Factors'!$6:$6,,MATCH(B96,'Emission Factors'!$2:$2,0))</f>
        <v>#N/A</v>
      </c>
      <c r="C113" s="34">
        <f>C109*INDEX('Emission Factors'!$10:$10,,MATCH(C96,'Emission Factors'!$2:$2,0))+C112*INDEX('Emission Factors'!$6:$6,,MATCH(C96,'Emission Factors'!$2:$2,0))</f>
        <v>740.90395860070123</v>
      </c>
      <c r="D113" s="34">
        <f>D109*INDEX('Emission Factors'!$10:$10,,MATCH(D96,'Emission Factors'!$2:$2,0))+D112*INDEX('Emission Factors'!$6:$6,,MATCH(D96,'Emission Factors'!$2:$2,0))</f>
        <v>721.62268422132991</v>
      </c>
      <c r="E113" s="34" t="e">
        <f>E109*INDEX('Emission Factors'!$10:$10,,MATCH(E96,'Emission Factors'!$2:$2,0))+E112*INDEX('Emission Factors'!$6:$6,,MATCH(E96,'Emission Factors'!$2:$2,0))</f>
        <v>#N/A</v>
      </c>
      <c r="F113" s="28"/>
      <c r="G113" s="96"/>
    </row>
    <row r="114" spans="1:7" x14ac:dyDescent="0.2">
      <c r="A114" s="85" t="s">
        <v>66</v>
      </c>
      <c r="B114" s="86" t="e">
        <f>-(B113/'SB 375 calcs'!C$2)/('SB 375 calcs'!$B$3/'SB 375 calcs'!$B$2)</f>
        <v>#N/A</v>
      </c>
      <c r="C114" s="86">
        <f>-(C113/'SB 375 calcs'!D$2)/('SB 375 calcs'!$B$3/'SB 375 calcs'!$B$2)</f>
        <v>-9.9400690323954519E-3</v>
      </c>
      <c r="D114" s="86">
        <f>-(D113/'SB 375 calcs'!E$2)/('SB 375 calcs'!$B$3/'SB 375 calcs'!$B$2)</f>
        <v>-7.9606722622445076E-3</v>
      </c>
      <c r="E114" s="86" t="e">
        <f>-(E113/'SB 375 calcs'!F$2)/('SB 375 calcs'!$B$3/'SB 375 calcs'!$B$2)</f>
        <v>#N/A</v>
      </c>
      <c r="F114" s="29"/>
      <c r="G114" s="96"/>
    </row>
    <row r="117" spans="1:7" x14ac:dyDescent="0.2">
      <c r="A117" s="35" t="s">
        <v>80</v>
      </c>
      <c r="B117" s="36" t="s">
        <v>71</v>
      </c>
      <c r="C117" s="36" t="s">
        <v>81</v>
      </c>
      <c r="D117" s="36" t="s">
        <v>82</v>
      </c>
      <c r="E117" s="36" t="s">
        <v>82</v>
      </c>
      <c r="F117" s="70"/>
      <c r="G117" s="97"/>
    </row>
    <row r="118" spans="1:7" x14ac:dyDescent="0.2">
      <c r="A118" s="32" t="s">
        <v>40</v>
      </c>
      <c r="B118" s="32">
        <f t="shared" ref="B118:E118" si="28">B$27</f>
        <v>2020</v>
      </c>
      <c r="C118" s="32">
        <f t="shared" si="28"/>
        <v>2035</v>
      </c>
      <c r="D118" s="32">
        <f t="shared" si="28"/>
        <v>2050</v>
      </c>
      <c r="E118" s="32">
        <f t="shared" si="28"/>
        <v>2025</v>
      </c>
      <c r="F118" s="23"/>
      <c r="G118" s="94" t="s">
        <v>4</v>
      </c>
    </row>
    <row r="119" spans="1:7" x14ac:dyDescent="0.2">
      <c r="A119" s="72" t="s">
        <v>41</v>
      </c>
      <c r="B119" s="73"/>
      <c r="C119" s="73"/>
      <c r="D119" s="74"/>
      <c r="E119" s="74"/>
      <c r="F119" s="84" t="s">
        <v>42</v>
      </c>
      <c r="G119" s="94"/>
    </row>
    <row r="120" spans="1:7" x14ac:dyDescent="0.2">
      <c r="A120" s="37" t="s">
        <v>43</v>
      </c>
      <c r="B120" s="34" t="e" cm="1">
        <f t="array" ref="B120">INDEX('Model Data'!$F:$F,MATCH(1,(CONCATENATE(B$118,"_TM152_",B$117)='Model Data'!$D:$D)*($F120='Model Data'!$E:$E),0))</f>
        <v>#N/A</v>
      </c>
      <c r="C120" s="34" cm="1">
        <f t="array" ref="C120">INDEX('Model Data'!$F:$F,MATCH(1,(CONCATENATE(C$118,"_TM152_",C$117)='Model Data'!$D:$D)*($F120='Model Data'!$E:$E),0))</f>
        <v>3495195</v>
      </c>
      <c r="D120" s="34" t="e" cm="1">
        <f t="array" ref="D120">INDEX('Model Data'!$F:$F,MATCH(1,(CONCATENATE(D$118,"_TM152_",D$117)='Model Data'!$D:$D)*($F120='Model Data'!$E:$E),0))</f>
        <v>#N/A</v>
      </c>
      <c r="E120" s="34" t="e" cm="1">
        <f t="array" ref="E120">INDEX('Model Data'!$F:$F,MATCH(1,(CONCATENATE(E$118,"_TM152_",E$117)='Model Data'!$D:$D)*($F120='Model Data'!$E:$E),0))</f>
        <v>#N/A</v>
      </c>
      <c r="F120" s="84" t="str">
        <f>F$29</f>
        <v>total_households</v>
      </c>
      <c r="G120" s="98"/>
    </row>
    <row r="121" spans="1:7" x14ac:dyDescent="0.2">
      <c r="A121" s="37" t="s">
        <v>45</v>
      </c>
      <c r="B121" s="34" t="e" cm="1">
        <f t="array" ref="B121">INDEX('Model Data'!$F:$F,MATCH(1,(CONCATENATE(B$118,"_TM152_",B$117)='Model Data'!$D:$D)*($F121='Model Data'!$E:$E),0))</f>
        <v>#N/A</v>
      </c>
      <c r="C121" s="34" cm="1">
        <f t="array" ref="C121">INDEX('Model Data'!$F:$F,MATCH(1,(CONCATENATE(C$118,"_TM152_",C$117)='Model Data'!$D:$D)*($F121='Model Data'!$E:$E),0))</f>
        <v>4834443</v>
      </c>
      <c r="D121" s="34" t="e" cm="1">
        <f t="array" ref="D121">INDEX('Model Data'!$F:$F,MATCH(1,(CONCATENATE(D$118,"_TM152_",D$117)='Model Data'!$D:$D)*($F121='Model Data'!$E:$E),0))</f>
        <v>#N/A</v>
      </c>
      <c r="E121" s="34" t="e" cm="1">
        <f t="array" ref="E121">INDEX('Model Data'!$F:$F,MATCH(1,(CONCATENATE(E$118,"_TM152_",E$117)='Model Data'!$D:$D)*($F121='Model Data'!$E:$E),0))</f>
        <v>#N/A</v>
      </c>
      <c r="F121" s="84" t="str">
        <f>F$30</f>
        <v>total_jobs</v>
      </c>
      <c r="G121" s="98"/>
    </row>
    <row r="122" spans="1:7" x14ac:dyDescent="0.2">
      <c r="A122" s="37" t="s">
        <v>47</v>
      </c>
      <c r="B122" s="38" t="e" cm="1">
        <f t="array" ref="B122">INDEX('Model Data'!$F:$F,MATCH(1,(CONCATENATE(B$118,"_TM152_",B$117)='Model Data'!$D:$D)*($F122='Model Data'!$E:$E),0))</f>
        <v>#N/A</v>
      </c>
      <c r="C122" s="38" cm="1">
        <f t="array" ref="C122">INDEX('Model Data'!$F:$F,MATCH(1,(CONCATENATE(C$118,"_TM152_",C$117)='Model Data'!$D:$D)*($F122='Model Data'!$E:$E),0))</f>
        <v>6.30880354593815</v>
      </c>
      <c r="D122" s="38" t="e" cm="1">
        <f t="array" ref="D122">INDEX('Model Data'!$F:$F,MATCH(1,(CONCATENATE(D$118,"_TM152_",D$117)='Model Data'!$D:$D)*($F122='Model Data'!$E:$E),0))</f>
        <v>#N/A</v>
      </c>
      <c r="E122" s="38" t="e" cm="1">
        <f t="array" ref="E122">INDEX('Model Data'!$F:$F,MATCH(1,(CONCATENATE(E$118,"_TM152_",E$117)='Model Data'!$D:$D)*($F122='Model Data'!$E:$E),0))</f>
        <v>#N/A</v>
      </c>
      <c r="F122" s="84" t="str">
        <f>F$31</f>
        <v>avg_trip_length</v>
      </c>
      <c r="G122" s="98"/>
    </row>
    <row r="123" spans="1:7" x14ac:dyDescent="0.2">
      <c r="A123" s="37" t="s">
        <v>49</v>
      </c>
      <c r="B123" s="38" t="e" cm="1">
        <f t="array" ref="B123">INDEX('Model Data'!$F:$F,MATCH(1,(CONCATENATE(B$118,"_TM152_",B$117)='Model Data'!$D:$D)*($F123='Model Data'!$E:$E),0))</f>
        <v>#N/A</v>
      </c>
      <c r="C123" s="38" cm="1">
        <f t="array" ref="C123">INDEX('Model Data'!$F:$F,MATCH(1,(CONCATENATE(C$118,"_TM152_",C$117)='Model Data'!$D:$D)*($F123='Model Data'!$E:$E),0))</f>
        <v>10.283690689139201</v>
      </c>
      <c r="D123" s="38" t="e" cm="1">
        <f t="array" ref="D123">INDEX('Model Data'!$F:$F,MATCH(1,(CONCATENATE(D$118,"_TM152_",D$117)='Model Data'!$D:$D)*($F123='Model Data'!$E:$E),0))</f>
        <v>#N/A</v>
      </c>
      <c r="E123" s="38" t="e" cm="1">
        <f t="array" ref="E123">INDEX('Model Data'!$F:$F,MATCH(1,(CONCATENATE(E$118,"_TM152_",E$117)='Model Data'!$D:$D)*($F123='Model Data'!$E:$E),0))</f>
        <v>#N/A</v>
      </c>
      <c r="F123" s="84" t="str">
        <f>F$32</f>
        <v>avg_trip_length_work_da</v>
      </c>
      <c r="G123" s="98"/>
    </row>
    <row r="124" spans="1:7" x14ac:dyDescent="0.2">
      <c r="A124" s="72" t="s">
        <v>51</v>
      </c>
      <c r="B124" s="73"/>
      <c r="C124" s="73"/>
      <c r="D124" s="74"/>
      <c r="E124" s="74"/>
      <c r="F124" s="23"/>
      <c r="G124" s="94"/>
    </row>
    <row r="125" spans="1:7" x14ac:dyDescent="0.2">
      <c r="A125" s="37" t="s">
        <v>52</v>
      </c>
      <c r="B125" s="34" t="e">
        <f t="shared" ref="B125:D126" si="29">$B$22*B120/$B$19*$B$11</f>
        <v>#N/A</v>
      </c>
      <c r="C125" s="34">
        <f t="shared" si="29"/>
        <v>695129.21007022797</v>
      </c>
      <c r="D125" s="34" t="e">
        <f t="shared" si="29"/>
        <v>#N/A</v>
      </c>
      <c r="E125" s="34" t="e">
        <f t="shared" ref="E125" si="30">$B$22*E120/$B$19*$B$11</f>
        <v>#N/A</v>
      </c>
      <c r="F125" s="27"/>
      <c r="G125" s="96" t="s">
        <v>53</v>
      </c>
    </row>
    <row r="126" spans="1:7" x14ac:dyDescent="0.2">
      <c r="A126" s="37" t="s">
        <v>54</v>
      </c>
      <c r="B126" s="34" t="e">
        <f t="shared" si="29"/>
        <v>#N/A</v>
      </c>
      <c r="C126" s="34">
        <f t="shared" si="29"/>
        <v>961480.7024270586</v>
      </c>
      <c r="D126" s="34" t="e">
        <f t="shared" si="29"/>
        <v>#N/A</v>
      </c>
      <c r="E126" s="34" t="e">
        <f t="shared" ref="E126" si="31">$B$22*E121/$B$19*$B$11</f>
        <v>#N/A</v>
      </c>
      <c r="F126" s="27"/>
      <c r="G126" s="96" t="s">
        <v>55</v>
      </c>
    </row>
    <row r="127" spans="1:7" x14ac:dyDescent="0.2">
      <c r="A127" s="37" t="s">
        <v>56</v>
      </c>
      <c r="B127" s="88">
        <f>2000000/$B$9*$B$11</f>
        <v>16334.101654256838</v>
      </c>
      <c r="C127" s="88">
        <f>2000000/$B$9*$B$11</f>
        <v>16334.101654256838</v>
      </c>
      <c r="D127" s="88">
        <f>2000000/$B$9*$B$11</f>
        <v>16334.101654256838</v>
      </c>
      <c r="E127" s="88">
        <f>2000000/$B$9*$B$11</f>
        <v>16334.101654256838</v>
      </c>
      <c r="F127" s="27"/>
      <c r="G127" s="99" t="s">
        <v>83</v>
      </c>
    </row>
    <row r="128" spans="1:7" x14ac:dyDescent="0.2">
      <c r="A128" s="37" t="s">
        <v>57</v>
      </c>
      <c r="B128" s="88">
        <f>150000/$B$10*$B$12</f>
        <v>11398.412883768868</v>
      </c>
      <c r="C128" s="88">
        <f>150000/$B$10*$B$12</f>
        <v>11398.412883768868</v>
      </c>
      <c r="D128" s="88">
        <f>150000/$B$10*$B$12</f>
        <v>11398.412883768868</v>
      </c>
      <c r="E128" s="88">
        <f>150000/$B$10*$B$12</f>
        <v>11398.412883768868</v>
      </c>
      <c r="F128" s="27"/>
      <c r="G128" s="99" t="s">
        <v>84</v>
      </c>
    </row>
    <row r="129" spans="1:7" x14ac:dyDescent="0.2">
      <c r="A129" s="37" t="s">
        <v>58</v>
      </c>
      <c r="B129" s="34">
        <f>B127*$B$13*$B$15*($B$17-2)</f>
        <v>32222.55067930821</v>
      </c>
      <c r="C129" s="34">
        <f>C127*$B$13*$B$15*($B$17)</f>
        <v>53704.251132180354</v>
      </c>
      <c r="D129" s="34">
        <f>D127*$B$13*$B$15*($B$17)</f>
        <v>53704.251132180354</v>
      </c>
      <c r="E129" s="34">
        <f>E127*$B$13*$B$15*($B$17)</f>
        <v>53704.251132180354</v>
      </c>
      <c r="F129" s="27"/>
      <c r="G129" s="96" t="s">
        <v>79</v>
      </c>
    </row>
    <row r="130" spans="1:7" x14ac:dyDescent="0.2">
      <c r="A130" s="37" t="s">
        <v>60</v>
      </c>
      <c r="B130" s="34">
        <f>B128*$B$14*$B$16*($B$17-2)</f>
        <v>6225.4734750015032</v>
      </c>
      <c r="C130" s="34">
        <f>C128*$B$14*$B$16*$B$17</f>
        <v>10375.789125002504</v>
      </c>
      <c r="D130" s="34">
        <f>D128*$B$14*$B$16*$B$17</f>
        <v>10375.789125002504</v>
      </c>
      <c r="E130" s="34">
        <f>E128*$B$14*$B$16*$B$17</f>
        <v>10375.789125002504</v>
      </c>
      <c r="F130" s="27"/>
      <c r="G130" s="96" t="s">
        <v>79</v>
      </c>
    </row>
    <row r="131" spans="1:7" x14ac:dyDescent="0.2">
      <c r="A131" s="37" t="s">
        <v>61</v>
      </c>
      <c r="B131" s="34">
        <f>B129+B130</f>
        <v>38448.024154309715</v>
      </c>
      <c r="C131" s="34">
        <f>C129+C130</f>
        <v>64080.04025718286</v>
      </c>
      <c r="D131" s="34">
        <f>D129+D130</f>
        <v>64080.04025718286</v>
      </c>
      <c r="E131" s="34">
        <f>E129+E130</f>
        <v>64080.04025718286</v>
      </c>
      <c r="F131" s="27"/>
      <c r="G131" s="96"/>
    </row>
    <row r="132" spans="1:7" x14ac:dyDescent="0.2">
      <c r="A132" s="37" t="s">
        <v>62</v>
      </c>
      <c r="B132" s="34" t="e">
        <f t="shared" ref="B132:D132" si="32">B129*B122</f>
        <v>#N/A</v>
      </c>
      <c r="C132" s="34">
        <f t="shared" si="32"/>
        <v>338809.56997465232</v>
      </c>
      <c r="D132" s="34" t="e">
        <f t="shared" si="32"/>
        <v>#N/A</v>
      </c>
      <c r="E132" s="34" t="e">
        <f t="shared" ref="E132" si="33">E129*E122</f>
        <v>#N/A</v>
      </c>
      <c r="F132" s="27"/>
      <c r="G132" s="96"/>
    </row>
    <row r="133" spans="1:7" x14ac:dyDescent="0.2">
      <c r="A133" s="37" t="s">
        <v>63</v>
      </c>
      <c r="B133" s="34" t="e">
        <f t="shared" ref="B133:D133" si="34">B130*B123</f>
        <v>#N/A</v>
      </c>
      <c r="C133" s="34">
        <f t="shared" si="34"/>
        <v>106701.40601726003</v>
      </c>
      <c r="D133" s="34" t="e">
        <f t="shared" si="34"/>
        <v>#N/A</v>
      </c>
      <c r="E133" s="34" t="e">
        <f t="shared" ref="E133" si="35">E130*E123</f>
        <v>#N/A</v>
      </c>
      <c r="F133" s="27"/>
      <c r="G133" s="96"/>
    </row>
    <row r="134" spans="1:7" x14ac:dyDescent="0.2">
      <c r="A134" s="37" t="s">
        <v>64</v>
      </c>
      <c r="B134" s="34" t="e">
        <f>B132+B133</f>
        <v>#N/A</v>
      </c>
      <c r="C134" s="34">
        <f>C132+C133</f>
        <v>445510.97599191236</v>
      </c>
      <c r="D134" s="34" t="e">
        <f>D132+D133</f>
        <v>#N/A</v>
      </c>
      <c r="E134" s="34" t="e">
        <f>E132+E133</f>
        <v>#N/A</v>
      </c>
      <c r="F134" s="27"/>
      <c r="G134" s="96"/>
    </row>
    <row r="135" spans="1:7" x14ac:dyDescent="0.2">
      <c r="A135" s="37" t="s">
        <v>65</v>
      </c>
      <c r="B135" s="34" t="e">
        <f>B131*INDEX('Emission Factors'!$10:$10,,MATCH(B118,'Emission Factors'!$2:$2,0))+B134*INDEX('Emission Factors'!$6:$6,,MATCH(B118,'Emission Factors'!$2:$2,0))</f>
        <v>#N/A</v>
      </c>
      <c r="C135" s="34">
        <f>C131*INDEX('Emission Factors'!$10:$10,,MATCH(C118,'Emission Factors'!$2:$2,0))+C134*INDEX('Emission Factors'!$6:$6,,MATCH(C118,'Emission Factors'!$2:$2,0))</f>
        <v>177.24407335185268</v>
      </c>
      <c r="D135" s="34" t="e">
        <f>D131*INDEX('Emission Factors'!$10:$10,,MATCH(D118,'Emission Factors'!$2:$2,0))+D134*INDEX('Emission Factors'!$6:$6,,MATCH(D118,'Emission Factors'!$2:$2,0))</f>
        <v>#N/A</v>
      </c>
      <c r="E135" s="34" t="e">
        <f>E131*INDEX('Emission Factors'!$10:$10,,MATCH(E118,'Emission Factors'!$2:$2,0))+E134*INDEX('Emission Factors'!$6:$6,,MATCH(E118,'Emission Factors'!$2:$2,0))</f>
        <v>#N/A</v>
      </c>
      <c r="F135" s="28"/>
      <c r="G135" s="96"/>
    </row>
    <row r="136" spans="1:7" x14ac:dyDescent="0.2">
      <c r="A136" s="85" t="s">
        <v>66</v>
      </c>
      <c r="B136" s="86" t="e">
        <f>-(B135/'SB 375 calcs'!C$2)/('SB 375 calcs'!$B$3/'SB 375 calcs'!$B$2)</f>
        <v>#N/A</v>
      </c>
      <c r="C136" s="86">
        <f>-(C135/'SB 375 calcs'!D$2)/('SB 375 calcs'!$B$3/'SB 375 calcs'!$B$2)</f>
        <v>-2.3779307753029342E-3</v>
      </c>
      <c r="D136" s="86" t="e">
        <f>-(D135/'SB 375 calcs'!E$2)/('SB 375 calcs'!$B$3/'SB 375 calcs'!$B$2)</f>
        <v>#N/A</v>
      </c>
      <c r="E136" s="86" t="e">
        <f>-(E135/'SB 375 calcs'!F$2)/('SB 375 calcs'!$B$3/'SB 375 calcs'!$B$2)</f>
        <v>#N/A</v>
      </c>
      <c r="F136" s="29"/>
      <c r="G136" s="96"/>
    </row>
    <row r="139" spans="1:7" x14ac:dyDescent="0.2">
      <c r="A139" s="35" t="s">
        <v>85</v>
      </c>
      <c r="B139" s="36" t="s">
        <v>71</v>
      </c>
      <c r="C139" s="36" t="s">
        <v>86</v>
      </c>
      <c r="D139" s="36" t="s">
        <v>87</v>
      </c>
      <c r="E139" s="36" t="s">
        <v>87</v>
      </c>
      <c r="F139" s="70"/>
      <c r="G139" s="97"/>
    </row>
    <row r="140" spans="1:7" x14ac:dyDescent="0.2">
      <c r="A140" s="32" t="s">
        <v>40</v>
      </c>
      <c r="B140" s="32">
        <f t="shared" ref="B140:E140" si="36">B$27</f>
        <v>2020</v>
      </c>
      <c r="C140" s="32">
        <f t="shared" si="36"/>
        <v>2035</v>
      </c>
      <c r="D140" s="32">
        <f t="shared" si="36"/>
        <v>2050</v>
      </c>
      <c r="E140" s="32">
        <f t="shared" si="36"/>
        <v>2025</v>
      </c>
      <c r="F140" s="23"/>
      <c r="G140" s="94" t="s">
        <v>4</v>
      </c>
    </row>
    <row r="141" spans="1:7" x14ac:dyDescent="0.2">
      <c r="A141" s="72" t="s">
        <v>41</v>
      </c>
      <c r="B141" s="73"/>
      <c r="C141" s="73"/>
      <c r="D141" s="74"/>
      <c r="E141" s="74"/>
      <c r="F141" s="84" t="s">
        <v>42</v>
      </c>
      <c r="G141" s="94"/>
    </row>
    <row r="142" spans="1:7" x14ac:dyDescent="0.2">
      <c r="A142" s="37" t="s">
        <v>43</v>
      </c>
      <c r="B142" s="34" t="e" cm="1">
        <f t="array" ref="B142">INDEX('Model Data'!$F:$F,MATCH(1,(CONCATENATE(B$96,"_TM152_",B$95)='Model Data'!$D:$D)*($F142='Model Data'!$E:$E),0))</f>
        <v>#N/A</v>
      </c>
      <c r="C142" s="34" cm="1">
        <f t="array" ref="C142">INDEX('Model Data'!$F:$F,MATCH(1,(CONCATENATE(C$96,"_TM152_",C$95)='Model Data'!$D:$D)*($F142='Model Data'!$E:$E),0))</f>
        <v>3495212</v>
      </c>
      <c r="D142" s="34" cm="1">
        <f t="array" ref="D142">INDEX('Model Data'!$F:$F,MATCH(1,(CONCATENATE(D$96,"_TM152_",D$95)='Model Data'!$D:$D)*($F142='Model Data'!$E:$E),0))</f>
        <v>4043312</v>
      </c>
      <c r="E142" s="34" t="e" cm="1">
        <f t="array" ref="E142">INDEX('Model Data'!$F:$F,MATCH(1,(CONCATENATE(E$96,"_TM152_",E$95)='Model Data'!$D:$D)*($F142='Model Data'!$E:$E),0))</f>
        <v>#N/A</v>
      </c>
      <c r="F142" s="84" t="str">
        <f>F$29</f>
        <v>total_households</v>
      </c>
      <c r="G142" s="98"/>
    </row>
    <row r="143" spans="1:7" x14ac:dyDescent="0.2">
      <c r="A143" s="37" t="s">
        <v>45</v>
      </c>
      <c r="B143" s="34" t="e" cm="1">
        <f t="array" ref="B143">INDEX('Model Data'!$F:$F,MATCH(1,(CONCATENATE(B$96,"_TM152_",B$95)='Model Data'!$D:$D)*($F143='Model Data'!$E:$E),0))</f>
        <v>#N/A</v>
      </c>
      <c r="C143" s="34" cm="1">
        <f t="array" ref="C143">INDEX('Model Data'!$F:$F,MATCH(1,(CONCATENATE(C$96,"_TM152_",C$95)='Model Data'!$D:$D)*($F143='Model Data'!$E:$E),0))</f>
        <v>4834513</v>
      </c>
      <c r="D143" s="34" cm="1">
        <f t="array" ref="D143">INDEX('Model Data'!$F:$F,MATCH(1,(CONCATENATE(D$96,"_TM152_",D$95)='Model Data'!$D:$D)*($F143='Model Data'!$E:$E),0))</f>
        <v>5408460</v>
      </c>
      <c r="E143" s="34" t="e" cm="1">
        <f t="array" ref="E143">INDEX('Model Data'!$F:$F,MATCH(1,(CONCATENATE(E$96,"_TM152_",E$95)='Model Data'!$D:$D)*($F143='Model Data'!$E:$E),0))</f>
        <v>#N/A</v>
      </c>
      <c r="F143" s="84" t="str">
        <f>F$30</f>
        <v>total_jobs</v>
      </c>
      <c r="G143" s="98"/>
    </row>
    <row r="144" spans="1:7" x14ac:dyDescent="0.2">
      <c r="A144" s="37" t="s">
        <v>47</v>
      </c>
      <c r="B144" s="38" t="e" cm="1">
        <f t="array" ref="B144">INDEX('Model Data'!$F:$F,MATCH(1,(CONCATENATE(B$96,"_TM152_",B$95)='Model Data'!$D:$D)*($F144='Model Data'!$E:$E),0))</f>
        <v>#N/A</v>
      </c>
      <c r="C144" s="38" cm="1">
        <f t="array" ref="C144">INDEX('Model Data'!$F:$F,MATCH(1,(CONCATENATE(C$96,"_TM152_",C$95)='Model Data'!$D:$D)*($F144='Model Data'!$E:$E),0))</f>
        <v>6.1541204597507999</v>
      </c>
      <c r="D144" s="38" cm="1">
        <f t="array" ref="D144">INDEX('Model Data'!$F:$F,MATCH(1,(CONCATENATE(D$96,"_TM152_",D$95)='Model Data'!$D:$D)*($F144='Model Data'!$E:$E),0))</f>
        <v>5.7903472607508304</v>
      </c>
      <c r="E144" s="38" t="e" cm="1">
        <f t="array" ref="E144">INDEX('Model Data'!$F:$F,MATCH(1,(CONCATENATE(E$96,"_TM152_",E$95)='Model Data'!$D:$D)*($F144='Model Data'!$E:$E),0))</f>
        <v>#N/A</v>
      </c>
      <c r="F144" s="84" t="str">
        <f>F$31</f>
        <v>avg_trip_length</v>
      </c>
      <c r="G144" s="98"/>
    </row>
    <row r="145" spans="1:7" x14ac:dyDescent="0.2">
      <c r="A145" s="37" t="s">
        <v>49</v>
      </c>
      <c r="B145" s="38" t="e" cm="1">
        <f t="array" ref="B145">INDEX('Model Data'!$F:$F,MATCH(1,(CONCATENATE(B$96,"_TM152_",B$95)='Model Data'!$D:$D)*($F145='Model Data'!$E:$E),0))</f>
        <v>#N/A</v>
      </c>
      <c r="C145" s="38" cm="1">
        <f t="array" ref="C145">INDEX('Model Data'!$F:$F,MATCH(1,(CONCATENATE(C$96,"_TM152_",C$95)='Model Data'!$D:$D)*($F145='Model Data'!$E:$E),0))</f>
        <v>9.9599562133018296</v>
      </c>
      <c r="D145" s="38" cm="1">
        <f t="array" ref="D145">INDEX('Model Data'!$F:$F,MATCH(1,(CONCATENATE(D$96,"_TM152_",D$95)='Model Data'!$D:$D)*($F145='Model Data'!$E:$E),0))</f>
        <v>9.7400160136244391</v>
      </c>
      <c r="E145" s="38" t="e" cm="1">
        <f t="array" ref="E145">INDEX('Model Data'!$F:$F,MATCH(1,(CONCATENATE(E$96,"_TM152_",E$95)='Model Data'!$D:$D)*($F145='Model Data'!$E:$E),0))</f>
        <v>#N/A</v>
      </c>
      <c r="F145" s="84" t="str">
        <f>F$32</f>
        <v>avg_trip_length_work_da</v>
      </c>
      <c r="G145" s="98"/>
    </row>
    <row r="146" spans="1:7" x14ac:dyDescent="0.2">
      <c r="A146" s="72" t="s">
        <v>51</v>
      </c>
      <c r="B146" s="73"/>
      <c r="C146" s="73"/>
      <c r="D146" s="74"/>
      <c r="E146" s="74"/>
      <c r="F146" s="23"/>
      <c r="G146" s="94"/>
    </row>
    <row r="147" spans="1:7" x14ac:dyDescent="0.2">
      <c r="A147" s="37" t="s">
        <v>52</v>
      </c>
      <c r="B147" s="34" t="e">
        <f t="shared" ref="B147:D147" si="37">$B$22*B142/$B$19*$B$11</f>
        <v>#N/A</v>
      </c>
      <c r="C147" s="34">
        <f t="shared" si="37"/>
        <v>695132.59105371276</v>
      </c>
      <c r="D147" s="34">
        <f t="shared" si="37"/>
        <v>804139.47623164766</v>
      </c>
      <c r="E147" s="34" t="e">
        <f t="shared" ref="E147" si="38">$B$22*E142/$B$19*$B$11</f>
        <v>#N/A</v>
      </c>
      <c r="F147" s="27"/>
      <c r="G147" s="96" t="s">
        <v>53</v>
      </c>
    </row>
    <row r="148" spans="1:7" x14ac:dyDescent="0.2">
      <c r="A148" s="37" t="s">
        <v>54</v>
      </c>
      <c r="B148" s="34" t="e">
        <f t="shared" ref="B148:D148" si="39">$B$22*B143/$B$19*$B$11</f>
        <v>#N/A</v>
      </c>
      <c r="C148" s="34">
        <f t="shared" si="39"/>
        <v>961494.62412376073</v>
      </c>
      <c r="D148" s="34">
        <f t="shared" si="39"/>
        <v>1075641.9963682785</v>
      </c>
      <c r="E148" s="34" t="e">
        <f t="shared" ref="E148" si="40">$B$22*E143/$B$19*$B$11</f>
        <v>#N/A</v>
      </c>
      <c r="F148" s="27"/>
      <c r="G148" s="96" t="s">
        <v>55</v>
      </c>
    </row>
    <row r="149" spans="1:7" x14ac:dyDescent="0.2">
      <c r="A149" s="37" t="s">
        <v>56</v>
      </c>
      <c r="B149" s="88">
        <f>2000000/$B$9*$B$11</f>
        <v>16334.101654256838</v>
      </c>
      <c r="C149" s="88">
        <f>2000000/$B$9*$B$11</f>
        <v>16334.101654256838</v>
      </c>
      <c r="D149" s="88">
        <f>2000000/$B$9*$B$11</f>
        <v>16334.101654256838</v>
      </c>
      <c r="E149" s="88">
        <f>2000000/$B$9*$B$11</f>
        <v>16334.101654256838</v>
      </c>
      <c r="F149" s="27"/>
      <c r="G149" s="99" t="s">
        <v>88</v>
      </c>
    </row>
    <row r="150" spans="1:7" x14ac:dyDescent="0.2">
      <c r="A150" s="37" t="s">
        <v>57</v>
      </c>
      <c r="B150" s="88">
        <f>150000/$B$10*$B$12</f>
        <v>11398.412883768868</v>
      </c>
      <c r="C150" s="88">
        <f>150000/$B$10*$B$12</f>
        <v>11398.412883768868</v>
      </c>
      <c r="D150" s="88">
        <f>150000/$B$10*$B$12</f>
        <v>11398.412883768868</v>
      </c>
      <c r="E150" s="88">
        <f>150000/$B$10*$B$12</f>
        <v>11398.412883768868</v>
      </c>
      <c r="F150" s="27"/>
      <c r="G150" s="99" t="s">
        <v>89</v>
      </c>
    </row>
    <row r="151" spans="1:7" x14ac:dyDescent="0.2">
      <c r="A151" s="37" t="s">
        <v>58</v>
      </c>
      <c r="B151" s="34">
        <f>B149*$B$13*$B$15*($B$17-2)</f>
        <v>32222.55067930821</v>
      </c>
      <c r="C151" s="34">
        <f>C149*$B$13*$B$15*($B$17)</f>
        <v>53704.251132180354</v>
      </c>
      <c r="D151" s="34">
        <f>D149*$B$13*$B$15*($B$17)</f>
        <v>53704.251132180354</v>
      </c>
      <c r="E151" s="34">
        <f>E149*$B$13*$B$15*($B$17)</f>
        <v>53704.251132180354</v>
      </c>
      <c r="F151" s="27"/>
      <c r="G151" s="96" t="s">
        <v>79</v>
      </c>
    </row>
    <row r="152" spans="1:7" x14ac:dyDescent="0.2">
      <c r="A152" s="37" t="s">
        <v>60</v>
      </c>
      <c r="B152" s="34">
        <f>B150*$B$14*$B$16*($B$17-2)</f>
        <v>6225.4734750015032</v>
      </c>
      <c r="C152" s="34">
        <f>C150*$B$14*$B$16*$B$17</f>
        <v>10375.789125002504</v>
      </c>
      <c r="D152" s="34">
        <f>D150*$B$14*$B$16*$B$17</f>
        <v>10375.789125002504</v>
      </c>
      <c r="E152" s="34">
        <f>E150*$B$14*$B$16*$B$17</f>
        <v>10375.789125002504</v>
      </c>
      <c r="F152" s="27"/>
      <c r="G152" s="96" t="s">
        <v>79</v>
      </c>
    </row>
    <row r="153" spans="1:7" x14ac:dyDescent="0.2">
      <c r="A153" s="37" t="s">
        <v>61</v>
      </c>
      <c r="B153" s="34">
        <f>B151+B152</f>
        <v>38448.024154309715</v>
      </c>
      <c r="C153" s="34">
        <f>C151+C152</f>
        <v>64080.04025718286</v>
      </c>
      <c r="D153" s="34">
        <f>D151+D152</f>
        <v>64080.04025718286</v>
      </c>
      <c r="E153" s="34">
        <f>E151+E152</f>
        <v>64080.04025718286</v>
      </c>
      <c r="F153" s="27"/>
      <c r="G153" s="96"/>
    </row>
    <row r="154" spans="1:7" x14ac:dyDescent="0.2">
      <c r="A154" s="37" t="s">
        <v>62</v>
      </c>
      <c r="B154" s="34" t="e">
        <f t="shared" ref="B154:D154" si="41">B151*B144</f>
        <v>#N/A</v>
      </c>
      <c r="C154" s="34">
        <f t="shared" si="41"/>
        <v>330502.43066814617</v>
      </c>
      <c r="D154" s="34">
        <f t="shared" si="41"/>
        <v>310966.26343389519</v>
      </c>
      <c r="E154" s="34" t="e">
        <f t="shared" ref="E154" si="42">E151*E144</f>
        <v>#N/A</v>
      </c>
      <c r="F154" s="27"/>
      <c r="G154" s="96"/>
    </row>
    <row r="155" spans="1:7" x14ac:dyDescent="0.2">
      <c r="A155" s="37" t="s">
        <v>63</v>
      </c>
      <c r="B155" s="34" t="e">
        <f t="shared" ref="B155:D155" si="43">B152*B145</f>
        <v>#N/A</v>
      </c>
      <c r="C155" s="34">
        <f t="shared" si="43"/>
        <v>103342.40536347825</v>
      </c>
      <c r="D155" s="34">
        <f t="shared" si="43"/>
        <v>101060.3522315147</v>
      </c>
      <c r="E155" s="34" t="e">
        <f t="shared" ref="E155" si="44">E152*E145</f>
        <v>#N/A</v>
      </c>
      <c r="F155" s="27"/>
      <c r="G155" s="96"/>
    </row>
    <row r="156" spans="1:7" x14ac:dyDescent="0.2">
      <c r="A156" s="37" t="s">
        <v>64</v>
      </c>
      <c r="B156" s="34" t="e">
        <f>B154+B155</f>
        <v>#N/A</v>
      </c>
      <c r="C156" s="34">
        <f>C154+C155</f>
        <v>433844.83603162441</v>
      </c>
      <c r="D156" s="34">
        <f>D154+D155</f>
        <v>412026.61566540989</v>
      </c>
      <c r="E156" s="34" t="e">
        <f>E154+E155</f>
        <v>#N/A</v>
      </c>
      <c r="F156" s="27"/>
      <c r="G156" s="96"/>
    </row>
    <row r="157" spans="1:7" x14ac:dyDescent="0.2">
      <c r="A157" s="37" t="s">
        <v>65</v>
      </c>
      <c r="B157" s="34" t="e">
        <f>B153*INDEX('Emission Factors'!$10:$10,,MATCH(B140,'Emission Factors'!$2:$2,0))+B156*INDEX('Emission Factors'!$6:$6,,MATCH(B140,'Emission Factors'!$2:$2,0))</f>
        <v>#N/A</v>
      </c>
      <c r="C157" s="34">
        <f>C153*INDEX('Emission Factors'!$10:$10,,MATCH(C140,'Emission Factors'!$2:$2,0))+C156*INDEX('Emission Factors'!$6:$6,,MATCH(C140,'Emission Factors'!$2:$2,0))</f>
        <v>172.75260946714184</v>
      </c>
      <c r="D157" s="34">
        <f>D153*INDEX('Emission Factors'!$10:$10,,MATCH(D140,'Emission Factors'!$2:$2,0))+D156*INDEX('Emission Factors'!$6:$6,,MATCH(D140,'Emission Factors'!$2:$2,0))</f>
        <v>165.20227987358291</v>
      </c>
      <c r="E157" s="34" t="e">
        <f>E153*INDEX('Emission Factors'!$10:$10,,MATCH(E140,'Emission Factors'!$2:$2,0))+E156*INDEX('Emission Factors'!$6:$6,,MATCH(E140,'Emission Factors'!$2:$2,0))</f>
        <v>#N/A</v>
      </c>
      <c r="F157" s="28"/>
      <c r="G157" s="96"/>
    </row>
    <row r="158" spans="1:7" x14ac:dyDescent="0.2">
      <c r="A158" s="85" t="s">
        <v>66</v>
      </c>
      <c r="B158" s="86" t="e">
        <f>-(B157/'SB 375 calcs'!C$2)/('SB 375 calcs'!$B$3/'SB 375 calcs'!$B$2)</f>
        <v>#N/A</v>
      </c>
      <c r="C158" s="86">
        <f>-(C157/'SB 375 calcs'!D$2)/('SB 375 calcs'!$B$3/'SB 375 calcs'!$B$2)</f>
        <v>-2.3176726803740642E-3</v>
      </c>
      <c r="D158" s="86">
        <f>-(D157/'SB 375 calcs'!E$2)/('SB 375 calcs'!$B$3/'SB 375 calcs'!$B$2)</f>
        <v>-1.8224499254319768E-3</v>
      </c>
      <c r="E158" s="86" t="e">
        <f>-(E157/'SB 375 calcs'!F$2)/('SB 375 calcs'!$B$3/'SB 375 calcs'!$B$2)</f>
        <v>#N/A</v>
      </c>
      <c r="F158" s="29"/>
      <c r="G158" s="96"/>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70C0"/>
  </sheetPr>
  <dimension ref="A1:I31"/>
  <sheetViews>
    <sheetView zoomScaleNormal="100" workbookViewId="0">
      <selection activeCell="B11" sqref="B11"/>
    </sheetView>
  </sheetViews>
  <sheetFormatPr defaultColWidth="8.7109375" defaultRowHeight="15" x14ac:dyDescent="0.25"/>
  <cols>
    <col min="1" max="1" width="61.140625" customWidth="1"/>
    <col min="2" max="9" width="12.7109375" customWidth="1"/>
  </cols>
  <sheetData>
    <row r="1" spans="1:9" x14ac:dyDescent="0.25">
      <c r="B1" s="8"/>
      <c r="C1" s="1"/>
      <c r="D1" s="1"/>
      <c r="E1" s="1"/>
      <c r="F1" s="1"/>
      <c r="G1" s="1"/>
      <c r="H1" s="1"/>
      <c r="I1" s="1"/>
    </row>
    <row r="2" spans="1:9" ht="51" x14ac:dyDescent="0.25">
      <c r="A2" s="52" t="s">
        <v>90</v>
      </c>
      <c r="B2" s="53" t="s">
        <v>91</v>
      </c>
      <c r="C2" s="53" t="s">
        <v>92</v>
      </c>
      <c r="D2" s="53" t="s">
        <v>93</v>
      </c>
      <c r="E2" s="53" t="s">
        <v>94</v>
      </c>
      <c r="F2" s="53" t="s">
        <v>95</v>
      </c>
      <c r="G2" s="53" t="s">
        <v>96</v>
      </c>
      <c r="H2" s="1"/>
      <c r="I2" s="1"/>
    </row>
    <row r="3" spans="1:9" x14ac:dyDescent="0.25">
      <c r="A3" s="40" t="s">
        <v>97</v>
      </c>
      <c r="B3" s="41">
        <v>0.09</v>
      </c>
      <c r="C3" s="41"/>
      <c r="D3" s="41"/>
      <c r="E3" s="40"/>
      <c r="F3" s="40"/>
      <c r="G3" s="40"/>
      <c r="H3" s="1"/>
      <c r="I3" s="1"/>
    </row>
    <row r="4" spans="1:9" x14ac:dyDescent="0.25">
      <c r="A4" s="40" t="s">
        <v>98</v>
      </c>
      <c r="B4" s="41">
        <v>0.09</v>
      </c>
      <c r="C4" s="41"/>
      <c r="D4" s="41"/>
      <c r="E4" s="40"/>
      <c r="F4" s="40"/>
      <c r="G4" s="40"/>
      <c r="H4" s="1"/>
      <c r="I4" s="1"/>
    </row>
    <row r="5" spans="1:9" x14ac:dyDescent="0.25">
      <c r="A5" s="40" t="s">
        <v>99</v>
      </c>
      <c r="B5" s="42">
        <v>8.5999999999999993E-2</v>
      </c>
      <c r="C5" s="43"/>
      <c r="D5" s="43"/>
      <c r="E5" s="40"/>
      <c r="F5" s="40"/>
      <c r="G5" s="40"/>
      <c r="H5" s="1"/>
      <c r="I5" s="1"/>
    </row>
    <row r="6" spans="1:9" x14ac:dyDescent="0.25">
      <c r="A6" s="40" t="s">
        <v>100</v>
      </c>
      <c r="B6" s="42">
        <v>0.128</v>
      </c>
      <c r="C6" s="41">
        <v>0.31</v>
      </c>
      <c r="D6" s="43"/>
      <c r="E6" s="44">
        <v>216800</v>
      </c>
      <c r="F6" s="40"/>
      <c r="G6" s="40"/>
      <c r="H6" s="1"/>
      <c r="I6" s="1"/>
    </row>
    <row r="7" spans="1:9" x14ac:dyDescent="0.25">
      <c r="A7" s="40" t="s">
        <v>101</v>
      </c>
      <c r="B7" s="42">
        <v>9.4E-2</v>
      </c>
      <c r="C7" s="41">
        <v>0.3</v>
      </c>
      <c r="D7" s="45">
        <v>23400</v>
      </c>
      <c r="E7" s="44"/>
      <c r="F7" s="40"/>
      <c r="G7" s="40"/>
      <c r="H7" s="1"/>
      <c r="I7" s="1"/>
    </row>
    <row r="8" spans="1:9" x14ac:dyDescent="0.25">
      <c r="A8" s="40" t="s">
        <v>102</v>
      </c>
      <c r="B8" s="40"/>
      <c r="C8" s="41"/>
      <c r="D8" s="40"/>
      <c r="E8" s="44">
        <v>203160</v>
      </c>
      <c r="F8" s="40"/>
      <c r="G8" s="40"/>
      <c r="H8" s="1"/>
      <c r="I8" s="1"/>
    </row>
    <row r="9" spans="1:9" x14ac:dyDescent="0.25">
      <c r="A9" s="40" t="s">
        <v>103</v>
      </c>
      <c r="B9" s="41">
        <v>0.09</v>
      </c>
      <c r="C9" s="41">
        <v>0.25</v>
      </c>
      <c r="D9" s="45">
        <v>28500</v>
      </c>
      <c r="E9" s="44">
        <v>235855</v>
      </c>
      <c r="F9" s="46">
        <f>E9/D9</f>
        <v>8.2756140350877185</v>
      </c>
      <c r="G9" s="40"/>
      <c r="H9" s="1"/>
      <c r="I9" s="1"/>
    </row>
    <row r="10" spans="1:9" x14ac:dyDescent="0.25">
      <c r="A10" s="40" t="s">
        <v>104</v>
      </c>
      <c r="B10" s="42">
        <v>0.184</v>
      </c>
      <c r="C10" s="40"/>
      <c r="D10" s="45">
        <v>8200</v>
      </c>
      <c r="E10" s="44">
        <v>213270</v>
      </c>
      <c r="F10" s="46">
        <f>E10/D10</f>
        <v>26.008536585365853</v>
      </c>
      <c r="G10" s="40"/>
      <c r="H10" s="1"/>
      <c r="I10" s="1"/>
    </row>
    <row r="11" spans="1:9" x14ac:dyDescent="0.25">
      <c r="A11" s="40" t="s">
        <v>105</v>
      </c>
      <c r="B11" s="42">
        <v>0.13</v>
      </c>
      <c r="C11" s="101">
        <v>8.3000000000000004E-2</v>
      </c>
      <c r="D11" s="45"/>
      <c r="E11" s="44"/>
      <c r="F11" s="46">
        <v>12</v>
      </c>
      <c r="G11" s="40"/>
      <c r="H11" s="1"/>
      <c r="I11" s="1"/>
    </row>
    <row r="12" spans="1:9" x14ac:dyDescent="0.25">
      <c r="A12" s="47" t="s">
        <v>106</v>
      </c>
      <c r="B12" s="48">
        <f>AVERAGE(B3:B7,B9:B11)</f>
        <v>0.1115</v>
      </c>
      <c r="C12" s="48">
        <f>AVERAGE(C6,C7,C9,C11)</f>
        <v>0.23574999999999999</v>
      </c>
      <c r="D12" s="49">
        <f>AVERAGE(D7,D9:D10)</f>
        <v>20033.333333333332</v>
      </c>
      <c r="E12" s="50">
        <f>AVERAGE(E6,E8:E10)</f>
        <v>217271.25</v>
      </c>
      <c r="F12" s="51">
        <f>E12/D12</f>
        <v>10.845486688851913</v>
      </c>
      <c r="G12" s="51">
        <f>F12*C12</f>
        <v>2.5568234868968385</v>
      </c>
      <c r="H12" s="1"/>
      <c r="I12" s="1"/>
    </row>
    <row r="13" spans="1:9" x14ac:dyDescent="0.25">
      <c r="A13" s="125" t="s">
        <v>107</v>
      </c>
      <c r="B13" s="126"/>
      <c r="C13" s="126"/>
      <c r="D13" s="126"/>
      <c r="E13" s="126"/>
      <c r="F13" s="126"/>
      <c r="G13" s="127"/>
      <c r="H13" s="1"/>
      <c r="I13" s="1"/>
    </row>
    <row r="14" spans="1:9" ht="30" x14ac:dyDescent="0.25">
      <c r="A14" s="54" t="s">
        <v>108</v>
      </c>
      <c r="B14" s="55">
        <v>0.13</v>
      </c>
      <c r="C14" s="55">
        <v>0.21987951807228914</v>
      </c>
      <c r="D14" s="56">
        <v>2324</v>
      </c>
      <c r="E14" s="44">
        <v>100000</v>
      </c>
      <c r="F14" s="57">
        <f t="shared" ref="F14:F20" si="0">E14/D14</f>
        <v>43.029259896729776</v>
      </c>
      <c r="G14" s="57">
        <f>F14*C14</f>
        <v>9.4612529291002208</v>
      </c>
      <c r="H14" s="1"/>
      <c r="I14" s="1"/>
    </row>
    <row r="15" spans="1:9" x14ac:dyDescent="0.25">
      <c r="A15" s="58" t="s">
        <v>109</v>
      </c>
      <c r="B15" s="59">
        <v>0.04</v>
      </c>
      <c r="C15" s="55">
        <v>0.22886133032694475</v>
      </c>
      <c r="D15" s="56">
        <v>6728</v>
      </c>
      <c r="E15" s="44">
        <v>125000</v>
      </c>
      <c r="F15" s="57">
        <f t="shared" si="0"/>
        <v>18.579072532699168</v>
      </c>
      <c r="G15" s="57">
        <f t="shared" ref="G15:G20" si="1">F15*C15</f>
        <v>4.2520312560743303</v>
      </c>
      <c r="H15" s="1"/>
      <c r="I15" s="1"/>
    </row>
    <row r="16" spans="1:9" x14ac:dyDescent="0.25">
      <c r="A16" s="54" t="s">
        <v>110</v>
      </c>
      <c r="B16" s="59">
        <v>0.08</v>
      </c>
      <c r="C16" s="55">
        <v>0.13928630159513239</v>
      </c>
      <c r="D16" s="56">
        <v>6081</v>
      </c>
      <c r="E16" s="44">
        <v>140000</v>
      </c>
      <c r="F16" s="57">
        <f t="shared" si="0"/>
        <v>23.022529189278078</v>
      </c>
      <c r="G16" s="57">
        <f t="shared" si="1"/>
        <v>3.2067229441405249</v>
      </c>
      <c r="H16" s="1"/>
      <c r="I16" s="1"/>
    </row>
    <row r="17" spans="1:9" x14ac:dyDescent="0.25">
      <c r="A17" s="54" t="s">
        <v>111</v>
      </c>
      <c r="B17" s="55">
        <v>0.13</v>
      </c>
      <c r="C17" s="55">
        <v>8.1516227180527381E-2</v>
      </c>
      <c r="D17" s="56">
        <v>7888</v>
      </c>
      <c r="E17" s="44">
        <v>175000</v>
      </c>
      <c r="F17" s="57">
        <f t="shared" si="0"/>
        <v>22.185598377281949</v>
      </c>
      <c r="G17" s="57">
        <f t="shared" si="1"/>
        <v>1.8084862774584549</v>
      </c>
      <c r="H17" s="1"/>
      <c r="I17" s="1"/>
    </row>
    <row r="18" spans="1:9" x14ac:dyDescent="0.25">
      <c r="A18" s="54" t="s">
        <v>112</v>
      </c>
      <c r="B18" s="55">
        <v>0.25</v>
      </c>
      <c r="C18" s="55">
        <v>0.17340922951819476</v>
      </c>
      <c r="D18" s="56">
        <v>4919</v>
      </c>
      <c r="E18" s="44">
        <v>145000</v>
      </c>
      <c r="F18" s="57">
        <f t="shared" si="0"/>
        <v>29.477536084570033</v>
      </c>
      <c r="G18" s="57">
        <f t="shared" si="1"/>
        <v>5.1116768205200733</v>
      </c>
      <c r="H18" s="1"/>
      <c r="I18" s="1"/>
    </row>
    <row r="19" spans="1:9" x14ac:dyDescent="0.25">
      <c r="A19" s="60" t="s">
        <v>113</v>
      </c>
      <c r="B19" s="61">
        <v>0.1</v>
      </c>
      <c r="C19" s="61">
        <v>0.1</v>
      </c>
      <c r="D19" s="62">
        <v>19814</v>
      </c>
      <c r="E19" s="63">
        <f>D19*25</f>
        <v>495350</v>
      </c>
      <c r="F19" s="64">
        <f>E19/D19</f>
        <v>25</v>
      </c>
      <c r="G19" s="64"/>
      <c r="H19" s="1"/>
      <c r="I19" s="1"/>
    </row>
    <row r="20" spans="1:9" ht="15.75" thickBot="1" x14ac:dyDescent="0.3">
      <c r="A20" s="60" t="s">
        <v>114</v>
      </c>
      <c r="B20" s="61">
        <v>0.1</v>
      </c>
      <c r="C20" s="61">
        <v>0.15846994535519127</v>
      </c>
      <c r="D20" s="62">
        <v>732</v>
      </c>
      <c r="E20" s="63">
        <v>50000</v>
      </c>
      <c r="F20" s="64">
        <f t="shared" si="0"/>
        <v>68.306010928961754</v>
      </c>
      <c r="G20" s="64">
        <f t="shared" si="1"/>
        <v>10.824449819343666</v>
      </c>
      <c r="H20" s="1"/>
      <c r="I20" s="1"/>
    </row>
    <row r="21" spans="1:9" ht="31.15" customHeight="1" thickBot="1" x14ac:dyDescent="0.3">
      <c r="A21" s="65" t="s">
        <v>115</v>
      </c>
      <c r="B21" s="66">
        <f>AVERAGE(B12,B14:B19)</f>
        <v>0.12021428571428572</v>
      </c>
      <c r="C21" s="66">
        <f>AVERAGE(C12,C14:C19)</f>
        <v>0.16838608667044122</v>
      </c>
      <c r="D21" s="67">
        <f>AVERAGE(D12,D14:D18)</f>
        <v>7995.5555555555547</v>
      </c>
      <c r="E21" s="68">
        <f>AVERAGE(E12,E14:E18)</f>
        <v>150378.54166666666</v>
      </c>
      <c r="F21" s="69">
        <f>SUM(E12,E14:E19)/SUM(D12,D14:D19)</f>
        <v>20.617734630855324</v>
      </c>
      <c r="G21" s="69">
        <f>AVERAGE(G12,G14:G18)</f>
        <v>4.3994989523650743</v>
      </c>
      <c r="H21" s="1"/>
      <c r="I21" s="1"/>
    </row>
    <row r="22" spans="1:9" x14ac:dyDescent="0.25">
      <c r="A22" s="2"/>
      <c r="B22" s="11"/>
      <c r="C22" s="11"/>
      <c r="D22" s="12"/>
      <c r="E22" s="13"/>
      <c r="F22" s="14"/>
      <c r="G22" s="14"/>
      <c r="H22" s="1"/>
      <c r="I22" s="1"/>
    </row>
    <row r="23" spans="1:9" x14ac:dyDescent="0.25">
      <c r="A23" s="1"/>
      <c r="B23" s="1"/>
      <c r="C23" s="1"/>
      <c r="D23" s="1"/>
      <c r="E23" s="1"/>
      <c r="F23" s="1"/>
      <c r="G23" s="1"/>
      <c r="H23" s="1"/>
      <c r="I23" s="1"/>
    </row>
    <row r="24" spans="1:9" x14ac:dyDescent="0.25">
      <c r="A24" s="2" t="s">
        <v>116</v>
      </c>
      <c r="B24" s="15"/>
      <c r="C24" s="1"/>
      <c r="D24" s="1"/>
      <c r="E24" s="1"/>
      <c r="F24" s="1"/>
      <c r="G24" s="1"/>
      <c r="H24" s="1"/>
      <c r="I24" s="1"/>
    </row>
    <row r="25" spans="1:9" ht="38.25" x14ac:dyDescent="0.25">
      <c r="A25" s="20" t="s">
        <v>116</v>
      </c>
      <c r="B25" s="9" t="s">
        <v>117</v>
      </c>
      <c r="C25" s="9" t="s">
        <v>118</v>
      </c>
      <c r="D25" s="9" t="s">
        <v>119</v>
      </c>
      <c r="E25" s="9" t="s">
        <v>120</v>
      </c>
      <c r="F25" s="9" t="s">
        <v>121</v>
      </c>
      <c r="G25" s="9" t="s">
        <v>122</v>
      </c>
      <c r="H25" s="9" t="s">
        <v>123</v>
      </c>
      <c r="I25" s="9" t="s">
        <v>124</v>
      </c>
    </row>
    <row r="26" spans="1:9" x14ac:dyDescent="0.25">
      <c r="A26" s="1" t="s">
        <v>125</v>
      </c>
      <c r="B26" s="7">
        <v>0.73</v>
      </c>
      <c r="C26" s="7">
        <v>0.76</v>
      </c>
      <c r="D26" s="7">
        <v>0.84</v>
      </c>
      <c r="E26" s="7">
        <v>0.88</v>
      </c>
      <c r="F26" s="7">
        <v>0.62</v>
      </c>
      <c r="G26" s="7">
        <v>0.82</v>
      </c>
      <c r="H26" s="7">
        <v>0.78</v>
      </c>
      <c r="I26" s="1"/>
    </row>
    <row r="27" spans="1:9" x14ac:dyDescent="0.25">
      <c r="A27" s="1" t="s">
        <v>126</v>
      </c>
      <c r="B27" s="7">
        <v>0.67</v>
      </c>
      <c r="C27" s="7">
        <v>0.64</v>
      </c>
      <c r="D27" s="7">
        <v>0.81</v>
      </c>
      <c r="E27" s="7">
        <v>0.77</v>
      </c>
      <c r="F27" s="7">
        <v>0.56000000000000005</v>
      </c>
      <c r="G27" s="7">
        <v>0.77</v>
      </c>
      <c r="H27" s="7">
        <v>0.8</v>
      </c>
      <c r="I27" s="1"/>
    </row>
    <row r="28" spans="1:9" x14ac:dyDescent="0.25">
      <c r="A28" s="1" t="s">
        <v>127</v>
      </c>
      <c r="B28" s="5">
        <f t="shared" ref="B28:H28" si="2">(B27-B26)/B26</f>
        <v>-8.2191780821917734E-2</v>
      </c>
      <c r="C28" s="5">
        <f t="shared" si="2"/>
        <v>-0.15789473684210525</v>
      </c>
      <c r="D28" s="5">
        <f t="shared" si="2"/>
        <v>-3.5714285714285615E-2</v>
      </c>
      <c r="E28" s="5">
        <f t="shared" si="2"/>
        <v>-0.12499999999999999</v>
      </c>
      <c r="F28" s="5">
        <f t="shared" si="2"/>
        <v>-9.6774193548387011E-2</v>
      </c>
      <c r="G28" s="5">
        <f t="shared" si="2"/>
        <v>-6.0975609756097483E-2</v>
      </c>
      <c r="H28" s="5">
        <f t="shared" si="2"/>
        <v>2.5641025641025664E-2</v>
      </c>
      <c r="I28" s="16">
        <f>-SUMPRODUCT(B28:H28,B$30:H$30)/SUM(B$30:H$30)</f>
        <v>9.1028367113964073E-2</v>
      </c>
    </row>
    <row r="29" spans="1:9" x14ac:dyDescent="0.25">
      <c r="A29" s="1" t="s">
        <v>128</v>
      </c>
      <c r="B29" s="10">
        <v>871500</v>
      </c>
      <c r="C29" s="10">
        <v>363937</v>
      </c>
      <c r="D29" s="10">
        <v>128283</v>
      </c>
      <c r="E29" s="10">
        <v>149121</v>
      </c>
      <c r="F29" s="10">
        <v>131660</v>
      </c>
      <c r="G29" s="10">
        <v>162355</v>
      </c>
      <c r="H29" s="10">
        <v>162754</v>
      </c>
      <c r="I29" s="1"/>
    </row>
    <row r="30" spans="1:9" x14ac:dyDescent="0.25">
      <c r="A30" s="1" t="s">
        <v>129</v>
      </c>
      <c r="B30" s="3">
        <v>151963</v>
      </c>
      <c r="C30" s="3">
        <v>34855</v>
      </c>
      <c r="D30" s="3">
        <v>4493</v>
      </c>
      <c r="E30" s="3">
        <v>1537</v>
      </c>
      <c r="F30" s="3">
        <v>12017</v>
      </c>
      <c r="G30" s="3">
        <v>19573</v>
      </c>
      <c r="H30" s="3">
        <v>2334</v>
      </c>
      <c r="I30" s="1"/>
    </row>
    <row r="31" spans="1:9" x14ac:dyDescent="0.25">
      <c r="A31" s="1" t="s">
        <v>130</v>
      </c>
      <c r="B31" s="6">
        <f t="shared" ref="B31:H31" si="3">B29/B30/2</f>
        <v>2.8674743194066976</v>
      </c>
      <c r="C31" s="6">
        <f t="shared" si="3"/>
        <v>5.22072873332377</v>
      </c>
      <c r="D31" s="6">
        <f t="shared" si="3"/>
        <v>14.275873581126197</v>
      </c>
      <c r="E31" s="6">
        <f t="shared" si="3"/>
        <v>48.510409889394928</v>
      </c>
      <c r="F31" s="6">
        <f t="shared" si="3"/>
        <v>5.4780727302987433</v>
      </c>
      <c r="G31" s="6">
        <f t="shared" si="3"/>
        <v>4.1474224697287081</v>
      </c>
      <c r="H31" s="6">
        <f t="shared" si="3"/>
        <v>34.865895458440448</v>
      </c>
      <c r="I31" s="17">
        <f>SUMPRODUCT(B31:H31,B$30:H$30)/SUM(B$30:H$30)</f>
        <v>4.3427098583599388</v>
      </c>
    </row>
  </sheetData>
  <mergeCells count="1">
    <mergeCell ref="A13:G13"/>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C65911"/>
  </sheetPr>
  <dimension ref="A1:O337"/>
  <sheetViews>
    <sheetView workbookViewId="0">
      <pane ySplit="1" topLeftCell="A311" activePane="bottomLeft" state="frozen"/>
      <selection pane="bottomLeft" activeCell="A263" sqref="A263"/>
    </sheetView>
  </sheetViews>
  <sheetFormatPr defaultColWidth="8.85546875" defaultRowHeight="12.75" x14ac:dyDescent="0.2"/>
  <cols>
    <col min="1" max="1" width="43" style="1" customWidth="1"/>
    <col min="2" max="2" width="5" style="1" bestFit="1" customWidth="1"/>
    <col min="3" max="3" width="12.42578125" style="1" bestFit="1" customWidth="1"/>
    <col min="4" max="4" width="28.5703125" style="1" bestFit="1" customWidth="1"/>
    <col min="5" max="5" width="21" style="1" bestFit="1" customWidth="1"/>
    <col min="6" max="6" width="12" style="1" bestFit="1" customWidth="1"/>
    <col min="7" max="16384" width="8.85546875" style="1"/>
  </cols>
  <sheetData>
    <row r="1" spans="1:6" x14ac:dyDescent="0.2">
      <c r="A1" s="1" t="s">
        <v>131</v>
      </c>
      <c r="B1" s="1" t="s">
        <v>132</v>
      </c>
      <c r="C1" s="1" t="s">
        <v>133</v>
      </c>
      <c r="D1" s="1" t="s">
        <v>134</v>
      </c>
      <c r="E1" s="1" t="s">
        <v>135</v>
      </c>
      <c r="F1" s="1" t="s">
        <v>136</v>
      </c>
    </row>
    <row r="2" spans="1:6" x14ac:dyDescent="0.2">
      <c r="A2" s="18" t="s">
        <v>137</v>
      </c>
    </row>
    <row r="3" spans="1:6" x14ac:dyDescent="0.2">
      <c r="A3" s="1" t="s">
        <v>138</v>
      </c>
      <c r="B3" s="1">
        <v>2005</v>
      </c>
      <c r="C3" s="1" t="s">
        <v>139</v>
      </c>
      <c r="D3" s="1" t="s">
        <v>140</v>
      </c>
      <c r="E3" s="1" t="s">
        <v>48</v>
      </c>
      <c r="F3" s="1">
        <v>6.5191859589998904</v>
      </c>
    </row>
    <row r="4" spans="1:6" x14ac:dyDescent="0.2">
      <c r="A4" s="1" t="s">
        <v>141</v>
      </c>
      <c r="B4" s="1">
        <v>2005</v>
      </c>
      <c r="C4" s="1" t="s">
        <v>139</v>
      </c>
      <c r="D4" s="1" t="s">
        <v>140</v>
      </c>
      <c r="E4" s="1" t="s">
        <v>50</v>
      </c>
      <c r="F4" s="1">
        <v>10.957691585136599</v>
      </c>
    </row>
    <row r="5" spans="1:6" x14ac:dyDescent="0.2">
      <c r="A5" s="1" t="s">
        <v>142</v>
      </c>
      <c r="B5" s="1">
        <v>2005</v>
      </c>
      <c r="C5" s="1" t="s">
        <v>139</v>
      </c>
      <c r="D5" s="1" t="s">
        <v>140</v>
      </c>
      <c r="E5" s="1" t="s">
        <v>44</v>
      </c>
      <c r="F5" s="1">
        <v>2499076</v>
      </c>
    </row>
    <row r="6" spans="1:6" x14ac:dyDescent="0.2">
      <c r="A6" s="1" t="s">
        <v>143</v>
      </c>
      <c r="B6" s="1">
        <v>2005</v>
      </c>
      <c r="C6" s="1" t="s">
        <v>139</v>
      </c>
      <c r="D6" s="1" t="s">
        <v>140</v>
      </c>
      <c r="E6" s="1" t="s">
        <v>46</v>
      </c>
      <c r="F6" s="1">
        <v>3575933</v>
      </c>
    </row>
    <row r="7" spans="1:6" x14ac:dyDescent="0.2">
      <c r="A7" s="1" t="s">
        <v>144</v>
      </c>
      <c r="B7" s="1">
        <v>2010</v>
      </c>
      <c r="C7" s="1" t="s">
        <v>139</v>
      </c>
      <c r="D7" s="1" t="s">
        <v>145</v>
      </c>
      <c r="E7" s="1" t="s">
        <v>48</v>
      </c>
      <c r="F7" s="1">
        <v>6.3400524459458101</v>
      </c>
    </row>
    <row r="8" spans="1:6" x14ac:dyDescent="0.2">
      <c r="A8" s="1" t="s">
        <v>146</v>
      </c>
      <c r="B8" s="1">
        <v>2010</v>
      </c>
      <c r="C8" s="1" t="s">
        <v>139</v>
      </c>
      <c r="D8" s="1" t="s">
        <v>145</v>
      </c>
      <c r="E8" s="1" t="s">
        <v>50</v>
      </c>
      <c r="F8" s="1">
        <v>10.6123313910186</v>
      </c>
    </row>
    <row r="9" spans="1:6" x14ac:dyDescent="0.2">
      <c r="A9" s="1" t="s">
        <v>147</v>
      </c>
      <c r="B9" s="1">
        <v>2010</v>
      </c>
      <c r="C9" s="1" t="s">
        <v>139</v>
      </c>
      <c r="D9" s="1" t="s">
        <v>145</v>
      </c>
      <c r="E9" s="1" t="s">
        <v>44</v>
      </c>
      <c r="F9" s="1">
        <v>2609000</v>
      </c>
    </row>
    <row r="10" spans="1:6" x14ac:dyDescent="0.2">
      <c r="A10" s="1" t="s">
        <v>148</v>
      </c>
      <c r="B10" s="1">
        <v>2010</v>
      </c>
      <c r="C10" s="1" t="s">
        <v>139</v>
      </c>
      <c r="D10" s="1" t="s">
        <v>145</v>
      </c>
      <c r="E10" s="1" t="s">
        <v>46</v>
      </c>
      <c r="F10" s="1">
        <v>3410853</v>
      </c>
    </row>
    <row r="11" spans="1:6" x14ac:dyDescent="0.2">
      <c r="A11" s="1" t="s">
        <v>149</v>
      </c>
      <c r="B11" s="1">
        <v>2015</v>
      </c>
      <c r="C11" s="1" t="s">
        <v>139</v>
      </c>
      <c r="D11" s="1" t="s">
        <v>150</v>
      </c>
      <c r="E11" s="1" t="s">
        <v>48</v>
      </c>
      <c r="F11" s="1">
        <v>6.40560620899734</v>
      </c>
    </row>
    <row r="12" spans="1:6" x14ac:dyDescent="0.2">
      <c r="A12" s="1" t="s">
        <v>151</v>
      </c>
      <c r="B12" s="1">
        <v>2015</v>
      </c>
      <c r="C12" s="1" t="s">
        <v>139</v>
      </c>
      <c r="D12" s="1" t="s">
        <v>150</v>
      </c>
      <c r="E12" s="1" t="s">
        <v>50</v>
      </c>
      <c r="F12" s="1">
        <v>10.545783861042899</v>
      </c>
    </row>
    <row r="13" spans="1:6" x14ac:dyDescent="0.2">
      <c r="A13" s="1" t="s">
        <v>152</v>
      </c>
      <c r="B13" s="1">
        <v>2015</v>
      </c>
      <c r="C13" s="1" t="s">
        <v>139</v>
      </c>
      <c r="D13" s="1" t="s">
        <v>150</v>
      </c>
      <c r="E13" s="1" t="s">
        <v>44</v>
      </c>
      <c r="F13" s="1">
        <v>2760479</v>
      </c>
    </row>
    <row r="14" spans="1:6" x14ac:dyDescent="0.2">
      <c r="A14" s="1" t="s">
        <v>153</v>
      </c>
      <c r="B14" s="1">
        <v>2015</v>
      </c>
      <c r="C14" s="1" t="s">
        <v>139</v>
      </c>
      <c r="D14" s="1" t="s">
        <v>150</v>
      </c>
      <c r="E14" s="1" t="s">
        <v>46</v>
      </c>
      <c r="F14" s="1">
        <v>4010135</v>
      </c>
    </row>
    <row r="15" spans="1:6" x14ac:dyDescent="0.2">
      <c r="A15" s="1" t="s">
        <v>154</v>
      </c>
      <c r="B15" s="1">
        <v>2020</v>
      </c>
      <c r="C15" s="1" t="s">
        <v>155</v>
      </c>
      <c r="D15" s="1" t="s">
        <v>156</v>
      </c>
      <c r="E15" s="1" t="s">
        <v>48</v>
      </c>
      <c r="F15" s="1">
        <v>6.3732902953517101</v>
      </c>
    </row>
    <row r="16" spans="1:6" x14ac:dyDescent="0.2">
      <c r="A16" s="1" t="s">
        <v>157</v>
      </c>
      <c r="B16" s="1">
        <v>2020</v>
      </c>
      <c r="C16" s="1" t="s">
        <v>155</v>
      </c>
      <c r="D16" s="1" t="s">
        <v>156</v>
      </c>
      <c r="E16" s="1" t="s">
        <v>50</v>
      </c>
      <c r="F16" s="1">
        <v>10.4682026983628</v>
      </c>
    </row>
    <row r="17" spans="1:6" x14ac:dyDescent="0.2">
      <c r="A17" s="1" t="s">
        <v>158</v>
      </c>
      <c r="B17" s="1">
        <v>2020</v>
      </c>
      <c r="C17" s="1" t="s">
        <v>155</v>
      </c>
      <c r="D17" s="1" t="s">
        <v>156</v>
      </c>
      <c r="E17" s="1" t="s">
        <v>44</v>
      </c>
      <c r="F17" s="1">
        <v>2881967</v>
      </c>
    </row>
    <row r="18" spans="1:6" x14ac:dyDescent="0.2">
      <c r="A18" s="1" t="s">
        <v>159</v>
      </c>
      <c r="B18" s="1">
        <v>2020</v>
      </c>
      <c r="C18" s="1" t="s">
        <v>155</v>
      </c>
      <c r="D18" s="1" t="s">
        <v>156</v>
      </c>
      <c r="E18" s="1" t="s">
        <v>46</v>
      </c>
      <c r="F18" s="1">
        <v>4136190</v>
      </c>
    </row>
    <row r="19" spans="1:6" x14ac:dyDescent="0.2">
      <c r="A19" s="1" t="s">
        <v>160</v>
      </c>
      <c r="B19" s="1">
        <v>2020</v>
      </c>
      <c r="C19" s="1" t="s">
        <v>161</v>
      </c>
      <c r="D19" s="1" t="s">
        <v>162</v>
      </c>
      <c r="E19" s="1" t="s">
        <v>48</v>
      </c>
      <c r="F19" s="1">
        <v>6.3419583564600401</v>
      </c>
    </row>
    <row r="20" spans="1:6" x14ac:dyDescent="0.2">
      <c r="A20" s="1" t="s">
        <v>163</v>
      </c>
      <c r="B20" s="1">
        <v>2020</v>
      </c>
      <c r="C20" s="1" t="s">
        <v>161</v>
      </c>
      <c r="D20" s="1" t="s">
        <v>162</v>
      </c>
      <c r="E20" s="1" t="s">
        <v>50</v>
      </c>
      <c r="F20" s="1">
        <v>10.4822346438546</v>
      </c>
    </row>
    <row r="21" spans="1:6" x14ac:dyDescent="0.2">
      <c r="A21" s="1" t="s">
        <v>164</v>
      </c>
      <c r="B21" s="1">
        <v>2020</v>
      </c>
      <c r="C21" s="1" t="s">
        <v>161</v>
      </c>
      <c r="D21" s="1" t="s">
        <v>162</v>
      </c>
      <c r="E21" s="1" t="s">
        <v>44</v>
      </c>
      <c r="F21" s="1">
        <v>2881967</v>
      </c>
    </row>
    <row r="22" spans="1:6" x14ac:dyDescent="0.2">
      <c r="A22" s="1" t="s">
        <v>165</v>
      </c>
      <c r="B22" s="1">
        <v>2020</v>
      </c>
      <c r="C22" s="1" t="s">
        <v>161</v>
      </c>
      <c r="D22" s="1" t="s">
        <v>162</v>
      </c>
      <c r="E22" s="1" t="s">
        <v>46</v>
      </c>
      <c r="F22" s="1">
        <v>4136190</v>
      </c>
    </row>
    <row r="23" spans="1:6" x14ac:dyDescent="0.2">
      <c r="A23" s="1" t="s">
        <v>166</v>
      </c>
      <c r="B23" s="1">
        <v>2020</v>
      </c>
      <c r="C23" s="1" t="s">
        <v>167</v>
      </c>
      <c r="D23" s="1" t="s">
        <v>168</v>
      </c>
      <c r="E23" s="1" t="s">
        <v>48</v>
      </c>
      <c r="F23" s="1">
        <v>6.4155249281410702</v>
      </c>
    </row>
    <row r="24" spans="1:6" x14ac:dyDescent="0.2">
      <c r="A24" s="1" t="s">
        <v>169</v>
      </c>
      <c r="B24" s="1">
        <v>2020</v>
      </c>
      <c r="C24" s="1" t="s">
        <v>167</v>
      </c>
      <c r="D24" s="1" t="s">
        <v>168</v>
      </c>
      <c r="E24" s="1" t="s">
        <v>50</v>
      </c>
      <c r="F24" s="1">
        <v>10.599557983159199</v>
      </c>
    </row>
    <row r="25" spans="1:6" x14ac:dyDescent="0.2">
      <c r="A25" s="1" t="s">
        <v>170</v>
      </c>
      <c r="B25" s="1">
        <v>2020</v>
      </c>
      <c r="C25" s="1" t="s">
        <v>167</v>
      </c>
      <c r="D25" s="1" t="s">
        <v>168</v>
      </c>
      <c r="E25" s="1" t="s">
        <v>44</v>
      </c>
      <c r="F25" s="1">
        <v>2881967</v>
      </c>
    </row>
    <row r="26" spans="1:6" x14ac:dyDescent="0.2">
      <c r="A26" s="1" t="s">
        <v>171</v>
      </c>
      <c r="B26" s="1">
        <v>2020</v>
      </c>
      <c r="C26" s="1" t="s">
        <v>167</v>
      </c>
      <c r="D26" s="1" t="s">
        <v>168</v>
      </c>
      <c r="E26" s="1" t="s">
        <v>46</v>
      </c>
      <c r="F26" s="1">
        <v>4136190</v>
      </c>
    </row>
    <row r="27" spans="1:6" x14ac:dyDescent="0.2">
      <c r="A27" s="1" t="s">
        <v>172</v>
      </c>
      <c r="B27" s="1">
        <v>2020</v>
      </c>
      <c r="C27" s="1" t="s">
        <v>173</v>
      </c>
      <c r="D27" s="1" t="s">
        <v>174</v>
      </c>
      <c r="E27" s="1" t="s">
        <v>48</v>
      </c>
      <c r="F27" s="1">
        <v>6.4305122787667504</v>
      </c>
    </row>
    <row r="28" spans="1:6" x14ac:dyDescent="0.2">
      <c r="A28" s="1" t="s">
        <v>175</v>
      </c>
      <c r="B28" s="1">
        <v>2020</v>
      </c>
      <c r="C28" s="1" t="s">
        <v>173</v>
      </c>
      <c r="D28" s="1" t="s">
        <v>174</v>
      </c>
      <c r="E28" s="1" t="s">
        <v>50</v>
      </c>
      <c r="F28" s="1">
        <v>10.621906042486099</v>
      </c>
    </row>
    <row r="29" spans="1:6" x14ac:dyDescent="0.2">
      <c r="A29" s="1" t="s">
        <v>176</v>
      </c>
      <c r="B29" s="1">
        <v>2020</v>
      </c>
      <c r="C29" s="1" t="s">
        <v>173</v>
      </c>
      <c r="D29" s="1" t="s">
        <v>174</v>
      </c>
      <c r="E29" s="1" t="s">
        <v>44</v>
      </c>
      <c r="F29" s="1">
        <v>2881967</v>
      </c>
    </row>
    <row r="30" spans="1:6" x14ac:dyDescent="0.2">
      <c r="A30" s="1" t="s">
        <v>177</v>
      </c>
      <c r="B30" s="1">
        <v>2020</v>
      </c>
      <c r="C30" s="1" t="s">
        <v>173</v>
      </c>
      <c r="D30" s="1" t="s">
        <v>174</v>
      </c>
      <c r="E30" s="1" t="s">
        <v>46</v>
      </c>
      <c r="F30" s="1">
        <v>4136190</v>
      </c>
    </row>
    <row r="31" spans="1:6" x14ac:dyDescent="0.2">
      <c r="A31" s="1" t="s">
        <v>178</v>
      </c>
      <c r="B31" s="1">
        <v>2020</v>
      </c>
      <c r="C31" s="1" t="s">
        <v>179</v>
      </c>
      <c r="D31" s="1" t="s">
        <v>180</v>
      </c>
      <c r="E31" s="1" t="s">
        <v>48</v>
      </c>
      <c r="F31" s="1">
        <v>6.3890107522914699</v>
      </c>
    </row>
    <row r="32" spans="1:6" x14ac:dyDescent="0.2">
      <c r="A32" s="1" t="s">
        <v>181</v>
      </c>
      <c r="B32" s="1">
        <v>2020</v>
      </c>
      <c r="C32" s="1" t="s">
        <v>179</v>
      </c>
      <c r="D32" s="1" t="s">
        <v>180</v>
      </c>
      <c r="E32" s="1" t="s">
        <v>50</v>
      </c>
      <c r="F32" s="1">
        <v>10.4930081657731</v>
      </c>
    </row>
    <row r="33" spans="1:6" x14ac:dyDescent="0.2">
      <c r="A33" s="1" t="s">
        <v>182</v>
      </c>
      <c r="B33" s="1">
        <v>2020</v>
      </c>
      <c r="C33" s="1" t="s">
        <v>179</v>
      </c>
      <c r="D33" s="1" t="s">
        <v>180</v>
      </c>
      <c r="E33" s="1" t="s">
        <v>44</v>
      </c>
      <c r="F33" s="1">
        <v>2881967</v>
      </c>
    </row>
    <row r="34" spans="1:6" x14ac:dyDescent="0.2">
      <c r="A34" s="1" t="s">
        <v>183</v>
      </c>
      <c r="B34" s="1">
        <v>2020</v>
      </c>
      <c r="C34" s="1" t="s">
        <v>179</v>
      </c>
      <c r="D34" s="1" t="s">
        <v>180</v>
      </c>
      <c r="E34" s="1" t="s">
        <v>46</v>
      </c>
      <c r="F34" s="1">
        <v>4136190</v>
      </c>
    </row>
    <row r="35" spans="1:6" x14ac:dyDescent="0.2">
      <c r="A35" s="1" t="s">
        <v>184</v>
      </c>
      <c r="B35" s="1">
        <v>2035</v>
      </c>
      <c r="C35" s="1" t="s">
        <v>155</v>
      </c>
      <c r="D35" s="1" t="s">
        <v>185</v>
      </c>
      <c r="E35" s="1" t="s">
        <v>48</v>
      </c>
      <c r="F35" s="1">
        <v>6.3089795273836504</v>
      </c>
    </row>
    <row r="36" spans="1:6" x14ac:dyDescent="0.2">
      <c r="A36" s="1" t="s">
        <v>186</v>
      </c>
      <c r="B36" s="1">
        <v>2035</v>
      </c>
      <c r="C36" s="1" t="s">
        <v>155</v>
      </c>
      <c r="D36" s="1" t="s">
        <v>185</v>
      </c>
      <c r="E36" s="1" t="s">
        <v>50</v>
      </c>
      <c r="F36" s="1">
        <v>10.308501209574301</v>
      </c>
    </row>
    <row r="37" spans="1:6" x14ac:dyDescent="0.2">
      <c r="A37" s="1" t="s">
        <v>187</v>
      </c>
      <c r="B37" s="1">
        <v>2035</v>
      </c>
      <c r="C37" s="1" t="s">
        <v>155</v>
      </c>
      <c r="D37" s="1" t="s">
        <v>185</v>
      </c>
      <c r="E37" s="1" t="s">
        <v>44</v>
      </c>
      <c r="F37" s="1">
        <v>3281131</v>
      </c>
    </row>
    <row r="38" spans="1:6" x14ac:dyDescent="0.2">
      <c r="A38" s="1" t="s">
        <v>188</v>
      </c>
      <c r="B38" s="1">
        <v>2035</v>
      </c>
      <c r="C38" s="1" t="s">
        <v>155</v>
      </c>
      <c r="D38" s="1" t="s">
        <v>185</v>
      </c>
      <c r="E38" s="1" t="s">
        <v>46</v>
      </c>
      <c r="F38" s="1">
        <v>4548564</v>
      </c>
    </row>
    <row r="39" spans="1:6" x14ac:dyDescent="0.2">
      <c r="A39" s="1" t="s">
        <v>189</v>
      </c>
      <c r="B39" s="1">
        <v>2035</v>
      </c>
      <c r="C39" s="1" t="s">
        <v>161</v>
      </c>
      <c r="D39" s="1" t="s">
        <v>190</v>
      </c>
      <c r="E39" s="1" t="s">
        <v>48</v>
      </c>
      <c r="F39" s="1">
        <v>6.2924751180402296</v>
      </c>
    </row>
    <row r="40" spans="1:6" x14ac:dyDescent="0.2">
      <c r="A40" s="1" t="s">
        <v>191</v>
      </c>
      <c r="B40" s="1">
        <v>2035</v>
      </c>
      <c r="C40" s="1" t="s">
        <v>161</v>
      </c>
      <c r="D40" s="1" t="s">
        <v>190</v>
      </c>
      <c r="E40" s="1" t="s">
        <v>50</v>
      </c>
      <c r="F40" s="1">
        <v>10.429852493932099</v>
      </c>
    </row>
    <row r="41" spans="1:6" x14ac:dyDescent="0.2">
      <c r="A41" s="1" t="s">
        <v>192</v>
      </c>
      <c r="B41" s="1">
        <v>2035</v>
      </c>
      <c r="C41" s="1" t="s">
        <v>161</v>
      </c>
      <c r="D41" s="1" t="s">
        <v>190</v>
      </c>
      <c r="E41" s="1" t="s">
        <v>44</v>
      </c>
      <c r="F41" s="1">
        <v>3281131</v>
      </c>
    </row>
    <row r="42" spans="1:6" x14ac:dyDescent="0.2">
      <c r="A42" s="1" t="s">
        <v>193</v>
      </c>
      <c r="B42" s="1">
        <v>2035</v>
      </c>
      <c r="C42" s="1" t="s">
        <v>161</v>
      </c>
      <c r="D42" s="1" t="s">
        <v>190</v>
      </c>
      <c r="E42" s="1" t="s">
        <v>46</v>
      </c>
      <c r="F42" s="1">
        <v>4548564</v>
      </c>
    </row>
    <row r="43" spans="1:6" x14ac:dyDescent="0.2">
      <c r="A43" s="1" t="s">
        <v>194</v>
      </c>
      <c r="B43" s="1">
        <v>2035</v>
      </c>
      <c r="C43" s="1" t="s">
        <v>167</v>
      </c>
      <c r="D43" s="1" t="s">
        <v>195</v>
      </c>
      <c r="E43" s="1" t="s">
        <v>48</v>
      </c>
      <c r="F43" s="1">
        <v>6.3768274076118496</v>
      </c>
    </row>
    <row r="44" spans="1:6" x14ac:dyDescent="0.2">
      <c r="A44" s="1" t="s">
        <v>196</v>
      </c>
      <c r="B44" s="1">
        <v>2035</v>
      </c>
      <c r="C44" s="1" t="s">
        <v>167</v>
      </c>
      <c r="D44" s="1" t="s">
        <v>195</v>
      </c>
      <c r="E44" s="1" t="s">
        <v>50</v>
      </c>
      <c r="F44" s="1">
        <v>10.717086977629201</v>
      </c>
    </row>
    <row r="45" spans="1:6" x14ac:dyDescent="0.2">
      <c r="A45" s="1" t="s">
        <v>197</v>
      </c>
      <c r="B45" s="1">
        <v>2035</v>
      </c>
      <c r="C45" s="1" t="s">
        <v>167</v>
      </c>
      <c r="D45" s="1" t="s">
        <v>195</v>
      </c>
      <c r="E45" s="1" t="s">
        <v>44</v>
      </c>
      <c r="F45" s="1">
        <v>3281131</v>
      </c>
    </row>
    <row r="46" spans="1:6" x14ac:dyDescent="0.2">
      <c r="A46" s="1" t="s">
        <v>198</v>
      </c>
      <c r="B46" s="1">
        <v>2035</v>
      </c>
      <c r="C46" s="1" t="s">
        <v>167</v>
      </c>
      <c r="D46" s="1" t="s">
        <v>195</v>
      </c>
      <c r="E46" s="1" t="s">
        <v>46</v>
      </c>
      <c r="F46" s="1">
        <v>4548564</v>
      </c>
    </row>
    <row r="47" spans="1:6" x14ac:dyDescent="0.2">
      <c r="A47" s="1" t="s">
        <v>199</v>
      </c>
      <c r="B47" s="1">
        <v>2035</v>
      </c>
      <c r="C47" s="1" t="s">
        <v>173</v>
      </c>
      <c r="D47" s="1" t="s">
        <v>200</v>
      </c>
      <c r="E47" s="1" t="s">
        <v>48</v>
      </c>
      <c r="F47" s="1">
        <v>6.5309051664380799</v>
      </c>
    </row>
    <row r="48" spans="1:6" x14ac:dyDescent="0.2">
      <c r="A48" s="1" t="s">
        <v>201</v>
      </c>
      <c r="B48" s="1">
        <v>2035</v>
      </c>
      <c r="C48" s="1" t="s">
        <v>173</v>
      </c>
      <c r="D48" s="1" t="s">
        <v>200</v>
      </c>
      <c r="E48" s="1" t="s">
        <v>50</v>
      </c>
      <c r="F48" s="1">
        <v>11.097844935215001</v>
      </c>
    </row>
    <row r="49" spans="1:6" x14ac:dyDescent="0.2">
      <c r="A49" s="1" t="s">
        <v>202</v>
      </c>
      <c r="B49" s="1">
        <v>2035</v>
      </c>
      <c r="C49" s="1" t="s">
        <v>173</v>
      </c>
      <c r="D49" s="1" t="s">
        <v>200</v>
      </c>
      <c r="E49" s="1" t="s">
        <v>44</v>
      </c>
      <c r="F49" s="1">
        <v>3281131</v>
      </c>
    </row>
    <row r="50" spans="1:6" x14ac:dyDescent="0.2">
      <c r="A50" s="1" t="s">
        <v>203</v>
      </c>
      <c r="B50" s="1">
        <v>2035</v>
      </c>
      <c r="C50" s="1" t="s">
        <v>173</v>
      </c>
      <c r="D50" s="1" t="s">
        <v>200</v>
      </c>
      <c r="E50" s="1" t="s">
        <v>46</v>
      </c>
      <c r="F50" s="1">
        <v>4548564</v>
      </c>
    </row>
    <row r="51" spans="1:6" x14ac:dyDescent="0.2">
      <c r="A51" s="1" t="s">
        <v>204</v>
      </c>
      <c r="B51" s="1">
        <v>2035</v>
      </c>
      <c r="C51" s="1" t="s">
        <v>179</v>
      </c>
      <c r="D51" s="1" t="s">
        <v>205</v>
      </c>
      <c r="E51" s="1" t="s">
        <v>48</v>
      </c>
      <c r="F51" s="1">
        <v>6.40205163256367</v>
      </c>
    </row>
    <row r="52" spans="1:6" x14ac:dyDescent="0.2">
      <c r="A52" s="1" t="s">
        <v>206</v>
      </c>
      <c r="B52" s="1">
        <v>2035</v>
      </c>
      <c r="C52" s="1" t="s">
        <v>179</v>
      </c>
      <c r="D52" s="1" t="s">
        <v>205</v>
      </c>
      <c r="E52" s="1" t="s">
        <v>50</v>
      </c>
      <c r="F52" s="1">
        <v>10.6349925764824</v>
      </c>
    </row>
    <row r="53" spans="1:6" x14ac:dyDescent="0.2">
      <c r="A53" s="1" t="s">
        <v>207</v>
      </c>
      <c r="B53" s="1">
        <v>2035</v>
      </c>
      <c r="C53" s="1" t="s">
        <v>179</v>
      </c>
      <c r="D53" s="1" t="s">
        <v>205</v>
      </c>
      <c r="E53" s="1" t="s">
        <v>44</v>
      </c>
      <c r="F53" s="1">
        <v>3281131</v>
      </c>
    </row>
    <row r="54" spans="1:6" x14ac:dyDescent="0.2">
      <c r="A54" s="1" t="s">
        <v>208</v>
      </c>
      <c r="B54" s="1">
        <v>2035</v>
      </c>
      <c r="C54" s="1" t="s">
        <v>179</v>
      </c>
      <c r="D54" s="1" t="s">
        <v>205</v>
      </c>
      <c r="E54" s="1" t="s">
        <v>46</v>
      </c>
      <c r="F54" s="1">
        <v>4548564</v>
      </c>
    </row>
    <row r="55" spans="1:6" x14ac:dyDescent="0.2">
      <c r="A55" s="1" t="s">
        <v>209</v>
      </c>
      <c r="B55" s="1">
        <v>2040</v>
      </c>
      <c r="C55" s="1" t="s">
        <v>155</v>
      </c>
      <c r="D55" s="1" t="s">
        <v>210</v>
      </c>
      <c r="E55" s="1" t="s">
        <v>48</v>
      </c>
      <c r="F55" s="1">
        <v>6.1853225193639796</v>
      </c>
    </row>
    <row r="56" spans="1:6" x14ac:dyDescent="0.2">
      <c r="A56" s="1" t="s">
        <v>211</v>
      </c>
      <c r="B56" s="1">
        <v>2040</v>
      </c>
      <c r="C56" s="1" t="s">
        <v>155</v>
      </c>
      <c r="D56" s="1" t="s">
        <v>210</v>
      </c>
      <c r="E56" s="1" t="s">
        <v>50</v>
      </c>
      <c r="F56" s="1">
        <v>10.188689651191201</v>
      </c>
    </row>
    <row r="57" spans="1:6" x14ac:dyDescent="0.2">
      <c r="A57" s="1" t="s">
        <v>212</v>
      </c>
      <c r="B57" s="1">
        <v>2040</v>
      </c>
      <c r="C57" s="1" t="s">
        <v>155</v>
      </c>
      <c r="D57" s="1" t="s">
        <v>210</v>
      </c>
      <c r="E57" s="1" t="s">
        <v>44</v>
      </c>
      <c r="F57" s="1">
        <v>3426700</v>
      </c>
    </row>
    <row r="58" spans="1:6" x14ac:dyDescent="0.2">
      <c r="A58" s="1" t="s">
        <v>213</v>
      </c>
      <c r="B58" s="1">
        <v>2040</v>
      </c>
      <c r="C58" s="1" t="s">
        <v>155</v>
      </c>
      <c r="D58" s="1" t="s">
        <v>210</v>
      </c>
      <c r="E58" s="1" t="s">
        <v>46</v>
      </c>
      <c r="F58" s="1">
        <v>4698374</v>
      </c>
    </row>
    <row r="59" spans="1:6" x14ac:dyDescent="0.2">
      <c r="A59" s="1" t="s">
        <v>214</v>
      </c>
      <c r="B59" s="1">
        <v>2040</v>
      </c>
      <c r="C59" s="1" t="s">
        <v>161</v>
      </c>
      <c r="D59" s="1" t="s">
        <v>215</v>
      </c>
      <c r="E59" s="1" t="s">
        <v>48</v>
      </c>
      <c r="F59" s="1">
        <v>6.18803208940556</v>
      </c>
    </row>
    <row r="60" spans="1:6" x14ac:dyDescent="0.2">
      <c r="A60" s="1" t="s">
        <v>216</v>
      </c>
      <c r="B60" s="1">
        <v>2040</v>
      </c>
      <c r="C60" s="1" t="s">
        <v>161</v>
      </c>
      <c r="D60" s="1" t="s">
        <v>215</v>
      </c>
      <c r="E60" s="1" t="s">
        <v>50</v>
      </c>
      <c r="F60" s="1">
        <v>10.369863883016301</v>
      </c>
    </row>
    <row r="61" spans="1:6" x14ac:dyDescent="0.2">
      <c r="A61" s="1" t="s">
        <v>217</v>
      </c>
      <c r="B61" s="1">
        <v>2040</v>
      </c>
      <c r="C61" s="1" t="s">
        <v>161</v>
      </c>
      <c r="D61" s="1" t="s">
        <v>215</v>
      </c>
      <c r="E61" s="1" t="s">
        <v>44</v>
      </c>
      <c r="F61" s="1">
        <v>3426700</v>
      </c>
    </row>
    <row r="62" spans="1:6" x14ac:dyDescent="0.2">
      <c r="A62" s="1" t="s">
        <v>218</v>
      </c>
      <c r="B62" s="1">
        <v>2040</v>
      </c>
      <c r="C62" s="1" t="s">
        <v>161</v>
      </c>
      <c r="D62" s="1" t="s">
        <v>215</v>
      </c>
      <c r="E62" s="1" t="s">
        <v>46</v>
      </c>
      <c r="F62" s="1">
        <v>4698374</v>
      </c>
    </row>
    <row r="63" spans="1:6" x14ac:dyDescent="0.2">
      <c r="A63" s="1" t="s">
        <v>219</v>
      </c>
      <c r="B63" s="1">
        <v>2040</v>
      </c>
      <c r="C63" s="1" t="s">
        <v>167</v>
      </c>
      <c r="D63" s="1" t="s">
        <v>220</v>
      </c>
      <c r="E63" s="1" t="s">
        <v>48</v>
      </c>
      <c r="F63" s="1">
        <v>6.31436547003233</v>
      </c>
    </row>
    <row r="64" spans="1:6" x14ac:dyDescent="0.2">
      <c r="A64" s="1" t="s">
        <v>221</v>
      </c>
      <c r="B64" s="1">
        <v>2040</v>
      </c>
      <c r="C64" s="1" t="s">
        <v>167</v>
      </c>
      <c r="D64" s="1" t="s">
        <v>220</v>
      </c>
      <c r="E64" s="1" t="s">
        <v>50</v>
      </c>
      <c r="F64" s="1">
        <v>10.737787621564401</v>
      </c>
    </row>
    <row r="65" spans="1:6" x14ac:dyDescent="0.2">
      <c r="A65" s="1" t="s">
        <v>222</v>
      </c>
      <c r="B65" s="1">
        <v>2040</v>
      </c>
      <c r="C65" s="1" t="s">
        <v>167</v>
      </c>
      <c r="D65" s="1" t="s">
        <v>220</v>
      </c>
      <c r="E65" s="1" t="s">
        <v>44</v>
      </c>
      <c r="F65" s="1">
        <v>3426700</v>
      </c>
    </row>
    <row r="66" spans="1:6" x14ac:dyDescent="0.2">
      <c r="A66" s="1" t="s">
        <v>223</v>
      </c>
      <c r="B66" s="1">
        <v>2040</v>
      </c>
      <c r="C66" s="1" t="s">
        <v>167</v>
      </c>
      <c r="D66" s="1" t="s">
        <v>220</v>
      </c>
      <c r="E66" s="1" t="s">
        <v>46</v>
      </c>
      <c r="F66" s="1">
        <v>4698374</v>
      </c>
    </row>
    <row r="67" spans="1:6" x14ac:dyDescent="0.2">
      <c r="A67" s="1" t="s">
        <v>224</v>
      </c>
      <c r="B67" s="1">
        <v>2040</v>
      </c>
      <c r="C67" s="1" t="s">
        <v>173</v>
      </c>
      <c r="D67" s="1" t="s">
        <v>225</v>
      </c>
      <c r="E67" s="1" t="s">
        <v>48</v>
      </c>
      <c r="F67" s="1">
        <v>6.5014756852068896</v>
      </c>
    </row>
    <row r="68" spans="1:6" x14ac:dyDescent="0.2">
      <c r="A68" s="1" t="s">
        <v>226</v>
      </c>
      <c r="B68" s="1">
        <v>2040</v>
      </c>
      <c r="C68" s="1" t="s">
        <v>173</v>
      </c>
      <c r="D68" s="1" t="s">
        <v>225</v>
      </c>
      <c r="E68" s="1" t="s">
        <v>50</v>
      </c>
      <c r="F68" s="1">
        <v>11.214878459691001</v>
      </c>
    </row>
    <row r="69" spans="1:6" x14ac:dyDescent="0.2">
      <c r="A69" s="1" t="s">
        <v>227</v>
      </c>
      <c r="B69" s="1">
        <v>2040</v>
      </c>
      <c r="C69" s="1" t="s">
        <v>173</v>
      </c>
      <c r="D69" s="1" t="s">
        <v>225</v>
      </c>
      <c r="E69" s="1" t="s">
        <v>44</v>
      </c>
      <c r="F69" s="1">
        <v>3426700</v>
      </c>
    </row>
    <row r="70" spans="1:6" x14ac:dyDescent="0.2">
      <c r="A70" s="1" t="s">
        <v>228</v>
      </c>
      <c r="B70" s="1">
        <v>2040</v>
      </c>
      <c r="C70" s="1" t="s">
        <v>173</v>
      </c>
      <c r="D70" s="1" t="s">
        <v>225</v>
      </c>
      <c r="E70" s="1" t="s">
        <v>46</v>
      </c>
      <c r="F70" s="1">
        <v>4698374</v>
      </c>
    </row>
    <row r="71" spans="1:6" x14ac:dyDescent="0.2">
      <c r="A71" s="1" t="s">
        <v>229</v>
      </c>
      <c r="B71" s="1">
        <v>2040</v>
      </c>
      <c r="C71" s="1" t="s">
        <v>179</v>
      </c>
      <c r="D71" s="1" t="s">
        <v>230</v>
      </c>
      <c r="E71" s="1" t="s">
        <v>48</v>
      </c>
      <c r="F71" s="1">
        <v>6.28409264933223</v>
      </c>
    </row>
    <row r="72" spans="1:6" x14ac:dyDescent="0.2">
      <c r="A72" s="1" t="s">
        <v>231</v>
      </c>
      <c r="B72" s="1">
        <v>2040</v>
      </c>
      <c r="C72" s="1" t="s">
        <v>179</v>
      </c>
      <c r="D72" s="1" t="s">
        <v>230</v>
      </c>
      <c r="E72" s="1" t="s">
        <v>50</v>
      </c>
      <c r="F72" s="1">
        <v>10.519189660234099</v>
      </c>
    </row>
    <row r="73" spans="1:6" x14ac:dyDescent="0.2">
      <c r="A73" s="1" t="s">
        <v>232</v>
      </c>
      <c r="B73" s="1">
        <v>2040</v>
      </c>
      <c r="C73" s="1" t="s">
        <v>179</v>
      </c>
      <c r="D73" s="1" t="s">
        <v>230</v>
      </c>
      <c r="E73" s="1" t="s">
        <v>44</v>
      </c>
      <c r="F73" s="1">
        <v>3426700</v>
      </c>
    </row>
    <row r="74" spans="1:6" x14ac:dyDescent="0.2">
      <c r="A74" s="1" t="s">
        <v>233</v>
      </c>
      <c r="B74" s="1">
        <v>2040</v>
      </c>
      <c r="C74" s="1" t="s">
        <v>179</v>
      </c>
      <c r="D74" s="1" t="s">
        <v>230</v>
      </c>
      <c r="E74" s="1" t="s">
        <v>46</v>
      </c>
      <c r="F74" s="1">
        <v>4698374</v>
      </c>
    </row>
    <row r="75" spans="1:6" x14ac:dyDescent="0.2">
      <c r="A75" s="100" t="s">
        <v>234</v>
      </c>
    </row>
    <row r="76" spans="1:6" x14ac:dyDescent="0.2">
      <c r="A76" s="1" t="s">
        <v>131</v>
      </c>
      <c r="B76" s="1" t="s">
        <v>132</v>
      </c>
      <c r="C76" s="1" t="s">
        <v>133</v>
      </c>
      <c r="D76" s="1" t="s">
        <v>134</v>
      </c>
      <c r="E76" s="1" t="s">
        <v>135</v>
      </c>
      <c r="F76" s="1" t="s">
        <v>136</v>
      </c>
    </row>
    <row r="77" spans="1:6" x14ac:dyDescent="0.2">
      <c r="A77" s="1" t="s">
        <v>235</v>
      </c>
      <c r="B77" s="1">
        <v>2005</v>
      </c>
      <c r="C77" s="1" t="s">
        <v>236</v>
      </c>
      <c r="D77" s="1" t="s">
        <v>237</v>
      </c>
      <c r="E77" s="1" t="s">
        <v>48</v>
      </c>
      <c r="F77" s="1">
        <v>6.24535005280962</v>
      </c>
    </row>
    <row r="78" spans="1:6" x14ac:dyDescent="0.2">
      <c r="A78" s="1" t="s">
        <v>238</v>
      </c>
      <c r="B78" s="1">
        <v>2005</v>
      </c>
      <c r="C78" s="1" t="s">
        <v>236</v>
      </c>
      <c r="D78" s="1" t="s">
        <v>237</v>
      </c>
      <c r="E78" s="1" t="s">
        <v>50</v>
      </c>
      <c r="F78" s="1">
        <v>10.421479724540699</v>
      </c>
    </row>
    <row r="79" spans="1:6" x14ac:dyDescent="0.2">
      <c r="A79" s="1" t="s">
        <v>239</v>
      </c>
      <c r="B79" s="1">
        <v>2005</v>
      </c>
      <c r="C79" s="1" t="s">
        <v>236</v>
      </c>
      <c r="D79" s="1" t="s">
        <v>237</v>
      </c>
      <c r="E79" s="1" t="s">
        <v>44</v>
      </c>
      <c r="F79" s="1">
        <v>2499076</v>
      </c>
    </row>
    <row r="80" spans="1:6" x14ac:dyDescent="0.2">
      <c r="A80" s="1" t="s">
        <v>240</v>
      </c>
      <c r="B80" s="1">
        <v>2005</v>
      </c>
      <c r="C80" s="1" t="s">
        <v>236</v>
      </c>
      <c r="D80" s="1" t="s">
        <v>237</v>
      </c>
      <c r="E80" s="1" t="s">
        <v>46</v>
      </c>
      <c r="F80" s="1">
        <v>3575933</v>
      </c>
    </row>
    <row r="81" spans="1:6" x14ac:dyDescent="0.2">
      <c r="A81" s="1" t="s">
        <v>241</v>
      </c>
      <c r="B81" s="1">
        <v>2015</v>
      </c>
      <c r="C81" s="1" t="s">
        <v>236</v>
      </c>
      <c r="D81" s="1" t="s">
        <v>242</v>
      </c>
      <c r="E81" s="1" t="s">
        <v>48</v>
      </c>
      <c r="F81" s="1">
        <v>6.3019495375517698</v>
      </c>
    </row>
    <row r="82" spans="1:6" x14ac:dyDescent="0.2">
      <c r="A82" s="1" t="s">
        <v>241</v>
      </c>
      <c r="B82" s="1">
        <v>2015</v>
      </c>
      <c r="C82" s="1" t="s">
        <v>236</v>
      </c>
      <c r="D82" s="1" t="s">
        <v>243</v>
      </c>
      <c r="E82" s="1" t="s">
        <v>48</v>
      </c>
      <c r="F82" s="1">
        <v>6.2958815108547803</v>
      </c>
    </row>
    <row r="83" spans="1:6" x14ac:dyDescent="0.2">
      <c r="A83" s="1" t="s">
        <v>244</v>
      </c>
      <c r="B83" s="1">
        <v>2015</v>
      </c>
      <c r="C83" s="1" t="s">
        <v>236</v>
      </c>
      <c r="D83" s="1" t="s">
        <v>242</v>
      </c>
      <c r="E83" s="1" t="s">
        <v>50</v>
      </c>
      <c r="F83" s="1">
        <v>10.173653845015</v>
      </c>
    </row>
    <row r="84" spans="1:6" x14ac:dyDescent="0.2">
      <c r="A84" s="1" t="s">
        <v>244</v>
      </c>
      <c r="B84" s="1">
        <v>2015</v>
      </c>
      <c r="C84" s="1" t="s">
        <v>236</v>
      </c>
      <c r="D84" s="1" t="s">
        <v>243</v>
      </c>
      <c r="E84" s="1" t="s">
        <v>50</v>
      </c>
      <c r="F84" s="1">
        <v>10.175512872149399</v>
      </c>
    </row>
    <row r="85" spans="1:6" x14ac:dyDescent="0.2">
      <c r="A85" s="1" t="s">
        <v>245</v>
      </c>
      <c r="B85" s="1">
        <v>2015</v>
      </c>
      <c r="C85" s="1" t="s">
        <v>236</v>
      </c>
      <c r="D85" s="1" t="s">
        <v>242</v>
      </c>
      <c r="E85" s="1" t="s">
        <v>44</v>
      </c>
      <c r="F85" s="1">
        <v>2700805</v>
      </c>
    </row>
    <row r="86" spans="1:6" x14ac:dyDescent="0.2">
      <c r="A86" s="1" t="s">
        <v>245</v>
      </c>
      <c r="B86" s="1">
        <v>2015</v>
      </c>
      <c r="C86" s="1" t="s">
        <v>236</v>
      </c>
      <c r="D86" s="1" t="s">
        <v>243</v>
      </c>
      <c r="E86" s="1" t="s">
        <v>44</v>
      </c>
      <c r="F86" s="1">
        <v>2700805</v>
      </c>
    </row>
    <row r="87" spans="1:6" x14ac:dyDescent="0.2">
      <c r="A87" s="1" t="s">
        <v>246</v>
      </c>
      <c r="B87" s="1">
        <v>2015</v>
      </c>
      <c r="C87" s="1" t="s">
        <v>236</v>
      </c>
      <c r="D87" s="1" t="s">
        <v>242</v>
      </c>
      <c r="E87" s="1" t="s">
        <v>46</v>
      </c>
      <c r="F87" s="1">
        <v>3861318</v>
      </c>
    </row>
    <row r="88" spans="1:6" x14ac:dyDescent="0.2">
      <c r="A88" s="1" t="s">
        <v>246</v>
      </c>
      <c r="B88" s="1">
        <v>2015</v>
      </c>
      <c r="C88" s="1" t="s">
        <v>236</v>
      </c>
      <c r="D88" s="1" t="s">
        <v>243</v>
      </c>
      <c r="E88" s="1" t="s">
        <v>46</v>
      </c>
      <c r="F88" s="1">
        <v>3861318</v>
      </c>
    </row>
    <row r="89" spans="1:6" x14ac:dyDescent="0.2">
      <c r="A89" s="1" t="s">
        <v>247</v>
      </c>
      <c r="B89" s="1">
        <v>2025</v>
      </c>
      <c r="C89" s="1" t="s">
        <v>173</v>
      </c>
      <c r="D89" s="1" t="s">
        <v>248</v>
      </c>
      <c r="E89" s="1" t="s">
        <v>48</v>
      </c>
      <c r="F89" s="1">
        <v>6.2926145748837001</v>
      </c>
    </row>
    <row r="90" spans="1:6" x14ac:dyDescent="0.2">
      <c r="A90" s="1" t="s">
        <v>247</v>
      </c>
      <c r="B90" s="1">
        <v>2025</v>
      </c>
      <c r="C90" s="1" t="s">
        <v>173</v>
      </c>
      <c r="D90" s="1" t="s">
        <v>249</v>
      </c>
      <c r="E90" s="1" t="s">
        <v>48</v>
      </c>
      <c r="F90" s="1">
        <v>6.3060001811742499</v>
      </c>
    </row>
    <row r="91" spans="1:6" x14ac:dyDescent="0.2">
      <c r="A91" s="1" t="s">
        <v>250</v>
      </c>
      <c r="B91" s="1">
        <v>2025</v>
      </c>
      <c r="C91" s="1" t="s">
        <v>173</v>
      </c>
      <c r="D91" s="1" t="s">
        <v>248</v>
      </c>
      <c r="E91" s="1" t="s">
        <v>50</v>
      </c>
      <c r="F91" s="1">
        <v>10.374837877196301</v>
      </c>
    </row>
    <row r="92" spans="1:6" x14ac:dyDescent="0.2">
      <c r="A92" s="1" t="s">
        <v>250</v>
      </c>
      <c r="B92" s="1">
        <v>2025</v>
      </c>
      <c r="C92" s="1" t="s">
        <v>173</v>
      </c>
      <c r="D92" s="1" t="s">
        <v>249</v>
      </c>
      <c r="E92" s="1" t="s">
        <v>50</v>
      </c>
      <c r="F92" s="1">
        <v>10.376082691926101</v>
      </c>
    </row>
    <row r="93" spans="1:6" x14ac:dyDescent="0.2">
      <c r="A93" s="1" t="s">
        <v>251</v>
      </c>
      <c r="B93" s="1">
        <v>2025</v>
      </c>
      <c r="C93" s="1" t="s">
        <v>173</v>
      </c>
      <c r="D93" s="1" t="s">
        <v>248</v>
      </c>
      <c r="E93" s="1" t="s">
        <v>44</v>
      </c>
      <c r="F93" s="1">
        <v>2951569</v>
      </c>
    </row>
    <row r="94" spans="1:6" x14ac:dyDescent="0.2">
      <c r="A94" s="1" t="s">
        <v>251</v>
      </c>
      <c r="B94" s="1">
        <v>2025</v>
      </c>
      <c r="C94" s="1" t="s">
        <v>173</v>
      </c>
      <c r="D94" s="1" t="s">
        <v>249</v>
      </c>
      <c r="E94" s="1" t="s">
        <v>44</v>
      </c>
      <c r="F94" s="1">
        <v>2951569</v>
      </c>
    </row>
    <row r="95" spans="1:6" x14ac:dyDescent="0.2">
      <c r="A95" s="1" t="s">
        <v>252</v>
      </c>
      <c r="B95" s="1">
        <v>2025</v>
      </c>
      <c r="C95" s="1" t="s">
        <v>173</v>
      </c>
      <c r="D95" s="1" t="s">
        <v>248</v>
      </c>
      <c r="E95" s="1" t="s">
        <v>46</v>
      </c>
      <c r="F95" s="1">
        <v>4147691</v>
      </c>
    </row>
    <row r="96" spans="1:6" x14ac:dyDescent="0.2">
      <c r="A96" s="1" t="s">
        <v>252</v>
      </c>
      <c r="B96" s="1">
        <v>2025</v>
      </c>
      <c r="C96" s="1" t="s">
        <v>173</v>
      </c>
      <c r="D96" s="1" t="s">
        <v>249</v>
      </c>
      <c r="E96" s="1" t="s">
        <v>46</v>
      </c>
      <c r="F96" s="1">
        <v>4147691</v>
      </c>
    </row>
    <row r="97" spans="1:6" x14ac:dyDescent="0.2">
      <c r="A97" s="1" t="s">
        <v>253</v>
      </c>
      <c r="B97" s="1">
        <v>2025</v>
      </c>
      <c r="C97" s="1" t="s">
        <v>254</v>
      </c>
      <c r="D97" s="1" t="s">
        <v>255</v>
      </c>
      <c r="E97" s="1" t="s">
        <v>48</v>
      </c>
      <c r="F97" s="1">
        <v>6.3155667528012804</v>
      </c>
    </row>
    <row r="98" spans="1:6" x14ac:dyDescent="0.2">
      <c r="A98" s="1" t="s">
        <v>253</v>
      </c>
      <c r="B98" s="1">
        <v>2025</v>
      </c>
      <c r="C98" s="1" t="s">
        <v>254</v>
      </c>
      <c r="D98" s="1" t="s">
        <v>256</v>
      </c>
      <c r="E98" s="1" t="s">
        <v>48</v>
      </c>
      <c r="F98" s="1">
        <v>6.3176208630912098</v>
      </c>
    </row>
    <row r="99" spans="1:6" x14ac:dyDescent="0.2">
      <c r="A99" s="1" t="s">
        <v>257</v>
      </c>
      <c r="B99" s="1">
        <v>2025</v>
      </c>
      <c r="C99" s="1" t="s">
        <v>254</v>
      </c>
      <c r="D99" s="1" t="s">
        <v>255</v>
      </c>
      <c r="E99" s="1" t="s">
        <v>50</v>
      </c>
      <c r="F99" s="1">
        <v>10.4003257671576</v>
      </c>
    </row>
    <row r="100" spans="1:6" x14ac:dyDescent="0.2">
      <c r="A100" s="1" t="s">
        <v>257</v>
      </c>
      <c r="B100" s="1">
        <v>2025</v>
      </c>
      <c r="C100" s="1" t="s">
        <v>254</v>
      </c>
      <c r="D100" s="1" t="s">
        <v>256</v>
      </c>
      <c r="E100" s="1" t="s">
        <v>50</v>
      </c>
      <c r="F100" s="1">
        <v>10.382779876482999</v>
      </c>
    </row>
    <row r="101" spans="1:6" x14ac:dyDescent="0.2">
      <c r="A101" s="1" t="s">
        <v>258</v>
      </c>
      <c r="B101" s="1">
        <v>2025</v>
      </c>
      <c r="C101" s="1" t="s">
        <v>254</v>
      </c>
      <c r="D101" s="1" t="s">
        <v>255</v>
      </c>
      <c r="E101" s="1" t="s">
        <v>44</v>
      </c>
      <c r="F101" s="1">
        <v>2951569</v>
      </c>
    </row>
    <row r="102" spans="1:6" x14ac:dyDescent="0.2">
      <c r="A102" s="1" t="s">
        <v>258</v>
      </c>
      <c r="B102" s="1">
        <v>2025</v>
      </c>
      <c r="C102" s="1" t="s">
        <v>254</v>
      </c>
      <c r="D102" s="1" t="s">
        <v>256</v>
      </c>
      <c r="E102" s="1" t="s">
        <v>44</v>
      </c>
      <c r="F102" s="1">
        <v>2951569</v>
      </c>
    </row>
    <row r="103" spans="1:6" x14ac:dyDescent="0.2">
      <c r="A103" s="1" t="s">
        <v>259</v>
      </c>
      <c r="B103" s="1">
        <v>2025</v>
      </c>
      <c r="C103" s="1" t="s">
        <v>254</v>
      </c>
      <c r="D103" s="1" t="s">
        <v>255</v>
      </c>
      <c r="E103" s="1" t="s">
        <v>46</v>
      </c>
      <c r="F103" s="1">
        <v>4147691</v>
      </c>
    </row>
    <row r="104" spans="1:6" x14ac:dyDescent="0.2">
      <c r="A104" s="1" t="s">
        <v>259</v>
      </c>
      <c r="B104" s="1">
        <v>2025</v>
      </c>
      <c r="C104" s="1" t="s">
        <v>254</v>
      </c>
      <c r="D104" s="1" t="s">
        <v>256</v>
      </c>
      <c r="E104" s="1" t="s">
        <v>46</v>
      </c>
      <c r="F104" s="1">
        <v>4147691</v>
      </c>
    </row>
    <row r="105" spans="1:6" x14ac:dyDescent="0.2">
      <c r="A105" s="1" t="s">
        <v>260</v>
      </c>
      <c r="B105" s="1">
        <v>2030</v>
      </c>
      <c r="C105" s="1" t="s">
        <v>173</v>
      </c>
      <c r="D105" s="1" t="s">
        <v>261</v>
      </c>
      <c r="E105" s="1" t="s">
        <v>48</v>
      </c>
      <c r="F105" s="1">
        <v>6.4054067160590904</v>
      </c>
    </row>
    <row r="106" spans="1:6" x14ac:dyDescent="0.2">
      <c r="A106" s="1" t="s">
        <v>260</v>
      </c>
      <c r="B106" s="1">
        <v>2030</v>
      </c>
      <c r="C106" s="1" t="s">
        <v>173</v>
      </c>
      <c r="D106" s="1" t="s">
        <v>262</v>
      </c>
      <c r="E106" s="1" t="s">
        <v>48</v>
      </c>
      <c r="F106" s="1">
        <v>6.4255606055988297</v>
      </c>
    </row>
    <row r="107" spans="1:6" x14ac:dyDescent="0.2">
      <c r="A107" s="1" t="s">
        <v>263</v>
      </c>
      <c r="B107" s="1">
        <v>2030</v>
      </c>
      <c r="C107" s="1" t="s">
        <v>173</v>
      </c>
      <c r="D107" s="1" t="s">
        <v>261</v>
      </c>
      <c r="E107" s="1" t="s">
        <v>50</v>
      </c>
      <c r="F107" s="1">
        <v>10.4759705356048</v>
      </c>
    </row>
    <row r="108" spans="1:6" x14ac:dyDescent="0.2">
      <c r="A108" s="1" t="s">
        <v>263</v>
      </c>
      <c r="B108" s="1">
        <v>2030</v>
      </c>
      <c r="C108" s="1" t="s">
        <v>173</v>
      </c>
      <c r="D108" s="1" t="s">
        <v>262</v>
      </c>
      <c r="E108" s="1" t="s">
        <v>50</v>
      </c>
      <c r="F108" s="1">
        <v>10.4830333029206</v>
      </c>
    </row>
    <row r="109" spans="1:6" x14ac:dyDescent="0.2">
      <c r="A109" s="1" t="s">
        <v>264</v>
      </c>
      <c r="B109" s="1">
        <v>2030</v>
      </c>
      <c r="C109" s="1" t="s">
        <v>173</v>
      </c>
      <c r="D109" s="1" t="s">
        <v>261</v>
      </c>
      <c r="E109" s="1" t="s">
        <v>44</v>
      </c>
      <c r="F109" s="1">
        <v>3208679</v>
      </c>
    </row>
    <row r="110" spans="1:6" x14ac:dyDescent="0.2">
      <c r="A110" s="1" t="s">
        <v>264</v>
      </c>
      <c r="B110" s="1">
        <v>2030</v>
      </c>
      <c r="C110" s="1" t="s">
        <v>173</v>
      </c>
      <c r="D110" s="1" t="s">
        <v>262</v>
      </c>
      <c r="E110" s="1" t="s">
        <v>44</v>
      </c>
      <c r="F110" s="1">
        <v>3208679</v>
      </c>
    </row>
    <row r="111" spans="1:6" x14ac:dyDescent="0.2">
      <c r="A111" s="1" t="s">
        <v>265</v>
      </c>
      <c r="B111" s="1">
        <v>2030</v>
      </c>
      <c r="C111" s="1" t="s">
        <v>173</v>
      </c>
      <c r="D111" s="1" t="s">
        <v>261</v>
      </c>
      <c r="E111" s="1" t="s">
        <v>46</v>
      </c>
      <c r="F111" s="1">
        <v>4644180</v>
      </c>
    </row>
    <row r="112" spans="1:6" x14ac:dyDescent="0.2">
      <c r="A112" s="1" t="s">
        <v>265</v>
      </c>
      <c r="B112" s="1">
        <v>2030</v>
      </c>
      <c r="C112" s="1" t="s">
        <v>173</v>
      </c>
      <c r="D112" s="1" t="s">
        <v>262</v>
      </c>
      <c r="E112" s="1" t="s">
        <v>46</v>
      </c>
      <c r="F112" s="1">
        <v>4644180</v>
      </c>
    </row>
    <row r="113" spans="1:6" x14ac:dyDescent="0.2">
      <c r="A113" s="1" t="s">
        <v>266</v>
      </c>
      <c r="B113" s="1">
        <v>2030</v>
      </c>
      <c r="C113" s="1" t="s">
        <v>254</v>
      </c>
      <c r="D113" s="1" t="s">
        <v>267</v>
      </c>
      <c r="E113" s="1" t="s">
        <v>48</v>
      </c>
      <c r="F113" s="1">
        <v>6.2923007582959496</v>
      </c>
    </row>
    <row r="114" spans="1:6" x14ac:dyDescent="0.2">
      <c r="A114" s="1" t="s">
        <v>266</v>
      </c>
      <c r="B114" s="1">
        <v>2030</v>
      </c>
      <c r="C114" s="1" t="s">
        <v>254</v>
      </c>
      <c r="D114" s="1" t="s">
        <v>268</v>
      </c>
      <c r="E114" s="1" t="s">
        <v>48</v>
      </c>
      <c r="F114" s="1">
        <v>6.3065195790252702</v>
      </c>
    </row>
    <row r="115" spans="1:6" x14ac:dyDescent="0.2">
      <c r="A115" s="1" t="s">
        <v>269</v>
      </c>
      <c r="B115" s="1">
        <v>2030</v>
      </c>
      <c r="C115" s="1" t="s">
        <v>254</v>
      </c>
      <c r="D115" s="1" t="s">
        <v>267</v>
      </c>
      <c r="E115" s="1" t="s">
        <v>50</v>
      </c>
      <c r="F115" s="1">
        <v>10.158881999593399</v>
      </c>
    </row>
    <row r="116" spans="1:6" x14ac:dyDescent="0.2">
      <c r="A116" s="1" t="s">
        <v>269</v>
      </c>
      <c r="B116" s="1">
        <v>2030</v>
      </c>
      <c r="C116" s="1" t="s">
        <v>254</v>
      </c>
      <c r="D116" s="1" t="s">
        <v>268</v>
      </c>
      <c r="E116" s="1" t="s">
        <v>50</v>
      </c>
      <c r="F116" s="1">
        <v>10.1583856953302</v>
      </c>
    </row>
    <row r="117" spans="1:6" x14ac:dyDescent="0.2">
      <c r="A117" s="1" t="s">
        <v>270</v>
      </c>
      <c r="B117" s="1">
        <v>2030</v>
      </c>
      <c r="C117" s="1" t="s">
        <v>254</v>
      </c>
      <c r="D117" s="1" t="s">
        <v>267</v>
      </c>
      <c r="E117" s="1" t="s">
        <v>44</v>
      </c>
      <c r="F117" s="1">
        <v>3208679</v>
      </c>
    </row>
    <row r="118" spans="1:6" x14ac:dyDescent="0.2">
      <c r="A118" s="1" t="s">
        <v>270</v>
      </c>
      <c r="B118" s="1">
        <v>2030</v>
      </c>
      <c r="C118" s="1" t="s">
        <v>254</v>
      </c>
      <c r="D118" s="1" t="s">
        <v>268</v>
      </c>
      <c r="E118" s="1" t="s">
        <v>44</v>
      </c>
      <c r="F118" s="1">
        <v>3208679</v>
      </c>
    </row>
    <row r="119" spans="1:6" x14ac:dyDescent="0.2">
      <c r="A119" s="1" t="s">
        <v>271</v>
      </c>
      <c r="B119" s="1">
        <v>2030</v>
      </c>
      <c r="C119" s="1" t="s">
        <v>254</v>
      </c>
      <c r="D119" s="1" t="s">
        <v>267</v>
      </c>
      <c r="E119" s="1" t="s">
        <v>46</v>
      </c>
      <c r="F119" s="1">
        <v>4644180</v>
      </c>
    </row>
    <row r="120" spans="1:6" x14ac:dyDescent="0.2">
      <c r="A120" s="1" t="s">
        <v>271</v>
      </c>
      <c r="B120" s="1">
        <v>2030</v>
      </c>
      <c r="C120" s="1" t="s">
        <v>254</v>
      </c>
      <c r="D120" s="1" t="s">
        <v>268</v>
      </c>
      <c r="E120" s="1" t="s">
        <v>46</v>
      </c>
      <c r="F120" s="1">
        <v>4644180</v>
      </c>
    </row>
    <row r="121" spans="1:6" x14ac:dyDescent="0.2">
      <c r="A121" s="1" t="s">
        <v>272</v>
      </c>
      <c r="B121" s="1">
        <v>2035</v>
      </c>
      <c r="C121" s="1" t="s">
        <v>273</v>
      </c>
      <c r="D121" s="1" t="s">
        <v>274</v>
      </c>
      <c r="E121" s="1" t="s">
        <v>48</v>
      </c>
      <c r="F121" s="1">
        <v>6.1102815070845002</v>
      </c>
    </row>
    <row r="122" spans="1:6" x14ac:dyDescent="0.2">
      <c r="A122" s="1" t="s">
        <v>272</v>
      </c>
      <c r="B122" s="1">
        <v>2035</v>
      </c>
      <c r="C122" s="1" t="s">
        <v>273</v>
      </c>
      <c r="D122" s="1" t="s">
        <v>275</v>
      </c>
      <c r="E122" s="1" t="s">
        <v>48</v>
      </c>
      <c r="F122" s="1">
        <v>6.2021666222291501</v>
      </c>
    </row>
    <row r="123" spans="1:6" x14ac:dyDescent="0.2">
      <c r="A123" s="1" t="s">
        <v>276</v>
      </c>
      <c r="B123" s="1">
        <v>2035</v>
      </c>
      <c r="C123" s="1" t="s">
        <v>273</v>
      </c>
      <c r="D123" s="1" t="s">
        <v>274</v>
      </c>
      <c r="E123" s="1" t="s">
        <v>50</v>
      </c>
      <c r="F123" s="1">
        <v>9.9407734967824606</v>
      </c>
    </row>
    <row r="124" spans="1:6" x14ac:dyDescent="0.2">
      <c r="A124" s="1" t="s">
        <v>276</v>
      </c>
      <c r="B124" s="1">
        <v>2035</v>
      </c>
      <c r="C124" s="1" t="s">
        <v>273</v>
      </c>
      <c r="D124" s="1" t="s">
        <v>275</v>
      </c>
      <c r="E124" s="1" t="s">
        <v>50</v>
      </c>
      <c r="F124" s="1">
        <v>9.9522278862686395</v>
      </c>
    </row>
    <row r="125" spans="1:6" x14ac:dyDescent="0.2">
      <c r="A125" s="1" t="s">
        <v>277</v>
      </c>
      <c r="B125" s="1">
        <v>2035</v>
      </c>
      <c r="C125" s="1" t="s">
        <v>273</v>
      </c>
      <c r="D125" s="1" t="s">
        <v>274</v>
      </c>
      <c r="E125" s="1" t="s">
        <v>44</v>
      </c>
      <c r="F125" s="1">
        <v>3495212</v>
      </c>
    </row>
    <row r="126" spans="1:6" x14ac:dyDescent="0.2">
      <c r="A126" s="1" t="s">
        <v>277</v>
      </c>
      <c r="B126" s="1">
        <v>2035</v>
      </c>
      <c r="C126" s="1" t="s">
        <v>273</v>
      </c>
      <c r="D126" s="1" t="s">
        <v>275</v>
      </c>
      <c r="E126" s="1" t="s">
        <v>44</v>
      </c>
      <c r="F126" s="1">
        <v>3495212</v>
      </c>
    </row>
    <row r="127" spans="1:6" x14ac:dyDescent="0.2">
      <c r="A127" s="1" t="s">
        <v>278</v>
      </c>
      <c r="B127" s="1">
        <v>2035</v>
      </c>
      <c r="C127" s="1" t="s">
        <v>273</v>
      </c>
      <c r="D127" s="1" t="s">
        <v>274</v>
      </c>
      <c r="E127" s="1" t="s">
        <v>46</v>
      </c>
      <c r="F127" s="1">
        <v>4834513</v>
      </c>
    </row>
    <row r="128" spans="1:6" x14ac:dyDescent="0.2">
      <c r="A128" s="1" t="s">
        <v>278</v>
      </c>
      <c r="B128" s="1">
        <v>2035</v>
      </c>
      <c r="C128" s="1" t="s">
        <v>273</v>
      </c>
      <c r="D128" s="1" t="s">
        <v>275</v>
      </c>
      <c r="E128" s="1" t="s">
        <v>46</v>
      </c>
      <c r="F128" s="1">
        <v>4834513</v>
      </c>
    </row>
    <row r="129" spans="1:6" x14ac:dyDescent="0.2">
      <c r="A129" s="1" t="s">
        <v>279</v>
      </c>
      <c r="B129" s="1">
        <v>2035</v>
      </c>
      <c r="C129" s="1" t="s">
        <v>280</v>
      </c>
      <c r="D129" s="1" t="s">
        <v>281</v>
      </c>
      <c r="E129" s="1" t="s">
        <v>48</v>
      </c>
      <c r="F129" s="1">
        <v>6.1063243959122504</v>
      </c>
    </row>
    <row r="130" spans="1:6" x14ac:dyDescent="0.2">
      <c r="A130" s="1" t="s">
        <v>279</v>
      </c>
      <c r="B130" s="1">
        <v>2035</v>
      </c>
      <c r="C130" s="1" t="s">
        <v>280</v>
      </c>
      <c r="D130" s="1" t="s">
        <v>282</v>
      </c>
      <c r="E130" s="1" t="s">
        <v>48</v>
      </c>
      <c r="F130" s="1">
        <v>6.1998825687262897</v>
      </c>
    </row>
    <row r="131" spans="1:6" x14ac:dyDescent="0.2">
      <c r="A131" s="1" t="s">
        <v>283</v>
      </c>
      <c r="B131" s="1">
        <v>2035</v>
      </c>
      <c r="C131" s="1" t="s">
        <v>280</v>
      </c>
      <c r="D131" s="1" t="s">
        <v>281</v>
      </c>
      <c r="E131" s="1" t="s">
        <v>50</v>
      </c>
      <c r="F131" s="1">
        <v>9.819747203216</v>
      </c>
    </row>
    <row r="132" spans="1:6" x14ac:dyDescent="0.2">
      <c r="A132" s="1" t="s">
        <v>283</v>
      </c>
      <c r="B132" s="1">
        <v>2035</v>
      </c>
      <c r="C132" s="1" t="s">
        <v>280</v>
      </c>
      <c r="D132" s="1" t="s">
        <v>282</v>
      </c>
      <c r="E132" s="1" t="s">
        <v>50</v>
      </c>
      <c r="F132" s="1">
        <v>9.8729179049255702</v>
      </c>
    </row>
    <row r="133" spans="1:6" x14ac:dyDescent="0.2">
      <c r="A133" s="1" t="s">
        <v>284</v>
      </c>
      <c r="B133" s="1">
        <v>2035</v>
      </c>
      <c r="C133" s="1" t="s">
        <v>280</v>
      </c>
      <c r="D133" s="1" t="s">
        <v>281</v>
      </c>
      <c r="E133" s="1" t="s">
        <v>44</v>
      </c>
      <c r="F133" s="1">
        <v>3495212</v>
      </c>
    </row>
    <row r="134" spans="1:6" x14ac:dyDescent="0.2">
      <c r="A134" s="1" t="s">
        <v>284</v>
      </c>
      <c r="B134" s="1">
        <v>2035</v>
      </c>
      <c r="C134" s="1" t="s">
        <v>280</v>
      </c>
      <c r="D134" s="1" t="s">
        <v>282</v>
      </c>
      <c r="E134" s="1" t="s">
        <v>44</v>
      </c>
      <c r="F134" s="1">
        <v>3495212</v>
      </c>
    </row>
    <row r="135" spans="1:6" x14ac:dyDescent="0.2">
      <c r="A135" s="1" t="s">
        <v>285</v>
      </c>
      <c r="B135" s="1">
        <v>2035</v>
      </c>
      <c r="C135" s="1" t="s">
        <v>280</v>
      </c>
      <c r="D135" s="1" t="s">
        <v>281</v>
      </c>
      <c r="E135" s="1" t="s">
        <v>46</v>
      </c>
      <c r="F135" s="1">
        <v>4834513</v>
      </c>
    </row>
    <row r="136" spans="1:6" x14ac:dyDescent="0.2">
      <c r="A136" s="1" t="s">
        <v>285</v>
      </c>
      <c r="B136" s="1">
        <v>2035</v>
      </c>
      <c r="C136" s="1" t="s">
        <v>280</v>
      </c>
      <c r="D136" s="1" t="s">
        <v>282</v>
      </c>
      <c r="E136" s="1" t="s">
        <v>46</v>
      </c>
      <c r="F136" s="1">
        <v>4834513</v>
      </c>
    </row>
    <row r="137" spans="1:6" x14ac:dyDescent="0.2">
      <c r="A137" s="1" t="s">
        <v>286</v>
      </c>
      <c r="B137" s="1">
        <v>2035</v>
      </c>
      <c r="C137" s="1" t="s">
        <v>236</v>
      </c>
      <c r="D137" s="1" t="s">
        <v>287</v>
      </c>
      <c r="E137" s="1" t="s">
        <v>48</v>
      </c>
      <c r="F137" s="1">
        <v>6.2818037563806701</v>
      </c>
    </row>
    <row r="138" spans="1:6" x14ac:dyDescent="0.2">
      <c r="A138" s="1" t="s">
        <v>286</v>
      </c>
      <c r="B138" s="1">
        <v>2035</v>
      </c>
      <c r="C138" s="1" t="s">
        <v>236</v>
      </c>
      <c r="D138" s="1" t="s">
        <v>288</v>
      </c>
      <c r="E138" s="1" t="s">
        <v>48</v>
      </c>
      <c r="F138" s="1">
        <v>6.30880354593815</v>
      </c>
    </row>
    <row r="139" spans="1:6" x14ac:dyDescent="0.2">
      <c r="A139" s="1" t="s">
        <v>289</v>
      </c>
      <c r="B139" s="1">
        <v>2035</v>
      </c>
      <c r="C139" s="1" t="s">
        <v>236</v>
      </c>
      <c r="D139" s="1" t="s">
        <v>287</v>
      </c>
      <c r="E139" s="1" t="s">
        <v>50</v>
      </c>
      <c r="F139" s="1">
        <v>10.259514333140199</v>
      </c>
    </row>
    <row r="140" spans="1:6" x14ac:dyDescent="0.2">
      <c r="A140" s="1" t="s">
        <v>289</v>
      </c>
      <c r="B140" s="1">
        <v>2035</v>
      </c>
      <c r="C140" s="1" t="s">
        <v>236</v>
      </c>
      <c r="D140" s="1" t="s">
        <v>288</v>
      </c>
      <c r="E140" s="1" t="s">
        <v>50</v>
      </c>
      <c r="F140" s="1">
        <v>10.283690689139201</v>
      </c>
    </row>
    <row r="141" spans="1:6" x14ac:dyDescent="0.2">
      <c r="A141" s="1" t="s">
        <v>290</v>
      </c>
      <c r="B141" s="1">
        <v>2035</v>
      </c>
      <c r="C141" s="1" t="s">
        <v>236</v>
      </c>
      <c r="D141" s="1" t="s">
        <v>287</v>
      </c>
      <c r="E141" s="1" t="s">
        <v>44</v>
      </c>
      <c r="F141" s="1">
        <v>3495195</v>
      </c>
    </row>
    <row r="142" spans="1:6" x14ac:dyDescent="0.2">
      <c r="A142" s="1" t="s">
        <v>290</v>
      </c>
      <c r="B142" s="1">
        <v>2035</v>
      </c>
      <c r="C142" s="1" t="s">
        <v>236</v>
      </c>
      <c r="D142" s="1" t="s">
        <v>288</v>
      </c>
      <c r="E142" s="1" t="s">
        <v>44</v>
      </c>
      <c r="F142" s="1">
        <v>3495195</v>
      </c>
    </row>
    <row r="143" spans="1:6" x14ac:dyDescent="0.2">
      <c r="A143" s="1" t="s">
        <v>291</v>
      </c>
      <c r="B143" s="1">
        <v>2035</v>
      </c>
      <c r="C143" s="1" t="s">
        <v>236</v>
      </c>
      <c r="D143" s="1" t="s">
        <v>287</v>
      </c>
      <c r="E143" s="1" t="s">
        <v>46</v>
      </c>
      <c r="F143" s="1">
        <v>4834443</v>
      </c>
    </row>
    <row r="144" spans="1:6" x14ac:dyDescent="0.2">
      <c r="A144" s="1" t="s">
        <v>291</v>
      </c>
      <c r="B144" s="1">
        <v>2035</v>
      </c>
      <c r="C144" s="1" t="s">
        <v>236</v>
      </c>
      <c r="D144" s="1" t="s">
        <v>288</v>
      </c>
      <c r="E144" s="1" t="s">
        <v>46</v>
      </c>
      <c r="F144" s="1">
        <v>4834443</v>
      </c>
    </row>
    <row r="145" spans="1:6" x14ac:dyDescent="0.2">
      <c r="A145" s="1" t="s">
        <v>199</v>
      </c>
      <c r="B145" s="1">
        <v>2035</v>
      </c>
      <c r="C145" s="1" t="s">
        <v>173</v>
      </c>
      <c r="D145" s="1" t="s">
        <v>292</v>
      </c>
      <c r="E145" s="1" t="s">
        <v>48</v>
      </c>
      <c r="F145" s="1">
        <v>6.3529793213575498</v>
      </c>
    </row>
    <row r="146" spans="1:6" x14ac:dyDescent="0.2">
      <c r="A146" s="1" t="s">
        <v>199</v>
      </c>
      <c r="B146" s="1">
        <v>2035</v>
      </c>
      <c r="C146" s="1" t="s">
        <v>173</v>
      </c>
      <c r="D146" s="1" t="s">
        <v>293</v>
      </c>
      <c r="E146" s="1" t="s">
        <v>48</v>
      </c>
      <c r="F146" s="1">
        <v>6.3835814217176496</v>
      </c>
    </row>
    <row r="147" spans="1:6" x14ac:dyDescent="0.2">
      <c r="A147" s="1" t="s">
        <v>201</v>
      </c>
      <c r="B147" s="1">
        <v>2035</v>
      </c>
      <c r="C147" s="1" t="s">
        <v>173</v>
      </c>
      <c r="D147" s="1" t="s">
        <v>292</v>
      </c>
      <c r="E147" s="1" t="s">
        <v>50</v>
      </c>
      <c r="F147" s="1">
        <v>10.3081091548964</v>
      </c>
    </row>
    <row r="148" spans="1:6" x14ac:dyDescent="0.2">
      <c r="A148" s="1" t="s">
        <v>201</v>
      </c>
      <c r="B148" s="1">
        <v>2035</v>
      </c>
      <c r="C148" s="1" t="s">
        <v>173</v>
      </c>
      <c r="D148" s="1" t="s">
        <v>293</v>
      </c>
      <c r="E148" s="1" t="s">
        <v>50</v>
      </c>
      <c r="F148" s="1">
        <v>10.312614849866</v>
      </c>
    </row>
    <row r="149" spans="1:6" x14ac:dyDescent="0.2">
      <c r="A149" s="1" t="s">
        <v>202</v>
      </c>
      <c r="B149" s="1">
        <v>2035</v>
      </c>
      <c r="C149" s="1" t="s">
        <v>173</v>
      </c>
      <c r="D149" s="1" t="s">
        <v>292</v>
      </c>
      <c r="E149" s="1" t="s">
        <v>44</v>
      </c>
      <c r="F149" s="1">
        <v>3495212</v>
      </c>
    </row>
    <row r="150" spans="1:6" x14ac:dyDescent="0.2">
      <c r="A150" s="1" t="s">
        <v>202</v>
      </c>
      <c r="B150" s="1">
        <v>2035</v>
      </c>
      <c r="C150" s="1" t="s">
        <v>173</v>
      </c>
      <c r="D150" s="1" t="s">
        <v>293</v>
      </c>
      <c r="E150" s="1" t="s">
        <v>44</v>
      </c>
      <c r="F150" s="1">
        <v>3495212</v>
      </c>
    </row>
    <row r="151" spans="1:6" x14ac:dyDescent="0.2">
      <c r="A151" s="1" t="s">
        <v>203</v>
      </c>
      <c r="B151" s="1">
        <v>2035</v>
      </c>
      <c r="C151" s="1" t="s">
        <v>173</v>
      </c>
      <c r="D151" s="1" t="s">
        <v>292</v>
      </c>
      <c r="E151" s="1" t="s">
        <v>46</v>
      </c>
      <c r="F151" s="1">
        <v>4834513</v>
      </c>
    </row>
    <row r="152" spans="1:6" x14ac:dyDescent="0.2">
      <c r="A152" s="1" t="s">
        <v>203</v>
      </c>
      <c r="B152" s="1">
        <v>2035</v>
      </c>
      <c r="C152" s="1" t="s">
        <v>173</v>
      </c>
      <c r="D152" s="1" t="s">
        <v>293</v>
      </c>
      <c r="E152" s="1" t="s">
        <v>46</v>
      </c>
      <c r="F152" s="1">
        <v>4834513</v>
      </c>
    </row>
    <row r="153" spans="1:6" x14ac:dyDescent="0.2">
      <c r="A153" s="1" t="s">
        <v>294</v>
      </c>
      <c r="B153" s="1">
        <v>2035</v>
      </c>
      <c r="C153" s="1" t="s">
        <v>254</v>
      </c>
      <c r="D153" s="1" t="s">
        <v>295</v>
      </c>
      <c r="E153" s="1" t="s">
        <v>48</v>
      </c>
      <c r="F153" s="1">
        <v>6.1541204597507999</v>
      </c>
    </row>
    <row r="154" spans="1:6" x14ac:dyDescent="0.2">
      <c r="A154" s="1" t="s">
        <v>294</v>
      </c>
      <c r="B154" s="1">
        <v>2035</v>
      </c>
      <c r="C154" s="1" t="s">
        <v>254</v>
      </c>
      <c r="D154" s="1" t="s">
        <v>296</v>
      </c>
      <c r="E154" s="1" t="s">
        <v>48</v>
      </c>
      <c r="F154" s="1">
        <v>6.25645959238543</v>
      </c>
    </row>
    <row r="155" spans="1:6" x14ac:dyDescent="0.2">
      <c r="A155" s="1" t="s">
        <v>297</v>
      </c>
      <c r="B155" s="1">
        <v>2035</v>
      </c>
      <c r="C155" s="1" t="s">
        <v>254</v>
      </c>
      <c r="D155" s="1" t="s">
        <v>295</v>
      </c>
      <c r="E155" s="1" t="s">
        <v>50</v>
      </c>
      <c r="F155" s="1">
        <v>9.9599562133018296</v>
      </c>
    </row>
    <row r="156" spans="1:6" x14ac:dyDescent="0.2">
      <c r="A156" s="1" t="s">
        <v>297</v>
      </c>
      <c r="B156" s="1">
        <v>2035</v>
      </c>
      <c r="C156" s="1" t="s">
        <v>254</v>
      </c>
      <c r="D156" s="1" t="s">
        <v>296</v>
      </c>
      <c r="E156" s="1" t="s">
        <v>50</v>
      </c>
      <c r="F156" s="1">
        <v>10.0125317118476</v>
      </c>
    </row>
    <row r="157" spans="1:6" x14ac:dyDescent="0.2">
      <c r="A157" s="1" t="s">
        <v>298</v>
      </c>
      <c r="B157" s="1">
        <v>2035</v>
      </c>
      <c r="C157" s="1" t="s">
        <v>254</v>
      </c>
      <c r="D157" s="1" t="s">
        <v>295</v>
      </c>
      <c r="E157" s="1" t="s">
        <v>44</v>
      </c>
      <c r="F157" s="1">
        <v>3495212</v>
      </c>
    </row>
    <row r="158" spans="1:6" x14ac:dyDescent="0.2">
      <c r="A158" s="1" t="s">
        <v>298</v>
      </c>
      <c r="B158" s="1">
        <v>2035</v>
      </c>
      <c r="C158" s="1" t="s">
        <v>254</v>
      </c>
      <c r="D158" s="1" t="s">
        <v>296</v>
      </c>
      <c r="E158" s="1" t="s">
        <v>44</v>
      </c>
      <c r="F158" s="1">
        <v>3495212</v>
      </c>
    </row>
    <row r="159" spans="1:6" x14ac:dyDescent="0.2">
      <c r="A159" s="1" t="s">
        <v>299</v>
      </c>
      <c r="B159" s="1">
        <v>2035</v>
      </c>
      <c r="C159" s="1" t="s">
        <v>254</v>
      </c>
      <c r="D159" s="1" t="s">
        <v>295</v>
      </c>
      <c r="E159" s="1" t="s">
        <v>46</v>
      </c>
      <c r="F159" s="1">
        <v>4834513</v>
      </c>
    </row>
    <row r="160" spans="1:6" x14ac:dyDescent="0.2">
      <c r="A160" s="1" t="s">
        <v>299</v>
      </c>
      <c r="B160" s="1">
        <v>2035</v>
      </c>
      <c r="C160" s="1" t="s">
        <v>254</v>
      </c>
      <c r="D160" s="1" t="s">
        <v>296</v>
      </c>
      <c r="E160" s="1" t="s">
        <v>46</v>
      </c>
      <c r="F160" s="1">
        <v>4834513</v>
      </c>
    </row>
    <row r="161" spans="1:6" x14ac:dyDescent="0.2">
      <c r="A161" s="1" t="s">
        <v>224</v>
      </c>
      <c r="B161" s="1">
        <v>2040</v>
      </c>
      <c r="C161" s="1" t="s">
        <v>173</v>
      </c>
      <c r="D161" s="1" t="s">
        <v>300</v>
      </c>
      <c r="E161" s="1" t="s">
        <v>48</v>
      </c>
      <c r="F161" s="1">
        <v>6.2074776421598203</v>
      </c>
    </row>
    <row r="162" spans="1:6" x14ac:dyDescent="0.2">
      <c r="A162" s="1" t="s">
        <v>224</v>
      </c>
      <c r="B162" s="1">
        <v>2040</v>
      </c>
      <c r="C162" s="1" t="s">
        <v>173</v>
      </c>
      <c r="D162" s="1" t="s">
        <v>301</v>
      </c>
      <c r="E162" s="1" t="s">
        <v>48</v>
      </c>
      <c r="F162" s="1">
        <v>6.2419886152709099</v>
      </c>
    </row>
    <row r="163" spans="1:6" x14ac:dyDescent="0.2">
      <c r="A163" s="1" t="s">
        <v>226</v>
      </c>
      <c r="B163" s="1">
        <v>2040</v>
      </c>
      <c r="C163" s="1" t="s">
        <v>173</v>
      </c>
      <c r="D163" s="1" t="s">
        <v>300</v>
      </c>
      <c r="E163" s="1" t="s">
        <v>50</v>
      </c>
      <c r="F163" s="1">
        <v>10.143790409269601</v>
      </c>
    </row>
    <row r="164" spans="1:6" x14ac:dyDescent="0.2">
      <c r="A164" s="1" t="s">
        <v>226</v>
      </c>
      <c r="B164" s="1">
        <v>2040</v>
      </c>
      <c r="C164" s="1" t="s">
        <v>173</v>
      </c>
      <c r="D164" s="1" t="s">
        <v>301</v>
      </c>
      <c r="E164" s="1" t="s">
        <v>50</v>
      </c>
      <c r="F164" s="1">
        <v>10.154273436554</v>
      </c>
    </row>
    <row r="165" spans="1:6" x14ac:dyDescent="0.2">
      <c r="A165" s="1" t="s">
        <v>227</v>
      </c>
      <c r="B165" s="1">
        <v>2040</v>
      </c>
      <c r="C165" s="1" t="s">
        <v>173</v>
      </c>
      <c r="D165" s="1" t="s">
        <v>300</v>
      </c>
      <c r="E165" s="1" t="s">
        <v>44</v>
      </c>
      <c r="F165" s="1">
        <v>3711035</v>
      </c>
    </row>
    <row r="166" spans="1:6" x14ac:dyDescent="0.2">
      <c r="A166" s="1" t="s">
        <v>227</v>
      </c>
      <c r="B166" s="1">
        <v>2040</v>
      </c>
      <c r="C166" s="1" t="s">
        <v>173</v>
      </c>
      <c r="D166" s="1" t="s">
        <v>301</v>
      </c>
      <c r="E166" s="1" t="s">
        <v>44</v>
      </c>
      <c r="F166" s="1">
        <v>3711035</v>
      </c>
    </row>
    <row r="167" spans="1:6" x14ac:dyDescent="0.2">
      <c r="A167" s="1" t="s">
        <v>228</v>
      </c>
      <c r="B167" s="1">
        <v>2040</v>
      </c>
      <c r="C167" s="1" t="s">
        <v>173</v>
      </c>
      <c r="D167" s="1" t="s">
        <v>300</v>
      </c>
      <c r="E167" s="1" t="s">
        <v>46</v>
      </c>
      <c r="F167" s="1">
        <v>5053413</v>
      </c>
    </row>
    <row r="168" spans="1:6" x14ac:dyDescent="0.2">
      <c r="A168" s="1" t="s">
        <v>228</v>
      </c>
      <c r="B168" s="1">
        <v>2040</v>
      </c>
      <c r="C168" s="1" t="s">
        <v>173</v>
      </c>
      <c r="D168" s="1" t="s">
        <v>301</v>
      </c>
      <c r="E168" s="1" t="s">
        <v>46</v>
      </c>
      <c r="F168" s="1">
        <v>5053413</v>
      </c>
    </row>
    <row r="169" spans="1:6" x14ac:dyDescent="0.2">
      <c r="A169" s="1" t="s">
        <v>302</v>
      </c>
      <c r="B169" s="1">
        <v>2040</v>
      </c>
      <c r="C169" s="1" t="s">
        <v>254</v>
      </c>
      <c r="D169" s="1" t="s">
        <v>303</v>
      </c>
      <c r="E169" s="1" t="s">
        <v>48</v>
      </c>
      <c r="F169" s="1">
        <v>6.0131957896357102</v>
      </c>
    </row>
    <row r="170" spans="1:6" x14ac:dyDescent="0.2">
      <c r="A170" s="1" t="s">
        <v>302</v>
      </c>
      <c r="B170" s="1">
        <v>2040</v>
      </c>
      <c r="C170" s="1" t="s">
        <v>254</v>
      </c>
      <c r="D170" s="1" t="s">
        <v>304</v>
      </c>
      <c r="E170" s="1" t="s">
        <v>48</v>
      </c>
      <c r="F170" s="1">
        <v>6.1227330489267597</v>
      </c>
    </row>
    <row r="171" spans="1:6" x14ac:dyDescent="0.2">
      <c r="A171" s="1" t="s">
        <v>305</v>
      </c>
      <c r="B171" s="1">
        <v>2040</v>
      </c>
      <c r="C171" s="1" t="s">
        <v>254</v>
      </c>
      <c r="D171" s="1" t="s">
        <v>303</v>
      </c>
      <c r="E171" s="1" t="s">
        <v>50</v>
      </c>
      <c r="F171" s="1">
        <v>9.8729583005723693</v>
      </c>
    </row>
    <row r="172" spans="1:6" x14ac:dyDescent="0.2">
      <c r="A172" s="1" t="s">
        <v>305</v>
      </c>
      <c r="B172" s="1">
        <v>2040</v>
      </c>
      <c r="C172" s="1" t="s">
        <v>254</v>
      </c>
      <c r="D172" s="1" t="s">
        <v>304</v>
      </c>
      <c r="E172" s="1" t="s">
        <v>50</v>
      </c>
      <c r="F172" s="1">
        <v>9.9135723347307998</v>
      </c>
    </row>
    <row r="173" spans="1:6" x14ac:dyDescent="0.2">
      <c r="A173" s="1" t="s">
        <v>306</v>
      </c>
      <c r="B173" s="1">
        <v>2040</v>
      </c>
      <c r="C173" s="1" t="s">
        <v>254</v>
      </c>
      <c r="D173" s="1" t="s">
        <v>303</v>
      </c>
      <c r="E173" s="1" t="s">
        <v>44</v>
      </c>
      <c r="F173" s="1">
        <v>3711035</v>
      </c>
    </row>
    <row r="174" spans="1:6" x14ac:dyDescent="0.2">
      <c r="A174" s="1" t="s">
        <v>306</v>
      </c>
      <c r="B174" s="1">
        <v>2040</v>
      </c>
      <c r="C174" s="1" t="s">
        <v>254</v>
      </c>
      <c r="D174" s="1" t="s">
        <v>304</v>
      </c>
      <c r="E174" s="1" t="s">
        <v>44</v>
      </c>
      <c r="F174" s="1">
        <v>3711035</v>
      </c>
    </row>
    <row r="175" spans="1:6" x14ac:dyDescent="0.2">
      <c r="A175" s="1" t="s">
        <v>307</v>
      </c>
      <c r="B175" s="1">
        <v>2040</v>
      </c>
      <c r="C175" s="1" t="s">
        <v>254</v>
      </c>
      <c r="D175" s="1" t="s">
        <v>303</v>
      </c>
      <c r="E175" s="1" t="s">
        <v>46</v>
      </c>
      <c r="F175" s="1">
        <v>5053413</v>
      </c>
    </row>
    <row r="176" spans="1:6" x14ac:dyDescent="0.2">
      <c r="A176" s="1" t="s">
        <v>307</v>
      </c>
      <c r="B176" s="1">
        <v>2040</v>
      </c>
      <c r="C176" s="1" t="s">
        <v>254</v>
      </c>
      <c r="D176" s="1" t="s">
        <v>304</v>
      </c>
      <c r="E176" s="1" t="s">
        <v>46</v>
      </c>
      <c r="F176" s="1">
        <v>5053413</v>
      </c>
    </row>
    <row r="177" spans="1:6" x14ac:dyDescent="0.2">
      <c r="A177" s="1" t="s">
        <v>308</v>
      </c>
      <c r="B177" s="1">
        <v>2050</v>
      </c>
      <c r="C177" s="1" t="s">
        <v>273</v>
      </c>
      <c r="D177" s="1" t="s">
        <v>309</v>
      </c>
      <c r="E177" s="1" t="s">
        <v>48</v>
      </c>
      <c r="F177" s="1">
        <v>5.7106301717969901</v>
      </c>
    </row>
    <row r="178" spans="1:6" x14ac:dyDescent="0.2">
      <c r="A178" s="1" t="s">
        <v>308</v>
      </c>
      <c r="B178" s="1">
        <v>2050</v>
      </c>
      <c r="C178" s="1" t="s">
        <v>273</v>
      </c>
      <c r="D178" s="1" t="s">
        <v>310</v>
      </c>
      <c r="E178" s="1" t="s">
        <v>48</v>
      </c>
      <c r="F178" s="1">
        <v>5.7998308343109199</v>
      </c>
    </row>
    <row r="179" spans="1:6" x14ac:dyDescent="0.2">
      <c r="A179" s="1" t="s">
        <v>311</v>
      </c>
      <c r="B179" s="1">
        <v>2050</v>
      </c>
      <c r="C179" s="1" t="s">
        <v>273</v>
      </c>
      <c r="D179" s="1" t="s">
        <v>309</v>
      </c>
      <c r="E179" s="1" t="s">
        <v>50</v>
      </c>
      <c r="F179" s="1">
        <v>9.5947801089591191</v>
      </c>
    </row>
    <row r="180" spans="1:6" x14ac:dyDescent="0.2">
      <c r="A180" s="1" t="s">
        <v>311</v>
      </c>
      <c r="B180" s="1">
        <v>2050</v>
      </c>
      <c r="C180" s="1" t="s">
        <v>273</v>
      </c>
      <c r="D180" s="1" t="s">
        <v>310</v>
      </c>
      <c r="E180" s="1" t="s">
        <v>50</v>
      </c>
      <c r="F180" s="1">
        <v>9.6057522657338907</v>
      </c>
    </row>
    <row r="181" spans="1:6" x14ac:dyDescent="0.2">
      <c r="A181" s="1" t="s">
        <v>312</v>
      </c>
      <c r="B181" s="1">
        <v>2050</v>
      </c>
      <c r="C181" s="1" t="s">
        <v>273</v>
      </c>
      <c r="D181" s="1" t="s">
        <v>309</v>
      </c>
      <c r="E181" s="1" t="s">
        <v>44</v>
      </c>
      <c r="F181" s="1">
        <v>4043312</v>
      </c>
    </row>
    <row r="182" spans="1:6" x14ac:dyDescent="0.2">
      <c r="A182" s="1" t="s">
        <v>312</v>
      </c>
      <c r="B182" s="1">
        <v>2050</v>
      </c>
      <c r="C182" s="1" t="s">
        <v>273</v>
      </c>
      <c r="D182" s="1" t="s">
        <v>310</v>
      </c>
      <c r="E182" s="1" t="s">
        <v>44</v>
      </c>
      <c r="F182" s="1">
        <v>4043312</v>
      </c>
    </row>
    <row r="183" spans="1:6" x14ac:dyDescent="0.2">
      <c r="A183" s="1" t="s">
        <v>313</v>
      </c>
      <c r="B183" s="1">
        <v>2050</v>
      </c>
      <c r="C183" s="1" t="s">
        <v>273</v>
      </c>
      <c r="D183" s="1" t="s">
        <v>309</v>
      </c>
      <c r="E183" s="1" t="s">
        <v>46</v>
      </c>
      <c r="F183" s="1">
        <v>5408460</v>
      </c>
    </row>
    <row r="184" spans="1:6" x14ac:dyDescent="0.2">
      <c r="A184" s="1" t="s">
        <v>313</v>
      </c>
      <c r="B184" s="1">
        <v>2050</v>
      </c>
      <c r="C184" s="1" t="s">
        <v>273</v>
      </c>
      <c r="D184" s="1" t="s">
        <v>310</v>
      </c>
      <c r="E184" s="1" t="s">
        <v>46</v>
      </c>
      <c r="F184" s="1">
        <v>5408460</v>
      </c>
    </row>
    <row r="185" spans="1:6" x14ac:dyDescent="0.2">
      <c r="A185" s="1" t="s">
        <v>314</v>
      </c>
      <c r="B185" s="1">
        <v>2050</v>
      </c>
      <c r="C185" s="1" t="s">
        <v>280</v>
      </c>
      <c r="D185" s="1" t="s">
        <v>315</v>
      </c>
      <c r="E185" s="1" t="s">
        <v>48</v>
      </c>
      <c r="F185" s="1">
        <v>5.8566987163906301</v>
      </c>
    </row>
    <row r="186" spans="1:6" x14ac:dyDescent="0.2">
      <c r="A186" s="1" t="s">
        <v>314</v>
      </c>
      <c r="B186" s="1">
        <v>2050</v>
      </c>
      <c r="C186" s="1" t="s">
        <v>280</v>
      </c>
      <c r="D186" s="1" t="s">
        <v>316</v>
      </c>
      <c r="E186" s="1" t="s">
        <v>48</v>
      </c>
      <c r="F186" s="1">
        <v>5.9528887430061603</v>
      </c>
    </row>
    <row r="187" spans="1:6" x14ac:dyDescent="0.2">
      <c r="A187" s="1" t="s">
        <v>317</v>
      </c>
      <c r="B187" s="1">
        <v>2050</v>
      </c>
      <c r="C187" s="1" t="s">
        <v>280</v>
      </c>
      <c r="D187" s="1" t="s">
        <v>315</v>
      </c>
      <c r="E187" s="1" t="s">
        <v>50</v>
      </c>
      <c r="F187" s="1">
        <v>9.7340819703650396</v>
      </c>
    </row>
    <row r="188" spans="1:6" x14ac:dyDescent="0.2">
      <c r="A188" s="1" t="s">
        <v>317</v>
      </c>
      <c r="B188" s="1">
        <v>2050</v>
      </c>
      <c r="C188" s="1" t="s">
        <v>280</v>
      </c>
      <c r="D188" s="1" t="s">
        <v>316</v>
      </c>
      <c r="E188" s="1" t="s">
        <v>50</v>
      </c>
      <c r="F188" s="1">
        <v>9.7553923010960606</v>
      </c>
    </row>
    <row r="189" spans="1:6" x14ac:dyDescent="0.2">
      <c r="A189" s="1" t="s">
        <v>318</v>
      </c>
      <c r="B189" s="1">
        <v>2050</v>
      </c>
      <c r="C189" s="1" t="s">
        <v>280</v>
      </c>
      <c r="D189" s="1" t="s">
        <v>315</v>
      </c>
      <c r="E189" s="1" t="s">
        <v>44</v>
      </c>
      <c r="F189" s="1">
        <v>4043312</v>
      </c>
    </row>
    <row r="190" spans="1:6" x14ac:dyDescent="0.2">
      <c r="A190" s="1" t="s">
        <v>318</v>
      </c>
      <c r="B190" s="1">
        <v>2050</v>
      </c>
      <c r="C190" s="1" t="s">
        <v>280</v>
      </c>
      <c r="D190" s="1" t="s">
        <v>316</v>
      </c>
      <c r="E190" s="1" t="s">
        <v>44</v>
      </c>
      <c r="F190" s="1">
        <v>4043312</v>
      </c>
    </row>
    <row r="191" spans="1:6" x14ac:dyDescent="0.2">
      <c r="A191" s="1" t="s">
        <v>319</v>
      </c>
      <c r="B191" s="1">
        <v>2050</v>
      </c>
      <c r="C191" s="1" t="s">
        <v>280</v>
      </c>
      <c r="D191" s="1" t="s">
        <v>315</v>
      </c>
      <c r="E191" s="1" t="s">
        <v>46</v>
      </c>
      <c r="F191" s="1">
        <v>5408460</v>
      </c>
    </row>
    <row r="192" spans="1:6" x14ac:dyDescent="0.2">
      <c r="A192" s="1" t="s">
        <v>319</v>
      </c>
      <c r="B192" s="1">
        <v>2050</v>
      </c>
      <c r="C192" s="1" t="s">
        <v>280</v>
      </c>
      <c r="D192" s="1" t="s">
        <v>316</v>
      </c>
      <c r="E192" s="1" t="s">
        <v>46</v>
      </c>
      <c r="F192" s="1">
        <v>5408460</v>
      </c>
    </row>
    <row r="193" spans="1:6" x14ac:dyDescent="0.2">
      <c r="A193" s="1" t="s">
        <v>320</v>
      </c>
      <c r="B193" s="1">
        <v>2050</v>
      </c>
      <c r="C193" s="1" t="s">
        <v>173</v>
      </c>
      <c r="D193" s="1" t="s">
        <v>321</v>
      </c>
      <c r="E193" s="1" t="s">
        <v>48</v>
      </c>
      <c r="F193" s="1">
        <v>6.11284524450652</v>
      </c>
    </row>
    <row r="194" spans="1:6" x14ac:dyDescent="0.2">
      <c r="A194" s="1" t="s">
        <v>320</v>
      </c>
      <c r="B194" s="1">
        <v>2050</v>
      </c>
      <c r="C194" s="1" t="s">
        <v>173</v>
      </c>
      <c r="D194" s="1" t="s">
        <v>322</v>
      </c>
      <c r="E194" s="1" t="s">
        <v>48</v>
      </c>
      <c r="F194" s="1">
        <v>6.1669255608212596</v>
      </c>
    </row>
    <row r="195" spans="1:6" x14ac:dyDescent="0.2">
      <c r="A195" s="1" t="s">
        <v>323</v>
      </c>
      <c r="B195" s="1">
        <v>2050</v>
      </c>
      <c r="C195" s="1" t="s">
        <v>173</v>
      </c>
      <c r="D195" s="1" t="s">
        <v>321</v>
      </c>
      <c r="E195" s="1" t="s">
        <v>50</v>
      </c>
      <c r="F195" s="1">
        <v>10.134362993127199</v>
      </c>
    </row>
    <row r="196" spans="1:6" x14ac:dyDescent="0.2">
      <c r="A196" s="1" t="s">
        <v>323</v>
      </c>
      <c r="B196" s="1">
        <v>2050</v>
      </c>
      <c r="C196" s="1" t="s">
        <v>173</v>
      </c>
      <c r="D196" s="1" t="s">
        <v>322</v>
      </c>
      <c r="E196" s="1" t="s">
        <v>50</v>
      </c>
      <c r="F196" s="1">
        <v>10.127401104437499</v>
      </c>
    </row>
    <row r="197" spans="1:6" x14ac:dyDescent="0.2">
      <c r="A197" s="1" t="s">
        <v>324</v>
      </c>
      <c r="B197" s="1">
        <v>2050</v>
      </c>
      <c r="C197" s="1" t="s">
        <v>173</v>
      </c>
      <c r="D197" s="1" t="s">
        <v>321</v>
      </c>
      <c r="E197" s="1" t="s">
        <v>44</v>
      </c>
      <c r="F197" s="1">
        <v>4043312</v>
      </c>
    </row>
    <row r="198" spans="1:6" x14ac:dyDescent="0.2">
      <c r="A198" s="1" t="s">
        <v>324</v>
      </c>
      <c r="B198" s="1">
        <v>2050</v>
      </c>
      <c r="C198" s="1" t="s">
        <v>173</v>
      </c>
      <c r="D198" s="1" t="s">
        <v>322</v>
      </c>
      <c r="E198" s="1" t="s">
        <v>44</v>
      </c>
      <c r="F198" s="1">
        <v>4043312</v>
      </c>
    </row>
    <row r="199" spans="1:6" x14ac:dyDescent="0.2">
      <c r="A199" s="1" t="s">
        <v>325</v>
      </c>
      <c r="B199" s="1">
        <v>2050</v>
      </c>
      <c r="C199" s="1" t="s">
        <v>173</v>
      </c>
      <c r="D199" s="1" t="s">
        <v>321</v>
      </c>
      <c r="E199" s="1" t="s">
        <v>46</v>
      </c>
      <c r="F199" s="1">
        <v>5408460</v>
      </c>
    </row>
    <row r="200" spans="1:6" x14ac:dyDescent="0.2">
      <c r="A200" s="1" t="s">
        <v>325</v>
      </c>
      <c r="B200" s="1">
        <v>2050</v>
      </c>
      <c r="C200" s="1" t="s">
        <v>173</v>
      </c>
      <c r="D200" s="1" t="s">
        <v>322</v>
      </c>
      <c r="E200" s="1" t="s">
        <v>46</v>
      </c>
      <c r="F200" s="1">
        <v>5408460</v>
      </c>
    </row>
    <row r="201" spans="1:6" x14ac:dyDescent="0.2">
      <c r="A201" s="1" t="s">
        <v>326</v>
      </c>
      <c r="B201" s="1">
        <v>2050</v>
      </c>
      <c r="C201" s="1" t="s">
        <v>254</v>
      </c>
      <c r="D201" s="1" t="s">
        <v>327</v>
      </c>
      <c r="E201" s="1" t="s">
        <v>48</v>
      </c>
      <c r="F201" s="1">
        <v>5.7903472607508304</v>
      </c>
    </row>
    <row r="202" spans="1:6" x14ac:dyDescent="0.2">
      <c r="A202" s="1" t="s">
        <v>326</v>
      </c>
      <c r="B202" s="1">
        <v>2050</v>
      </c>
      <c r="C202" s="1" t="s">
        <v>254</v>
      </c>
      <c r="D202" s="1" t="s">
        <v>328</v>
      </c>
      <c r="E202" s="1" t="s">
        <v>48</v>
      </c>
      <c r="F202" s="1">
        <v>5.8865336656458398</v>
      </c>
    </row>
    <row r="203" spans="1:6" x14ac:dyDescent="0.2">
      <c r="A203" s="1" t="s">
        <v>329</v>
      </c>
      <c r="B203" s="1">
        <v>2050</v>
      </c>
      <c r="C203" s="1" t="s">
        <v>254</v>
      </c>
      <c r="D203" s="1" t="s">
        <v>327</v>
      </c>
      <c r="E203" s="1" t="s">
        <v>50</v>
      </c>
      <c r="F203" s="1">
        <v>9.7400160136244391</v>
      </c>
    </row>
    <row r="204" spans="1:6" x14ac:dyDescent="0.2">
      <c r="A204" s="1" t="s">
        <v>329</v>
      </c>
      <c r="B204" s="1">
        <v>2050</v>
      </c>
      <c r="C204" s="1" t="s">
        <v>254</v>
      </c>
      <c r="D204" s="1" t="s">
        <v>328</v>
      </c>
      <c r="E204" s="1" t="s">
        <v>50</v>
      </c>
      <c r="F204" s="1">
        <v>9.7814867135766708</v>
      </c>
    </row>
    <row r="205" spans="1:6" x14ac:dyDescent="0.2">
      <c r="A205" s="1" t="s">
        <v>330</v>
      </c>
      <c r="B205" s="1">
        <v>2050</v>
      </c>
      <c r="C205" s="1" t="s">
        <v>254</v>
      </c>
      <c r="D205" s="1" t="s">
        <v>327</v>
      </c>
      <c r="E205" s="1" t="s">
        <v>44</v>
      </c>
      <c r="F205" s="1">
        <v>4043312</v>
      </c>
    </row>
    <row r="206" spans="1:6" x14ac:dyDescent="0.2">
      <c r="A206" s="1" t="s">
        <v>330</v>
      </c>
      <c r="B206" s="1">
        <v>2050</v>
      </c>
      <c r="C206" s="1" t="s">
        <v>254</v>
      </c>
      <c r="D206" s="1" t="s">
        <v>328</v>
      </c>
      <c r="E206" s="1" t="s">
        <v>44</v>
      </c>
      <c r="F206" s="1">
        <v>4043312</v>
      </c>
    </row>
    <row r="207" spans="1:6" x14ac:dyDescent="0.2">
      <c r="A207" s="1" t="s">
        <v>331</v>
      </c>
      <c r="B207" s="1">
        <v>2050</v>
      </c>
      <c r="C207" s="1" t="s">
        <v>254</v>
      </c>
      <c r="D207" s="1" t="s">
        <v>327</v>
      </c>
      <c r="E207" s="1" t="s">
        <v>46</v>
      </c>
      <c r="F207" s="1">
        <v>5408460</v>
      </c>
    </row>
    <row r="208" spans="1:6" x14ac:dyDescent="0.2">
      <c r="A208" s="1" t="s">
        <v>331</v>
      </c>
      <c r="B208" s="1">
        <v>2050</v>
      </c>
      <c r="C208" s="1" t="s">
        <v>254</v>
      </c>
      <c r="D208" s="1" t="s">
        <v>328</v>
      </c>
      <c r="E208" s="1" t="s">
        <v>46</v>
      </c>
      <c r="F208" s="1">
        <v>5408460</v>
      </c>
    </row>
    <row r="209" spans="1:7" ht="15" x14ac:dyDescent="0.25">
      <c r="A209" s="104" t="s">
        <v>332</v>
      </c>
      <c r="B209"/>
      <c r="C209"/>
      <c r="D209"/>
      <c r="E209"/>
      <c r="F209"/>
      <c r="G209"/>
    </row>
    <row r="210" spans="1:7" ht="15" x14ac:dyDescent="0.25">
      <c r="A210" t="s">
        <v>131</v>
      </c>
      <c r="B210" t="s">
        <v>132</v>
      </c>
      <c r="C210" t="s">
        <v>133</v>
      </c>
      <c r="D210" t="s">
        <v>134</v>
      </c>
      <c r="E210" t="s">
        <v>135</v>
      </c>
      <c r="F210" t="s">
        <v>136</v>
      </c>
      <c r="G210"/>
    </row>
    <row r="211" spans="1:7" ht="15" x14ac:dyDescent="0.25">
      <c r="A211" t="s">
        <v>333</v>
      </c>
      <c r="B211">
        <v>2005</v>
      </c>
      <c r="C211" t="s">
        <v>334</v>
      </c>
      <c r="D211" t="s">
        <v>335</v>
      </c>
      <c r="E211" t="s">
        <v>48</v>
      </c>
      <c r="F211">
        <v>6.2188967082194297</v>
      </c>
      <c r="G211"/>
    </row>
    <row r="212" spans="1:7" ht="15" x14ac:dyDescent="0.25">
      <c r="A212" t="s">
        <v>336</v>
      </c>
      <c r="B212">
        <v>2005</v>
      </c>
      <c r="C212" t="s">
        <v>334</v>
      </c>
      <c r="D212" t="s">
        <v>335</v>
      </c>
      <c r="E212" t="s">
        <v>50</v>
      </c>
      <c r="F212">
        <v>10.3991160181324</v>
      </c>
      <c r="G212"/>
    </row>
    <row r="213" spans="1:7" ht="15" x14ac:dyDescent="0.25">
      <c r="A213" t="s">
        <v>337</v>
      </c>
      <c r="B213">
        <v>2005</v>
      </c>
      <c r="C213" t="s">
        <v>334</v>
      </c>
      <c r="D213" t="s">
        <v>335</v>
      </c>
      <c r="E213" t="s">
        <v>44</v>
      </c>
      <c r="F213">
        <v>2499076</v>
      </c>
      <c r="G213"/>
    </row>
    <row r="214" spans="1:7" ht="15" x14ac:dyDescent="0.25">
      <c r="A214" t="s">
        <v>338</v>
      </c>
      <c r="B214">
        <v>2005</v>
      </c>
      <c r="C214" t="s">
        <v>334</v>
      </c>
      <c r="D214" t="s">
        <v>335</v>
      </c>
      <c r="E214" t="s">
        <v>46</v>
      </c>
      <c r="F214">
        <v>3575933</v>
      </c>
      <c r="G214"/>
    </row>
    <row r="215" spans="1:7" ht="15" x14ac:dyDescent="0.25">
      <c r="A215" t="s">
        <v>339</v>
      </c>
      <c r="B215">
        <v>2015</v>
      </c>
      <c r="C215" t="s">
        <v>340</v>
      </c>
      <c r="D215" t="s">
        <v>341</v>
      </c>
      <c r="E215" t="s">
        <v>48</v>
      </c>
      <c r="F215">
        <v>6.2786730050592698</v>
      </c>
      <c r="G215"/>
    </row>
    <row r="216" spans="1:7" ht="15" x14ac:dyDescent="0.25">
      <c r="A216" t="s">
        <v>342</v>
      </c>
      <c r="B216">
        <v>2015</v>
      </c>
      <c r="C216" t="s">
        <v>340</v>
      </c>
      <c r="D216" t="s">
        <v>341</v>
      </c>
      <c r="E216" t="s">
        <v>50</v>
      </c>
      <c r="F216">
        <v>10.153931610064401</v>
      </c>
      <c r="G216"/>
    </row>
    <row r="217" spans="1:7" ht="15" x14ac:dyDescent="0.25">
      <c r="A217" t="s">
        <v>343</v>
      </c>
      <c r="B217">
        <v>2015</v>
      </c>
      <c r="C217" t="s">
        <v>340</v>
      </c>
      <c r="D217" t="s">
        <v>341</v>
      </c>
      <c r="E217" t="s">
        <v>44</v>
      </c>
      <c r="F217">
        <v>2700805</v>
      </c>
      <c r="G217"/>
    </row>
    <row r="218" spans="1:7" ht="15" x14ac:dyDescent="0.25">
      <c r="A218" t="s">
        <v>344</v>
      </c>
      <c r="B218">
        <v>2015</v>
      </c>
      <c r="C218" t="s">
        <v>340</v>
      </c>
      <c r="D218" t="s">
        <v>341</v>
      </c>
      <c r="E218" t="s">
        <v>46</v>
      </c>
      <c r="F218">
        <v>3861318</v>
      </c>
      <c r="G218"/>
    </row>
    <row r="219" spans="1:7" ht="15" x14ac:dyDescent="0.25">
      <c r="A219" t="s">
        <v>345</v>
      </c>
      <c r="B219">
        <v>2023</v>
      </c>
      <c r="C219" t="s">
        <v>346</v>
      </c>
      <c r="D219" t="s">
        <v>347</v>
      </c>
      <c r="E219" t="s">
        <v>48</v>
      </c>
      <c r="F219">
        <v>6.1048471658016403</v>
      </c>
      <c r="G219"/>
    </row>
    <row r="220" spans="1:7" ht="15" x14ac:dyDescent="0.25">
      <c r="A220" t="s">
        <v>348</v>
      </c>
      <c r="B220">
        <v>2023</v>
      </c>
      <c r="C220" t="s">
        <v>346</v>
      </c>
      <c r="D220" t="s">
        <v>347</v>
      </c>
      <c r="E220" t="s">
        <v>50</v>
      </c>
      <c r="F220">
        <v>10.7292298732633</v>
      </c>
      <c r="G220"/>
    </row>
    <row r="221" spans="1:7" ht="15" x14ac:dyDescent="0.25">
      <c r="A221" t="s">
        <v>349</v>
      </c>
      <c r="B221">
        <v>2023</v>
      </c>
      <c r="C221" t="s">
        <v>346</v>
      </c>
      <c r="D221" t="s">
        <v>347</v>
      </c>
      <c r="E221" t="s">
        <v>44</v>
      </c>
      <c r="F221">
        <v>2839493</v>
      </c>
      <c r="G221"/>
    </row>
    <row r="222" spans="1:7" ht="15" x14ac:dyDescent="0.25">
      <c r="A222" t="s">
        <v>350</v>
      </c>
      <c r="B222">
        <v>2023</v>
      </c>
      <c r="C222" t="s">
        <v>346</v>
      </c>
      <c r="D222" t="s">
        <v>347</v>
      </c>
      <c r="E222" t="s">
        <v>46</v>
      </c>
      <c r="F222">
        <v>4064307</v>
      </c>
      <c r="G222"/>
    </row>
    <row r="223" spans="1:7" ht="15" x14ac:dyDescent="0.25">
      <c r="A223" t="s">
        <v>351</v>
      </c>
      <c r="B223">
        <v>2025</v>
      </c>
      <c r="C223" t="s">
        <v>352</v>
      </c>
      <c r="D223" t="s">
        <v>256</v>
      </c>
      <c r="E223" t="s">
        <v>48</v>
      </c>
      <c r="F223">
        <v>6.3176208630912098</v>
      </c>
      <c r="G223"/>
    </row>
    <row r="224" spans="1:7" ht="15" x14ac:dyDescent="0.25">
      <c r="A224" t="s">
        <v>353</v>
      </c>
      <c r="B224">
        <v>2025</v>
      </c>
      <c r="C224" t="s">
        <v>352</v>
      </c>
      <c r="D224" t="s">
        <v>256</v>
      </c>
      <c r="E224" t="s">
        <v>50</v>
      </c>
      <c r="F224">
        <v>10.382779876482999</v>
      </c>
      <c r="G224"/>
    </row>
    <row r="225" spans="1:7" ht="15" x14ac:dyDescent="0.25">
      <c r="A225" t="s">
        <v>354</v>
      </c>
      <c r="B225">
        <v>2025</v>
      </c>
      <c r="C225" t="s">
        <v>352</v>
      </c>
      <c r="D225" t="s">
        <v>256</v>
      </c>
      <c r="E225" t="s">
        <v>44</v>
      </c>
      <c r="F225">
        <v>2951569</v>
      </c>
      <c r="G225"/>
    </row>
    <row r="226" spans="1:7" ht="15" x14ac:dyDescent="0.25">
      <c r="A226" t="s">
        <v>355</v>
      </c>
      <c r="B226">
        <v>2025</v>
      </c>
      <c r="C226" t="s">
        <v>352</v>
      </c>
      <c r="D226" t="s">
        <v>256</v>
      </c>
      <c r="E226" t="s">
        <v>46</v>
      </c>
      <c r="F226">
        <v>4147691</v>
      </c>
      <c r="G226"/>
    </row>
    <row r="227" spans="1:7" ht="15" x14ac:dyDescent="0.25">
      <c r="A227" t="s">
        <v>356</v>
      </c>
      <c r="B227">
        <v>2035</v>
      </c>
      <c r="C227" t="s">
        <v>36</v>
      </c>
      <c r="D227" t="s">
        <v>357</v>
      </c>
      <c r="E227" t="s">
        <v>48</v>
      </c>
      <c r="F227">
        <v>5.7524543715747898</v>
      </c>
      <c r="G227"/>
    </row>
    <row r="228" spans="1:7" ht="15" x14ac:dyDescent="0.25">
      <c r="A228" t="s">
        <v>356</v>
      </c>
      <c r="B228">
        <v>2035</v>
      </c>
      <c r="C228" t="s">
        <v>36</v>
      </c>
      <c r="D228" t="s">
        <v>358</v>
      </c>
      <c r="E228" t="s">
        <v>48</v>
      </c>
      <c r="F228">
        <v>5.9664765782514504</v>
      </c>
      <c r="G228"/>
    </row>
    <row r="229" spans="1:7" ht="15" x14ac:dyDescent="0.25">
      <c r="A229" t="s">
        <v>356</v>
      </c>
      <c r="B229">
        <v>2035</v>
      </c>
      <c r="C229" t="s">
        <v>36</v>
      </c>
      <c r="D229" t="s">
        <v>359</v>
      </c>
      <c r="E229" t="s">
        <v>48</v>
      </c>
      <c r="F229">
        <v>5.7592870154499698</v>
      </c>
      <c r="G229"/>
    </row>
    <row r="230" spans="1:7" ht="15" x14ac:dyDescent="0.25">
      <c r="A230" t="s">
        <v>356</v>
      </c>
      <c r="B230">
        <v>2035</v>
      </c>
      <c r="C230" t="s">
        <v>36</v>
      </c>
      <c r="D230" t="s">
        <v>360</v>
      </c>
      <c r="E230" t="s">
        <v>48</v>
      </c>
      <c r="F230">
        <v>5.7748099195508997</v>
      </c>
      <c r="G230"/>
    </row>
    <row r="231" spans="1:7" ht="15" x14ac:dyDescent="0.25">
      <c r="A231" t="s">
        <v>356</v>
      </c>
      <c r="B231">
        <v>2035</v>
      </c>
      <c r="C231" t="s">
        <v>36</v>
      </c>
      <c r="D231" t="s">
        <v>361</v>
      </c>
      <c r="E231" t="s">
        <v>48</v>
      </c>
      <c r="F231">
        <v>5.8539825754521697</v>
      </c>
      <c r="G231"/>
    </row>
    <row r="232" spans="1:7" ht="15" x14ac:dyDescent="0.25">
      <c r="A232" t="s">
        <v>356</v>
      </c>
      <c r="B232">
        <v>2035</v>
      </c>
      <c r="C232" t="s">
        <v>36</v>
      </c>
      <c r="D232" t="s">
        <v>362</v>
      </c>
      <c r="E232" t="s">
        <v>48</v>
      </c>
      <c r="F232">
        <v>5.8057814541891801</v>
      </c>
      <c r="G232"/>
    </row>
    <row r="233" spans="1:7" ht="15" x14ac:dyDescent="0.25">
      <c r="A233" t="s">
        <v>356</v>
      </c>
      <c r="B233">
        <v>2035</v>
      </c>
      <c r="C233" t="s">
        <v>36</v>
      </c>
      <c r="D233" t="s">
        <v>363</v>
      </c>
      <c r="E233" t="s">
        <v>48</v>
      </c>
      <c r="F233">
        <v>5.7956630457893299</v>
      </c>
      <c r="G233"/>
    </row>
    <row r="234" spans="1:7" ht="15" x14ac:dyDescent="0.25">
      <c r="A234" t="s">
        <v>356</v>
      </c>
      <c r="B234">
        <v>2035</v>
      </c>
      <c r="C234" t="s">
        <v>36</v>
      </c>
      <c r="D234" t="s">
        <v>364</v>
      </c>
      <c r="E234" t="s">
        <v>48</v>
      </c>
      <c r="F234">
        <v>5.8011246107843704</v>
      </c>
      <c r="G234"/>
    </row>
    <row r="235" spans="1:7" ht="15" x14ac:dyDescent="0.25">
      <c r="A235" t="s">
        <v>365</v>
      </c>
      <c r="B235">
        <v>2035</v>
      </c>
      <c r="C235" t="s">
        <v>36</v>
      </c>
      <c r="D235" t="s">
        <v>357</v>
      </c>
      <c r="E235" t="s">
        <v>50</v>
      </c>
      <c r="F235">
        <v>9.8657933571538603</v>
      </c>
      <c r="G235"/>
    </row>
    <row r="236" spans="1:7" ht="15" x14ac:dyDescent="0.25">
      <c r="A236" t="s">
        <v>365</v>
      </c>
      <c r="B236">
        <v>2035</v>
      </c>
      <c r="C236" t="s">
        <v>36</v>
      </c>
      <c r="D236" t="s">
        <v>358</v>
      </c>
      <c r="E236" t="s">
        <v>50</v>
      </c>
      <c r="F236">
        <v>10.087605980855701</v>
      </c>
      <c r="G236"/>
    </row>
    <row r="237" spans="1:7" ht="15" x14ac:dyDescent="0.25">
      <c r="A237" t="s">
        <v>365</v>
      </c>
      <c r="B237">
        <v>2035</v>
      </c>
      <c r="C237" t="s">
        <v>36</v>
      </c>
      <c r="D237" t="s">
        <v>359</v>
      </c>
      <c r="E237" t="s">
        <v>50</v>
      </c>
      <c r="F237">
        <v>9.8709047849552203</v>
      </c>
      <c r="G237"/>
    </row>
    <row r="238" spans="1:7" ht="15" x14ac:dyDescent="0.25">
      <c r="A238" t="s">
        <v>365</v>
      </c>
      <c r="B238">
        <v>2035</v>
      </c>
      <c r="C238" t="s">
        <v>36</v>
      </c>
      <c r="D238" t="s">
        <v>360</v>
      </c>
      <c r="E238" t="s">
        <v>50</v>
      </c>
      <c r="F238">
        <v>9.9346676392978299</v>
      </c>
      <c r="G238"/>
    </row>
    <row r="239" spans="1:7" ht="15" x14ac:dyDescent="0.25">
      <c r="A239" t="s">
        <v>365</v>
      </c>
      <c r="B239">
        <v>2035</v>
      </c>
      <c r="C239" t="s">
        <v>36</v>
      </c>
      <c r="D239" t="s">
        <v>361</v>
      </c>
      <c r="E239" t="s">
        <v>50</v>
      </c>
      <c r="F239">
        <v>9.7426305100179391</v>
      </c>
      <c r="G239"/>
    </row>
    <row r="240" spans="1:7" ht="15" x14ac:dyDescent="0.25">
      <c r="A240" t="s">
        <v>365</v>
      </c>
      <c r="B240">
        <v>2035</v>
      </c>
      <c r="C240" t="s">
        <v>36</v>
      </c>
      <c r="D240" t="s">
        <v>362</v>
      </c>
      <c r="E240" t="s">
        <v>50</v>
      </c>
      <c r="F240">
        <v>9.8596664123092008</v>
      </c>
      <c r="G240"/>
    </row>
    <row r="241" spans="1:7" ht="15" x14ac:dyDescent="0.25">
      <c r="A241" t="s">
        <v>365</v>
      </c>
      <c r="B241">
        <v>2035</v>
      </c>
      <c r="C241" t="s">
        <v>36</v>
      </c>
      <c r="D241" t="s">
        <v>363</v>
      </c>
      <c r="E241" t="s">
        <v>50</v>
      </c>
      <c r="F241">
        <v>9.87205823533521</v>
      </c>
      <c r="G241"/>
    </row>
    <row r="242" spans="1:7" ht="15" x14ac:dyDescent="0.25">
      <c r="A242" t="s">
        <v>365</v>
      </c>
      <c r="B242">
        <v>2035</v>
      </c>
      <c r="C242" t="s">
        <v>36</v>
      </c>
      <c r="D242" t="s">
        <v>364</v>
      </c>
      <c r="E242" t="s">
        <v>50</v>
      </c>
      <c r="F242">
        <v>9.8542957390799195</v>
      </c>
      <c r="G242"/>
    </row>
    <row r="243" spans="1:7" ht="15" x14ac:dyDescent="0.25">
      <c r="A243" t="s">
        <v>366</v>
      </c>
      <c r="B243">
        <v>2035</v>
      </c>
      <c r="C243" t="s">
        <v>36</v>
      </c>
      <c r="D243" t="s">
        <v>357</v>
      </c>
      <c r="E243" t="s">
        <v>44</v>
      </c>
      <c r="F243">
        <v>3311530</v>
      </c>
      <c r="G243"/>
    </row>
    <row r="244" spans="1:7" ht="15" x14ac:dyDescent="0.25">
      <c r="A244" t="s">
        <v>366</v>
      </c>
      <c r="B244">
        <v>2035</v>
      </c>
      <c r="C244" t="s">
        <v>36</v>
      </c>
      <c r="D244" t="s">
        <v>358</v>
      </c>
      <c r="E244" t="s">
        <v>44</v>
      </c>
      <c r="F244">
        <v>3311530</v>
      </c>
      <c r="G244"/>
    </row>
    <row r="245" spans="1:7" ht="15" x14ac:dyDescent="0.25">
      <c r="A245" t="s">
        <v>366</v>
      </c>
      <c r="B245">
        <v>2035</v>
      </c>
      <c r="C245" t="s">
        <v>36</v>
      </c>
      <c r="D245" t="s">
        <v>359</v>
      </c>
      <c r="E245" t="s">
        <v>44</v>
      </c>
      <c r="F245">
        <v>3311530</v>
      </c>
      <c r="G245"/>
    </row>
    <row r="246" spans="1:7" ht="15" x14ac:dyDescent="0.25">
      <c r="A246" t="s">
        <v>366</v>
      </c>
      <c r="B246">
        <v>2035</v>
      </c>
      <c r="C246" t="s">
        <v>36</v>
      </c>
      <c r="D246" t="s">
        <v>360</v>
      </c>
      <c r="E246" t="s">
        <v>44</v>
      </c>
      <c r="F246">
        <v>3495212</v>
      </c>
      <c r="G246"/>
    </row>
    <row r="247" spans="1:7" ht="15" x14ac:dyDescent="0.25">
      <c r="A247" t="s">
        <v>366</v>
      </c>
      <c r="B247">
        <v>2035</v>
      </c>
      <c r="C247" t="s">
        <v>36</v>
      </c>
      <c r="D247" t="s">
        <v>361</v>
      </c>
      <c r="E247" t="s">
        <v>44</v>
      </c>
      <c r="F247">
        <v>3311530</v>
      </c>
      <c r="G247"/>
    </row>
    <row r="248" spans="1:7" ht="15" x14ac:dyDescent="0.25">
      <c r="A248" t="s">
        <v>366</v>
      </c>
      <c r="B248">
        <v>2035</v>
      </c>
      <c r="C248" t="s">
        <v>36</v>
      </c>
      <c r="D248" t="s">
        <v>362</v>
      </c>
      <c r="E248" t="s">
        <v>44</v>
      </c>
      <c r="F248">
        <v>3311530</v>
      </c>
      <c r="G248"/>
    </row>
    <row r="249" spans="1:7" ht="15" x14ac:dyDescent="0.25">
      <c r="A249" t="s">
        <v>366</v>
      </c>
      <c r="B249">
        <v>2035</v>
      </c>
      <c r="C249" t="s">
        <v>36</v>
      </c>
      <c r="D249" t="s">
        <v>363</v>
      </c>
      <c r="E249" t="s">
        <v>44</v>
      </c>
      <c r="F249">
        <v>3311530</v>
      </c>
      <c r="G249"/>
    </row>
    <row r="250" spans="1:7" ht="15" x14ac:dyDescent="0.25">
      <c r="A250" t="s">
        <v>366</v>
      </c>
      <c r="B250">
        <v>2035</v>
      </c>
      <c r="C250" t="s">
        <v>36</v>
      </c>
      <c r="D250" t="s">
        <v>364</v>
      </c>
      <c r="E250" t="s">
        <v>44</v>
      </c>
      <c r="F250">
        <v>3311530</v>
      </c>
      <c r="G250"/>
    </row>
    <row r="251" spans="1:7" ht="15" x14ac:dyDescent="0.25">
      <c r="A251" t="s">
        <v>367</v>
      </c>
      <c r="B251">
        <v>2035</v>
      </c>
      <c r="C251" t="s">
        <v>36</v>
      </c>
      <c r="D251" t="s">
        <v>357</v>
      </c>
      <c r="E251" t="s">
        <v>46</v>
      </c>
      <c r="F251">
        <v>4854742</v>
      </c>
      <c r="G251"/>
    </row>
    <row r="252" spans="1:7" ht="15" x14ac:dyDescent="0.25">
      <c r="A252" t="s">
        <v>367</v>
      </c>
      <c r="B252">
        <v>2035</v>
      </c>
      <c r="C252" t="s">
        <v>36</v>
      </c>
      <c r="D252" t="s">
        <v>358</v>
      </c>
      <c r="E252" t="s">
        <v>46</v>
      </c>
      <c r="F252">
        <v>4854742</v>
      </c>
      <c r="G252"/>
    </row>
    <row r="253" spans="1:7" ht="15" x14ac:dyDescent="0.25">
      <c r="A253" t="s">
        <v>367</v>
      </c>
      <c r="B253">
        <v>2035</v>
      </c>
      <c r="C253" t="s">
        <v>36</v>
      </c>
      <c r="D253" t="s">
        <v>359</v>
      </c>
      <c r="E253" t="s">
        <v>46</v>
      </c>
      <c r="F253">
        <v>4854742</v>
      </c>
      <c r="G253"/>
    </row>
    <row r="254" spans="1:7" ht="15" x14ac:dyDescent="0.25">
      <c r="A254" t="s">
        <v>367</v>
      </c>
      <c r="B254">
        <v>2035</v>
      </c>
      <c r="C254" t="s">
        <v>36</v>
      </c>
      <c r="D254" t="s">
        <v>360</v>
      </c>
      <c r="E254" t="s">
        <v>46</v>
      </c>
      <c r="F254">
        <v>4834513</v>
      </c>
      <c r="G254"/>
    </row>
    <row r="255" spans="1:7" ht="15" x14ac:dyDescent="0.25">
      <c r="A255" t="s">
        <v>367</v>
      </c>
      <c r="B255">
        <v>2035</v>
      </c>
      <c r="C255" t="s">
        <v>36</v>
      </c>
      <c r="D255" t="s">
        <v>361</v>
      </c>
      <c r="E255" t="s">
        <v>46</v>
      </c>
      <c r="F255">
        <v>4854742</v>
      </c>
      <c r="G255"/>
    </row>
    <row r="256" spans="1:7" ht="15" x14ac:dyDescent="0.25">
      <c r="A256" t="s">
        <v>367</v>
      </c>
      <c r="B256">
        <v>2035</v>
      </c>
      <c r="C256" t="s">
        <v>36</v>
      </c>
      <c r="D256" t="s">
        <v>362</v>
      </c>
      <c r="E256" t="s">
        <v>46</v>
      </c>
      <c r="F256">
        <v>4854742</v>
      </c>
      <c r="G256"/>
    </row>
    <row r="257" spans="1:15" ht="15" x14ac:dyDescent="0.25">
      <c r="A257" t="s">
        <v>367</v>
      </c>
      <c r="B257">
        <v>2035</v>
      </c>
      <c r="C257" t="s">
        <v>36</v>
      </c>
      <c r="D257" t="s">
        <v>363</v>
      </c>
      <c r="E257" t="s">
        <v>46</v>
      </c>
      <c r="F257">
        <v>4854742</v>
      </c>
      <c r="G257"/>
    </row>
    <row r="258" spans="1:15" ht="15" x14ac:dyDescent="0.25">
      <c r="A258" t="s">
        <v>367</v>
      </c>
      <c r="B258">
        <v>2035</v>
      </c>
      <c r="C258" t="s">
        <v>36</v>
      </c>
      <c r="D258" t="s">
        <v>364</v>
      </c>
      <c r="E258" t="s">
        <v>46</v>
      </c>
      <c r="F258">
        <v>4854742</v>
      </c>
      <c r="G258"/>
    </row>
    <row r="259" spans="1:15" ht="15" x14ac:dyDescent="0.25">
      <c r="A259" t="s">
        <v>368</v>
      </c>
      <c r="B259">
        <v>2035</v>
      </c>
      <c r="C259" t="s">
        <v>352</v>
      </c>
      <c r="D259" t="s">
        <v>296</v>
      </c>
      <c r="E259" t="s">
        <v>48</v>
      </c>
      <c r="F259">
        <v>6.25645959238543</v>
      </c>
      <c r="G259"/>
    </row>
    <row r="260" spans="1:15" ht="15" x14ac:dyDescent="0.25">
      <c r="A260" t="s">
        <v>369</v>
      </c>
      <c r="B260">
        <v>2035</v>
      </c>
      <c r="C260" t="s">
        <v>352</v>
      </c>
      <c r="D260" t="s">
        <v>296</v>
      </c>
      <c r="E260" t="s">
        <v>50</v>
      </c>
      <c r="F260">
        <v>10.0125317118476</v>
      </c>
      <c r="G260"/>
    </row>
    <row r="261" spans="1:15" ht="15" x14ac:dyDescent="0.25">
      <c r="A261" t="s">
        <v>370</v>
      </c>
      <c r="B261">
        <v>2035</v>
      </c>
      <c r="C261" t="s">
        <v>352</v>
      </c>
      <c r="D261" t="s">
        <v>296</v>
      </c>
      <c r="E261" t="s">
        <v>44</v>
      </c>
      <c r="F261">
        <v>3495212</v>
      </c>
      <c r="G261"/>
    </row>
    <row r="262" spans="1:15" ht="15" x14ac:dyDescent="0.25">
      <c r="A262" t="s">
        <v>371</v>
      </c>
      <c r="B262">
        <v>2035</v>
      </c>
      <c r="C262" t="s">
        <v>352</v>
      </c>
      <c r="D262" t="s">
        <v>296</v>
      </c>
      <c r="E262" t="s">
        <v>46</v>
      </c>
      <c r="F262">
        <v>4834513</v>
      </c>
      <c r="G262"/>
    </row>
    <row r="263" spans="1:15" ht="15" x14ac:dyDescent="0.25">
      <c r="A263" s="104" t="s">
        <v>372</v>
      </c>
      <c r="B263"/>
      <c r="C263"/>
      <c r="D263"/>
      <c r="E263"/>
      <c r="F263"/>
      <c r="G263"/>
      <c r="H263"/>
      <c r="I263"/>
      <c r="J263"/>
      <c r="K263"/>
      <c r="L263"/>
      <c r="M263"/>
      <c r="N263"/>
      <c r="O263"/>
    </row>
    <row r="264" spans="1:15" ht="15" x14ac:dyDescent="0.25">
      <c r="A264" t="s">
        <v>131</v>
      </c>
      <c r="B264" t="s">
        <v>132</v>
      </c>
      <c r="C264" t="s">
        <v>133</v>
      </c>
      <c r="D264" t="s">
        <v>134</v>
      </c>
      <c r="E264" t="s">
        <v>135</v>
      </c>
      <c r="F264" t="s">
        <v>136</v>
      </c>
      <c r="G264"/>
      <c r="H264"/>
      <c r="I264"/>
      <c r="J264"/>
      <c r="K264"/>
      <c r="L264"/>
      <c r="M264"/>
      <c r="N264"/>
      <c r="O264"/>
    </row>
    <row r="265" spans="1:15" ht="15" x14ac:dyDescent="0.25">
      <c r="A265" t="s">
        <v>333</v>
      </c>
      <c r="B265">
        <v>2005</v>
      </c>
      <c r="C265" t="s">
        <v>334</v>
      </c>
      <c r="D265" t="s">
        <v>335</v>
      </c>
      <c r="E265" t="s">
        <v>48</v>
      </c>
      <c r="F265">
        <v>6.2188967082194297</v>
      </c>
      <c r="G265"/>
      <c r="H265"/>
      <c r="I265"/>
      <c r="J265"/>
      <c r="K265"/>
      <c r="L265"/>
      <c r="M265"/>
      <c r="N265"/>
      <c r="O265"/>
    </row>
    <row r="266" spans="1:15" ht="15" x14ac:dyDescent="0.25">
      <c r="A266" t="s">
        <v>336</v>
      </c>
      <c r="B266">
        <v>2005</v>
      </c>
      <c r="C266" t="s">
        <v>334</v>
      </c>
      <c r="D266" t="s">
        <v>335</v>
      </c>
      <c r="E266" t="s">
        <v>50</v>
      </c>
      <c r="F266">
        <v>10.3991160181324</v>
      </c>
      <c r="G266"/>
      <c r="H266"/>
      <c r="I266"/>
      <c r="J266"/>
      <c r="K266"/>
      <c r="L266"/>
      <c r="M266"/>
      <c r="N266"/>
      <c r="O266"/>
    </row>
    <row r="267" spans="1:15" ht="15" x14ac:dyDescent="0.25">
      <c r="A267" t="s">
        <v>337</v>
      </c>
      <c r="B267">
        <v>2005</v>
      </c>
      <c r="C267" t="s">
        <v>334</v>
      </c>
      <c r="D267" t="s">
        <v>335</v>
      </c>
      <c r="E267" t="s">
        <v>44</v>
      </c>
      <c r="F267">
        <v>2499076</v>
      </c>
      <c r="G267"/>
      <c r="H267"/>
      <c r="I267"/>
      <c r="J267"/>
      <c r="K267"/>
      <c r="L267"/>
      <c r="M267"/>
      <c r="N267"/>
      <c r="O267"/>
    </row>
    <row r="268" spans="1:15" ht="15" x14ac:dyDescent="0.25">
      <c r="A268" t="s">
        <v>338</v>
      </c>
      <c r="B268">
        <v>2005</v>
      </c>
      <c r="C268" t="s">
        <v>334</v>
      </c>
      <c r="D268" t="s">
        <v>335</v>
      </c>
      <c r="E268" t="s">
        <v>46</v>
      </c>
      <c r="F268">
        <v>3575933</v>
      </c>
      <c r="G268"/>
      <c r="H268"/>
      <c r="I268"/>
      <c r="J268"/>
      <c r="K268"/>
      <c r="L268"/>
      <c r="M268"/>
      <c r="N268"/>
      <c r="O268"/>
    </row>
    <row r="269" spans="1:15" ht="15" x14ac:dyDescent="0.25">
      <c r="A269" t="s">
        <v>339</v>
      </c>
      <c r="B269">
        <v>2015</v>
      </c>
      <c r="C269" t="s">
        <v>340</v>
      </c>
      <c r="D269" t="s">
        <v>341</v>
      </c>
      <c r="E269" t="s">
        <v>48</v>
      </c>
      <c r="F269">
        <v>6.2786730050592698</v>
      </c>
      <c r="G269"/>
      <c r="H269"/>
      <c r="I269"/>
      <c r="J269"/>
      <c r="K269"/>
      <c r="L269"/>
      <c r="M269"/>
      <c r="N269"/>
      <c r="O269"/>
    </row>
    <row r="270" spans="1:15" ht="15" x14ac:dyDescent="0.25">
      <c r="A270" t="s">
        <v>342</v>
      </c>
      <c r="B270">
        <v>2015</v>
      </c>
      <c r="C270" t="s">
        <v>340</v>
      </c>
      <c r="D270" t="s">
        <v>341</v>
      </c>
      <c r="E270" t="s">
        <v>50</v>
      </c>
      <c r="F270">
        <v>10.153931610064401</v>
      </c>
      <c r="G270"/>
      <c r="H270"/>
      <c r="I270"/>
      <c r="J270"/>
      <c r="K270"/>
      <c r="L270"/>
      <c r="M270"/>
      <c r="N270"/>
      <c r="O270"/>
    </row>
    <row r="271" spans="1:15" ht="15" x14ac:dyDescent="0.25">
      <c r="A271" t="s">
        <v>343</v>
      </c>
      <c r="B271">
        <v>2015</v>
      </c>
      <c r="C271" t="s">
        <v>340</v>
      </c>
      <c r="D271" t="s">
        <v>341</v>
      </c>
      <c r="E271" t="s">
        <v>44</v>
      </c>
      <c r="F271">
        <v>2700805</v>
      </c>
      <c r="G271"/>
      <c r="H271"/>
      <c r="I271"/>
      <c r="J271"/>
      <c r="K271"/>
      <c r="L271"/>
      <c r="M271"/>
      <c r="N271"/>
      <c r="O271"/>
    </row>
    <row r="272" spans="1:15" ht="15" x14ac:dyDescent="0.25">
      <c r="A272" t="s">
        <v>344</v>
      </c>
      <c r="B272">
        <v>2015</v>
      </c>
      <c r="C272" t="s">
        <v>340</v>
      </c>
      <c r="D272" t="s">
        <v>341</v>
      </c>
      <c r="E272" t="s">
        <v>46</v>
      </c>
      <c r="F272">
        <v>3861318</v>
      </c>
      <c r="G272"/>
      <c r="H272"/>
      <c r="I272"/>
      <c r="J272"/>
      <c r="K272"/>
      <c r="L272"/>
      <c r="M272"/>
      <c r="N272"/>
      <c r="O272"/>
    </row>
    <row r="273" spans="1:15" ht="15" x14ac:dyDescent="0.25">
      <c r="A273" t="s">
        <v>345</v>
      </c>
      <c r="B273">
        <v>2023</v>
      </c>
      <c r="C273" t="s">
        <v>346</v>
      </c>
      <c r="D273" t="s">
        <v>347</v>
      </c>
      <c r="E273" t="s">
        <v>48</v>
      </c>
      <c r="F273">
        <v>6.1048471658016403</v>
      </c>
      <c r="G273"/>
      <c r="H273"/>
      <c r="I273"/>
      <c r="J273"/>
      <c r="K273"/>
      <c r="L273"/>
      <c r="M273"/>
      <c r="N273"/>
      <c r="O273"/>
    </row>
    <row r="274" spans="1:15" ht="15" x14ac:dyDescent="0.25">
      <c r="A274" t="s">
        <v>348</v>
      </c>
      <c r="B274">
        <v>2023</v>
      </c>
      <c r="C274" t="s">
        <v>346</v>
      </c>
      <c r="D274" t="s">
        <v>347</v>
      </c>
      <c r="E274" t="s">
        <v>50</v>
      </c>
      <c r="F274">
        <v>10.7292298732633</v>
      </c>
      <c r="G274"/>
      <c r="H274"/>
      <c r="I274"/>
      <c r="J274"/>
      <c r="K274"/>
      <c r="L274"/>
      <c r="M274"/>
      <c r="N274"/>
      <c r="O274"/>
    </row>
    <row r="275" spans="1:15" ht="15" x14ac:dyDescent="0.25">
      <c r="A275" t="s">
        <v>349</v>
      </c>
      <c r="B275">
        <v>2023</v>
      </c>
      <c r="C275" t="s">
        <v>346</v>
      </c>
      <c r="D275" t="s">
        <v>347</v>
      </c>
      <c r="E275" t="s">
        <v>44</v>
      </c>
      <c r="F275">
        <v>2839493</v>
      </c>
      <c r="G275"/>
      <c r="H275"/>
      <c r="I275"/>
      <c r="J275"/>
      <c r="K275"/>
      <c r="L275"/>
      <c r="M275"/>
      <c r="N275"/>
      <c r="O275"/>
    </row>
    <row r="276" spans="1:15" ht="15" x14ac:dyDescent="0.25">
      <c r="A276" t="s">
        <v>350</v>
      </c>
      <c r="B276">
        <v>2023</v>
      </c>
      <c r="C276" t="s">
        <v>346</v>
      </c>
      <c r="D276" t="s">
        <v>347</v>
      </c>
      <c r="E276" t="s">
        <v>46</v>
      </c>
      <c r="F276">
        <v>4064307</v>
      </c>
      <c r="G276"/>
      <c r="H276"/>
      <c r="I276"/>
      <c r="J276"/>
      <c r="K276"/>
      <c r="L276"/>
      <c r="M276"/>
      <c r="N276"/>
      <c r="O276"/>
    </row>
    <row r="277" spans="1:15" ht="15" x14ac:dyDescent="0.25">
      <c r="A277" t="s">
        <v>351</v>
      </c>
      <c r="B277">
        <v>2025</v>
      </c>
      <c r="C277" t="s">
        <v>352</v>
      </c>
      <c r="D277" t="s">
        <v>256</v>
      </c>
      <c r="E277" t="s">
        <v>48</v>
      </c>
      <c r="F277">
        <v>6.3176208630912098</v>
      </c>
      <c r="G277"/>
      <c r="H277"/>
      <c r="I277"/>
      <c r="J277"/>
      <c r="K277"/>
      <c r="L277"/>
      <c r="M277"/>
      <c r="N277"/>
      <c r="O277"/>
    </row>
    <row r="278" spans="1:15" ht="15" x14ac:dyDescent="0.25">
      <c r="A278" t="s">
        <v>353</v>
      </c>
      <c r="B278">
        <v>2025</v>
      </c>
      <c r="C278" t="s">
        <v>352</v>
      </c>
      <c r="D278" t="s">
        <v>256</v>
      </c>
      <c r="E278" t="s">
        <v>50</v>
      </c>
      <c r="F278">
        <v>10.382779876482999</v>
      </c>
      <c r="G278"/>
      <c r="H278"/>
      <c r="I278"/>
      <c r="J278"/>
      <c r="K278"/>
      <c r="L278"/>
      <c r="M278"/>
      <c r="N278"/>
      <c r="O278"/>
    </row>
    <row r="279" spans="1:15" ht="15" x14ac:dyDescent="0.25">
      <c r="A279" t="s">
        <v>354</v>
      </c>
      <c r="B279">
        <v>2025</v>
      </c>
      <c r="C279" t="s">
        <v>352</v>
      </c>
      <c r="D279" t="s">
        <v>256</v>
      </c>
      <c r="E279" t="s">
        <v>44</v>
      </c>
      <c r="F279">
        <v>2951569</v>
      </c>
      <c r="G279"/>
      <c r="H279"/>
      <c r="I279"/>
      <c r="J279"/>
      <c r="K279"/>
      <c r="L279"/>
      <c r="M279"/>
      <c r="N279"/>
      <c r="O279"/>
    </row>
    <row r="280" spans="1:15" ht="15" x14ac:dyDescent="0.25">
      <c r="A280" t="s">
        <v>355</v>
      </c>
      <c r="B280">
        <v>2025</v>
      </c>
      <c r="C280" t="s">
        <v>352</v>
      </c>
      <c r="D280" t="s">
        <v>256</v>
      </c>
      <c r="E280" t="s">
        <v>46</v>
      </c>
      <c r="F280">
        <v>4147691</v>
      </c>
      <c r="G280"/>
      <c r="H280"/>
      <c r="I280"/>
      <c r="J280"/>
      <c r="K280"/>
      <c r="L280"/>
      <c r="M280"/>
      <c r="N280"/>
      <c r="O280"/>
    </row>
    <row r="281" spans="1:15" ht="15" x14ac:dyDescent="0.25">
      <c r="A281" t="s">
        <v>356</v>
      </c>
      <c r="B281">
        <v>2035</v>
      </c>
      <c r="C281" t="s">
        <v>36</v>
      </c>
      <c r="D281" t="s">
        <v>357</v>
      </c>
      <c r="E281" t="s">
        <v>48</v>
      </c>
      <c r="F281">
        <v>5.7524543715747898</v>
      </c>
      <c r="G281"/>
      <c r="H281"/>
      <c r="I281"/>
      <c r="J281"/>
      <c r="K281"/>
      <c r="L281"/>
      <c r="M281"/>
      <c r="N281"/>
      <c r="O281"/>
    </row>
    <row r="282" spans="1:15" ht="15" x14ac:dyDescent="0.25">
      <c r="A282" t="s">
        <v>356</v>
      </c>
      <c r="B282">
        <v>2035</v>
      </c>
      <c r="C282" t="s">
        <v>36</v>
      </c>
      <c r="D282" t="s">
        <v>361</v>
      </c>
      <c r="E282" t="s">
        <v>48</v>
      </c>
      <c r="F282">
        <v>5.8539825754521697</v>
      </c>
      <c r="G282"/>
      <c r="H282"/>
      <c r="I282"/>
      <c r="J282"/>
      <c r="K282"/>
      <c r="L282"/>
      <c r="M282"/>
      <c r="N282"/>
      <c r="O282"/>
    </row>
    <row r="283" spans="1:15" ht="15" x14ac:dyDescent="0.25">
      <c r="A283" t="s">
        <v>356</v>
      </c>
      <c r="B283">
        <v>2035</v>
      </c>
      <c r="C283" t="s">
        <v>36</v>
      </c>
      <c r="D283" t="s">
        <v>358</v>
      </c>
      <c r="E283" t="s">
        <v>48</v>
      </c>
      <c r="F283">
        <v>5.9664765782514504</v>
      </c>
      <c r="G283"/>
      <c r="H283"/>
      <c r="I283"/>
      <c r="J283"/>
      <c r="K283"/>
      <c r="L283"/>
      <c r="M283"/>
      <c r="N283"/>
      <c r="O283"/>
    </row>
    <row r="284" spans="1:15" ht="15" x14ac:dyDescent="0.25">
      <c r="A284" t="s">
        <v>356</v>
      </c>
      <c r="B284">
        <v>2035</v>
      </c>
      <c r="C284" t="s">
        <v>36</v>
      </c>
      <c r="D284" t="s">
        <v>359</v>
      </c>
      <c r="E284" t="s">
        <v>48</v>
      </c>
      <c r="F284">
        <v>5.7592870154499698</v>
      </c>
      <c r="G284"/>
      <c r="H284"/>
      <c r="I284"/>
      <c r="J284"/>
      <c r="K284"/>
      <c r="L284"/>
      <c r="M284"/>
      <c r="N284"/>
      <c r="O284"/>
    </row>
    <row r="285" spans="1:15" ht="15" x14ac:dyDescent="0.25">
      <c r="A285" t="s">
        <v>356</v>
      </c>
      <c r="B285">
        <v>2035</v>
      </c>
      <c r="C285" t="s">
        <v>36</v>
      </c>
      <c r="D285" t="s">
        <v>360</v>
      </c>
      <c r="E285" t="s">
        <v>48</v>
      </c>
      <c r="F285">
        <v>5.7748099195508997</v>
      </c>
      <c r="G285"/>
      <c r="H285"/>
      <c r="I285"/>
      <c r="J285"/>
      <c r="K285"/>
      <c r="L285"/>
      <c r="M285"/>
      <c r="N285"/>
      <c r="O285"/>
    </row>
    <row r="286" spans="1:15" ht="15" x14ac:dyDescent="0.25">
      <c r="A286" t="s">
        <v>356</v>
      </c>
      <c r="B286">
        <v>2035</v>
      </c>
      <c r="C286" t="s">
        <v>36</v>
      </c>
      <c r="D286" t="s">
        <v>362</v>
      </c>
      <c r="E286" t="s">
        <v>48</v>
      </c>
      <c r="F286">
        <v>5.8057814541891801</v>
      </c>
      <c r="G286"/>
      <c r="H286"/>
      <c r="I286"/>
      <c r="J286"/>
      <c r="K286"/>
      <c r="L286"/>
      <c r="M286"/>
      <c r="N286"/>
      <c r="O286"/>
    </row>
    <row r="287" spans="1:15" ht="15" x14ac:dyDescent="0.25">
      <c r="A287" t="s">
        <v>356</v>
      </c>
      <c r="B287">
        <v>2035</v>
      </c>
      <c r="C287" t="s">
        <v>36</v>
      </c>
      <c r="D287" t="s">
        <v>363</v>
      </c>
      <c r="E287" t="s">
        <v>48</v>
      </c>
      <c r="F287">
        <v>5.7956630457893299</v>
      </c>
      <c r="G287"/>
      <c r="H287"/>
      <c r="I287"/>
      <c r="J287"/>
      <c r="K287"/>
      <c r="L287"/>
      <c r="M287"/>
      <c r="N287"/>
      <c r="O287"/>
    </row>
    <row r="288" spans="1:15" ht="15" x14ac:dyDescent="0.25">
      <c r="A288" t="s">
        <v>356</v>
      </c>
      <c r="B288">
        <v>2035</v>
      </c>
      <c r="C288" t="s">
        <v>36</v>
      </c>
      <c r="D288" t="s">
        <v>364</v>
      </c>
      <c r="E288" t="s">
        <v>48</v>
      </c>
      <c r="F288">
        <v>5.8011246107843704</v>
      </c>
      <c r="G288"/>
      <c r="H288"/>
      <c r="I288"/>
      <c r="J288"/>
      <c r="K288"/>
      <c r="L288"/>
      <c r="M288"/>
      <c r="N288"/>
      <c r="O288"/>
    </row>
    <row r="289" spans="1:15" ht="15" x14ac:dyDescent="0.25">
      <c r="A289" t="s">
        <v>356</v>
      </c>
      <c r="B289">
        <v>2035</v>
      </c>
      <c r="C289" t="s">
        <v>36</v>
      </c>
      <c r="D289" t="s">
        <v>373</v>
      </c>
      <c r="E289" t="s">
        <v>48</v>
      </c>
      <c r="F289">
        <v>5.793193915772</v>
      </c>
      <c r="G289"/>
      <c r="H289"/>
      <c r="I289"/>
      <c r="J289"/>
      <c r="K289"/>
      <c r="L289"/>
      <c r="M289"/>
      <c r="N289"/>
      <c r="O289"/>
    </row>
    <row r="290" spans="1:15" ht="15" x14ac:dyDescent="0.25">
      <c r="A290" t="s">
        <v>356</v>
      </c>
      <c r="B290">
        <v>2035</v>
      </c>
      <c r="C290" t="s">
        <v>36</v>
      </c>
      <c r="D290" t="s">
        <v>374</v>
      </c>
      <c r="E290" t="s">
        <v>48</v>
      </c>
      <c r="F290">
        <v>5.7989063109986398</v>
      </c>
      <c r="G290"/>
      <c r="H290"/>
      <c r="I290"/>
      <c r="J290"/>
      <c r="K290"/>
      <c r="L290"/>
      <c r="M290"/>
      <c r="N290"/>
      <c r="O290"/>
    </row>
    <row r="291" spans="1:15" ht="15" x14ac:dyDescent="0.25">
      <c r="A291" t="s">
        <v>356</v>
      </c>
      <c r="B291">
        <v>2035</v>
      </c>
      <c r="C291" t="s">
        <v>36</v>
      </c>
      <c r="D291" t="s">
        <v>375</v>
      </c>
      <c r="E291" t="s">
        <v>48</v>
      </c>
      <c r="F291">
        <v>6.0804128629959902</v>
      </c>
      <c r="G291"/>
      <c r="H291"/>
      <c r="I291"/>
      <c r="J291"/>
      <c r="K291"/>
      <c r="L291"/>
      <c r="M291"/>
      <c r="N291"/>
      <c r="O291"/>
    </row>
    <row r="292" spans="1:15" ht="15" x14ac:dyDescent="0.25">
      <c r="A292" t="s">
        <v>356</v>
      </c>
      <c r="B292">
        <v>2035</v>
      </c>
      <c r="C292" t="s">
        <v>36</v>
      </c>
      <c r="D292" t="s">
        <v>376</v>
      </c>
      <c r="E292" t="s">
        <v>48</v>
      </c>
      <c r="F292">
        <v>5.9357548081756297</v>
      </c>
      <c r="G292"/>
      <c r="H292"/>
      <c r="I292"/>
      <c r="J292"/>
      <c r="K292"/>
      <c r="L292"/>
      <c r="M292"/>
      <c r="N292"/>
      <c r="O292"/>
    </row>
    <row r="293" spans="1:15" ht="15" x14ac:dyDescent="0.25">
      <c r="A293" t="s">
        <v>356</v>
      </c>
      <c r="B293">
        <v>2035</v>
      </c>
      <c r="C293" t="s">
        <v>36</v>
      </c>
      <c r="D293" t="s">
        <v>377</v>
      </c>
      <c r="E293" t="s">
        <v>48</v>
      </c>
      <c r="F293">
        <v>6.0602974994749497</v>
      </c>
      <c r="G293"/>
      <c r="H293"/>
      <c r="I293"/>
      <c r="J293"/>
      <c r="K293"/>
      <c r="L293"/>
      <c r="M293"/>
      <c r="N293"/>
      <c r="O293"/>
    </row>
    <row r="294" spans="1:15" ht="15" x14ac:dyDescent="0.25">
      <c r="A294" t="s">
        <v>365</v>
      </c>
      <c r="B294">
        <v>2035</v>
      </c>
      <c r="C294" t="s">
        <v>36</v>
      </c>
      <c r="D294" t="s">
        <v>357</v>
      </c>
      <c r="E294" t="s">
        <v>50</v>
      </c>
      <c r="F294">
        <v>9.8657933571538603</v>
      </c>
      <c r="G294"/>
      <c r="H294"/>
      <c r="I294"/>
      <c r="J294"/>
      <c r="K294"/>
      <c r="L294"/>
      <c r="M294"/>
      <c r="N294"/>
      <c r="O294"/>
    </row>
    <row r="295" spans="1:15" ht="15" x14ac:dyDescent="0.25">
      <c r="A295" t="s">
        <v>365</v>
      </c>
      <c r="B295">
        <v>2035</v>
      </c>
      <c r="C295" t="s">
        <v>36</v>
      </c>
      <c r="D295" t="s">
        <v>361</v>
      </c>
      <c r="E295" t="s">
        <v>50</v>
      </c>
      <c r="F295">
        <v>9.7426305100179391</v>
      </c>
      <c r="G295"/>
      <c r="H295"/>
      <c r="I295"/>
      <c r="J295"/>
      <c r="K295"/>
      <c r="L295"/>
      <c r="M295"/>
      <c r="N295"/>
      <c r="O295"/>
    </row>
    <row r="296" spans="1:15" ht="15" x14ac:dyDescent="0.25">
      <c r="A296" t="s">
        <v>365</v>
      </c>
      <c r="B296">
        <v>2035</v>
      </c>
      <c r="C296" t="s">
        <v>36</v>
      </c>
      <c r="D296" t="s">
        <v>358</v>
      </c>
      <c r="E296" t="s">
        <v>50</v>
      </c>
      <c r="F296">
        <v>10.087605980855701</v>
      </c>
      <c r="G296"/>
      <c r="H296"/>
      <c r="I296"/>
      <c r="J296"/>
      <c r="K296"/>
      <c r="L296"/>
      <c r="M296"/>
      <c r="N296"/>
      <c r="O296"/>
    </row>
    <row r="297" spans="1:15" ht="15" x14ac:dyDescent="0.25">
      <c r="A297" t="s">
        <v>365</v>
      </c>
      <c r="B297">
        <v>2035</v>
      </c>
      <c r="C297" t="s">
        <v>36</v>
      </c>
      <c r="D297" t="s">
        <v>359</v>
      </c>
      <c r="E297" t="s">
        <v>50</v>
      </c>
      <c r="F297">
        <v>9.8709047849552203</v>
      </c>
      <c r="G297"/>
      <c r="H297"/>
      <c r="I297"/>
      <c r="J297"/>
      <c r="K297"/>
      <c r="L297"/>
      <c r="M297"/>
      <c r="N297"/>
      <c r="O297"/>
    </row>
    <row r="298" spans="1:15" ht="15" x14ac:dyDescent="0.25">
      <c r="A298" t="s">
        <v>365</v>
      </c>
      <c r="B298">
        <v>2035</v>
      </c>
      <c r="C298" t="s">
        <v>36</v>
      </c>
      <c r="D298" t="s">
        <v>360</v>
      </c>
      <c r="E298" t="s">
        <v>50</v>
      </c>
      <c r="F298">
        <v>9.9346676392978299</v>
      </c>
      <c r="G298"/>
      <c r="H298"/>
      <c r="I298"/>
      <c r="J298"/>
      <c r="K298"/>
      <c r="L298"/>
      <c r="M298"/>
      <c r="N298"/>
      <c r="O298"/>
    </row>
    <row r="299" spans="1:15" ht="15" x14ac:dyDescent="0.25">
      <c r="A299" t="s">
        <v>365</v>
      </c>
      <c r="B299">
        <v>2035</v>
      </c>
      <c r="C299" t="s">
        <v>36</v>
      </c>
      <c r="D299" t="s">
        <v>362</v>
      </c>
      <c r="E299" t="s">
        <v>50</v>
      </c>
      <c r="F299">
        <v>9.8596664123092008</v>
      </c>
      <c r="G299"/>
      <c r="H299"/>
      <c r="I299"/>
      <c r="J299"/>
      <c r="K299"/>
      <c r="L299"/>
      <c r="M299"/>
      <c r="N299"/>
      <c r="O299"/>
    </row>
    <row r="300" spans="1:15" ht="15" x14ac:dyDescent="0.25">
      <c r="A300" t="s">
        <v>365</v>
      </c>
      <c r="B300">
        <v>2035</v>
      </c>
      <c r="C300" t="s">
        <v>36</v>
      </c>
      <c r="D300" t="s">
        <v>363</v>
      </c>
      <c r="E300" t="s">
        <v>50</v>
      </c>
      <c r="F300">
        <v>9.87205823533521</v>
      </c>
      <c r="G300"/>
      <c r="H300"/>
      <c r="I300"/>
      <c r="J300"/>
      <c r="K300"/>
      <c r="L300"/>
      <c r="M300"/>
      <c r="N300"/>
      <c r="O300"/>
    </row>
    <row r="301" spans="1:15" ht="15" x14ac:dyDescent="0.25">
      <c r="A301" t="s">
        <v>365</v>
      </c>
      <c r="B301">
        <v>2035</v>
      </c>
      <c r="C301" t="s">
        <v>36</v>
      </c>
      <c r="D301" t="s">
        <v>364</v>
      </c>
      <c r="E301" t="s">
        <v>50</v>
      </c>
      <c r="F301">
        <v>9.8542957390799195</v>
      </c>
      <c r="G301"/>
      <c r="H301"/>
      <c r="I301"/>
      <c r="J301"/>
      <c r="K301"/>
      <c r="L301"/>
      <c r="M301"/>
      <c r="N301"/>
      <c r="O301"/>
    </row>
    <row r="302" spans="1:15" ht="15" x14ac:dyDescent="0.25">
      <c r="A302" t="s">
        <v>365</v>
      </c>
      <c r="B302">
        <v>2035</v>
      </c>
      <c r="C302" t="s">
        <v>36</v>
      </c>
      <c r="D302" t="s">
        <v>373</v>
      </c>
      <c r="E302" t="s">
        <v>50</v>
      </c>
      <c r="F302">
        <v>10.0814590908711</v>
      </c>
      <c r="G302"/>
      <c r="H302"/>
      <c r="I302"/>
      <c r="J302"/>
      <c r="K302"/>
      <c r="L302"/>
      <c r="M302"/>
      <c r="N302"/>
      <c r="O302"/>
    </row>
    <row r="303" spans="1:15" ht="15" x14ac:dyDescent="0.25">
      <c r="A303" t="s">
        <v>365</v>
      </c>
      <c r="B303">
        <v>2035</v>
      </c>
      <c r="C303" t="s">
        <v>36</v>
      </c>
      <c r="D303" t="s">
        <v>374</v>
      </c>
      <c r="E303" t="s">
        <v>50</v>
      </c>
      <c r="F303">
        <v>9.8499723754748292</v>
      </c>
      <c r="G303"/>
      <c r="H303"/>
      <c r="I303"/>
      <c r="J303"/>
      <c r="K303"/>
      <c r="L303"/>
      <c r="M303"/>
      <c r="N303"/>
      <c r="O303"/>
    </row>
    <row r="304" spans="1:15" ht="15" x14ac:dyDescent="0.25">
      <c r="A304" t="s">
        <v>365</v>
      </c>
      <c r="B304">
        <v>2035</v>
      </c>
      <c r="C304" t="s">
        <v>36</v>
      </c>
      <c r="D304" t="s">
        <v>375</v>
      </c>
      <c r="E304" t="s">
        <v>50</v>
      </c>
      <c r="F304">
        <v>10.1514605615218</v>
      </c>
      <c r="G304"/>
      <c r="H304"/>
      <c r="I304"/>
      <c r="J304"/>
      <c r="K304"/>
      <c r="L304"/>
      <c r="M304"/>
      <c r="N304"/>
      <c r="O304"/>
    </row>
    <row r="305" spans="1:15" ht="15" x14ac:dyDescent="0.25">
      <c r="A305" t="s">
        <v>365</v>
      </c>
      <c r="B305">
        <v>2035</v>
      </c>
      <c r="C305" t="s">
        <v>36</v>
      </c>
      <c r="D305" t="s">
        <v>376</v>
      </c>
      <c r="E305" t="s">
        <v>50</v>
      </c>
      <c r="F305">
        <v>10.0018946702164</v>
      </c>
      <c r="G305"/>
      <c r="H305"/>
      <c r="I305"/>
      <c r="J305"/>
      <c r="K305"/>
      <c r="L305"/>
      <c r="M305"/>
      <c r="N305"/>
      <c r="O305"/>
    </row>
    <row r="306" spans="1:15" ht="15" x14ac:dyDescent="0.25">
      <c r="A306" t="s">
        <v>365</v>
      </c>
      <c r="B306">
        <v>2035</v>
      </c>
      <c r="C306" t="s">
        <v>36</v>
      </c>
      <c r="D306" t="s">
        <v>377</v>
      </c>
      <c r="E306" t="s">
        <v>50</v>
      </c>
      <c r="F306">
        <v>10.1426346398509</v>
      </c>
      <c r="G306"/>
      <c r="H306"/>
      <c r="I306"/>
      <c r="J306"/>
      <c r="K306"/>
      <c r="L306"/>
      <c r="M306"/>
      <c r="N306"/>
      <c r="O306"/>
    </row>
    <row r="307" spans="1:15" ht="15" x14ac:dyDescent="0.25">
      <c r="A307" t="s">
        <v>366</v>
      </c>
      <c r="B307">
        <v>2035</v>
      </c>
      <c r="C307" t="s">
        <v>36</v>
      </c>
      <c r="D307" t="s">
        <v>357</v>
      </c>
      <c r="E307" t="s">
        <v>44</v>
      </c>
      <c r="F307">
        <v>3311530</v>
      </c>
      <c r="G307"/>
      <c r="H307"/>
      <c r="I307"/>
      <c r="J307"/>
      <c r="K307"/>
      <c r="L307"/>
      <c r="M307"/>
      <c r="N307"/>
      <c r="O307"/>
    </row>
    <row r="308" spans="1:15" ht="15" x14ac:dyDescent="0.25">
      <c r="A308" t="s">
        <v>366</v>
      </c>
      <c r="B308">
        <v>2035</v>
      </c>
      <c r="C308" t="s">
        <v>36</v>
      </c>
      <c r="D308" t="s">
        <v>361</v>
      </c>
      <c r="E308" t="s">
        <v>44</v>
      </c>
      <c r="F308">
        <v>3311530</v>
      </c>
      <c r="G308"/>
      <c r="H308"/>
      <c r="I308"/>
      <c r="J308"/>
      <c r="K308"/>
      <c r="L308"/>
      <c r="M308"/>
      <c r="N308"/>
      <c r="O308"/>
    </row>
    <row r="309" spans="1:15" ht="15" x14ac:dyDescent="0.25">
      <c r="A309" t="s">
        <v>366</v>
      </c>
      <c r="B309">
        <v>2035</v>
      </c>
      <c r="C309" t="s">
        <v>36</v>
      </c>
      <c r="D309" t="s">
        <v>358</v>
      </c>
      <c r="E309" t="s">
        <v>44</v>
      </c>
      <c r="F309">
        <v>3311530</v>
      </c>
      <c r="G309"/>
      <c r="H309"/>
      <c r="I309"/>
      <c r="J309"/>
      <c r="K309"/>
      <c r="L309"/>
      <c r="M309"/>
      <c r="N309"/>
      <c r="O309"/>
    </row>
    <row r="310" spans="1:15" ht="15" x14ac:dyDescent="0.25">
      <c r="A310" t="s">
        <v>366</v>
      </c>
      <c r="B310">
        <v>2035</v>
      </c>
      <c r="C310" t="s">
        <v>36</v>
      </c>
      <c r="D310" t="s">
        <v>359</v>
      </c>
      <c r="E310" t="s">
        <v>44</v>
      </c>
      <c r="F310">
        <v>3311530</v>
      </c>
      <c r="G310"/>
      <c r="H310"/>
      <c r="I310"/>
      <c r="J310"/>
      <c r="K310"/>
      <c r="L310"/>
      <c r="M310"/>
      <c r="N310"/>
      <c r="O310"/>
    </row>
    <row r="311" spans="1:15" ht="15" x14ac:dyDescent="0.25">
      <c r="A311" t="s">
        <v>366</v>
      </c>
      <c r="B311">
        <v>2035</v>
      </c>
      <c r="C311" t="s">
        <v>36</v>
      </c>
      <c r="D311" t="s">
        <v>360</v>
      </c>
      <c r="E311" t="s">
        <v>44</v>
      </c>
      <c r="F311">
        <v>3495212</v>
      </c>
      <c r="G311"/>
      <c r="H311"/>
      <c r="I311"/>
      <c r="J311"/>
      <c r="K311"/>
      <c r="L311"/>
      <c r="M311"/>
      <c r="N311"/>
      <c r="O311"/>
    </row>
    <row r="312" spans="1:15" ht="15" x14ac:dyDescent="0.25">
      <c r="A312" t="s">
        <v>366</v>
      </c>
      <c r="B312">
        <v>2035</v>
      </c>
      <c r="C312" t="s">
        <v>36</v>
      </c>
      <c r="D312" t="s">
        <v>362</v>
      </c>
      <c r="E312" t="s">
        <v>44</v>
      </c>
      <c r="F312">
        <v>3311530</v>
      </c>
      <c r="G312"/>
      <c r="H312"/>
      <c r="I312"/>
      <c r="J312"/>
      <c r="K312"/>
      <c r="L312"/>
      <c r="M312"/>
      <c r="N312"/>
      <c r="O312"/>
    </row>
    <row r="313" spans="1:15" ht="15" x14ac:dyDescent="0.25">
      <c r="A313" t="s">
        <v>366</v>
      </c>
      <c r="B313">
        <v>2035</v>
      </c>
      <c r="C313" t="s">
        <v>36</v>
      </c>
      <c r="D313" t="s">
        <v>363</v>
      </c>
      <c r="E313" t="s">
        <v>44</v>
      </c>
      <c r="F313">
        <v>3311530</v>
      </c>
      <c r="G313"/>
      <c r="H313"/>
      <c r="I313"/>
      <c r="J313"/>
      <c r="K313"/>
      <c r="L313"/>
      <c r="M313"/>
      <c r="N313"/>
      <c r="O313"/>
    </row>
    <row r="314" spans="1:15" ht="15" x14ac:dyDescent="0.25">
      <c r="A314" t="s">
        <v>366</v>
      </c>
      <c r="B314">
        <v>2035</v>
      </c>
      <c r="C314" t="s">
        <v>36</v>
      </c>
      <c r="D314" t="s">
        <v>364</v>
      </c>
      <c r="E314" t="s">
        <v>44</v>
      </c>
      <c r="F314">
        <v>3311530</v>
      </c>
      <c r="G314"/>
      <c r="H314"/>
      <c r="I314"/>
      <c r="J314"/>
      <c r="K314"/>
      <c r="L314"/>
      <c r="M314"/>
      <c r="N314"/>
      <c r="O314"/>
    </row>
    <row r="315" spans="1:15" ht="15" x14ac:dyDescent="0.25">
      <c r="A315" t="s">
        <v>366</v>
      </c>
      <c r="B315">
        <v>2035</v>
      </c>
      <c r="C315" t="s">
        <v>36</v>
      </c>
      <c r="D315" t="s">
        <v>373</v>
      </c>
      <c r="E315" t="s">
        <v>44</v>
      </c>
      <c r="F315">
        <v>3311530</v>
      </c>
      <c r="G315"/>
      <c r="H315"/>
      <c r="I315"/>
      <c r="J315"/>
      <c r="K315"/>
      <c r="L315"/>
      <c r="M315"/>
      <c r="N315"/>
      <c r="O315"/>
    </row>
    <row r="316" spans="1:15" ht="15" x14ac:dyDescent="0.25">
      <c r="A316" t="s">
        <v>366</v>
      </c>
      <c r="B316">
        <v>2035</v>
      </c>
      <c r="C316" t="s">
        <v>36</v>
      </c>
      <c r="D316" t="s">
        <v>374</v>
      </c>
      <c r="E316" t="s">
        <v>44</v>
      </c>
      <c r="F316">
        <v>3311530</v>
      </c>
      <c r="G316"/>
      <c r="H316"/>
      <c r="I316"/>
      <c r="J316"/>
      <c r="K316"/>
      <c r="L316"/>
      <c r="M316"/>
      <c r="N316"/>
      <c r="O316"/>
    </row>
    <row r="317" spans="1:15" ht="15" x14ac:dyDescent="0.25">
      <c r="A317" t="s">
        <v>366</v>
      </c>
      <c r="B317">
        <v>2035</v>
      </c>
      <c r="C317" t="s">
        <v>36</v>
      </c>
      <c r="D317" t="s">
        <v>375</v>
      </c>
      <c r="E317" t="s">
        <v>44</v>
      </c>
      <c r="F317">
        <v>3311530</v>
      </c>
      <c r="G317"/>
      <c r="H317"/>
      <c r="I317"/>
      <c r="J317"/>
      <c r="K317"/>
      <c r="L317"/>
      <c r="M317"/>
      <c r="N317"/>
      <c r="O317"/>
    </row>
    <row r="318" spans="1:15" ht="15" x14ac:dyDescent="0.25">
      <c r="A318" t="s">
        <v>366</v>
      </c>
      <c r="B318">
        <v>2035</v>
      </c>
      <c r="C318" t="s">
        <v>36</v>
      </c>
      <c r="D318" t="s">
        <v>376</v>
      </c>
      <c r="E318" t="s">
        <v>44</v>
      </c>
      <c r="F318">
        <v>3311530</v>
      </c>
      <c r="G318"/>
      <c r="H318"/>
      <c r="I318"/>
      <c r="J318"/>
      <c r="K318"/>
      <c r="L318"/>
      <c r="M318"/>
      <c r="N318"/>
      <c r="O318"/>
    </row>
    <row r="319" spans="1:15" ht="15" x14ac:dyDescent="0.25">
      <c r="A319" t="s">
        <v>366</v>
      </c>
      <c r="B319">
        <v>2035</v>
      </c>
      <c r="C319" t="s">
        <v>36</v>
      </c>
      <c r="D319" t="s">
        <v>377</v>
      </c>
      <c r="E319" t="s">
        <v>44</v>
      </c>
      <c r="F319">
        <v>3311530</v>
      </c>
      <c r="G319"/>
      <c r="H319"/>
      <c r="I319"/>
      <c r="J319"/>
      <c r="K319"/>
      <c r="L319"/>
      <c r="M319"/>
      <c r="N319"/>
      <c r="O319"/>
    </row>
    <row r="320" spans="1:15" ht="15" x14ac:dyDescent="0.25">
      <c r="A320" t="s">
        <v>367</v>
      </c>
      <c r="B320">
        <v>2035</v>
      </c>
      <c r="C320" t="s">
        <v>36</v>
      </c>
      <c r="D320" t="s">
        <v>357</v>
      </c>
      <c r="E320" t="s">
        <v>46</v>
      </c>
      <c r="F320">
        <v>4854742</v>
      </c>
      <c r="G320"/>
      <c r="H320"/>
      <c r="I320"/>
      <c r="J320"/>
      <c r="K320"/>
      <c r="L320"/>
      <c r="M320"/>
      <c r="N320"/>
      <c r="O320"/>
    </row>
    <row r="321" spans="1:15" ht="15" x14ac:dyDescent="0.25">
      <c r="A321" t="s">
        <v>367</v>
      </c>
      <c r="B321">
        <v>2035</v>
      </c>
      <c r="C321" t="s">
        <v>36</v>
      </c>
      <c r="D321" t="s">
        <v>361</v>
      </c>
      <c r="E321" t="s">
        <v>46</v>
      </c>
      <c r="F321">
        <v>4854742</v>
      </c>
      <c r="G321"/>
      <c r="H321"/>
      <c r="I321"/>
      <c r="J321"/>
      <c r="K321"/>
      <c r="L321"/>
      <c r="M321"/>
      <c r="N321"/>
      <c r="O321"/>
    </row>
    <row r="322" spans="1:15" ht="15" x14ac:dyDescent="0.25">
      <c r="A322" t="s">
        <v>367</v>
      </c>
      <c r="B322">
        <v>2035</v>
      </c>
      <c r="C322" t="s">
        <v>36</v>
      </c>
      <c r="D322" t="s">
        <v>358</v>
      </c>
      <c r="E322" t="s">
        <v>46</v>
      </c>
      <c r="F322">
        <v>4854742</v>
      </c>
      <c r="G322"/>
      <c r="H322"/>
      <c r="I322"/>
      <c r="J322"/>
      <c r="K322"/>
      <c r="L322"/>
      <c r="M322"/>
      <c r="N322"/>
      <c r="O322"/>
    </row>
    <row r="323" spans="1:15" ht="15" x14ac:dyDescent="0.25">
      <c r="A323" t="s">
        <v>367</v>
      </c>
      <c r="B323">
        <v>2035</v>
      </c>
      <c r="C323" t="s">
        <v>36</v>
      </c>
      <c r="D323" t="s">
        <v>359</v>
      </c>
      <c r="E323" t="s">
        <v>46</v>
      </c>
      <c r="F323">
        <v>4854742</v>
      </c>
      <c r="G323"/>
      <c r="H323"/>
      <c r="I323"/>
      <c r="J323"/>
      <c r="K323"/>
      <c r="L323"/>
      <c r="M323"/>
      <c r="N323"/>
      <c r="O323"/>
    </row>
    <row r="324" spans="1:15" ht="15" x14ac:dyDescent="0.25">
      <c r="A324" t="s">
        <v>367</v>
      </c>
      <c r="B324">
        <v>2035</v>
      </c>
      <c r="C324" t="s">
        <v>36</v>
      </c>
      <c r="D324" t="s">
        <v>360</v>
      </c>
      <c r="E324" t="s">
        <v>46</v>
      </c>
      <c r="F324">
        <v>4834513</v>
      </c>
      <c r="G324"/>
      <c r="H324"/>
      <c r="I324"/>
      <c r="J324"/>
      <c r="K324"/>
      <c r="L324"/>
      <c r="M324"/>
      <c r="N324"/>
      <c r="O324"/>
    </row>
    <row r="325" spans="1:15" ht="15" x14ac:dyDescent="0.25">
      <c r="A325" t="s">
        <v>367</v>
      </c>
      <c r="B325">
        <v>2035</v>
      </c>
      <c r="C325" t="s">
        <v>36</v>
      </c>
      <c r="D325" t="s">
        <v>362</v>
      </c>
      <c r="E325" t="s">
        <v>46</v>
      </c>
      <c r="F325">
        <v>4854742</v>
      </c>
      <c r="G325"/>
      <c r="H325"/>
      <c r="I325"/>
      <c r="J325"/>
      <c r="K325"/>
      <c r="L325"/>
      <c r="M325"/>
      <c r="N325"/>
      <c r="O325"/>
    </row>
    <row r="326" spans="1:15" ht="15" x14ac:dyDescent="0.25">
      <c r="A326" t="s">
        <v>367</v>
      </c>
      <c r="B326">
        <v>2035</v>
      </c>
      <c r="C326" t="s">
        <v>36</v>
      </c>
      <c r="D326" t="s">
        <v>363</v>
      </c>
      <c r="E326" t="s">
        <v>46</v>
      </c>
      <c r="F326">
        <v>4854742</v>
      </c>
      <c r="G326"/>
      <c r="H326"/>
      <c r="I326"/>
      <c r="J326"/>
      <c r="K326"/>
      <c r="L326"/>
      <c r="M326"/>
      <c r="N326"/>
      <c r="O326"/>
    </row>
    <row r="327" spans="1:15" ht="15" x14ac:dyDescent="0.25">
      <c r="A327" t="s">
        <v>367</v>
      </c>
      <c r="B327">
        <v>2035</v>
      </c>
      <c r="C327" t="s">
        <v>36</v>
      </c>
      <c r="D327" t="s">
        <v>364</v>
      </c>
      <c r="E327" t="s">
        <v>46</v>
      </c>
      <c r="F327">
        <v>4854742</v>
      </c>
      <c r="G327"/>
      <c r="H327"/>
      <c r="I327"/>
      <c r="J327"/>
      <c r="K327"/>
      <c r="L327"/>
      <c r="M327"/>
      <c r="N327"/>
      <c r="O327"/>
    </row>
    <row r="328" spans="1:15" ht="15" x14ac:dyDescent="0.25">
      <c r="A328" t="s">
        <v>367</v>
      </c>
      <c r="B328">
        <v>2035</v>
      </c>
      <c r="C328" t="s">
        <v>36</v>
      </c>
      <c r="D328" t="s">
        <v>373</v>
      </c>
      <c r="E328" t="s">
        <v>46</v>
      </c>
      <c r="F328">
        <v>4854742</v>
      </c>
      <c r="G328"/>
      <c r="H328"/>
      <c r="I328"/>
      <c r="J328"/>
      <c r="K328"/>
      <c r="L328"/>
      <c r="M328"/>
      <c r="N328"/>
      <c r="O328"/>
    </row>
    <row r="329" spans="1:15" ht="15" x14ac:dyDescent="0.25">
      <c r="A329" t="s">
        <v>367</v>
      </c>
      <c r="B329">
        <v>2035</v>
      </c>
      <c r="C329" t="s">
        <v>36</v>
      </c>
      <c r="D329" t="s">
        <v>374</v>
      </c>
      <c r="E329" t="s">
        <v>46</v>
      </c>
      <c r="F329">
        <v>4854742</v>
      </c>
      <c r="G329"/>
      <c r="H329"/>
      <c r="I329"/>
      <c r="J329"/>
      <c r="K329"/>
      <c r="L329"/>
      <c r="M329"/>
      <c r="N329"/>
      <c r="O329"/>
    </row>
    <row r="330" spans="1:15" ht="15" x14ac:dyDescent="0.25">
      <c r="A330" t="s">
        <v>367</v>
      </c>
      <c r="B330">
        <v>2035</v>
      </c>
      <c r="C330" t="s">
        <v>36</v>
      </c>
      <c r="D330" t="s">
        <v>375</v>
      </c>
      <c r="E330" t="s">
        <v>46</v>
      </c>
      <c r="F330">
        <v>4854742</v>
      </c>
      <c r="G330"/>
      <c r="H330"/>
      <c r="I330"/>
      <c r="J330"/>
      <c r="K330"/>
      <c r="L330"/>
      <c r="M330"/>
      <c r="N330"/>
      <c r="O330"/>
    </row>
    <row r="331" spans="1:15" ht="15" x14ac:dyDescent="0.25">
      <c r="A331" t="s">
        <v>367</v>
      </c>
      <c r="B331">
        <v>2035</v>
      </c>
      <c r="C331" t="s">
        <v>36</v>
      </c>
      <c r="D331" t="s">
        <v>376</v>
      </c>
      <c r="E331" t="s">
        <v>46</v>
      </c>
      <c r="F331">
        <v>4854742</v>
      </c>
      <c r="G331"/>
      <c r="H331"/>
      <c r="I331"/>
      <c r="J331"/>
      <c r="K331"/>
      <c r="L331"/>
      <c r="M331"/>
      <c r="N331"/>
      <c r="O331"/>
    </row>
    <row r="332" spans="1:15" ht="15" x14ac:dyDescent="0.25">
      <c r="A332" t="s">
        <v>367</v>
      </c>
      <c r="B332">
        <v>2035</v>
      </c>
      <c r="C332" t="s">
        <v>36</v>
      </c>
      <c r="D332" t="s">
        <v>377</v>
      </c>
      <c r="E332" t="s">
        <v>46</v>
      </c>
      <c r="F332">
        <v>4854742</v>
      </c>
      <c r="G332"/>
      <c r="H332"/>
      <c r="I332"/>
      <c r="J332"/>
      <c r="K332"/>
      <c r="L332"/>
      <c r="M332"/>
      <c r="N332"/>
      <c r="O332"/>
    </row>
    <row r="333" spans="1:15" ht="15" x14ac:dyDescent="0.25">
      <c r="A333" t="s">
        <v>368</v>
      </c>
      <c r="B333">
        <v>2035</v>
      </c>
      <c r="C333" t="s">
        <v>352</v>
      </c>
      <c r="D333" t="s">
        <v>296</v>
      </c>
      <c r="E333" t="s">
        <v>48</v>
      </c>
      <c r="F333">
        <v>6.25645959238543</v>
      </c>
      <c r="G333"/>
      <c r="H333"/>
      <c r="I333"/>
      <c r="J333"/>
      <c r="K333"/>
      <c r="L333"/>
      <c r="M333"/>
      <c r="N333"/>
      <c r="O333"/>
    </row>
    <row r="334" spans="1:15" ht="15" x14ac:dyDescent="0.25">
      <c r="A334" t="s">
        <v>369</v>
      </c>
      <c r="B334">
        <v>2035</v>
      </c>
      <c r="C334" t="s">
        <v>352</v>
      </c>
      <c r="D334" t="s">
        <v>296</v>
      </c>
      <c r="E334" t="s">
        <v>50</v>
      </c>
      <c r="F334">
        <v>10.0125317118476</v>
      </c>
      <c r="G334"/>
      <c r="H334"/>
      <c r="I334"/>
      <c r="J334"/>
      <c r="K334"/>
      <c r="L334"/>
      <c r="M334"/>
      <c r="N334"/>
      <c r="O334"/>
    </row>
    <row r="335" spans="1:15" ht="15" x14ac:dyDescent="0.25">
      <c r="A335" t="s">
        <v>370</v>
      </c>
      <c r="B335">
        <v>2035</v>
      </c>
      <c r="C335" t="s">
        <v>352</v>
      </c>
      <c r="D335" t="s">
        <v>296</v>
      </c>
      <c r="E335" t="s">
        <v>44</v>
      </c>
      <c r="F335">
        <v>3495212</v>
      </c>
      <c r="G335"/>
      <c r="H335"/>
      <c r="I335"/>
      <c r="J335"/>
      <c r="K335"/>
      <c r="L335"/>
      <c r="M335"/>
      <c r="N335"/>
      <c r="O335"/>
    </row>
    <row r="336" spans="1:15" ht="15" x14ac:dyDescent="0.25">
      <c r="A336" t="s">
        <v>371</v>
      </c>
      <c r="B336">
        <v>2035</v>
      </c>
      <c r="C336" t="s">
        <v>352</v>
      </c>
      <c r="D336" t="s">
        <v>296</v>
      </c>
      <c r="E336" t="s">
        <v>46</v>
      </c>
      <c r="F336">
        <v>4834513</v>
      </c>
      <c r="G336"/>
      <c r="H336"/>
      <c r="I336"/>
      <c r="J336"/>
      <c r="K336"/>
      <c r="L336"/>
      <c r="M336"/>
      <c r="N336"/>
      <c r="O336"/>
    </row>
    <row r="337" spans="1:15" ht="15" x14ac:dyDescent="0.25">
      <c r="A337"/>
      <c r="B337"/>
      <c r="C337"/>
      <c r="D337"/>
      <c r="E337"/>
      <c r="F337"/>
      <c r="G337"/>
      <c r="H337"/>
      <c r="I337"/>
      <c r="J337"/>
      <c r="K337"/>
      <c r="L337"/>
      <c r="M337"/>
      <c r="N337"/>
      <c r="O337"/>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7030A0"/>
  </sheetPr>
  <dimension ref="A1:J49"/>
  <sheetViews>
    <sheetView workbookViewId="0">
      <selection sqref="A1:XFD1048576"/>
    </sheetView>
  </sheetViews>
  <sheetFormatPr defaultColWidth="8.5703125" defaultRowHeight="15" x14ac:dyDescent="0.25"/>
  <cols>
    <col min="1" max="1" width="40.5703125" bestFit="1" customWidth="1"/>
    <col min="2" max="4" width="17.85546875" bestFit="1" customWidth="1"/>
    <col min="5" max="5" width="18.7109375" customWidth="1"/>
    <col min="6" max="9" width="12" customWidth="1"/>
  </cols>
  <sheetData>
    <row r="1" spans="1:10" x14ac:dyDescent="0.25">
      <c r="A1" s="105" t="s">
        <v>378</v>
      </c>
      <c r="B1" s="105" t="s">
        <v>379</v>
      </c>
      <c r="C1" s="105"/>
      <c r="D1" s="105"/>
      <c r="E1" s="106" t="s">
        <v>380</v>
      </c>
      <c r="F1" s="105" t="s">
        <v>381</v>
      </c>
      <c r="G1" s="105"/>
      <c r="H1" s="105"/>
      <c r="I1" s="105"/>
      <c r="J1" s="107" t="s">
        <v>382</v>
      </c>
    </row>
    <row r="2" spans="1:10" ht="15.75" x14ac:dyDescent="0.25">
      <c r="A2" s="106"/>
      <c r="B2" s="108"/>
      <c r="C2" s="106">
        <v>2035</v>
      </c>
      <c r="D2" s="108"/>
      <c r="E2" s="106">
        <v>2050</v>
      </c>
      <c r="F2" s="108"/>
      <c r="G2" s="109" t="s">
        <v>383</v>
      </c>
      <c r="H2" s="109"/>
      <c r="I2" s="109"/>
      <c r="J2" s="105"/>
    </row>
    <row r="3" spans="1:10" ht="15.75" x14ac:dyDescent="0.25">
      <c r="A3" s="105" t="s">
        <v>384</v>
      </c>
      <c r="B3" s="108"/>
      <c r="C3" s="105">
        <v>349.21</v>
      </c>
      <c r="D3" s="108"/>
      <c r="E3" s="105">
        <v>351.31</v>
      </c>
      <c r="F3" s="107"/>
      <c r="G3" s="105"/>
      <c r="H3" s="105"/>
      <c r="I3" s="105"/>
      <c r="J3" s="105"/>
    </row>
    <row r="4" spans="1:10" ht="15.75" x14ac:dyDescent="0.25">
      <c r="A4" s="105" t="s">
        <v>385</v>
      </c>
      <c r="B4" s="108"/>
      <c r="C4" s="107">
        <v>453.59199999999998</v>
      </c>
      <c r="D4" s="108"/>
      <c r="E4" s="107">
        <v>453.59199999999998</v>
      </c>
      <c r="F4" s="107"/>
      <c r="G4" s="105"/>
      <c r="H4" s="105"/>
      <c r="I4" s="105"/>
      <c r="J4" s="105"/>
    </row>
    <row r="5" spans="1:10" ht="15.75" x14ac:dyDescent="0.25">
      <c r="A5" s="105" t="s">
        <v>386</v>
      </c>
      <c r="B5" s="108"/>
      <c r="C5" s="105">
        <v>2000</v>
      </c>
      <c r="D5" s="108"/>
      <c r="E5" s="105">
        <v>2000</v>
      </c>
      <c r="F5" s="105"/>
      <c r="G5" s="105"/>
      <c r="H5" s="105"/>
      <c r="I5" s="105"/>
      <c r="J5" s="105"/>
    </row>
    <row r="6" spans="1:10" s="4" customFormat="1" ht="15.75" x14ac:dyDescent="0.25">
      <c r="A6" s="106" t="s">
        <v>387</v>
      </c>
      <c r="B6" s="108"/>
      <c r="C6" s="106">
        <v>3.8499999999999998E-4</v>
      </c>
      <c r="D6" s="108"/>
      <c r="E6" s="106">
        <v>3.8699999999999997E-4</v>
      </c>
      <c r="F6" s="106"/>
      <c r="G6" s="109" t="s">
        <v>388</v>
      </c>
      <c r="H6" s="109"/>
      <c r="I6" s="109"/>
      <c r="J6" s="109"/>
    </row>
    <row r="7" spans="1:10" s="4" customFormat="1" ht="15.75" x14ac:dyDescent="0.25">
      <c r="A7" s="105" t="s">
        <v>389</v>
      </c>
      <c r="B7" s="108"/>
      <c r="C7" s="105">
        <v>81.040000000000006</v>
      </c>
      <c r="D7" s="108"/>
      <c r="E7" s="105">
        <v>81.400000000000006</v>
      </c>
      <c r="F7" s="107"/>
      <c r="G7" s="106"/>
      <c r="H7" s="106"/>
      <c r="I7" s="106"/>
      <c r="J7" s="106"/>
    </row>
    <row r="8" spans="1:10" s="4" customFormat="1" ht="15.75" x14ac:dyDescent="0.25">
      <c r="A8" s="105" t="s">
        <v>385</v>
      </c>
      <c r="B8" s="108"/>
      <c r="C8" s="107">
        <v>453.59199999999998</v>
      </c>
      <c r="D8" s="108"/>
      <c r="E8" s="107">
        <v>453.59199999999998</v>
      </c>
      <c r="F8" s="107"/>
      <c r="G8" s="106"/>
      <c r="H8" s="106"/>
      <c r="I8" s="106"/>
      <c r="J8" s="106"/>
    </row>
    <row r="9" spans="1:10" s="4" customFormat="1" ht="15.75" x14ac:dyDescent="0.25">
      <c r="A9" s="105" t="s">
        <v>386</v>
      </c>
      <c r="B9" s="108"/>
      <c r="C9" s="105">
        <v>2000</v>
      </c>
      <c r="D9" s="108"/>
      <c r="E9" s="105">
        <v>2000</v>
      </c>
      <c r="F9" s="105"/>
      <c r="G9" s="106"/>
      <c r="H9" s="106"/>
      <c r="I9" s="106"/>
      <c r="J9" s="106"/>
    </row>
    <row r="10" spans="1:10" s="4" customFormat="1" ht="15.75" x14ac:dyDescent="0.25">
      <c r="A10" s="106" t="s">
        <v>390</v>
      </c>
      <c r="B10" s="108"/>
      <c r="C10" s="110">
        <v>8.9300000000000002E-5</v>
      </c>
      <c r="D10" s="108"/>
      <c r="E10" s="110">
        <v>8.9699999999999998E-5</v>
      </c>
      <c r="F10" s="106"/>
      <c r="G10" s="109" t="s">
        <v>388</v>
      </c>
      <c r="H10" s="109"/>
      <c r="I10" s="109"/>
      <c r="J10" s="109"/>
    </row>
    <row r="11" spans="1:10" ht="15.75" x14ac:dyDescent="0.25">
      <c r="A11" s="105" t="s">
        <v>391</v>
      </c>
      <c r="B11" s="108"/>
      <c r="C11" s="111">
        <v>1902.72</v>
      </c>
      <c r="D11" s="108"/>
      <c r="E11" s="111">
        <v>1828.62</v>
      </c>
      <c r="F11" s="105"/>
      <c r="G11" s="105"/>
      <c r="H11" s="105"/>
      <c r="I11" s="105"/>
      <c r="J11" s="105"/>
    </row>
    <row r="12" spans="1:10" ht="15.75" x14ac:dyDescent="0.25">
      <c r="A12" s="105" t="s">
        <v>385</v>
      </c>
      <c r="B12" s="108"/>
      <c r="C12" s="107">
        <v>453.59199999999998</v>
      </c>
      <c r="D12" s="108"/>
      <c r="E12" s="107">
        <v>453.59199999999998</v>
      </c>
      <c r="F12" s="107"/>
      <c r="G12" s="105"/>
      <c r="H12" s="105"/>
      <c r="I12" s="105"/>
      <c r="J12" s="105"/>
    </row>
    <row r="13" spans="1:10" ht="15.75" x14ac:dyDescent="0.25">
      <c r="A13" s="105" t="s">
        <v>386</v>
      </c>
      <c r="B13" s="108"/>
      <c r="C13" s="107">
        <v>2000</v>
      </c>
      <c r="D13" s="108"/>
      <c r="E13" s="107">
        <v>2000</v>
      </c>
      <c r="F13" s="107"/>
      <c r="G13" s="105"/>
      <c r="H13" s="105"/>
      <c r="I13" s="105"/>
      <c r="J13" s="105"/>
    </row>
    <row r="14" spans="1:10" ht="15.75" x14ac:dyDescent="0.25">
      <c r="A14" s="106" t="s">
        <v>392</v>
      </c>
      <c r="B14" s="108"/>
      <c r="C14" s="106">
        <v>2.0969999999999999E-3</v>
      </c>
      <c r="D14" s="108"/>
      <c r="E14" s="106">
        <v>2.016E-3</v>
      </c>
      <c r="F14" s="106"/>
      <c r="G14" s="109" t="s">
        <v>393</v>
      </c>
      <c r="H14" s="109"/>
      <c r="I14" s="109"/>
      <c r="J14" s="109"/>
    </row>
    <row r="15" spans="1:10" ht="15.75" x14ac:dyDescent="0.25">
      <c r="A15" s="106"/>
      <c r="B15" s="108"/>
      <c r="C15" s="106"/>
      <c r="D15" s="108"/>
      <c r="E15" s="106"/>
      <c r="F15" s="106"/>
      <c r="G15" s="106"/>
      <c r="H15" s="105"/>
      <c r="I15" s="105"/>
      <c r="J15" s="105"/>
    </row>
    <row r="16" spans="1:10" s="19" customFormat="1" x14ac:dyDescent="0.25">
      <c r="A16" s="112" t="s">
        <v>394</v>
      </c>
      <c r="B16" s="106"/>
      <c r="C16" s="106"/>
      <c r="D16" s="106"/>
      <c r="E16" s="106"/>
      <c r="F16" s="105"/>
      <c r="G16" s="105"/>
      <c r="H16" s="105"/>
      <c r="I16" s="105"/>
      <c r="J16" s="105"/>
    </row>
    <row r="17" spans="1:10" s="19" customFormat="1" ht="18" x14ac:dyDescent="0.35">
      <c r="A17" s="113" t="s">
        <v>395</v>
      </c>
      <c r="B17" s="113"/>
      <c r="C17" s="106" t="s">
        <v>396</v>
      </c>
      <c r="D17" s="106" t="s">
        <v>397</v>
      </c>
      <c r="E17" s="105"/>
      <c r="F17" s="105"/>
      <c r="G17" s="124" t="s">
        <v>398</v>
      </c>
      <c r="H17" s="114"/>
      <c r="I17" s="115"/>
      <c r="J17" s="105"/>
    </row>
    <row r="18" spans="1:10" s="19" customFormat="1" ht="16.5" x14ac:dyDescent="0.3">
      <c r="A18" s="105"/>
      <c r="B18" s="105"/>
      <c r="C18" s="106"/>
      <c r="D18" s="106"/>
      <c r="E18" s="105"/>
      <c r="F18" s="105"/>
      <c r="G18" s="124" t="s">
        <v>399</v>
      </c>
      <c r="H18" s="124"/>
      <c r="I18" s="115"/>
      <c r="J18" s="105"/>
    </row>
    <row r="19" spans="1:10" s="19" customFormat="1" x14ac:dyDescent="0.25">
      <c r="A19" s="116" t="s">
        <v>400</v>
      </c>
      <c r="B19" s="116"/>
      <c r="C19" s="116">
        <v>348.17399999999998</v>
      </c>
      <c r="D19" s="116">
        <v>80.076999999999998</v>
      </c>
      <c r="E19" s="105"/>
      <c r="F19" s="105"/>
      <c r="G19" s="117"/>
      <c r="H19" s="117"/>
      <c r="I19" s="117"/>
      <c r="J19" s="105"/>
    </row>
    <row r="20" spans="1:10" s="19" customFormat="1" x14ac:dyDescent="0.25">
      <c r="A20" s="116" t="s">
        <v>401</v>
      </c>
      <c r="B20" s="116"/>
      <c r="C20" s="116">
        <v>346.57900000000001</v>
      </c>
      <c r="D20" s="116">
        <v>80.480999999999995</v>
      </c>
      <c r="E20" s="105"/>
      <c r="F20" s="105"/>
      <c r="G20" s="118">
        <v>1929.08</v>
      </c>
      <c r="H20" s="105"/>
      <c r="I20" s="115" t="s">
        <v>402</v>
      </c>
      <c r="J20" s="105"/>
    </row>
    <row r="21" spans="1:10" s="19" customFormat="1" x14ac:dyDescent="0.25">
      <c r="A21" s="116" t="s">
        <v>403</v>
      </c>
      <c r="B21" s="116"/>
      <c r="C21" s="116">
        <v>344.23599999999999</v>
      </c>
      <c r="D21" s="116">
        <v>81.233999999999995</v>
      </c>
      <c r="E21" s="105"/>
      <c r="F21" s="105"/>
      <c r="G21" s="118">
        <v>1866.55</v>
      </c>
      <c r="H21" s="105"/>
      <c r="I21" s="115" t="s">
        <v>404</v>
      </c>
      <c r="J21" s="105"/>
    </row>
    <row r="22" spans="1:10" s="19" customFormat="1" x14ac:dyDescent="0.25">
      <c r="A22" s="116" t="s">
        <v>405</v>
      </c>
      <c r="B22" s="116"/>
      <c r="C22" s="116">
        <v>337.17899999999997</v>
      </c>
      <c r="D22" s="116">
        <v>80.350999999999999</v>
      </c>
      <c r="E22" s="105"/>
      <c r="F22" s="105"/>
      <c r="G22" s="118">
        <v>1975.16</v>
      </c>
      <c r="H22" s="105"/>
      <c r="I22" s="115" t="s">
        <v>406</v>
      </c>
      <c r="J22" s="105"/>
    </row>
    <row r="23" spans="1:10" s="19" customFormat="1" x14ac:dyDescent="0.25">
      <c r="A23" s="116" t="s">
        <v>407</v>
      </c>
      <c r="B23" s="116"/>
      <c r="C23" s="116">
        <v>366.88900000000001</v>
      </c>
      <c r="D23" s="116">
        <v>81.132999999999996</v>
      </c>
      <c r="E23" s="105"/>
      <c r="F23" s="105"/>
      <c r="G23" s="118">
        <v>1852.1</v>
      </c>
      <c r="H23" s="105"/>
      <c r="I23" s="115" t="s">
        <v>408</v>
      </c>
      <c r="J23" s="105"/>
    </row>
    <row r="24" spans="1:10" s="19" customFormat="1" x14ac:dyDescent="0.25">
      <c r="A24" s="116" t="s">
        <v>409</v>
      </c>
      <c r="B24" s="116"/>
      <c r="C24" s="116">
        <v>373.488</v>
      </c>
      <c r="D24" s="116">
        <v>85.457999999999998</v>
      </c>
      <c r="E24" s="105"/>
      <c r="F24" s="105"/>
      <c r="G24" s="118">
        <v>1994.31</v>
      </c>
      <c r="H24" s="105"/>
      <c r="I24" s="115" t="s">
        <v>410</v>
      </c>
      <c r="J24" s="105"/>
    </row>
    <row r="25" spans="1:10" s="19" customFormat="1" x14ac:dyDescent="0.25">
      <c r="A25" s="116" t="s">
        <v>411</v>
      </c>
      <c r="B25" s="116"/>
      <c r="C25" s="116">
        <v>345.50799999999998</v>
      </c>
      <c r="D25" s="116">
        <v>80.152000000000001</v>
      </c>
      <c r="E25" s="105"/>
      <c r="F25" s="105"/>
      <c r="G25" s="118">
        <v>1889.5</v>
      </c>
      <c r="H25" s="105"/>
      <c r="I25" s="115" t="s">
        <v>412</v>
      </c>
      <c r="J25" s="105"/>
    </row>
    <row r="26" spans="1:10" s="19" customFormat="1" x14ac:dyDescent="0.25">
      <c r="A26" s="116" t="s">
        <v>413</v>
      </c>
      <c r="B26" s="116"/>
      <c r="C26" s="116">
        <v>337.959</v>
      </c>
      <c r="D26" s="116">
        <v>80.064999999999998</v>
      </c>
      <c r="E26" s="105"/>
      <c r="F26" s="105"/>
      <c r="G26" s="118">
        <v>1892.93</v>
      </c>
      <c r="H26" s="105"/>
      <c r="I26" s="115" t="s">
        <v>414</v>
      </c>
      <c r="J26" s="105"/>
    </row>
    <row r="27" spans="1:10" s="19" customFormat="1" x14ac:dyDescent="0.25">
      <c r="A27" s="116" t="s">
        <v>415</v>
      </c>
      <c r="B27" s="116"/>
      <c r="C27" s="116">
        <v>343.20100000000002</v>
      </c>
      <c r="D27" s="116">
        <v>80.863</v>
      </c>
      <c r="E27" s="105"/>
      <c r="F27" s="105"/>
      <c r="G27" s="118">
        <v>1841.17</v>
      </c>
      <c r="H27" s="105"/>
      <c r="I27" s="115" t="s">
        <v>416</v>
      </c>
      <c r="J27" s="105"/>
    </row>
    <row r="28" spans="1:10" s="19" customFormat="1" x14ac:dyDescent="0.25">
      <c r="A28" s="116" t="s">
        <v>417</v>
      </c>
      <c r="B28" s="116"/>
      <c r="C28" s="116">
        <v>343.15499999999997</v>
      </c>
      <c r="D28" s="116">
        <v>79.667000000000002</v>
      </c>
      <c r="E28" s="105"/>
      <c r="F28" s="105"/>
      <c r="G28" s="118">
        <v>1894.88</v>
      </c>
      <c r="H28" s="105"/>
      <c r="I28" s="115" t="s">
        <v>418</v>
      </c>
      <c r="J28" s="105"/>
    </row>
    <row r="29" spans="1:10" s="19" customFormat="1" x14ac:dyDescent="0.25">
      <c r="A29" s="116" t="s">
        <v>419</v>
      </c>
      <c r="B29" s="116"/>
      <c r="C29" s="116">
        <v>338.96100000000001</v>
      </c>
      <c r="D29" s="116">
        <v>79.858999999999995</v>
      </c>
      <c r="E29" s="105"/>
      <c r="F29" s="105"/>
      <c r="G29" s="119">
        <v>1902.72</v>
      </c>
      <c r="H29" s="105"/>
      <c r="I29" s="124" t="s">
        <v>420</v>
      </c>
      <c r="J29" s="105"/>
    </row>
    <row r="30" spans="1:10" s="19" customFormat="1" x14ac:dyDescent="0.25">
      <c r="A30" s="116"/>
      <c r="B30" s="116"/>
      <c r="C30" s="116"/>
      <c r="D30" s="116"/>
      <c r="E30" s="105"/>
      <c r="F30" s="105"/>
      <c r="G30" s="128" t="s">
        <v>421</v>
      </c>
      <c r="H30" s="128"/>
      <c r="I30" s="128"/>
      <c r="J30" s="105"/>
    </row>
    <row r="31" spans="1:10" s="19" customFormat="1" x14ac:dyDescent="0.25">
      <c r="A31" s="112" t="s">
        <v>422</v>
      </c>
      <c r="B31" s="112"/>
      <c r="C31" s="112">
        <v>349.20800000000003</v>
      </c>
      <c r="D31" s="112">
        <v>81.040999999999997</v>
      </c>
      <c r="E31" s="105"/>
      <c r="F31" s="105"/>
      <c r="G31" s="105"/>
      <c r="H31" s="105"/>
      <c r="I31" s="105"/>
      <c r="J31" s="105"/>
    </row>
    <row r="32" spans="1:10" s="19" customFormat="1" x14ac:dyDescent="0.25">
      <c r="A32" s="112"/>
      <c r="B32" s="112"/>
      <c r="C32" s="112"/>
      <c r="D32" s="112"/>
      <c r="E32" s="105"/>
      <c r="F32" s="105"/>
      <c r="G32" s="105"/>
      <c r="H32" s="105"/>
      <c r="I32" s="105"/>
      <c r="J32" s="105"/>
    </row>
    <row r="33" spans="1:10" s="19" customFormat="1" x14ac:dyDescent="0.25">
      <c r="A33" s="109" t="s">
        <v>423</v>
      </c>
      <c r="B33" s="105"/>
      <c r="C33" s="105"/>
      <c r="D33" s="105"/>
      <c r="E33" s="105"/>
      <c r="F33" s="105"/>
      <c r="G33" s="105"/>
      <c r="H33" s="105"/>
      <c r="I33" s="105"/>
      <c r="J33" s="105"/>
    </row>
    <row r="34" spans="1:10" s="19" customFormat="1" ht="18" x14ac:dyDescent="0.35">
      <c r="A34" s="113" t="s">
        <v>395</v>
      </c>
      <c r="B34" s="113"/>
      <c r="C34" s="106" t="s">
        <v>396</v>
      </c>
      <c r="D34" s="106" t="s">
        <v>397</v>
      </c>
      <c r="E34" s="105"/>
      <c r="F34" s="105"/>
      <c r="G34" s="124" t="s">
        <v>398</v>
      </c>
      <c r="H34" s="114"/>
      <c r="I34" s="115"/>
      <c r="J34" s="105"/>
    </row>
    <row r="35" spans="1:10" s="19" customFormat="1" ht="16.5" x14ac:dyDescent="0.3">
      <c r="A35" s="105"/>
      <c r="B35" s="105"/>
      <c r="C35" s="106"/>
      <c r="D35" s="106"/>
      <c r="E35" s="105"/>
      <c r="F35" s="105"/>
      <c r="G35" s="124" t="s">
        <v>399</v>
      </c>
      <c r="H35" s="124"/>
      <c r="I35" s="115"/>
      <c r="J35" s="105"/>
    </row>
    <row r="36" spans="1:10" s="19" customFormat="1" x14ac:dyDescent="0.25">
      <c r="A36" s="105"/>
      <c r="B36" s="105"/>
      <c r="C36" s="105"/>
      <c r="D36" s="105"/>
      <c r="E36" s="105"/>
      <c r="F36" s="105"/>
      <c r="G36" s="124"/>
      <c r="H36" s="124"/>
      <c r="I36" s="124"/>
      <c r="J36" s="105"/>
    </row>
    <row r="37" spans="1:10" s="19" customFormat="1" x14ac:dyDescent="0.25">
      <c r="A37" s="107" t="s">
        <v>400</v>
      </c>
      <c r="B37" s="107"/>
      <c r="C37" s="107">
        <v>351.08100000000002</v>
      </c>
      <c r="D37" s="107">
        <v>80.52</v>
      </c>
      <c r="E37" s="105"/>
      <c r="F37" s="105"/>
      <c r="G37" s="118">
        <v>1832.05</v>
      </c>
      <c r="H37" s="120"/>
      <c r="I37" s="115" t="s">
        <v>402</v>
      </c>
      <c r="J37" s="105"/>
    </row>
    <row r="38" spans="1:10" s="19" customFormat="1" x14ac:dyDescent="0.25">
      <c r="A38" s="107" t="s">
        <v>401</v>
      </c>
      <c r="B38" s="107"/>
      <c r="C38" s="107">
        <v>345.95400000000001</v>
      </c>
      <c r="D38" s="107">
        <v>80.269000000000005</v>
      </c>
      <c r="E38" s="105"/>
      <c r="F38" s="105"/>
      <c r="G38" s="118">
        <v>1828.78</v>
      </c>
      <c r="H38" s="120"/>
      <c r="I38" s="115" t="s">
        <v>404</v>
      </c>
      <c r="J38" s="105"/>
    </row>
    <row r="39" spans="1:10" s="19" customFormat="1" x14ac:dyDescent="0.25">
      <c r="A39" s="107" t="s">
        <v>403</v>
      </c>
      <c r="B39" s="107"/>
      <c r="C39" s="107">
        <v>345.95800000000003</v>
      </c>
      <c r="D39" s="107">
        <v>81.55</v>
      </c>
      <c r="E39" s="105"/>
      <c r="F39" s="105"/>
      <c r="G39" s="118">
        <v>1836.34</v>
      </c>
      <c r="H39" s="120"/>
      <c r="I39" s="115" t="s">
        <v>406</v>
      </c>
      <c r="J39" s="105"/>
    </row>
    <row r="40" spans="1:10" s="19" customFormat="1" x14ac:dyDescent="0.25">
      <c r="A40" s="107" t="s">
        <v>405</v>
      </c>
      <c r="B40" s="107"/>
      <c r="C40" s="107">
        <v>334.67</v>
      </c>
      <c r="D40" s="107">
        <v>79.578000000000003</v>
      </c>
      <c r="E40" s="105"/>
      <c r="F40" s="105"/>
      <c r="G40" s="118">
        <v>1824.28</v>
      </c>
      <c r="H40" s="120"/>
      <c r="I40" s="115" t="s">
        <v>408</v>
      </c>
      <c r="J40" s="105"/>
    </row>
    <row r="41" spans="1:10" s="19" customFormat="1" x14ac:dyDescent="0.25">
      <c r="A41" s="107" t="s">
        <v>407</v>
      </c>
      <c r="B41" s="107"/>
      <c r="C41" s="107">
        <v>368.428</v>
      </c>
      <c r="D41" s="107">
        <v>81.701999999999998</v>
      </c>
      <c r="E41" s="105"/>
      <c r="F41" s="105"/>
      <c r="G41" s="118">
        <v>1839.26</v>
      </c>
      <c r="H41" s="120"/>
      <c r="I41" s="115" t="s">
        <v>410</v>
      </c>
      <c r="J41" s="105"/>
    </row>
    <row r="42" spans="1:10" s="19" customFormat="1" x14ac:dyDescent="0.25">
      <c r="A42" s="107" t="s">
        <v>409</v>
      </c>
      <c r="B42" s="107"/>
      <c r="C42" s="107">
        <v>377.42</v>
      </c>
      <c r="D42" s="107">
        <v>86.298000000000002</v>
      </c>
      <c r="E42" s="105"/>
      <c r="F42" s="105"/>
      <c r="G42" s="118">
        <v>1833.29</v>
      </c>
      <c r="H42" s="120"/>
      <c r="I42" s="115" t="s">
        <v>412</v>
      </c>
      <c r="J42" s="105"/>
    </row>
    <row r="43" spans="1:10" s="19" customFormat="1" x14ac:dyDescent="0.25">
      <c r="A43" s="107" t="s">
        <v>411</v>
      </c>
      <c r="B43" s="107"/>
      <c r="C43" s="107">
        <v>349.97800000000001</v>
      </c>
      <c r="D43" s="107">
        <v>80.677999999999997</v>
      </c>
      <c r="E43" s="105"/>
      <c r="F43" s="105"/>
      <c r="G43" s="118">
        <v>1830.05</v>
      </c>
      <c r="H43" s="120"/>
      <c r="I43" s="115" t="s">
        <v>414</v>
      </c>
      <c r="J43" s="105"/>
    </row>
    <row r="44" spans="1:10" s="19" customFormat="1" x14ac:dyDescent="0.25">
      <c r="A44" s="107" t="s">
        <v>413</v>
      </c>
      <c r="B44" s="107"/>
      <c r="C44" s="107">
        <v>336.392</v>
      </c>
      <c r="D44" s="107">
        <v>79.561000000000007</v>
      </c>
      <c r="E44" s="105"/>
      <c r="F44" s="105"/>
      <c r="G44" s="118">
        <v>1793.39</v>
      </c>
      <c r="H44" s="120"/>
      <c r="I44" s="115" t="s">
        <v>416</v>
      </c>
      <c r="J44" s="105"/>
    </row>
    <row r="45" spans="1:10" s="19" customFormat="1" x14ac:dyDescent="0.25">
      <c r="A45" s="107" t="s">
        <v>415</v>
      </c>
      <c r="B45" s="107"/>
      <c r="C45" s="107">
        <v>341.66899999999998</v>
      </c>
      <c r="D45" s="107">
        <v>80.350999999999999</v>
      </c>
      <c r="E45" s="105"/>
      <c r="F45" s="105"/>
      <c r="G45" s="118">
        <v>1838.65</v>
      </c>
      <c r="H45" s="120"/>
      <c r="I45" s="115" t="s">
        <v>418</v>
      </c>
      <c r="J45" s="105"/>
    </row>
    <row r="46" spans="1:10" s="19" customFormat="1" x14ac:dyDescent="0.25">
      <c r="A46" s="107" t="s">
        <v>417</v>
      </c>
      <c r="B46" s="107"/>
      <c r="C46" s="107">
        <v>340.88200000000001</v>
      </c>
      <c r="D46" s="107">
        <v>78.867000000000004</v>
      </c>
      <c r="E46" s="105"/>
      <c r="F46" s="105"/>
      <c r="G46" s="119">
        <v>1828.62</v>
      </c>
      <c r="H46" s="114"/>
      <c r="I46" s="124" t="s">
        <v>420</v>
      </c>
      <c r="J46" s="105"/>
    </row>
    <row r="47" spans="1:10" s="19" customFormat="1" ht="15.75" customHeight="1" x14ac:dyDescent="0.25">
      <c r="A47" s="107" t="s">
        <v>419</v>
      </c>
      <c r="B47" s="107"/>
      <c r="C47" s="107">
        <v>337.185</v>
      </c>
      <c r="D47" s="107">
        <v>79.293000000000006</v>
      </c>
      <c r="E47" s="105"/>
      <c r="F47" s="105"/>
      <c r="G47" s="128" t="s">
        <v>421</v>
      </c>
      <c r="H47" s="128"/>
      <c r="I47" s="128"/>
      <c r="J47" s="105"/>
    </row>
    <row r="48" spans="1:10" s="19" customFormat="1" x14ac:dyDescent="0.25">
      <c r="A48" s="107"/>
      <c r="B48" s="107"/>
      <c r="C48" s="107"/>
      <c r="D48" s="107"/>
      <c r="E48" s="105"/>
      <c r="F48" s="105"/>
      <c r="G48" s="105"/>
      <c r="H48" s="105"/>
      <c r="I48" s="105"/>
      <c r="J48" s="105"/>
    </row>
    <row r="49" spans="1:10" s="19" customFormat="1" x14ac:dyDescent="0.25">
      <c r="A49" s="109" t="s">
        <v>422</v>
      </c>
      <c r="B49" s="109"/>
      <c r="C49" s="109">
        <v>351.31099999999998</v>
      </c>
      <c r="D49" s="109">
        <v>81.397000000000006</v>
      </c>
      <c r="E49" s="105"/>
      <c r="F49" s="105"/>
      <c r="G49" s="107"/>
      <c r="H49" s="105"/>
      <c r="I49" s="105"/>
      <c r="J49" s="105"/>
    </row>
  </sheetData>
  <mergeCells count="2">
    <mergeCell ref="G30:I30"/>
    <mergeCell ref="G47:I47"/>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548235"/>
  </sheetPr>
  <dimension ref="A1:E5"/>
  <sheetViews>
    <sheetView workbookViewId="0">
      <selection activeCell="B10" sqref="B10"/>
    </sheetView>
  </sheetViews>
  <sheetFormatPr defaultColWidth="8.5703125" defaultRowHeight="12.75" x14ac:dyDescent="0.2"/>
  <cols>
    <col min="1" max="1" width="34.5703125" style="1" customWidth="1"/>
    <col min="2" max="5" width="12" style="1" customWidth="1"/>
    <col min="6" max="16384" width="8.5703125" style="1"/>
  </cols>
  <sheetData>
    <row r="1" spans="1:5" x14ac:dyDescent="0.2">
      <c r="A1" s="90" t="s">
        <v>424</v>
      </c>
      <c r="B1" s="91">
        <v>2005</v>
      </c>
      <c r="C1" s="121">
        <v>2020</v>
      </c>
      <c r="D1" s="91">
        <v>2035</v>
      </c>
      <c r="E1" s="121">
        <v>2050</v>
      </c>
    </row>
    <row r="2" spans="1:5" x14ac:dyDescent="0.2">
      <c r="A2" s="92" t="s">
        <v>425</v>
      </c>
      <c r="B2" s="93">
        <v>6978983</v>
      </c>
      <c r="C2" s="122">
        <v>7937894</v>
      </c>
      <c r="D2" s="93">
        <v>8524962</v>
      </c>
      <c r="E2" s="122">
        <v>10367651</v>
      </c>
    </row>
    <row r="3" spans="1:5" x14ac:dyDescent="0.2">
      <c r="A3" s="1" t="s">
        <v>426</v>
      </c>
      <c r="B3" s="93">
        <v>61020</v>
      </c>
      <c r="C3" s="122"/>
      <c r="D3" s="93"/>
      <c r="E3" s="122"/>
    </row>
    <row r="4" spans="1:5" x14ac:dyDescent="0.2">
      <c r="B4" s="1" t="s">
        <v>427</v>
      </c>
      <c r="C4" s="18" t="s">
        <v>428</v>
      </c>
      <c r="D4" s="1" t="s">
        <v>429</v>
      </c>
      <c r="E4" s="18" t="s">
        <v>430</v>
      </c>
    </row>
    <row r="5" spans="1:5" x14ac:dyDescent="0.2">
      <c r="B5" s="123" t="s">
        <v>335</v>
      </c>
      <c r="D5" s="123" t="s">
        <v>364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69918-0E0B-41B8-88BC-BA8D29F4B450}">
  <dimension ref="A1:BC2"/>
  <sheetViews>
    <sheetView tabSelected="1" workbookViewId="0">
      <selection activeCell="N17" sqref="N17"/>
    </sheetView>
  </sheetViews>
  <sheetFormatPr defaultRowHeight="15" x14ac:dyDescent="0.25"/>
  <sheetData>
    <row r="1" spans="1:55" x14ac:dyDescent="0.25">
      <c r="A1" s="4" t="s">
        <v>431</v>
      </c>
      <c r="B1" t="s">
        <v>487</v>
      </c>
      <c r="C1" t="s">
        <v>487</v>
      </c>
      <c r="D1" t="s">
        <v>487</v>
      </c>
      <c r="E1" t="s">
        <v>487</v>
      </c>
      <c r="F1" t="s">
        <v>487</v>
      </c>
      <c r="G1" t="s">
        <v>487</v>
      </c>
      <c r="H1" t="s">
        <v>487</v>
      </c>
      <c r="I1" t="s">
        <v>487</v>
      </c>
      <c r="J1" t="s">
        <v>487</v>
      </c>
      <c r="K1" t="s">
        <v>487</v>
      </c>
      <c r="L1" t="s">
        <v>487</v>
      </c>
      <c r="M1" t="s">
        <v>487</v>
      </c>
      <c r="N1" t="s">
        <v>487</v>
      </c>
      <c r="O1" t="s">
        <v>487</v>
      </c>
      <c r="P1" t="s">
        <v>487</v>
      </c>
      <c r="Q1" t="s">
        <v>487</v>
      </c>
      <c r="R1" t="s">
        <v>487</v>
      </c>
      <c r="S1" t="s">
        <v>487</v>
      </c>
      <c r="T1" t="s">
        <v>487</v>
      </c>
      <c r="U1" t="s">
        <v>487</v>
      </c>
      <c r="V1" t="s">
        <v>487</v>
      </c>
      <c r="W1" t="s">
        <v>487</v>
      </c>
      <c r="X1" t="s">
        <v>487</v>
      </c>
      <c r="Y1" t="s">
        <v>487</v>
      </c>
      <c r="Z1" t="s">
        <v>487</v>
      </c>
      <c r="AA1" t="s">
        <v>487</v>
      </c>
      <c r="AB1" t="s">
        <v>487</v>
      </c>
      <c r="AC1" t="s">
        <v>487</v>
      </c>
      <c r="AD1" t="s">
        <v>487</v>
      </c>
      <c r="AE1" t="s">
        <v>487</v>
      </c>
      <c r="AF1" t="s">
        <v>487</v>
      </c>
      <c r="AG1" t="s">
        <v>487</v>
      </c>
      <c r="AH1" t="s">
        <v>487</v>
      </c>
      <c r="AI1" t="s">
        <v>487</v>
      </c>
      <c r="AJ1" t="s">
        <v>487</v>
      </c>
      <c r="AK1" t="s">
        <v>487</v>
      </c>
      <c r="AL1" t="s">
        <v>487</v>
      </c>
      <c r="AM1" t="s">
        <v>487</v>
      </c>
      <c r="AN1" t="s">
        <v>487</v>
      </c>
      <c r="AO1" t="s">
        <v>487</v>
      </c>
      <c r="AP1" t="s">
        <v>487</v>
      </c>
      <c r="AQ1" t="s">
        <v>487</v>
      </c>
      <c r="AR1" t="s">
        <v>487</v>
      </c>
      <c r="AS1" t="s">
        <v>487</v>
      </c>
      <c r="AT1" t="s">
        <v>487</v>
      </c>
      <c r="AU1" t="s">
        <v>487</v>
      </c>
      <c r="AV1" t="s">
        <v>487</v>
      </c>
      <c r="AW1" t="s">
        <v>487</v>
      </c>
      <c r="AX1" t="s">
        <v>487</v>
      </c>
      <c r="AY1" t="s">
        <v>487</v>
      </c>
      <c r="AZ1" t="s">
        <v>487</v>
      </c>
      <c r="BA1" t="s">
        <v>487</v>
      </c>
      <c r="BB1" t="s">
        <v>487</v>
      </c>
      <c r="BC1" t="s">
        <v>487</v>
      </c>
    </row>
    <row r="2" spans="1:55" x14ac:dyDescent="0.25">
      <c r="A2" t="s">
        <v>432</v>
      </c>
      <c r="B2" t="s">
        <v>433</v>
      </c>
      <c r="C2" t="s">
        <v>434</v>
      </c>
      <c r="D2" t="s">
        <v>435</v>
      </c>
      <c r="E2" t="s">
        <v>436</v>
      </c>
      <c r="F2" t="s">
        <v>437</v>
      </c>
      <c r="G2" t="s">
        <v>438</v>
      </c>
      <c r="H2" t="s">
        <v>439</v>
      </c>
      <c r="I2" t="s">
        <v>440</v>
      </c>
      <c r="J2" t="s">
        <v>441</v>
      </c>
      <c r="K2" t="s">
        <v>442</v>
      </c>
      <c r="L2" t="s">
        <v>443</v>
      </c>
      <c r="M2" t="s">
        <v>444</v>
      </c>
      <c r="N2" t="s">
        <v>445</v>
      </c>
      <c r="O2" t="s">
        <v>446</v>
      </c>
      <c r="P2" t="s">
        <v>447</v>
      </c>
      <c r="Q2" t="s">
        <v>448</v>
      </c>
      <c r="R2" t="s">
        <v>449</v>
      </c>
      <c r="S2" t="s">
        <v>450</v>
      </c>
      <c r="T2" t="s">
        <v>451</v>
      </c>
      <c r="U2" t="s">
        <v>452</v>
      </c>
      <c r="V2" t="s">
        <v>453</v>
      </c>
      <c r="W2" t="s">
        <v>454</v>
      </c>
      <c r="X2" t="s">
        <v>455</v>
      </c>
      <c r="Y2" t="s">
        <v>456</v>
      </c>
      <c r="Z2" t="s">
        <v>457</v>
      </c>
      <c r="AA2" t="s">
        <v>458</v>
      </c>
      <c r="AB2" t="s">
        <v>459</v>
      </c>
      <c r="AC2" t="s">
        <v>460</v>
      </c>
      <c r="AD2" t="s">
        <v>461</v>
      </c>
      <c r="AE2" t="s">
        <v>462</v>
      </c>
      <c r="AF2" t="s">
        <v>463</v>
      </c>
      <c r="AG2" t="s">
        <v>464</v>
      </c>
      <c r="AH2" t="s">
        <v>465</v>
      </c>
      <c r="AI2" t="s">
        <v>466</v>
      </c>
      <c r="AJ2" t="s">
        <v>467</v>
      </c>
      <c r="AK2" t="s">
        <v>468</v>
      </c>
      <c r="AL2" t="s">
        <v>469</v>
      </c>
      <c r="AM2" t="s">
        <v>470</v>
      </c>
      <c r="AN2" t="s">
        <v>471</v>
      </c>
      <c r="AO2" t="s">
        <v>472</v>
      </c>
      <c r="AP2" t="s">
        <v>473</v>
      </c>
      <c r="AQ2" t="s">
        <v>474</v>
      </c>
      <c r="AR2" t="s">
        <v>475</v>
      </c>
      <c r="AS2" t="s">
        <v>476</v>
      </c>
      <c r="AT2" t="s">
        <v>477</v>
      </c>
      <c r="AU2" t="s">
        <v>478</v>
      </c>
      <c r="AV2" t="s">
        <v>479</v>
      </c>
      <c r="AW2" t="s">
        <v>480</v>
      </c>
      <c r="AX2" t="s">
        <v>481</v>
      </c>
      <c r="AY2" t="s">
        <v>482</v>
      </c>
      <c r="AZ2" t="s">
        <v>483</v>
      </c>
      <c r="BA2" t="s">
        <v>484</v>
      </c>
      <c r="BB2" t="s">
        <v>485</v>
      </c>
      <c r="BC2" t="s">
        <v>486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6D340073D92D4190D7790942D4EE51" ma:contentTypeVersion="4" ma:contentTypeDescription="Create a new document." ma:contentTypeScope="" ma:versionID="f57fa0849ec2bc354042c3fd9ea82981">
  <xsd:schema xmlns:xsd="http://www.w3.org/2001/XMLSchema" xmlns:xs="http://www.w3.org/2001/XMLSchema" xmlns:p="http://schemas.microsoft.com/office/2006/metadata/properties" xmlns:ns2="e847b06d-a24a-40c6-8f2a-5006865b8fb4" targetNamespace="http://schemas.microsoft.com/office/2006/metadata/properties" ma:root="true" ma:fieldsID="88f70dc8fa104af8832938986f815a43" ns2:_="">
    <xsd:import namespace="e847b06d-a24a-40c6-8f2a-5006865b8fb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47b06d-a24a-40c6-8f2a-5006865b8fb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5400341-32BF-4F83-81B6-3BE5C974724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47b06d-a24a-40c6-8f2a-5006865b8fb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0A77BF1-0BD7-46D8-A13E-31112446E415}">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ACE47783-619F-4659-A4CB-BE6E3D93FF4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Main sheet</vt:lpstr>
      <vt:lpstr>Research</vt:lpstr>
      <vt:lpstr>Model Data</vt:lpstr>
      <vt:lpstr>Emission Factors</vt:lpstr>
      <vt:lpstr>SB 375 calcs</vt:lpstr>
      <vt:lpstr>Output</vt:lpstr>
    </vt:vector>
  </TitlesOfParts>
  <Manager/>
  <Company>ICF International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Eliot Rose</dc:creator>
  <cp:keywords/>
  <dc:description/>
  <cp:lastModifiedBy>Crowley, Duncan</cp:lastModifiedBy>
  <cp:revision/>
  <dcterms:created xsi:type="dcterms:W3CDTF">2015-07-01T17:27:15Z</dcterms:created>
  <dcterms:modified xsi:type="dcterms:W3CDTF">2024-07-09T20:07:16Z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0x010100636D340073D92D4190D7790942D4EE51</vt:lpwstr>
  </property>
</Properties>
</file>