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zorn\Documents\metrics\"/>
    </mc:Choice>
  </mc:AlternateContent>
  <bookViews>
    <workbookView xWindow="0" yWindow="0" windowWidth="25350" windowHeight="10410" activeTab="2"/>
  </bookViews>
  <sheets>
    <sheet name="2040_03_116_pave" sheetId="1" r:id="rId1"/>
    <sheet name="2040_03_116_paveSGR" sheetId="2" r:id="rId2"/>
    <sheet name="diff" sheetId="3" r:id="rId3"/>
  </sheets>
  <definedNames>
    <definedName name="annualization">'2040_03_116_pave'!$B$108</definedName>
  </definedNames>
  <calcPr calcId="0"/>
</workbook>
</file>

<file path=xl/calcChain.xml><?xml version="1.0" encoding="utf-8"?>
<calcChain xmlns="http://schemas.openxmlformats.org/spreadsheetml/2006/main">
  <c r="I66" i="3" l="1"/>
  <c r="I67" i="3"/>
  <c r="I65" i="3"/>
  <c r="I64" i="3"/>
  <c r="I62" i="3"/>
  <c r="I61" i="3"/>
  <c r="I60" i="3"/>
  <c r="I59" i="3"/>
  <c r="I58" i="3"/>
  <c r="I45" i="3"/>
  <c r="I44" i="3"/>
  <c r="I43" i="3"/>
  <c r="I41" i="3"/>
  <c r="I40" i="3"/>
  <c r="I39" i="3"/>
  <c r="I38" i="3"/>
  <c r="I37" i="3"/>
  <c r="I36" i="3"/>
  <c r="I35" i="3"/>
  <c r="I34" i="3"/>
  <c r="I33" i="3"/>
  <c r="I32" i="3"/>
  <c r="I30" i="3"/>
  <c r="I29" i="3"/>
  <c r="I27" i="3"/>
  <c r="I26" i="3"/>
  <c r="I24" i="3"/>
  <c r="I23" i="3"/>
  <c r="I21" i="3"/>
  <c r="I20" i="3"/>
  <c r="I19" i="3"/>
  <c r="I17" i="3"/>
  <c r="I16" i="3"/>
  <c r="I15" i="3"/>
  <c r="I14" i="3"/>
  <c r="I13" i="3"/>
  <c r="I11" i="3"/>
  <c r="I10" i="3"/>
  <c r="I6" i="3"/>
  <c r="I4" i="3"/>
  <c r="I5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5" i="3"/>
  <c r="D44" i="3"/>
  <c r="D43" i="3"/>
  <c r="D41" i="3"/>
  <c r="D40" i="3"/>
  <c r="D39" i="3"/>
  <c r="D38" i="3"/>
  <c r="D37" i="3"/>
  <c r="D36" i="3"/>
  <c r="D35" i="3"/>
  <c r="D34" i="3"/>
  <c r="D33" i="3"/>
  <c r="D32" i="3"/>
  <c r="D30" i="3"/>
  <c r="D65" i="3" s="1"/>
  <c r="D29" i="3"/>
  <c r="D64" i="3" s="1"/>
  <c r="D27" i="3"/>
  <c r="D26" i="3"/>
  <c r="D24" i="3"/>
  <c r="D23" i="3"/>
  <c r="D21" i="3"/>
  <c r="D20" i="3"/>
  <c r="D19" i="3"/>
  <c r="D17" i="3"/>
  <c r="D16" i="3"/>
  <c r="D15" i="3"/>
  <c r="D14" i="3"/>
  <c r="D13" i="3"/>
  <c r="D11" i="3"/>
  <c r="D10" i="3"/>
  <c r="D6" i="3"/>
  <c r="D5" i="3"/>
  <c r="D4" i="3"/>
  <c r="D3" i="3"/>
  <c r="C62" i="3"/>
  <c r="F67" i="3" s="1"/>
  <c r="G67" i="3" s="1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5" i="3"/>
  <c r="C44" i="3"/>
  <c r="F44" i="3" s="1"/>
  <c r="G44" i="3" s="1"/>
  <c r="C43" i="3"/>
  <c r="C41" i="3"/>
  <c r="C40" i="3"/>
  <c r="C39" i="3"/>
  <c r="C38" i="3"/>
  <c r="C37" i="3"/>
  <c r="C36" i="3"/>
  <c r="C35" i="3"/>
  <c r="C34" i="3"/>
  <c r="C33" i="3"/>
  <c r="C32" i="3"/>
  <c r="C30" i="3"/>
  <c r="C65" i="3" s="1"/>
  <c r="C29" i="3"/>
  <c r="C64" i="3" s="1"/>
  <c r="C27" i="3"/>
  <c r="C26" i="3"/>
  <c r="C24" i="3"/>
  <c r="F24" i="3" s="1"/>
  <c r="G24" i="3" s="1"/>
  <c r="C23" i="3"/>
  <c r="C21" i="3"/>
  <c r="C20" i="3"/>
  <c r="C19" i="3"/>
  <c r="C17" i="3"/>
  <c r="C16" i="3"/>
  <c r="C15" i="3"/>
  <c r="C14" i="3"/>
  <c r="C13" i="3"/>
  <c r="C11" i="3"/>
  <c r="C10" i="3"/>
  <c r="C6" i="3"/>
  <c r="C5" i="3"/>
  <c r="C4" i="3"/>
  <c r="C3" i="3"/>
  <c r="N61" i="2"/>
  <c r="N59" i="2"/>
  <c r="N60" i="2" s="1"/>
  <c r="N57" i="2"/>
  <c r="N56" i="2"/>
  <c r="N55" i="2"/>
  <c r="N54" i="2"/>
  <c r="N53" i="2"/>
  <c r="N52" i="2"/>
  <c r="N51" i="2"/>
  <c r="N50" i="2"/>
  <c r="N49" i="2"/>
  <c r="N48" i="2"/>
  <c r="N47" i="2"/>
  <c r="N45" i="2"/>
  <c r="N44" i="2"/>
  <c r="N43" i="2"/>
  <c r="N41" i="2"/>
  <c r="N40" i="2"/>
  <c r="N39" i="2"/>
  <c r="N38" i="2"/>
  <c r="N37" i="2"/>
  <c r="N36" i="2"/>
  <c r="N35" i="2"/>
  <c r="N34" i="2"/>
  <c r="N30" i="2"/>
  <c r="N33" i="2" s="1"/>
  <c r="N29" i="2"/>
  <c r="N32" i="2" s="1"/>
  <c r="N24" i="2"/>
  <c r="N58" i="2" s="1"/>
  <c r="N23" i="2"/>
  <c r="N62" i="2" s="1"/>
  <c r="N21" i="2"/>
  <c r="N20" i="2"/>
  <c r="N19" i="2"/>
  <c r="N17" i="2"/>
  <c r="N16" i="2"/>
  <c r="N15" i="2"/>
  <c r="N14" i="2"/>
  <c r="N13" i="2"/>
  <c r="N11" i="2"/>
  <c r="N10" i="2"/>
  <c r="N8" i="2"/>
  <c r="N27" i="2" s="1"/>
  <c r="N7" i="2"/>
  <c r="N26" i="2" s="1"/>
  <c r="N6" i="2"/>
  <c r="N5" i="2"/>
  <c r="N4" i="2"/>
  <c r="N3" i="2"/>
  <c r="N33" i="1"/>
  <c r="N32" i="1"/>
  <c r="N29" i="1"/>
  <c r="N57" i="1"/>
  <c r="N56" i="1"/>
  <c r="N48" i="1"/>
  <c r="N49" i="1"/>
  <c r="N50" i="1"/>
  <c r="N51" i="1"/>
  <c r="N52" i="1"/>
  <c r="N53" i="1"/>
  <c r="N54" i="1"/>
  <c r="N55" i="1"/>
  <c r="N47" i="1"/>
  <c r="N61" i="1"/>
  <c r="N59" i="1"/>
  <c r="N60" i="1" s="1"/>
  <c r="N45" i="1"/>
  <c r="N44" i="1"/>
  <c r="N43" i="1"/>
  <c r="N41" i="1"/>
  <c r="N40" i="1"/>
  <c r="N39" i="1"/>
  <c r="N38" i="1"/>
  <c r="N37" i="1"/>
  <c r="N36" i="1"/>
  <c r="N35" i="1"/>
  <c r="N34" i="1"/>
  <c r="N30" i="1"/>
  <c r="N8" i="1"/>
  <c r="N27" i="1" s="1"/>
  <c r="N7" i="1"/>
  <c r="N26" i="1" s="1"/>
  <c r="N24" i="1"/>
  <c r="N58" i="1" s="1"/>
  <c r="N23" i="1"/>
  <c r="N62" i="1" s="1"/>
  <c r="N21" i="1"/>
  <c r="N19" i="1"/>
  <c r="N20" i="1"/>
  <c r="N17" i="1"/>
  <c r="N16" i="1"/>
  <c r="N15" i="1"/>
  <c r="N14" i="1"/>
  <c r="N13" i="1"/>
  <c r="N11" i="1"/>
  <c r="N10" i="1"/>
  <c r="N5" i="1"/>
  <c r="N4" i="1"/>
  <c r="N3" i="1"/>
  <c r="N6" i="1"/>
  <c r="F11" i="3" l="1"/>
  <c r="G11" i="3" s="1"/>
  <c r="F17" i="3"/>
  <c r="G17" i="3" s="1"/>
  <c r="F38" i="3"/>
  <c r="G38" i="3" s="1"/>
  <c r="F13" i="3"/>
  <c r="G13" i="3" s="1"/>
  <c r="F39" i="3"/>
  <c r="G39" i="3" s="1"/>
  <c r="F36" i="3"/>
  <c r="G36" i="3" s="1"/>
  <c r="F32" i="3"/>
  <c r="G32" i="3" s="1"/>
  <c r="F14" i="3"/>
  <c r="G14" i="3" s="1"/>
  <c r="F10" i="3"/>
  <c r="G10" i="3" s="1"/>
  <c r="F26" i="3"/>
  <c r="G26" i="3" s="1"/>
  <c r="F45" i="3"/>
  <c r="G45" i="3" s="1"/>
  <c r="F15" i="3"/>
  <c r="G15" i="3" s="1"/>
  <c r="F16" i="3"/>
  <c r="G16" i="3" s="1"/>
  <c r="F37" i="3"/>
  <c r="G37" i="3" s="1"/>
  <c r="F19" i="3"/>
  <c r="G19" i="3" s="1"/>
  <c r="F4" i="3"/>
  <c r="G4" i="3" s="1"/>
  <c r="F27" i="3"/>
  <c r="G27" i="3" s="1"/>
  <c r="F33" i="3"/>
  <c r="G33" i="3" s="1"/>
  <c r="F35" i="3"/>
  <c r="G35" i="3" s="1"/>
  <c r="F34" i="3"/>
  <c r="G34" i="3" s="1"/>
  <c r="F65" i="3"/>
  <c r="G65" i="3" s="1"/>
  <c r="F64" i="3"/>
  <c r="G64" i="3" s="1"/>
  <c r="F5" i="3"/>
  <c r="G5" i="3" s="1"/>
  <c r="F20" i="3"/>
  <c r="G20" i="3" s="1"/>
  <c r="F23" i="3"/>
  <c r="G23" i="3" s="1"/>
  <c r="F43" i="3"/>
  <c r="G43" i="3" s="1"/>
  <c r="F60" i="3"/>
  <c r="G60" i="3" s="1"/>
  <c r="F29" i="3"/>
  <c r="G29" i="3" s="1"/>
  <c r="F58" i="3"/>
  <c r="G58" i="3" s="1"/>
  <c r="F61" i="3"/>
  <c r="G61" i="3" s="1"/>
  <c r="F40" i="3"/>
  <c r="G40" i="3" s="1"/>
  <c r="F21" i="3"/>
  <c r="G21" i="3" s="1"/>
  <c r="F41" i="3"/>
  <c r="G41" i="3" s="1"/>
  <c r="F59" i="3"/>
  <c r="G59" i="3" s="1"/>
  <c r="F62" i="3"/>
  <c r="G62" i="3" s="1"/>
  <c r="F6" i="3"/>
  <c r="G6" i="3" s="1"/>
  <c r="F30" i="3"/>
  <c r="G30" i="3" s="1"/>
  <c r="F3" i="3"/>
  <c r="G3" i="3" s="1"/>
  <c r="I3" i="3" s="1"/>
</calcChain>
</file>

<file path=xl/sharedStrings.xml><?xml version="1.0" encoding="utf-8"?>
<sst xmlns="http://schemas.openxmlformats.org/spreadsheetml/2006/main" count="499" uniqueCount="176">
  <si>
    <t>Name</t>
  </si>
  <si>
    <t>Transit Trips</t>
  </si>
  <si>
    <t xml:space="preserve">In-vehicle hours </t>
  </si>
  <si>
    <t>Out-of-vehicle hours</t>
  </si>
  <si>
    <t xml:space="preserve">Init wait hours </t>
  </si>
  <si>
    <t>Xfer wait hours</t>
  </si>
  <si>
    <t>Walk acc &amp; egr hours</t>
  </si>
  <si>
    <t>Aux walk hours</t>
  </si>
  <si>
    <t>Drive acc &amp; egr hours</t>
  </si>
  <si>
    <t>wlk_com_wlk</t>
  </si>
  <si>
    <t>drv_com_wlk</t>
  </si>
  <si>
    <t>wlk_com_drv</t>
  </si>
  <si>
    <t>wlk_hvy_wlk</t>
  </si>
  <si>
    <t>drv_hvy_wlk</t>
  </si>
  <si>
    <t>wlk_hvy_drv</t>
  </si>
  <si>
    <t>wlk_exp_wlk</t>
  </si>
  <si>
    <t>drv_exp_wlk</t>
  </si>
  <si>
    <t>wlk_exp_drv</t>
  </si>
  <si>
    <t>wlk_lrf_wlk</t>
  </si>
  <si>
    <t>drv_lrf_wlk</t>
  </si>
  <si>
    <t>wlk_lrf_drv</t>
  </si>
  <si>
    <t>wlk_loc_wlk</t>
  </si>
  <si>
    <t>drv_loc_wlk</t>
  </si>
  <si>
    <t>wlk_loc_drv</t>
  </si>
  <si>
    <t>Mode</t>
  </si>
  <si>
    <t>Daily Trips</t>
  </si>
  <si>
    <t>Avg Time</t>
  </si>
  <si>
    <t>Avg Cost</t>
  </si>
  <si>
    <t>com</t>
  </si>
  <si>
    <t>hvy</t>
  </si>
  <si>
    <t>exp</t>
  </si>
  <si>
    <t>lrf</t>
  </si>
  <si>
    <t>loc</t>
  </si>
  <si>
    <t>Avg Dist</t>
  </si>
  <si>
    <t>da</t>
  </si>
  <si>
    <t>datoll</t>
  </si>
  <si>
    <t>sr2</t>
  </si>
  <si>
    <t>sr2toll</t>
  </si>
  <si>
    <t>sr3</t>
  </si>
  <si>
    <t>sr3toll</t>
  </si>
  <si>
    <t>Walk</t>
  </si>
  <si>
    <t>Bike</t>
  </si>
  <si>
    <t>VHT by class and period</t>
  </si>
  <si>
    <t>DA</t>
  </si>
  <si>
    <t>S2</t>
  </si>
  <si>
    <t>S3</t>
  </si>
  <si>
    <t>SM</t>
  </si>
  <si>
    <t>HV</t>
  </si>
  <si>
    <t>DAT</t>
  </si>
  <si>
    <t>S2T</t>
  </si>
  <si>
    <t>S3T</t>
  </si>
  <si>
    <t>SMT</t>
  </si>
  <si>
    <t>HVT</t>
  </si>
  <si>
    <t>EA</t>
  </si>
  <si>
    <t>AM</t>
  </si>
  <si>
    <t>MD</t>
  </si>
  <si>
    <t>PM</t>
  </si>
  <si>
    <t>EV</t>
  </si>
  <si>
    <t>VMT by class and period</t>
  </si>
  <si>
    <t>Hypothetical FFT by class and period</t>
  </si>
  <si>
    <t>Hours of non-recurring delay</t>
  </si>
  <si>
    <t>Collisions per day</t>
  </si>
  <si>
    <t>motor vehicle fatality</t>
  </si>
  <si>
    <t>motor vehicle injury</t>
  </si>
  <si>
    <t>motor vehicle property</t>
  </si>
  <si>
    <t>walk fatality</t>
  </si>
  <si>
    <t>walk injury</t>
  </si>
  <si>
    <t>bike fatality</t>
  </si>
  <si>
    <t>bike injury</t>
  </si>
  <si>
    <t>Metric tons of emissions</t>
  </si>
  <si>
    <t>ROG</t>
  </si>
  <si>
    <t>S_NOx</t>
  </si>
  <si>
    <t>SOx</t>
  </si>
  <si>
    <t>W_NOx</t>
  </si>
  <si>
    <t>CO2</t>
  </si>
  <si>
    <t>Diesel_PM2.5</t>
  </si>
  <si>
    <t>Gas_PM2.5</t>
  </si>
  <si>
    <t xml:space="preserve">Diesel PM </t>
  </si>
  <si>
    <t xml:space="preserve">Butadiene </t>
  </si>
  <si>
    <t>Benzene</t>
  </si>
  <si>
    <t>Acetaldehyde</t>
  </si>
  <si>
    <t>Formaldehyde</t>
  </si>
  <si>
    <t>TOG_exh</t>
  </si>
  <si>
    <t>PM10</t>
  </si>
  <si>
    <t>Travel Time</t>
  </si>
  <si>
    <t>SOV</t>
  </si>
  <si>
    <t>HOV2</t>
  </si>
  <si>
    <t>HOV3</t>
  </si>
  <si>
    <t>Truck</t>
  </si>
  <si>
    <t>Non-recurring delay</t>
  </si>
  <si>
    <t>auto</t>
  </si>
  <si>
    <t>truck</t>
  </si>
  <si>
    <t>Commuter</t>
  </si>
  <si>
    <t>Heavy Rail</t>
  </si>
  <si>
    <t>Light Rail/Ferry</t>
  </si>
  <si>
    <t>Local bus</t>
  </si>
  <si>
    <t>Express Bus</t>
  </si>
  <si>
    <t>In-Vehicle Hours</t>
  </si>
  <si>
    <t>Out-of-Vehicle Hours</t>
  </si>
  <si>
    <t>Walking</t>
  </si>
  <si>
    <t>Driving</t>
  </si>
  <si>
    <t>Waiting</t>
  </si>
  <si>
    <t>Auto Trips</t>
  </si>
  <si>
    <t>Person</t>
  </si>
  <si>
    <t>Vehicle</t>
  </si>
  <si>
    <t>VMT</t>
  </si>
  <si>
    <t>Emissions</t>
  </si>
  <si>
    <t>Diesel PM fine</t>
  </si>
  <si>
    <t>Gas PM fine</t>
  </si>
  <si>
    <t>Co2</t>
  </si>
  <si>
    <t>acetaldehyde</t>
  </si>
  <si>
    <t>benzene</t>
  </si>
  <si>
    <t>butadiene</t>
  </si>
  <si>
    <t>formaldehyde</t>
  </si>
  <si>
    <t>rog_other</t>
  </si>
  <si>
    <t>nox</t>
  </si>
  <si>
    <t>so2</t>
  </si>
  <si>
    <t>pdo</t>
  </si>
  <si>
    <t>Collisions</t>
  </si>
  <si>
    <t>fatal</t>
  </si>
  <si>
    <t>injury</t>
  </si>
  <si>
    <t>Source: 2040_03_116_pave.csv</t>
  </si>
  <si>
    <t>Source: 2040_03_116_paveSGR_input.csv</t>
  </si>
  <si>
    <t>RTPID</t>
  </si>
  <si>
    <t>paveA</t>
  </si>
  <si>
    <t>baseline_ID</t>
  </si>
  <si>
    <t>2040_03_116_pave</t>
  </si>
  <si>
    <t>project_ID</t>
  </si>
  <si>
    <t>2040_03_116_paveSGR</t>
  </si>
  <si>
    <t>mode</t>
  </si>
  <si>
    <t>road</t>
  </si>
  <si>
    <t>use_PBA_assumpt</t>
  </si>
  <si>
    <t>Y</t>
  </si>
  <si>
    <t>SF_park</t>
  </si>
  <si>
    <t>SM_park</t>
  </si>
  <si>
    <t>SCL_park</t>
  </si>
  <si>
    <t>ALA_park</t>
  </si>
  <si>
    <t>CC_park</t>
  </si>
  <si>
    <t>SOL_park</t>
  </si>
  <si>
    <t>NAP_park</t>
  </si>
  <si>
    <t>SON_park</t>
  </si>
  <si>
    <t>MRN_park</t>
  </si>
  <si>
    <t>tot_capital_costs</t>
  </si>
  <si>
    <t>annual_gross_om_costs</t>
  </si>
  <si>
    <t>useful_life</t>
  </si>
  <si>
    <t>farebox</t>
  </si>
  <si>
    <t>ownership_fac</t>
  </si>
  <si>
    <t>pop_2040</t>
  </si>
  <si>
    <t>annualization</t>
  </si>
  <si>
    <t>Vehicle Ownership</t>
  </si>
  <si>
    <t>Active Time</t>
  </si>
  <si>
    <t>Active Indiv</t>
  </si>
  <si>
    <t>OVTT Adjust</t>
  </si>
  <si>
    <t>Source: 2040_03_116_pave_step1output.csv</t>
  </si>
  <si>
    <t>Auto Trips Person</t>
  </si>
  <si>
    <t>park_per_sf</t>
  </si>
  <si>
    <t>park_per_sm</t>
  </si>
  <si>
    <t>park_per_scl</t>
  </si>
  <si>
    <t>park_per_ala</t>
  </si>
  <si>
    <t>park_per_cc</t>
  </si>
  <si>
    <t>park_per_sol</t>
  </si>
  <si>
    <t>park_per_nap</t>
  </si>
  <si>
    <t>park_per_son</t>
  </si>
  <si>
    <t>park_per_mrn</t>
  </si>
  <si>
    <t>Inputs</t>
  </si>
  <si>
    <t>Source: 2040_03_116_paveSGR.csv</t>
  </si>
  <si>
    <t>Source: 2040_03_116_paveSGR_step1output.csv</t>
  </si>
  <si>
    <t>annual diff</t>
  </si>
  <si>
    <t>day diff</t>
  </si>
  <si>
    <t>OVTT Adjustment</t>
  </si>
  <si>
    <t>monetary value</t>
  </si>
  <si>
    <t>-35.266]</t>
  </si>
  <si>
    <t>monetary diff</t>
  </si>
  <si>
    <t>share of parking that occurs at a location other than home</t>
  </si>
  <si>
    <t>share of work-related trips on a projects route</t>
  </si>
  <si>
    <t>Parking Cost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</si>
</sst>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_(* #,##0_);_(* \(#,##0\);_(* &quot;-&quot;??_);_(@_)"/>
    <numFmt numFmtId="167" formatCode="0.000000"/>
    <numFmt numFmtId="168" formatCode="0.00000"/>
    <numFmt numFmtId="173" formatCode="_(* #,##0.0000_);_(* \(#,##0.0000\);_(* &quot;-&quot;??_);_(@_)"/>
    <numFmt numFmtId="179" formatCode="#,##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19" fillId="0" borderId="0" xfId="0" applyFont="1"/>
    <xf numFmtId="0" fontId="19" fillId="33" borderId="0" xfId="0" applyFont="1" applyFill="1"/>
    <xf numFmtId="0" fontId="18" fillId="33" borderId="0" xfId="0" applyFont="1" applyFill="1"/>
    <xf numFmtId="0" fontId="18" fillId="0" borderId="0" xfId="0" applyFont="1" applyAlignment="1">
      <alignment horizontal="left" indent="1"/>
    </xf>
    <xf numFmtId="0" fontId="19" fillId="33" borderId="0" xfId="0" applyFont="1" applyFill="1" applyAlignment="1">
      <alignment wrapText="1"/>
    </xf>
    <xf numFmtId="165" fontId="18" fillId="0" borderId="0" xfId="1" applyNumberFormat="1" applyFont="1"/>
    <xf numFmtId="0" fontId="18" fillId="34" borderId="0" xfId="0" applyFont="1" applyFill="1" applyAlignment="1">
      <alignment horizontal="left" indent="1"/>
    </xf>
    <xf numFmtId="0" fontId="20" fillId="0" borderId="0" xfId="0" applyFont="1"/>
    <xf numFmtId="0" fontId="18" fillId="0" borderId="0" xfId="0" applyFont="1" applyFill="1"/>
    <xf numFmtId="165" fontId="18" fillId="0" borderId="0" xfId="0" applyNumberFormat="1" applyFont="1"/>
    <xf numFmtId="43" fontId="18" fillId="0" borderId="0" xfId="0" applyNumberFormat="1" applyFont="1"/>
    <xf numFmtId="167" fontId="18" fillId="34" borderId="0" xfId="0" applyNumberFormat="1" applyFont="1" applyFill="1"/>
    <xf numFmtId="167" fontId="18" fillId="0" borderId="0" xfId="0" applyNumberFormat="1" applyFont="1" applyFill="1"/>
    <xf numFmtId="173" fontId="18" fillId="0" borderId="0" xfId="1" applyNumberFormat="1" applyFont="1"/>
    <xf numFmtId="173" fontId="18" fillId="0" borderId="0" xfId="0" applyNumberFormat="1" applyFont="1"/>
    <xf numFmtId="168" fontId="18" fillId="0" borderId="0" xfId="0" applyNumberFormat="1" applyFont="1"/>
    <xf numFmtId="165" fontId="18" fillId="33" borderId="0" xfId="1" applyNumberFormat="1" applyFont="1" applyFill="1"/>
    <xf numFmtId="167" fontId="18" fillId="33" borderId="0" xfId="0" applyNumberFormat="1" applyFont="1" applyFill="1"/>
    <xf numFmtId="173" fontId="18" fillId="33" borderId="0" xfId="1" applyNumberFormat="1" applyFont="1" applyFill="1"/>
    <xf numFmtId="173" fontId="18" fillId="33" borderId="0" xfId="0" applyNumberFormat="1" applyFont="1" applyFill="1"/>
    <xf numFmtId="43" fontId="18" fillId="33" borderId="0" xfId="0" applyNumberFormat="1" applyFont="1" applyFill="1"/>
    <xf numFmtId="165" fontId="18" fillId="33" borderId="0" xfId="0" applyNumberFormat="1" applyFont="1" applyFill="1"/>
    <xf numFmtId="168" fontId="18" fillId="33" borderId="0" xfId="0" applyNumberFormat="1" applyFont="1" applyFill="1"/>
    <xf numFmtId="0" fontId="21" fillId="0" borderId="0" xfId="0" applyFont="1" applyAlignment="1">
      <alignment horizontal="center"/>
    </xf>
    <xf numFmtId="0" fontId="19" fillId="0" borderId="0" xfId="0" applyFont="1" applyAlignment="1">
      <alignment wrapText="1"/>
    </xf>
    <xf numFmtId="3" fontId="18" fillId="0" borderId="0" xfId="1" applyNumberFormat="1" applyFont="1"/>
    <xf numFmtId="179" fontId="18" fillId="0" borderId="0" xfId="1" applyNumberFormat="1" applyFont="1"/>
    <xf numFmtId="3" fontId="18" fillId="0" borderId="0" xfId="0" applyNumberFormat="1" applyFont="1"/>
    <xf numFmtId="0" fontId="18" fillId="0" borderId="0" xfId="0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topLeftCell="A73" workbookViewId="0">
      <selection activeCell="B104" sqref="B104"/>
    </sheetView>
  </sheetViews>
  <sheetFormatPr defaultRowHeight="12.75" x14ac:dyDescent="0.2"/>
  <cols>
    <col min="1" max="1" width="14.7109375" style="1" customWidth="1"/>
    <col min="2" max="11" width="13.7109375" style="1" customWidth="1"/>
    <col min="12" max="12" width="3.140625" style="1" customWidth="1"/>
    <col min="13" max="13" width="20.85546875" style="1" customWidth="1"/>
    <col min="14" max="14" width="17.7109375" style="1" bestFit="1" customWidth="1"/>
    <col min="15" max="15" width="9.140625" style="1"/>
    <col min="16" max="16" width="15.28515625" style="1" customWidth="1"/>
    <col min="17" max="16384" width="9.140625" style="1"/>
  </cols>
  <sheetData>
    <row r="1" spans="1:16" x14ac:dyDescent="0.2">
      <c r="A1" s="9" t="s">
        <v>121</v>
      </c>
    </row>
    <row r="2" spans="1:16" ht="25.5" x14ac:dyDescent="0.2">
      <c r="A2" s="3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  <c r="M2" s="1" t="s">
        <v>84</v>
      </c>
      <c r="P2" s="9" t="s">
        <v>153</v>
      </c>
    </row>
    <row r="3" spans="1:16" x14ac:dyDescent="0.2">
      <c r="A3" s="4" t="s">
        <v>9</v>
      </c>
      <c r="B3" s="4">
        <v>36856.949999999997</v>
      </c>
      <c r="C3" s="4">
        <v>22081.32</v>
      </c>
      <c r="D3" s="4">
        <v>22730.1</v>
      </c>
      <c r="E3" s="4">
        <v>6441.8</v>
      </c>
      <c r="F3" s="4">
        <v>5271.92</v>
      </c>
      <c r="G3" s="4">
        <v>10077.030000000001</v>
      </c>
      <c r="H3" s="4">
        <v>939.35</v>
      </c>
      <c r="I3" s="4">
        <v>0</v>
      </c>
      <c r="J3" s="4"/>
      <c r="K3" s="4"/>
      <c r="M3" s="5" t="s">
        <v>85</v>
      </c>
      <c r="N3" s="7">
        <f>SUM(B37:B41,G37:G41)</f>
        <v>3458597.936068322</v>
      </c>
      <c r="P3" s="7">
        <v>3458597.9360699998</v>
      </c>
    </row>
    <row r="4" spans="1:16" x14ac:dyDescent="0.2">
      <c r="A4" s="4" t="s">
        <v>10</v>
      </c>
      <c r="B4" s="4">
        <v>27512.78</v>
      </c>
      <c r="C4" s="4">
        <v>16155.73</v>
      </c>
      <c r="D4" s="4">
        <v>14992.34</v>
      </c>
      <c r="E4" s="4">
        <v>5877.46</v>
      </c>
      <c r="F4" s="4">
        <v>1033.7</v>
      </c>
      <c r="G4" s="4">
        <v>3663.7</v>
      </c>
      <c r="H4" s="4">
        <v>1199.6099999999999</v>
      </c>
      <c r="I4" s="4">
        <v>3217.86</v>
      </c>
      <c r="J4" s="4"/>
      <c r="K4" s="4"/>
      <c r="M4" s="5" t="s">
        <v>86</v>
      </c>
      <c r="N4" s="7">
        <f>2*SUM(C37:C41,H37:H41)</f>
        <v>1136882.6724566636</v>
      </c>
      <c r="P4" s="7">
        <v>1136882.67246</v>
      </c>
    </row>
    <row r="5" spans="1:16" x14ac:dyDescent="0.2">
      <c r="A5" s="4" t="s">
        <v>11</v>
      </c>
      <c r="B5" s="4">
        <v>26616.18</v>
      </c>
      <c r="C5" s="4">
        <v>15090.91</v>
      </c>
      <c r="D5" s="4">
        <v>16567.099999999999</v>
      </c>
      <c r="E5" s="4">
        <v>6982.59</v>
      </c>
      <c r="F5" s="4">
        <v>2074.83</v>
      </c>
      <c r="G5" s="4">
        <v>3506.01</v>
      </c>
      <c r="H5" s="4">
        <v>1066.08</v>
      </c>
      <c r="I5" s="4">
        <v>2937.6</v>
      </c>
      <c r="J5" s="4"/>
      <c r="K5" s="4"/>
      <c r="M5" s="5" t="s">
        <v>87</v>
      </c>
      <c r="N5" s="7">
        <f>3.5*SUM(D37:D41,I37:I41)</f>
        <v>932767.39931666467</v>
      </c>
      <c r="P5" s="7">
        <v>932767.39931699994</v>
      </c>
    </row>
    <row r="6" spans="1:16" x14ac:dyDescent="0.2">
      <c r="A6" s="4" t="s">
        <v>12</v>
      </c>
      <c r="B6" s="4">
        <v>223565.64</v>
      </c>
      <c r="C6" s="4">
        <v>100920.17</v>
      </c>
      <c r="D6" s="4">
        <v>93876.51</v>
      </c>
      <c r="E6" s="4">
        <v>19163.27</v>
      </c>
      <c r="F6" s="4">
        <v>16747.62</v>
      </c>
      <c r="G6" s="4">
        <v>54190.95</v>
      </c>
      <c r="H6" s="4">
        <v>3774.67</v>
      </c>
      <c r="I6" s="4">
        <v>0</v>
      </c>
      <c r="J6" s="4"/>
      <c r="K6" s="4"/>
      <c r="M6" s="5" t="s">
        <v>88</v>
      </c>
      <c r="N6" s="7">
        <f>SUM(E37:F41,J37:K41)</f>
        <v>426702.27806333214</v>
      </c>
      <c r="P6" s="7">
        <v>426702.27806300001</v>
      </c>
    </row>
    <row r="7" spans="1:16" x14ac:dyDescent="0.2">
      <c r="A7" s="4" t="s">
        <v>13</v>
      </c>
      <c r="B7" s="4">
        <v>148227.72</v>
      </c>
      <c r="C7" s="4">
        <v>82046.13</v>
      </c>
      <c r="D7" s="4">
        <v>58653.42</v>
      </c>
      <c r="E7" s="4">
        <v>12198.75</v>
      </c>
      <c r="F7" s="4">
        <v>4406.46</v>
      </c>
      <c r="G7" s="4">
        <v>17558.88</v>
      </c>
      <c r="H7" s="4">
        <v>6312.77</v>
      </c>
      <c r="I7" s="4">
        <v>18176.57</v>
      </c>
      <c r="J7" s="4"/>
      <c r="K7" s="4"/>
      <c r="M7" s="5" t="s">
        <v>40</v>
      </c>
      <c r="N7" s="7">
        <f>(B32*C32)/60</f>
        <v>1084430.2355</v>
      </c>
      <c r="P7" s="7"/>
    </row>
    <row r="8" spans="1:16" x14ac:dyDescent="0.2">
      <c r="A8" s="4" t="s">
        <v>14</v>
      </c>
      <c r="B8" s="4">
        <v>150901.78</v>
      </c>
      <c r="C8" s="4">
        <v>84079.03</v>
      </c>
      <c r="D8" s="4">
        <v>62878.43</v>
      </c>
      <c r="E8" s="4">
        <v>14886.05</v>
      </c>
      <c r="F8" s="4">
        <v>5038.96</v>
      </c>
      <c r="G8" s="4">
        <v>17763.78</v>
      </c>
      <c r="H8" s="4">
        <v>6504.53</v>
      </c>
      <c r="I8" s="4">
        <v>18685.099999999999</v>
      </c>
      <c r="J8" s="4"/>
      <c r="K8" s="4"/>
      <c r="M8" s="5" t="s">
        <v>41</v>
      </c>
      <c r="N8" s="7">
        <f>(B33*C33)/60</f>
        <v>79269.950889999993</v>
      </c>
      <c r="P8" s="7"/>
    </row>
    <row r="9" spans="1:16" x14ac:dyDescent="0.2">
      <c r="A9" s="4" t="s">
        <v>15</v>
      </c>
      <c r="B9" s="4">
        <v>125561.65</v>
      </c>
      <c r="C9" s="4">
        <v>43938.65</v>
      </c>
      <c r="D9" s="4">
        <v>46525.78</v>
      </c>
      <c r="E9" s="4">
        <v>10487.28</v>
      </c>
      <c r="F9" s="4">
        <v>6322.24</v>
      </c>
      <c r="G9" s="4">
        <v>29066.66</v>
      </c>
      <c r="H9" s="4">
        <v>649.59</v>
      </c>
      <c r="I9" s="4">
        <v>0</v>
      </c>
      <c r="J9" s="4"/>
      <c r="K9" s="4"/>
      <c r="M9" s="1" t="s">
        <v>89</v>
      </c>
      <c r="N9" s="7"/>
      <c r="P9" s="7"/>
    </row>
    <row r="10" spans="1:16" x14ac:dyDescent="0.2">
      <c r="A10" s="4" t="s">
        <v>16</v>
      </c>
      <c r="B10" s="4">
        <v>10961.02</v>
      </c>
      <c r="C10" s="4">
        <v>7536.35</v>
      </c>
      <c r="D10" s="4">
        <v>5200.4799999999996</v>
      </c>
      <c r="E10" s="4">
        <v>2135.19</v>
      </c>
      <c r="F10" s="4">
        <v>540.54</v>
      </c>
      <c r="G10" s="4">
        <v>1271.3</v>
      </c>
      <c r="H10" s="4">
        <v>43.73</v>
      </c>
      <c r="I10" s="4">
        <v>1209.72</v>
      </c>
      <c r="J10" s="4"/>
      <c r="K10" s="4"/>
      <c r="M10" s="5" t="s">
        <v>90</v>
      </c>
      <c r="N10" s="7">
        <f>A60*SUM(B37:D41,G37:I41)/SUM(B37:K41)</f>
        <v>138266.01550665387</v>
      </c>
      <c r="P10" s="7">
        <v>138266.015507</v>
      </c>
    </row>
    <row r="11" spans="1:16" x14ac:dyDescent="0.2">
      <c r="A11" s="4" t="s">
        <v>17</v>
      </c>
      <c r="B11" s="4">
        <v>10898.52</v>
      </c>
      <c r="C11" s="4">
        <v>7249.95</v>
      </c>
      <c r="D11" s="4">
        <v>5542.26</v>
      </c>
      <c r="E11" s="4">
        <v>2172.71</v>
      </c>
      <c r="F11" s="4">
        <v>918.24</v>
      </c>
      <c r="G11" s="4">
        <v>1222.58</v>
      </c>
      <c r="H11" s="4">
        <v>51</v>
      </c>
      <c r="I11" s="4">
        <v>1177.74</v>
      </c>
      <c r="J11" s="4"/>
      <c r="K11" s="4"/>
      <c r="M11" s="5" t="s">
        <v>91</v>
      </c>
      <c r="N11" s="7">
        <f>A60*SUM(E37:F41,J37:K41)/SUM(B37:K41)</f>
        <v>13741.19385967314</v>
      </c>
      <c r="P11" s="7">
        <v>13741.193859700001</v>
      </c>
    </row>
    <row r="12" spans="1:16" x14ac:dyDescent="0.2">
      <c r="A12" s="4" t="s">
        <v>18</v>
      </c>
      <c r="B12" s="4">
        <v>412184.36</v>
      </c>
      <c r="C12" s="4">
        <v>125538.31</v>
      </c>
      <c r="D12" s="4">
        <v>139183.6</v>
      </c>
      <c r="E12" s="4">
        <v>32851.01</v>
      </c>
      <c r="F12" s="4">
        <v>15731.06</v>
      </c>
      <c r="G12" s="4">
        <v>87817.21</v>
      </c>
      <c r="H12" s="4">
        <v>2784.31</v>
      </c>
      <c r="I12" s="4">
        <v>0</v>
      </c>
      <c r="J12" s="4"/>
      <c r="K12" s="4"/>
      <c r="M12" s="1" t="s">
        <v>97</v>
      </c>
      <c r="N12" s="7"/>
      <c r="P12" s="7"/>
    </row>
    <row r="13" spans="1:16" x14ac:dyDescent="0.2">
      <c r="A13" s="4" t="s">
        <v>19</v>
      </c>
      <c r="B13" s="4">
        <v>34836.589999999997</v>
      </c>
      <c r="C13" s="4">
        <v>19921.009999999998</v>
      </c>
      <c r="D13" s="4">
        <v>19526.3</v>
      </c>
      <c r="E13" s="4">
        <v>6295.84</v>
      </c>
      <c r="F13" s="4">
        <v>1214.78</v>
      </c>
      <c r="G13" s="4">
        <v>4566.26</v>
      </c>
      <c r="H13" s="4">
        <v>1338.56</v>
      </c>
      <c r="I13" s="4">
        <v>6110.86</v>
      </c>
      <c r="J13" s="4"/>
      <c r="K13" s="4"/>
      <c r="M13" s="5" t="s">
        <v>92</v>
      </c>
      <c r="N13" s="7">
        <f>SUM(C3:C5)</f>
        <v>53327.960000000006</v>
      </c>
      <c r="P13" s="7">
        <v>53327.96</v>
      </c>
    </row>
    <row r="14" spans="1:16" x14ac:dyDescent="0.2">
      <c r="A14" s="4" t="s">
        <v>20</v>
      </c>
      <c r="B14" s="4">
        <v>32978.720000000001</v>
      </c>
      <c r="C14" s="4">
        <v>19090.330000000002</v>
      </c>
      <c r="D14" s="4">
        <v>19096.23</v>
      </c>
      <c r="E14" s="4">
        <v>5988.79</v>
      </c>
      <c r="F14" s="4">
        <v>1900.31</v>
      </c>
      <c r="G14" s="4">
        <v>4358.97</v>
      </c>
      <c r="H14" s="4">
        <v>1191.32</v>
      </c>
      <c r="I14" s="4">
        <v>5656.85</v>
      </c>
      <c r="J14" s="4"/>
      <c r="K14" s="4"/>
      <c r="M14" s="5" t="s">
        <v>93</v>
      </c>
      <c r="N14" s="7">
        <f>SUM(C6:C8)</f>
        <v>267045.32999999996</v>
      </c>
      <c r="P14" s="7">
        <v>267045.33</v>
      </c>
    </row>
    <row r="15" spans="1:16" x14ac:dyDescent="0.2">
      <c r="A15" s="4" t="s">
        <v>21</v>
      </c>
      <c r="B15" s="4">
        <v>882649.28</v>
      </c>
      <c r="C15" s="4">
        <v>191448.3</v>
      </c>
      <c r="D15" s="4">
        <v>292398.75</v>
      </c>
      <c r="E15" s="4">
        <v>90190.57</v>
      </c>
      <c r="F15" s="4">
        <v>23807.65</v>
      </c>
      <c r="G15" s="4">
        <v>177393.26</v>
      </c>
      <c r="H15" s="4">
        <v>1007.27</v>
      </c>
      <c r="I15" s="4">
        <v>0</v>
      </c>
      <c r="J15" s="4"/>
      <c r="K15" s="4"/>
      <c r="M15" s="5" t="s">
        <v>96</v>
      </c>
      <c r="N15" s="7">
        <f>SUM(C9:C11)</f>
        <v>58724.95</v>
      </c>
      <c r="P15" s="7">
        <v>58724.95</v>
      </c>
    </row>
    <row r="16" spans="1:16" x14ac:dyDescent="0.2">
      <c r="A16" s="4" t="s">
        <v>22</v>
      </c>
      <c r="B16" s="4">
        <v>17981.439999999999</v>
      </c>
      <c r="C16" s="4">
        <v>9168.66</v>
      </c>
      <c r="D16" s="4">
        <v>7155.78</v>
      </c>
      <c r="E16" s="4">
        <v>2773.32</v>
      </c>
      <c r="F16" s="4">
        <v>695.8</v>
      </c>
      <c r="G16" s="4">
        <v>2057.3000000000002</v>
      </c>
      <c r="H16" s="4">
        <v>30.11</v>
      </c>
      <c r="I16" s="4">
        <v>1599.24</v>
      </c>
      <c r="J16" s="4"/>
      <c r="K16" s="4"/>
      <c r="M16" s="5" t="s">
        <v>94</v>
      </c>
      <c r="N16" s="7">
        <f>SUM(C12:C14)</f>
        <v>164549.65000000002</v>
      </c>
      <c r="P16" s="7">
        <v>164549.65</v>
      </c>
    </row>
    <row r="17" spans="1:16" x14ac:dyDescent="0.2">
      <c r="A17" s="4" t="s">
        <v>23</v>
      </c>
      <c r="B17" s="4">
        <v>18130.759999999998</v>
      </c>
      <c r="C17" s="4">
        <v>9086.56</v>
      </c>
      <c r="D17" s="4">
        <v>7537.65</v>
      </c>
      <c r="E17" s="4">
        <v>3071.74</v>
      </c>
      <c r="F17" s="4">
        <v>733.47</v>
      </c>
      <c r="G17" s="4">
        <v>2092.12</v>
      </c>
      <c r="H17" s="4">
        <v>38.79</v>
      </c>
      <c r="I17" s="4">
        <v>1601.54</v>
      </c>
      <c r="J17" s="4"/>
      <c r="K17" s="4"/>
      <c r="M17" s="5" t="s">
        <v>95</v>
      </c>
      <c r="N17" s="7">
        <f>SUM(C15:C17)</f>
        <v>209703.52</v>
      </c>
      <c r="P17" s="7">
        <v>209703.52</v>
      </c>
    </row>
    <row r="18" spans="1:16" x14ac:dyDescent="0.2">
      <c r="A18" s="3" t="s">
        <v>24</v>
      </c>
      <c r="B18" s="3" t="s">
        <v>25</v>
      </c>
      <c r="C18" s="3" t="s">
        <v>26</v>
      </c>
      <c r="D18" s="3" t="s">
        <v>27</v>
      </c>
      <c r="E18" s="4"/>
      <c r="F18" s="4"/>
      <c r="G18" s="4"/>
      <c r="H18" s="4"/>
      <c r="I18" s="4"/>
      <c r="J18" s="4"/>
      <c r="K18" s="4"/>
      <c r="M18" s="1" t="s">
        <v>98</v>
      </c>
      <c r="N18" s="7"/>
      <c r="P18" s="7"/>
    </row>
    <row r="19" spans="1:16" x14ac:dyDescent="0.2">
      <c r="A19" s="4" t="s">
        <v>28</v>
      </c>
      <c r="B19" s="4">
        <v>90985.91</v>
      </c>
      <c r="C19" s="4">
        <v>62</v>
      </c>
      <c r="D19" s="4">
        <v>2.79</v>
      </c>
      <c r="E19" s="4"/>
      <c r="F19" s="4"/>
      <c r="G19" s="4"/>
      <c r="H19" s="4"/>
      <c r="I19" s="4"/>
      <c r="J19" s="4"/>
      <c r="K19" s="4"/>
      <c r="M19" s="5" t="s">
        <v>99</v>
      </c>
      <c r="N19" s="7">
        <f>SUM(G3:G17,H3:H17)</f>
        <v>443537.69999999995</v>
      </c>
      <c r="P19" s="7">
        <v>443537.7</v>
      </c>
    </row>
    <row r="20" spans="1:16" x14ac:dyDescent="0.2">
      <c r="A20" s="4" t="s">
        <v>29</v>
      </c>
      <c r="B20" s="4">
        <v>522695.14</v>
      </c>
      <c r="C20" s="4">
        <v>54.51</v>
      </c>
      <c r="D20" s="4">
        <v>3.24</v>
      </c>
      <c r="E20" s="4"/>
      <c r="F20" s="4"/>
      <c r="G20" s="4"/>
      <c r="H20" s="4"/>
      <c r="I20" s="4"/>
      <c r="J20" s="4"/>
      <c r="K20" s="4"/>
      <c r="M20" s="5" t="s">
        <v>100</v>
      </c>
      <c r="N20" s="7">
        <f>SUM(I3:I17)</f>
        <v>60373.079999999994</v>
      </c>
      <c r="P20" s="7">
        <v>60373.08</v>
      </c>
    </row>
    <row r="21" spans="1:16" x14ac:dyDescent="0.2">
      <c r="A21" s="4" t="s">
        <v>30</v>
      </c>
      <c r="B21" s="4">
        <v>147421.19</v>
      </c>
      <c r="C21" s="4">
        <v>47.11</v>
      </c>
      <c r="D21" s="4">
        <v>2.29</v>
      </c>
      <c r="E21" s="4"/>
      <c r="F21" s="4"/>
      <c r="G21" s="4"/>
      <c r="H21" s="4"/>
      <c r="I21" s="4"/>
      <c r="J21" s="4"/>
      <c r="K21" s="4"/>
      <c r="M21" s="5" t="s">
        <v>101</v>
      </c>
      <c r="N21" s="7">
        <f>SUM(E3:F17)</f>
        <v>307953.95</v>
      </c>
      <c r="P21" s="7">
        <v>307953.95</v>
      </c>
    </row>
    <row r="22" spans="1:16" x14ac:dyDescent="0.2">
      <c r="A22" s="4" t="s">
        <v>31</v>
      </c>
      <c r="B22" s="4">
        <v>479999.67</v>
      </c>
      <c r="C22" s="4">
        <v>47.74</v>
      </c>
      <c r="D22" s="4">
        <v>1.5</v>
      </c>
      <c r="E22" s="4"/>
      <c r="F22" s="4"/>
      <c r="G22" s="4"/>
      <c r="H22" s="4"/>
      <c r="I22" s="4"/>
      <c r="J22" s="4"/>
      <c r="K22" s="4"/>
      <c r="M22" s="1" t="s">
        <v>102</v>
      </c>
      <c r="N22" s="7"/>
      <c r="P22" s="7"/>
    </row>
    <row r="23" spans="1:16" x14ac:dyDescent="0.2">
      <c r="A23" s="4" t="s">
        <v>32</v>
      </c>
      <c r="B23" s="4">
        <v>918761.48</v>
      </c>
      <c r="C23" s="4">
        <v>30.42</v>
      </c>
      <c r="D23" s="4">
        <v>1.59</v>
      </c>
      <c r="E23" s="4"/>
      <c r="F23" s="4"/>
      <c r="G23" s="4"/>
      <c r="H23" s="4"/>
      <c r="I23" s="4"/>
      <c r="J23" s="4"/>
      <c r="K23" s="4"/>
      <c r="M23" s="5" t="s">
        <v>103</v>
      </c>
      <c r="N23" s="7">
        <f>SUM(B25:B30)</f>
        <v>24504462.439999998</v>
      </c>
      <c r="P23" s="7">
        <v>24504462.440000001</v>
      </c>
    </row>
    <row r="24" spans="1:16" x14ac:dyDescent="0.2">
      <c r="A24" s="3" t="s">
        <v>24</v>
      </c>
      <c r="B24" s="3" t="s">
        <v>25</v>
      </c>
      <c r="C24" s="3" t="s">
        <v>26</v>
      </c>
      <c r="D24" s="3" t="s">
        <v>33</v>
      </c>
      <c r="E24" s="3" t="s">
        <v>27</v>
      </c>
      <c r="F24" s="4"/>
      <c r="G24" s="4"/>
      <c r="H24" s="4"/>
      <c r="I24" s="4"/>
      <c r="J24" s="4"/>
      <c r="K24" s="4"/>
      <c r="M24" s="5" t="s">
        <v>104</v>
      </c>
      <c r="N24" s="7">
        <f>SUM(B25:B26)+SUM(B27:B28)/2+SUM(B29:B30)/3.5</f>
        <v>18219251.260714285</v>
      </c>
      <c r="P24" s="7">
        <v>18219251.260699999</v>
      </c>
    </row>
    <row r="25" spans="1:16" x14ac:dyDescent="0.2">
      <c r="A25" s="4" t="s">
        <v>34</v>
      </c>
      <c r="B25" s="4">
        <v>13595602.9</v>
      </c>
      <c r="C25" s="4">
        <v>12.17</v>
      </c>
      <c r="D25" s="4">
        <v>6.88</v>
      </c>
      <c r="E25" s="4">
        <v>167.18</v>
      </c>
      <c r="F25" s="4"/>
      <c r="G25" s="4"/>
      <c r="H25" s="4"/>
      <c r="I25" s="4"/>
      <c r="J25" s="4"/>
      <c r="K25" s="4"/>
      <c r="M25" s="1" t="s">
        <v>84</v>
      </c>
      <c r="N25" s="7"/>
      <c r="P25" s="7"/>
    </row>
    <row r="26" spans="1:16" x14ac:dyDescent="0.2">
      <c r="A26" s="4" t="s">
        <v>35</v>
      </c>
      <c r="B26" s="4">
        <v>424913.76</v>
      </c>
      <c r="C26" s="4">
        <v>29.05</v>
      </c>
      <c r="D26" s="4">
        <v>19.28</v>
      </c>
      <c r="E26" s="4">
        <v>477.45</v>
      </c>
      <c r="F26" s="4"/>
      <c r="G26" s="4"/>
      <c r="H26" s="4"/>
      <c r="I26" s="4"/>
      <c r="J26" s="4"/>
      <c r="K26" s="4"/>
      <c r="M26" s="5" t="s">
        <v>40</v>
      </c>
      <c r="N26" s="7">
        <f>N7</f>
        <v>1084430.2355</v>
      </c>
      <c r="P26" s="7">
        <v>1084430.2355</v>
      </c>
    </row>
    <row r="27" spans="1:16" x14ac:dyDescent="0.2">
      <c r="A27" s="4" t="s">
        <v>36</v>
      </c>
      <c r="B27" s="4">
        <v>5459396.4400000004</v>
      </c>
      <c r="C27" s="4">
        <v>10.119999999999999</v>
      </c>
      <c r="D27" s="4">
        <v>5.47</v>
      </c>
      <c r="E27" s="4">
        <v>134.72</v>
      </c>
      <c r="F27" s="4"/>
      <c r="G27" s="4"/>
      <c r="H27" s="4"/>
      <c r="I27" s="4"/>
      <c r="J27" s="4"/>
      <c r="K27" s="4"/>
      <c r="M27" s="5" t="s">
        <v>41</v>
      </c>
      <c r="N27" s="7">
        <f>N8</f>
        <v>79269.950889999993</v>
      </c>
      <c r="P27" s="7">
        <v>79269.950889999993</v>
      </c>
    </row>
    <row r="28" spans="1:16" x14ac:dyDescent="0.2">
      <c r="A28" s="4" t="s">
        <v>37</v>
      </c>
      <c r="B28" s="4">
        <v>156103.99</v>
      </c>
      <c r="C28" s="4">
        <v>23.64</v>
      </c>
      <c r="D28" s="4">
        <v>15.84</v>
      </c>
      <c r="E28" s="4">
        <v>414.42</v>
      </c>
      <c r="F28" s="4"/>
      <c r="G28" s="4"/>
      <c r="H28" s="4"/>
      <c r="I28" s="4"/>
      <c r="J28" s="4"/>
      <c r="K28" s="4"/>
      <c r="M28" s="1" t="s">
        <v>105</v>
      </c>
      <c r="P28" s="7"/>
    </row>
    <row r="29" spans="1:16" x14ac:dyDescent="0.2">
      <c r="A29" s="4" t="s">
        <v>38</v>
      </c>
      <c r="B29" s="4">
        <v>4868445.3499999996</v>
      </c>
      <c r="C29" s="4">
        <v>9.86</v>
      </c>
      <c r="D29" s="4">
        <v>5.4</v>
      </c>
      <c r="E29" s="4">
        <v>133.41</v>
      </c>
      <c r="F29" s="4"/>
      <c r="G29" s="4"/>
      <c r="H29" s="4"/>
      <c r="I29" s="4"/>
      <c r="J29" s="4"/>
      <c r="K29" s="4"/>
      <c r="M29" s="5" t="s">
        <v>90</v>
      </c>
      <c r="N29" s="7">
        <f>SUM(B45:D49,G45:I49)</f>
        <v>162525126.23040006</v>
      </c>
      <c r="P29" s="7">
        <v>162525126.22999999</v>
      </c>
    </row>
    <row r="30" spans="1:16" x14ac:dyDescent="0.2">
      <c r="A30" s="4" t="s">
        <v>39</v>
      </c>
      <c r="B30" s="4">
        <v>0</v>
      </c>
      <c r="C30" s="4">
        <v>0</v>
      </c>
      <c r="D30" s="4">
        <v>0</v>
      </c>
      <c r="E30" s="4">
        <v>0</v>
      </c>
      <c r="F30" s="4"/>
      <c r="G30" s="4"/>
      <c r="H30" s="4"/>
      <c r="I30" s="4"/>
      <c r="J30" s="4"/>
      <c r="K30" s="4"/>
      <c r="M30" s="5" t="s">
        <v>91</v>
      </c>
      <c r="N30" s="7">
        <f>SUM(E45:F49,J45:K49)</f>
        <v>16897012.609399952</v>
      </c>
      <c r="P30" s="7">
        <v>16897012.6094</v>
      </c>
    </row>
    <row r="31" spans="1:16" x14ac:dyDescent="0.2">
      <c r="A31" s="3" t="s">
        <v>24</v>
      </c>
      <c r="B31" s="3" t="s">
        <v>25</v>
      </c>
      <c r="C31" s="3" t="s">
        <v>26</v>
      </c>
      <c r="D31" s="3" t="s">
        <v>33</v>
      </c>
      <c r="E31" s="4"/>
      <c r="F31" s="4"/>
      <c r="G31" s="4"/>
      <c r="H31" s="4"/>
      <c r="I31" s="4"/>
      <c r="J31" s="4"/>
      <c r="K31" s="4"/>
      <c r="M31" s="1" t="s">
        <v>106</v>
      </c>
      <c r="P31" s="7"/>
    </row>
    <row r="32" spans="1:16" x14ac:dyDescent="0.2">
      <c r="A32" s="4" t="s">
        <v>40</v>
      </c>
      <c r="B32" s="4">
        <v>3498162.05</v>
      </c>
      <c r="C32" s="4">
        <v>18.600000000000001</v>
      </c>
      <c r="D32" s="4">
        <v>0.93</v>
      </c>
      <c r="E32" s="4"/>
      <c r="F32" s="4"/>
      <c r="G32" s="4"/>
      <c r="H32" s="4"/>
      <c r="I32" s="4"/>
      <c r="J32" s="4"/>
      <c r="K32" s="4"/>
      <c r="M32" s="8" t="s">
        <v>107</v>
      </c>
      <c r="N32" s="13">
        <f>B78*1.10231+(N29*(0.007+0.01891)*0.00000110231131)</f>
        <v>6.6939607113123216</v>
      </c>
      <c r="P32" s="14">
        <v>6.6939607113099999</v>
      </c>
    </row>
    <row r="33" spans="1:16" x14ac:dyDescent="0.2">
      <c r="A33" s="4" t="s">
        <v>41</v>
      </c>
      <c r="B33" s="4">
        <v>393399.26</v>
      </c>
      <c r="C33" s="4">
        <v>12.09</v>
      </c>
      <c r="D33" s="4">
        <v>2.42</v>
      </c>
      <c r="E33" s="4"/>
      <c r="F33" s="4"/>
      <c r="G33" s="4"/>
      <c r="H33" s="4"/>
      <c r="I33" s="4"/>
      <c r="J33" s="4"/>
      <c r="K33" s="4"/>
      <c r="M33" s="8" t="s">
        <v>108</v>
      </c>
      <c r="N33" s="13">
        <f>B77*1.10231+(N30*(0.007+0.01891)*0.00000110231131)</f>
        <v>1.4846599185723175</v>
      </c>
      <c r="P33" s="14">
        <v>1.48465991857</v>
      </c>
    </row>
    <row r="34" spans="1: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M34" s="5" t="s">
        <v>109</v>
      </c>
      <c r="N34" s="15">
        <f>B76</f>
        <v>71420.294943600893</v>
      </c>
      <c r="P34" s="15">
        <v>71420.294943600005</v>
      </c>
    </row>
    <row r="35" spans="1:16" x14ac:dyDescent="0.2">
      <c r="A35" s="3" t="s">
        <v>42</v>
      </c>
      <c r="B35" s="4"/>
      <c r="C35" s="4"/>
      <c r="D35" s="4"/>
      <c r="E35" s="4"/>
      <c r="F35" s="4"/>
      <c r="G35" s="4"/>
      <c r="H35" s="4"/>
      <c r="I35" s="4"/>
      <c r="J35" s="4"/>
      <c r="K35" s="4"/>
      <c r="M35" s="5" t="s">
        <v>110</v>
      </c>
      <c r="N35" s="16">
        <f>1.10231*B82</f>
        <v>0.11416754771892185</v>
      </c>
      <c r="P35" s="16">
        <v>0.11416754771900001</v>
      </c>
    </row>
    <row r="36" spans="1:16" x14ac:dyDescent="0.2">
      <c r="A36" s="4"/>
      <c r="B36" s="4" t="s">
        <v>43</v>
      </c>
      <c r="C36" s="4" t="s">
        <v>44</v>
      </c>
      <c r="D36" s="4" t="s">
        <v>45</v>
      </c>
      <c r="E36" s="4" t="s">
        <v>46</v>
      </c>
      <c r="F36" s="4" t="s">
        <v>47</v>
      </c>
      <c r="G36" s="4" t="s">
        <v>48</v>
      </c>
      <c r="H36" s="4" t="s">
        <v>49</v>
      </c>
      <c r="I36" s="4" t="s">
        <v>50</v>
      </c>
      <c r="J36" s="4" t="s">
        <v>51</v>
      </c>
      <c r="K36" s="4" t="s">
        <v>52</v>
      </c>
      <c r="M36" s="5" t="s">
        <v>111</v>
      </c>
      <c r="N36" s="16">
        <f>1.10231*B81</f>
        <v>0.21976974188738491</v>
      </c>
      <c r="P36" s="16">
        <v>0.21976974188699999</v>
      </c>
    </row>
    <row r="37" spans="1:16" x14ac:dyDescent="0.2">
      <c r="A37" s="4" t="s">
        <v>53</v>
      </c>
      <c r="B37" s="4">
        <v>134123.03396</v>
      </c>
      <c r="C37" s="4">
        <v>14754.7499149999</v>
      </c>
      <c r="D37" s="4">
        <v>4569.3687766666599</v>
      </c>
      <c r="E37" s="4">
        <v>12191.7644116666</v>
      </c>
      <c r="F37" s="4">
        <v>3315.5193833333501</v>
      </c>
      <c r="G37" s="4">
        <v>0.47384833333333298</v>
      </c>
      <c r="H37" s="4">
        <v>0</v>
      </c>
      <c r="I37" s="4">
        <v>0</v>
      </c>
      <c r="J37" s="4">
        <v>0</v>
      </c>
      <c r="K37" s="4">
        <v>0</v>
      </c>
      <c r="M37" s="5" t="s">
        <v>112</v>
      </c>
      <c r="N37" s="16">
        <f>1.10231*B80</f>
        <v>4.8384602445894702E-2</v>
      </c>
      <c r="P37" s="16">
        <v>4.8384602445900003E-2</v>
      </c>
    </row>
    <row r="38" spans="1:16" x14ac:dyDescent="0.2">
      <c r="A38" s="4" t="s">
        <v>54</v>
      </c>
      <c r="B38" s="4">
        <v>847787.44085833197</v>
      </c>
      <c r="C38" s="4">
        <v>132674.55077</v>
      </c>
      <c r="D38" s="4">
        <v>72569.110569999495</v>
      </c>
      <c r="E38" s="4">
        <v>17759.492178333301</v>
      </c>
      <c r="F38" s="4">
        <v>6571.3187433332996</v>
      </c>
      <c r="G38" s="4">
        <v>119347.459964999</v>
      </c>
      <c r="H38" s="4">
        <v>17443.741573333202</v>
      </c>
      <c r="I38" s="4">
        <v>0</v>
      </c>
      <c r="J38" s="4">
        <v>4959.2969550000098</v>
      </c>
      <c r="K38" s="4">
        <v>0</v>
      </c>
      <c r="M38" s="5" t="s">
        <v>113</v>
      </c>
      <c r="N38" s="16">
        <f>1.10231*B83</f>
        <v>0.29524917223296088</v>
      </c>
      <c r="P38" s="16">
        <v>0.29524917223300001</v>
      </c>
    </row>
    <row r="39" spans="1:16" x14ac:dyDescent="0.2">
      <c r="A39" s="4" t="s">
        <v>55</v>
      </c>
      <c r="B39" s="4">
        <v>769803.33687999099</v>
      </c>
      <c r="C39" s="4">
        <v>145491.42244166601</v>
      </c>
      <c r="D39" s="4">
        <v>66050.888325000094</v>
      </c>
      <c r="E39" s="4">
        <v>214843.047014999</v>
      </c>
      <c r="F39" s="4">
        <v>8716.1597149999598</v>
      </c>
      <c r="G39" s="4">
        <v>22845.5566666665</v>
      </c>
      <c r="H39" s="4">
        <v>4620.2345333333296</v>
      </c>
      <c r="I39" s="4">
        <v>0</v>
      </c>
      <c r="J39" s="4">
        <v>7510.3768266666502</v>
      </c>
      <c r="K39" s="4">
        <v>0</v>
      </c>
      <c r="M39" s="5" t="s">
        <v>114</v>
      </c>
      <c r="N39" s="16">
        <f>(B72-B80-B81-B82-B83)*1.10231</f>
        <v>1.7184656588785829</v>
      </c>
      <c r="P39" s="16">
        <v>1.71846565888</v>
      </c>
    </row>
    <row r="40" spans="1:16" x14ac:dyDescent="0.2">
      <c r="A40" s="4" t="s">
        <v>56</v>
      </c>
      <c r="B40" s="4">
        <v>954628.95865666796</v>
      </c>
      <c r="C40" s="4">
        <v>152710.513435</v>
      </c>
      <c r="D40" s="4">
        <v>81636.513736666398</v>
      </c>
      <c r="E40" s="4">
        <v>72593.840603333505</v>
      </c>
      <c r="F40" s="4">
        <v>4912.53423833328</v>
      </c>
      <c r="G40" s="4">
        <v>121231.59796</v>
      </c>
      <c r="H40" s="4">
        <v>18224.406669999898</v>
      </c>
      <c r="I40" s="4">
        <v>0</v>
      </c>
      <c r="J40" s="4">
        <v>13890.7643949999</v>
      </c>
      <c r="K40" s="4">
        <v>0</v>
      </c>
      <c r="M40" s="5" t="s">
        <v>115</v>
      </c>
      <c r="N40" s="16">
        <f>1.10231*B75</f>
        <v>22.806369630741603</v>
      </c>
      <c r="P40" s="16">
        <v>22.806369630700001</v>
      </c>
    </row>
    <row r="41" spans="1:16" x14ac:dyDescent="0.2">
      <c r="A41" s="4" t="s">
        <v>57</v>
      </c>
      <c r="B41" s="4">
        <v>478563.804426666</v>
      </c>
      <c r="C41" s="4">
        <v>80939.853174999502</v>
      </c>
      <c r="D41" s="4">
        <v>41679.089825000097</v>
      </c>
      <c r="E41" s="4">
        <v>56906.395214999902</v>
      </c>
      <c r="F41" s="4">
        <v>2531.7683833333499</v>
      </c>
      <c r="G41" s="4">
        <v>10266.272846666599</v>
      </c>
      <c r="H41" s="4">
        <v>1581.86371500001</v>
      </c>
      <c r="I41" s="4">
        <v>0</v>
      </c>
      <c r="J41" s="4">
        <v>0</v>
      </c>
      <c r="K41" s="4">
        <v>0</v>
      </c>
      <c r="M41" s="5" t="s">
        <v>116</v>
      </c>
      <c r="N41" s="16">
        <f>1.10231*B74</f>
        <v>1.1727395154858957</v>
      </c>
      <c r="P41" s="16">
        <v>1.17273951549</v>
      </c>
    </row>
    <row r="42" spans="1:1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M42" s="1" t="s">
        <v>118</v>
      </c>
      <c r="P42" s="16"/>
    </row>
    <row r="43" spans="1:16" x14ac:dyDescent="0.2">
      <c r="A43" s="3" t="s">
        <v>58</v>
      </c>
      <c r="B43" s="4"/>
      <c r="C43" s="4"/>
      <c r="D43" s="4"/>
      <c r="E43" s="4"/>
      <c r="F43" s="4"/>
      <c r="G43" s="4"/>
      <c r="H43" s="4"/>
      <c r="I43" s="4"/>
      <c r="J43" s="4"/>
      <c r="K43" s="4"/>
      <c r="M43" s="5" t="s">
        <v>119</v>
      </c>
      <c r="N43" s="16">
        <f>SUM(B63,B66,B68)</f>
        <v>1.7539357616556861</v>
      </c>
      <c r="P43" s="16">
        <v>1.75393576166</v>
      </c>
    </row>
    <row r="44" spans="1:16" x14ac:dyDescent="0.2">
      <c r="A44" s="4"/>
      <c r="B44" s="4" t="s">
        <v>43</v>
      </c>
      <c r="C44" s="4" t="s">
        <v>44</v>
      </c>
      <c r="D44" s="4" t="s">
        <v>45</v>
      </c>
      <c r="E44" s="4" t="s">
        <v>46</v>
      </c>
      <c r="F44" s="4" t="s">
        <v>47</v>
      </c>
      <c r="G44" s="4" t="s">
        <v>48</v>
      </c>
      <c r="H44" s="4" t="s">
        <v>49</v>
      </c>
      <c r="I44" s="4" t="s">
        <v>50</v>
      </c>
      <c r="J44" s="4" t="s">
        <v>51</v>
      </c>
      <c r="K44" s="4" t="s">
        <v>52</v>
      </c>
      <c r="M44" s="5" t="s">
        <v>120</v>
      </c>
      <c r="N44" s="16">
        <f>SUM(B64,B67,B69)</f>
        <v>123.32727284707873</v>
      </c>
      <c r="P44" s="16">
        <v>123.327272847</v>
      </c>
    </row>
    <row r="45" spans="1:16" x14ac:dyDescent="0.2">
      <c r="A45" s="4" t="s">
        <v>53</v>
      </c>
      <c r="B45" s="4">
        <v>6330300.2829000195</v>
      </c>
      <c r="C45" s="4">
        <v>694692.25520000001</v>
      </c>
      <c r="D45" s="4">
        <v>207156.749199999</v>
      </c>
      <c r="E45" s="4">
        <v>520962.79019999597</v>
      </c>
      <c r="F45" s="4">
        <v>167774.60289999799</v>
      </c>
      <c r="G45" s="4">
        <v>21.781300000000002</v>
      </c>
      <c r="H45" s="4">
        <v>0</v>
      </c>
      <c r="I45" s="4">
        <v>0</v>
      </c>
      <c r="J45" s="4">
        <v>0</v>
      </c>
      <c r="K45" s="4">
        <v>0</v>
      </c>
      <c r="M45" s="5" t="s">
        <v>117</v>
      </c>
      <c r="N45" s="16">
        <f>B65</f>
        <v>191.76196608966401</v>
      </c>
      <c r="P45" s="16">
        <v>191.76196608999999</v>
      </c>
    </row>
    <row r="46" spans="1:16" ht="15" x14ac:dyDescent="0.25">
      <c r="A46" s="4" t="s">
        <v>54</v>
      </c>
      <c r="B46" s="4">
        <v>30935553.184999999</v>
      </c>
      <c r="C46" s="4">
        <v>4613210.9391000103</v>
      </c>
      <c r="D46" s="4">
        <v>2562760.17269998</v>
      </c>
      <c r="E46" s="4">
        <v>690669.23449999699</v>
      </c>
      <c r="F46" s="4">
        <v>277715.74149999802</v>
      </c>
      <c r="G46" s="4">
        <v>5043256.3979000105</v>
      </c>
      <c r="H46" s="4">
        <v>737923.65750000102</v>
      </c>
      <c r="I46" s="4">
        <v>0</v>
      </c>
      <c r="J46" s="4">
        <v>218202.13510000001</v>
      </c>
      <c r="K46" s="4">
        <v>0</v>
      </c>
      <c r="M46" s="1" t="s">
        <v>164</v>
      </c>
      <c r="N46" s="16"/>
      <c r="P46"/>
    </row>
    <row r="47" spans="1:16" x14ac:dyDescent="0.2">
      <c r="A47" s="4" t="s">
        <v>55</v>
      </c>
      <c r="B47" s="4">
        <v>29422281.8173001</v>
      </c>
      <c r="C47" s="4">
        <v>5291024.1450999901</v>
      </c>
      <c r="D47" s="4">
        <v>2358704.6828999901</v>
      </c>
      <c r="E47" s="4">
        <v>8438763.9140999895</v>
      </c>
      <c r="F47" s="4">
        <v>416869.91149999597</v>
      </c>
      <c r="G47" s="4">
        <v>1075601.6276999901</v>
      </c>
      <c r="H47" s="4">
        <v>209404.54029999999</v>
      </c>
      <c r="I47" s="4">
        <v>0</v>
      </c>
      <c r="J47" s="4">
        <v>335446.49819999799</v>
      </c>
      <c r="K47" s="4">
        <v>0</v>
      </c>
      <c r="M47" s="5" t="s">
        <v>155</v>
      </c>
      <c r="N47" s="12">
        <f>B94</f>
        <v>0.1</v>
      </c>
      <c r="P47" s="12">
        <v>0.1</v>
      </c>
    </row>
    <row r="48" spans="1:16" x14ac:dyDescent="0.2">
      <c r="A48" s="4" t="s">
        <v>56</v>
      </c>
      <c r="B48" s="4">
        <v>33531862.6527</v>
      </c>
      <c r="C48" s="4">
        <v>5140548.1066999901</v>
      </c>
      <c r="D48" s="4">
        <v>2786250.1173999901</v>
      </c>
      <c r="E48" s="4">
        <v>2559095.4775999901</v>
      </c>
      <c r="F48" s="4">
        <v>207849.09669999601</v>
      </c>
      <c r="G48" s="4">
        <v>5228417.2873999802</v>
      </c>
      <c r="H48" s="4">
        <v>772976.07520000695</v>
      </c>
      <c r="I48" s="4">
        <v>0</v>
      </c>
      <c r="J48" s="4">
        <v>588864.90979999595</v>
      </c>
      <c r="K48" s="4">
        <v>0</v>
      </c>
      <c r="M48" s="5" t="s">
        <v>156</v>
      </c>
      <c r="N48" s="12">
        <f t="shared" ref="N48:N57" si="0">B95</f>
        <v>0.1</v>
      </c>
      <c r="P48" s="12">
        <v>0.1</v>
      </c>
    </row>
    <row r="49" spans="1:16" x14ac:dyDescent="0.2">
      <c r="A49" s="4" t="s">
        <v>57</v>
      </c>
      <c r="B49" s="4">
        <v>20091203.043699998</v>
      </c>
      <c r="C49" s="4">
        <v>3285691.8094999702</v>
      </c>
      <c r="D49" s="4">
        <v>1629072.351</v>
      </c>
      <c r="E49" s="4">
        <v>2347048.8128</v>
      </c>
      <c r="F49" s="4">
        <v>127749.484499999</v>
      </c>
      <c r="G49" s="4">
        <v>502375.55330000003</v>
      </c>
      <c r="H49" s="4">
        <v>74836.999400000001</v>
      </c>
      <c r="I49" s="4">
        <v>0</v>
      </c>
      <c r="J49" s="4">
        <v>0</v>
      </c>
      <c r="K49" s="4">
        <v>0</v>
      </c>
      <c r="M49" s="5" t="s">
        <v>157</v>
      </c>
      <c r="N49" s="12">
        <f t="shared" si="0"/>
        <v>0.25</v>
      </c>
      <c r="P49" s="12">
        <v>0.25</v>
      </c>
    </row>
    <row r="50" spans="1: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M50" s="5" t="s">
        <v>158</v>
      </c>
      <c r="N50" s="12">
        <f t="shared" si="0"/>
        <v>0.2</v>
      </c>
      <c r="P50" s="12">
        <v>0.2</v>
      </c>
    </row>
    <row r="51" spans="1:16" x14ac:dyDescent="0.2">
      <c r="A51" s="3" t="s">
        <v>59</v>
      </c>
      <c r="B51" s="4"/>
      <c r="C51" s="4"/>
      <c r="D51" s="4"/>
      <c r="E51" s="4"/>
      <c r="F51" s="4"/>
      <c r="G51" s="4"/>
      <c r="H51" s="4"/>
      <c r="I51" s="4"/>
      <c r="J51" s="4"/>
      <c r="K51" s="4"/>
      <c r="M51" s="5" t="s">
        <v>159</v>
      </c>
      <c r="N51" s="12">
        <f t="shared" si="0"/>
        <v>0.1</v>
      </c>
      <c r="P51" s="12">
        <v>0.1</v>
      </c>
    </row>
    <row r="52" spans="1:16" x14ac:dyDescent="0.2">
      <c r="A52" s="4"/>
      <c r="B52" s="4" t="s">
        <v>43</v>
      </c>
      <c r="C52" s="4" t="s">
        <v>44</v>
      </c>
      <c r="D52" s="4" t="s">
        <v>45</v>
      </c>
      <c r="E52" s="4" t="s">
        <v>46</v>
      </c>
      <c r="F52" s="4" t="s">
        <v>47</v>
      </c>
      <c r="G52" s="4" t="s">
        <v>48</v>
      </c>
      <c r="H52" s="4" t="s">
        <v>49</v>
      </c>
      <c r="I52" s="4" t="s">
        <v>50</v>
      </c>
      <c r="J52" s="4" t="s">
        <v>51</v>
      </c>
      <c r="K52" s="4" t="s">
        <v>52</v>
      </c>
      <c r="M52" s="5" t="s">
        <v>160</v>
      </c>
      <c r="N52" s="12">
        <f t="shared" si="0"/>
        <v>0.05</v>
      </c>
      <c r="P52" s="12">
        <v>0.05</v>
      </c>
    </row>
    <row r="53" spans="1:16" x14ac:dyDescent="0.2">
      <c r="A53" s="4" t="s">
        <v>53</v>
      </c>
      <c r="B53" s="4">
        <v>7846357.7795999898</v>
      </c>
      <c r="C53" s="4">
        <v>857104.50379999098</v>
      </c>
      <c r="D53" s="4">
        <v>265090.31400000001</v>
      </c>
      <c r="E53" s="4">
        <v>721390.68879999896</v>
      </c>
      <c r="F53" s="4">
        <v>195875.90679999799</v>
      </c>
      <c r="G53" s="4">
        <v>28.025699999999901</v>
      </c>
      <c r="H53" s="4">
        <v>0</v>
      </c>
      <c r="I53" s="4">
        <v>0</v>
      </c>
      <c r="J53" s="4">
        <v>0</v>
      </c>
      <c r="K53" s="4">
        <v>0</v>
      </c>
      <c r="M53" s="5" t="s">
        <v>161</v>
      </c>
      <c r="N53" s="12">
        <f t="shared" si="0"/>
        <v>0.05</v>
      </c>
      <c r="P53" s="12">
        <v>0.05</v>
      </c>
    </row>
    <row r="54" spans="1:16" x14ac:dyDescent="0.2">
      <c r="A54" s="4" t="s">
        <v>54</v>
      </c>
      <c r="B54" s="4">
        <v>44482836.3767998</v>
      </c>
      <c r="C54" s="4">
        <v>7209793.1403000299</v>
      </c>
      <c r="D54" s="4">
        <v>4122692.7421000199</v>
      </c>
      <c r="E54" s="4">
        <v>935866.77640000195</v>
      </c>
      <c r="F54" s="4">
        <v>328245.07009999797</v>
      </c>
      <c r="G54" s="4">
        <v>5844653.3880999796</v>
      </c>
      <c r="H54" s="4">
        <v>891011.71720000298</v>
      </c>
      <c r="I54" s="4">
        <v>0</v>
      </c>
      <c r="J54" s="4">
        <v>252767.27259999901</v>
      </c>
      <c r="K54" s="4">
        <v>0</v>
      </c>
      <c r="M54" s="5" t="s">
        <v>162</v>
      </c>
      <c r="N54" s="12">
        <f t="shared" si="0"/>
        <v>0.1</v>
      </c>
      <c r="P54" s="12">
        <v>0.1</v>
      </c>
    </row>
    <row r="55" spans="1:16" x14ac:dyDescent="0.2">
      <c r="A55" s="4" t="s">
        <v>55</v>
      </c>
      <c r="B55" s="4">
        <v>43814213.335199803</v>
      </c>
      <c r="C55" s="4">
        <v>8258035.8753000004</v>
      </c>
      <c r="D55" s="4">
        <v>3746732.0764999902</v>
      </c>
      <c r="E55" s="4">
        <v>12124697.9177</v>
      </c>
      <c r="F55" s="4">
        <v>485467.58719999698</v>
      </c>
      <c r="G55" s="4">
        <v>1257750.4501</v>
      </c>
      <c r="H55" s="4">
        <v>253977.285299999</v>
      </c>
      <c r="I55" s="4">
        <v>0</v>
      </c>
      <c r="J55" s="4">
        <v>408549.23649999802</v>
      </c>
      <c r="K55" s="4">
        <v>0</v>
      </c>
      <c r="M55" s="5" t="s">
        <v>163</v>
      </c>
      <c r="N55" s="12">
        <f t="shared" si="0"/>
        <v>0.05</v>
      </c>
      <c r="P55" s="12">
        <v>0.05</v>
      </c>
    </row>
    <row r="56" spans="1:16" x14ac:dyDescent="0.2">
      <c r="A56" s="4" t="s">
        <v>56</v>
      </c>
      <c r="B56" s="4">
        <v>50244971.022599801</v>
      </c>
      <c r="C56" s="4">
        <v>8173065.6614999697</v>
      </c>
      <c r="D56" s="4">
        <v>4511715.7741999803</v>
      </c>
      <c r="E56" s="4">
        <v>3808494.2365999999</v>
      </c>
      <c r="F56" s="4">
        <v>245161.2868</v>
      </c>
      <c r="G56" s="4">
        <v>6031197.13359999</v>
      </c>
      <c r="H56" s="4">
        <v>922747.21289999899</v>
      </c>
      <c r="I56" s="4">
        <v>0</v>
      </c>
      <c r="J56" s="4">
        <v>713572.36089999997</v>
      </c>
      <c r="K56" s="4">
        <v>0</v>
      </c>
      <c r="M56" s="5" t="s">
        <v>146</v>
      </c>
      <c r="N56" s="11">
        <f>B109</f>
        <v>1583</v>
      </c>
      <c r="P56" s="11">
        <v>1583</v>
      </c>
    </row>
    <row r="57" spans="1:16" x14ac:dyDescent="0.2">
      <c r="A57" s="4" t="s">
        <v>57</v>
      </c>
      <c r="B57" s="4">
        <v>28326799.5292999</v>
      </c>
      <c r="C57" s="4">
        <v>4771128.55889998</v>
      </c>
      <c r="D57" s="4">
        <v>2454729.1094</v>
      </c>
      <c r="E57" s="4">
        <v>3357629.2736</v>
      </c>
      <c r="F57" s="4">
        <v>149553.63999999801</v>
      </c>
      <c r="G57" s="4">
        <v>609302.83329999901</v>
      </c>
      <c r="H57" s="4">
        <v>93613.301099999895</v>
      </c>
      <c r="I57" s="4">
        <v>0</v>
      </c>
      <c r="J57" s="4">
        <v>0</v>
      </c>
      <c r="K57" s="4">
        <v>0</v>
      </c>
      <c r="M57" s="5" t="s">
        <v>147</v>
      </c>
      <c r="N57" s="11">
        <f>B110</f>
        <v>9299150</v>
      </c>
      <c r="P57" s="11">
        <v>9299150</v>
      </c>
    </row>
    <row r="58" spans="1: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M58" s="1" t="s">
        <v>149</v>
      </c>
      <c r="N58" s="11">
        <f>N24*B108/B109</f>
        <v>3452795.5642541288</v>
      </c>
      <c r="P58" s="11">
        <v>3452795.5642499998</v>
      </c>
    </row>
    <row r="59" spans="1:16" x14ac:dyDescent="0.2">
      <c r="A59" s="3" t="s">
        <v>60</v>
      </c>
      <c r="B59" s="4"/>
      <c r="C59" s="4"/>
      <c r="D59" s="4"/>
      <c r="E59" s="4"/>
      <c r="F59" s="4"/>
      <c r="G59" s="4"/>
      <c r="H59" s="4"/>
      <c r="I59" s="4"/>
      <c r="J59" s="4"/>
      <c r="K59" s="4"/>
      <c r="M59" s="1" t="s">
        <v>150</v>
      </c>
      <c r="N59" s="17">
        <f>(B32*D32)/B110/3*60+(B33*D33)/B110/12*60+SUM(G3:H17)*60/B110</f>
        <v>10.370647551227801</v>
      </c>
      <c r="P59" s="17">
        <v>10.370647551199999</v>
      </c>
    </row>
    <row r="60" spans="1:16" x14ac:dyDescent="0.2">
      <c r="A60" s="4">
        <v>152007.20936632701</v>
      </c>
      <c r="B60" s="4"/>
      <c r="C60" s="4"/>
      <c r="D60" s="4"/>
      <c r="E60" s="4"/>
      <c r="F60" s="4"/>
      <c r="G60" s="4"/>
      <c r="H60" s="4"/>
      <c r="I60" s="4"/>
      <c r="J60" s="4"/>
      <c r="K60" s="4"/>
      <c r="M60" s="1" t="s">
        <v>151</v>
      </c>
      <c r="N60" s="17">
        <f>N59*0.62/30*B110</f>
        <v>1993056.2816373333</v>
      </c>
      <c r="P60" s="17">
        <v>1993056.2816399999</v>
      </c>
    </row>
    <row r="61" spans="1: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M61" s="1" t="s">
        <v>152</v>
      </c>
      <c r="N61" s="17">
        <f>SUM(D3:D17)/SUM(B3:B17)</f>
        <v>0.37588707404314115</v>
      </c>
      <c r="P61" s="17">
        <v>0.37588707404299998</v>
      </c>
    </row>
    <row r="62" spans="1:16" x14ac:dyDescent="0.2">
      <c r="A62" s="4"/>
      <c r="B62" s="4" t="s">
        <v>61</v>
      </c>
      <c r="C62" s="4"/>
      <c r="D62" s="4"/>
      <c r="E62" s="4"/>
      <c r="F62" s="4"/>
      <c r="G62" s="4"/>
      <c r="H62" s="4"/>
      <c r="I62" s="4"/>
      <c r="J62" s="4"/>
      <c r="K62" s="4"/>
      <c r="M62" s="1" t="s">
        <v>154</v>
      </c>
      <c r="N62" s="11">
        <f>N23</f>
        <v>24504462.439999998</v>
      </c>
      <c r="P62" s="11">
        <v>24504462.440000001</v>
      </c>
    </row>
    <row r="63" spans="1:16" x14ac:dyDescent="0.2">
      <c r="A63" s="4" t="s">
        <v>62</v>
      </c>
      <c r="B63" s="4">
        <v>1.35800993725154</v>
      </c>
      <c r="C63" s="4"/>
      <c r="D63" s="4"/>
      <c r="E63" s="4"/>
      <c r="F63" s="4"/>
      <c r="G63" s="4"/>
      <c r="H63" s="4"/>
      <c r="I63" s="4"/>
      <c r="J63" s="4"/>
      <c r="K63" s="4"/>
    </row>
    <row r="64" spans="1:16" x14ac:dyDescent="0.2">
      <c r="A64" s="4" t="s">
        <v>63</v>
      </c>
      <c r="B64" s="4">
        <v>106.413429857278</v>
      </c>
      <c r="C64" s="4"/>
      <c r="D64" s="4"/>
      <c r="E64" s="4"/>
      <c r="F64" s="4"/>
      <c r="G64" s="4"/>
      <c r="H64" s="4"/>
      <c r="I64" s="4"/>
      <c r="J64" s="4"/>
      <c r="K64" s="4"/>
    </row>
    <row r="65" spans="1:11" x14ac:dyDescent="0.2">
      <c r="A65" s="4" t="s">
        <v>64</v>
      </c>
      <c r="B65" s="4">
        <v>191.76196608966401</v>
      </c>
      <c r="C65" s="4"/>
      <c r="D65" s="4"/>
      <c r="E65" s="4"/>
      <c r="F65" s="4"/>
      <c r="G65" s="4"/>
      <c r="H65" s="4"/>
      <c r="I65" s="4"/>
      <c r="J65" s="4"/>
      <c r="K65" s="4"/>
    </row>
    <row r="66" spans="1:11" x14ac:dyDescent="0.2">
      <c r="A66" s="4" t="s">
        <v>65</v>
      </c>
      <c r="B66" s="4">
        <v>0.336696984100334</v>
      </c>
      <c r="C66" s="4"/>
      <c r="D66" s="4"/>
      <c r="E66" s="4"/>
      <c r="F66" s="4"/>
      <c r="G66" s="4"/>
      <c r="H66" s="4"/>
      <c r="I66" s="4"/>
      <c r="J66" s="4"/>
      <c r="K66" s="4"/>
    </row>
    <row r="67" spans="1:11" x14ac:dyDescent="0.2">
      <c r="A67" s="4" t="s">
        <v>66</v>
      </c>
      <c r="B67" s="4">
        <v>8.8631257503655902</v>
      </c>
      <c r="C67" s="4"/>
      <c r="D67" s="4"/>
      <c r="E67" s="4"/>
      <c r="F67" s="4"/>
      <c r="G67" s="4"/>
      <c r="H67" s="4"/>
      <c r="I67" s="4"/>
      <c r="J67" s="4"/>
      <c r="K67" s="4"/>
    </row>
    <row r="68" spans="1:11" x14ac:dyDescent="0.2">
      <c r="A68" s="4" t="s">
        <v>67</v>
      </c>
      <c r="B68" s="4">
        <v>5.9228840303812202E-2</v>
      </c>
      <c r="C68" s="4"/>
      <c r="D68" s="4"/>
      <c r="E68" s="4"/>
      <c r="F68" s="4"/>
      <c r="G68" s="4"/>
      <c r="H68" s="4"/>
      <c r="I68" s="4"/>
      <c r="J68" s="4"/>
      <c r="K68" s="4"/>
    </row>
    <row r="69" spans="1:11" x14ac:dyDescent="0.2">
      <c r="A69" s="4" t="s">
        <v>68</v>
      </c>
      <c r="B69" s="4">
        <v>8.0507172394351407</v>
      </c>
      <c r="C69" s="4"/>
      <c r="D69" s="4"/>
      <c r="E69" s="4"/>
      <c r="F69" s="4"/>
      <c r="G69" s="4"/>
      <c r="H69" s="4"/>
      <c r="I69" s="4"/>
      <c r="J69" s="4"/>
      <c r="K69" s="4"/>
    </row>
    <row r="70" spans="1:1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x14ac:dyDescent="0.2">
      <c r="A71" s="4"/>
      <c r="B71" s="4" t="s">
        <v>69</v>
      </c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2">
      <c r="A72" s="4" t="s">
        <v>70</v>
      </c>
      <c r="B72" s="4">
        <v>2.1736505367489598</v>
      </c>
      <c r="C72" s="4"/>
      <c r="D72" s="4"/>
      <c r="E72" s="4"/>
      <c r="F72" s="4"/>
      <c r="G72" s="4"/>
      <c r="H72" s="4"/>
      <c r="I72" s="4"/>
      <c r="J72" s="4"/>
      <c r="K72" s="4"/>
    </row>
    <row r="73" spans="1:11" x14ac:dyDescent="0.2">
      <c r="A73" s="4" t="s">
        <v>71</v>
      </c>
      <c r="B73" s="4">
        <v>19.590233505290101</v>
      </c>
      <c r="C73" s="4"/>
      <c r="D73" s="4"/>
      <c r="E73" s="4"/>
      <c r="F73" s="4"/>
      <c r="G73" s="4"/>
      <c r="H73" s="4"/>
      <c r="I73" s="4"/>
      <c r="J73" s="4"/>
      <c r="K73" s="4"/>
    </row>
    <row r="74" spans="1:11" x14ac:dyDescent="0.2">
      <c r="A74" s="4" t="s">
        <v>72</v>
      </c>
      <c r="B74" s="4">
        <v>1.0638926576787799</v>
      </c>
      <c r="C74" s="4"/>
      <c r="D74" s="4"/>
      <c r="E74" s="4"/>
      <c r="F74" s="4"/>
      <c r="G74" s="4"/>
      <c r="H74" s="4"/>
      <c r="I74" s="4"/>
      <c r="J74" s="4"/>
      <c r="K74" s="4"/>
    </row>
    <row r="75" spans="1:11" x14ac:dyDescent="0.2">
      <c r="A75" s="4" t="s">
        <v>73</v>
      </c>
      <c r="B75" s="4">
        <v>20.6896151089454</v>
      </c>
      <c r="C75" s="4"/>
      <c r="D75" s="4"/>
      <c r="E75" s="4"/>
      <c r="F75" s="4"/>
      <c r="G75" s="4"/>
      <c r="H75" s="4"/>
      <c r="I75" s="4"/>
      <c r="J75" s="4"/>
      <c r="K75" s="4"/>
    </row>
    <row r="76" spans="1:11" x14ac:dyDescent="0.2">
      <c r="A76" s="4" t="s">
        <v>74</v>
      </c>
      <c r="B76" s="4">
        <v>71420.294943600893</v>
      </c>
      <c r="C76" s="4"/>
      <c r="D76" s="4"/>
      <c r="E76" s="4"/>
      <c r="F76" s="4"/>
      <c r="G76" s="4"/>
      <c r="H76" s="4"/>
      <c r="I76" s="4"/>
      <c r="J76" s="4"/>
      <c r="K76" s="4"/>
    </row>
    <row r="77" spans="1:11" x14ac:dyDescent="0.2">
      <c r="A77" s="4" t="s">
        <v>75</v>
      </c>
      <c r="B77" s="4">
        <v>0.90906030697654805</v>
      </c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2">
      <c r="A78" s="4" t="s">
        <v>76</v>
      </c>
      <c r="B78" s="4">
        <v>1.8616352043145299</v>
      </c>
      <c r="C78" s="4"/>
      <c r="D78" s="4"/>
      <c r="E78" s="4"/>
      <c r="F78" s="4"/>
      <c r="G78" s="4"/>
      <c r="H78" s="4"/>
      <c r="I78" s="4"/>
      <c r="J78" s="4"/>
      <c r="K78" s="4"/>
    </row>
    <row r="79" spans="1:11" x14ac:dyDescent="0.2">
      <c r="A79" s="4" t="s">
        <v>77</v>
      </c>
      <c r="B79" s="4">
        <v>0.495384999251404</v>
      </c>
      <c r="C79" s="4"/>
      <c r="D79" s="4"/>
      <c r="E79" s="4"/>
      <c r="F79" s="4"/>
      <c r="G79" s="4"/>
      <c r="H79" s="4"/>
      <c r="I79" s="4"/>
      <c r="J79" s="4"/>
      <c r="K79" s="4"/>
    </row>
    <row r="80" spans="1:11" x14ac:dyDescent="0.2">
      <c r="A80" s="4" t="s">
        <v>78</v>
      </c>
      <c r="B80" s="4">
        <v>4.38938251906403E-2</v>
      </c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">
      <c r="A81" s="4" t="s">
        <v>79</v>
      </c>
      <c r="B81" s="4">
        <v>0.19937199325723701</v>
      </c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">
      <c r="A82" s="4" t="s">
        <v>80</v>
      </c>
      <c r="B82" s="4">
        <v>0.103571180265916</v>
      </c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">
      <c r="A83" s="4" t="s">
        <v>81</v>
      </c>
      <c r="B83" s="4">
        <v>0.26784586208322603</v>
      </c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">
      <c r="A84" s="4" t="s">
        <v>82</v>
      </c>
      <c r="B84" s="4">
        <v>7.4905372340687304</v>
      </c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">
      <c r="A85" s="4" t="s">
        <v>83</v>
      </c>
      <c r="B85" s="4">
        <v>3.2013852034859198</v>
      </c>
      <c r="C85" s="4"/>
      <c r="D85" s="4"/>
      <c r="E85" s="4"/>
      <c r="F85" s="4"/>
      <c r="G85" s="4"/>
      <c r="H85" s="4"/>
      <c r="I85" s="4"/>
      <c r="J85" s="4"/>
      <c r="K85" s="4"/>
    </row>
    <row r="88" spans="1:11" x14ac:dyDescent="0.2">
      <c r="A88" s="9" t="s">
        <v>122</v>
      </c>
    </row>
    <row r="89" spans="1:11" x14ac:dyDescent="0.2">
      <c r="A89" s="4" t="s">
        <v>123</v>
      </c>
      <c r="B89" s="4" t="s">
        <v>124</v>
      </c>
    </row>
    <row r="90" spans="1:11" x14ac:dyDescent="0.2">
      <c r="A90" s="4" t="s">
        <v>125</v>
      </c>
      <c r="B90" s="4" t="s">
        <v>126</v>
      </c>
    </row>
    <row r="91" spans="1:11" x14ac:dyDescent="0.2">
      <c r="A91" s="4" t="s">
        <v>127</v>
      </c>
      <c r="B91" s="4" t="s">
        <v>128</v>
      </c>
    </row>
    <row r="92" spans="1:11" x14ac:dyDescent="0.2">
      <c r="A92" s="4" t="s">
        <v>129</v>
      </c>
      <c r="B92" s="4" t="s">
        <v>130</v>
      </c>
    </row>
    <row r="93" spans="1:11" x14ac:dyDescent="0.2">
      <c r="A93" s="4" t="s">
        <v>131</v>
      </c>
      <c r="B93" s="4" t="s">
        <v>132</v>
      </c>
    </row>
    <row r="94" spans="1:11" x14ac:dyDescent="0.2">
      <c r="A94" s="4" t="s">
        <v>133</v>
      </c>
      <c r="B94" s="4">
        <v>0.1</v>
      </c>
    </row>
    <row r="95" spans="1:11" x14ac:dyDescent="0.2">
      <c r="A95" s="4" t="s">
        <v>134</v>
      </c>
      <c r="B95" s="4">
        <v>0.1</v>
      </c>
    </row>
    <row r="96" spans="1:11" x14ac:dyDescent="0.2">
      <c r="A96" s="4" t="s">
        <v>135</v>
      </c>
      <c r="B96" s="4">
        <v>0.25</v>
      </c>
    </row>
    <row r="97" spans="1:2" x14ac:dyDescent="0.2">
      <c r="A97" s="4" t="s">
        <v>136</v>
      </c>
      <c r="B97" s="4">
        <v>0.2</v>
      </c>
    </row>
    <row r="98" spans="1:2" x14ac:dyDescent="0.2">
      <c r="A98" s="4" t="s">
        <v>137</v>
      </c>
      <c r="B98" s="4">
        <v>0.1</v>
      </c>
    </row>
    <row r="99" spans="1:2" x14ac:dyDescent="0.2">
      <c r="A99" s="4" t="s">
        <v>138</v>
      </c>
      <c r="B99" s="4">
        <v>0.05</v>
      </c>
    </row>
    <row r="100" spans="1:2" x14ac:dyDescent="0.2">
      <c r="A100" s="4" t="s">
        <v>139</v>
      </c>
      <c r="B100" s="4">
        <v>0.05</v>
      </c>
    </row>
    <row r="101" spans="1:2" x14ac:dyDescent="0.2">
      <c r="A101" s="4" t="s">
        <v>140</v>
      </c>
      <c r="B101" s="4">
        <v>0.1</v>
      </c>
    </row>
    <row r="102" spans="1:2" x14ac:dyDescent="0.2">
      <c r="A102" s="4" t="s">
        <v>141</v>
      </c>
      <c r="B102" s="4">
        <v>0.05</v>
      </c>
    </row>
    <row r="103" spans="1:2" x14ac:dyDescent="0.2">
      <c r="A103" s="4" t="s">
        <v>142</v>
      </c>
      <c r="B103" s="4">
        <v>0</v>
      </c>
    </row>
    <row r="104" spans="1:2" x14ac:dyDescent="0.2">
      <c r="A104" s="4" t="s">
        <v>143</v>
      </c>
      <c r="B104" s="4">
        <v>134639000</v>
      </c>
    </row>
    <row r="105" spans="1:2" x14ac:dyDescent="0.2">
      <c r="A105" s="4" t="s">
        <v>144</v>
      </c>
      <c r="B105" s="4">
        <v>20</v>
      </c>
    </row>
    <row r="106" spans="1:2" x14ac:dyDescent="0.2">
      <c r="A106" s="4" t="s">
        <v>145</v>
      </c>
      <c r="B106" s="4">
        <v>0</v>
      </c>
    </row>
    <row r="107" spans="1:2" x14ac:dyDescent="0.2">
      <c r="A107" s="10"/>
      <c r="B107" s="10"/>
    </row>
    <row r="108" spans="1:2" x14ac:dyDescent="0.2">
      <c r="A108" s="10" t="s">
        <v>148</v>
      </c>
      <c r="B108" s="10">
        <v>300</v>
      </c>
    </row>
    <row r="109" spans="1:2" x14ac:dyDescent="0.2">
      <c r="A109" s="1" t="s">
        <v>146</v>
      </c>
      <c r="B109" s="1">
        <v>1583</v>
      </c>
    </row>
    <row r="110" spans="1:2" x14ac:dyDescent="0.2">
      <c r="A110" s="1" t="s">
        <v>147</v>
      </c>
      <c r="B110" s="1">
        <v>9299150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0"/>
  <sheetViews>
    <sheetView workbookViewId="0">
      <selection activeCell="P3" sqref="P3:P62"/>
    </sheetView>
  </sheetViews>
  <sheetFormatPr defaultRowHeight="12.75" x14ac:dyDescent="0.2"/>
  <cols>
    <col min="1" max="1" width="14.7109375" style="1" customWidth="1"/>
    <col min="2" max="11" width="13.7109375" style="1" customWidth="1"/>
    <col min="12" max="12" width="3.140625" style="1" customWidth="1"/>
    <col min="13" max="13" width="20.85546875" style="1" customWidth="1"/>
    <col min="14" max="14" width="17.7109375" style="1" bestFit="1" customWidth="1"/>
    <col min="15" max="15" width="9.140625" style="1"/>
    <col min="16" max="16" width="15.28515625" style="1" customWidth="1"/>
    <col min="17" max="16384" width="9.140625" style="1"/>
  </cols>
  <sheetData>
    <row r="1" spans="1:16" x14ac:dyDescent="0.2">
      <c r="A1" s="9" t="s">
        <v>165</v>
      </c>
    </row>
    <row r="2" spans="1:16" ht="25.5" x14ac:dyDescent="0.2">
      <c r="A2" s="3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4"/>
      <c r="K2" s="4"/>
      <c r="M2" s="1" t="s">
        <v>84</v>
      </c>
      <c r="P2" s="9" t="s">
        <v>166</v>
      </c>
    </row>
    <row r="3" spans="1:16" x14ac:dyDescent="0.2">
      <c r="A3" s="4" t="s">
        <v>9</v>
      </c>
      <c r="B3" s="4">
        <v>36400.21</v>
      </c>
      <c r="C3" s="4">
        <v>21957.16</v>
      </c>
      <c r="D3" s="4">
        <v>22512.29</v>
      </c>
      <c r="E3" s="4">
        <v>6349.77</v>
      </c>
      <c r="F3" s="4">
        <v>5232.82</v>
      </c>
      <c r="G3" s="4">
        <v>9976.3799999999992</v>
      </c>
      <c r="H3" s="4">
        <v>953.32</v>
      </c>
      <c r="I3" s="4">
        <v>0</v>
      </c>
      <c r="J3" s="4"/>
      <c r="K3" s="4"/>
      <c r="M3" s="5" t="s">
        <v>85</v>
      </c>
      <c r="N3" s="7">
        <f>SUM(B37:B41,G37:G41)</f>
        <v>3511651.3659383315</v>
      </c>
      <c r="P3" s="7">
        <v>3511651.3659399999</v>
      </c>
    </row>
    <row r="4" spans="1:16" x14ac:dyDescent="0.2">
      <c r="A4" s="4" t="s">
        <v>10</v>
      </c>
      <c r="B4" s="4">
        <v>26875.360000000001</v>
      </c>
      <c r="C4" s="4">
        <v>15841.62</v>
      </c>
      <c r="D4" s="4">
        <v>14418.81</v>
      </c>
      <c r="E4" s="4">
        <v>5706.48</v>
      </c>
      <c r="F4" s="4">
        <v>972.02</v>
      </c>
      <c r="G4" s="4">
        <v>3558.4</v>
      </c>
      <c r="H4" s="4">
        <v>1159.3599999999999</v>
      </c>
      <c r="I4" s="4">
        <v>3022.55</v>
      </c>
      <c r="J4" s="4"/>
      <c r="K4" s="4"/>
      <c r="M4" s="5" t="s">
        <v>86</v>
      </c>
      <c r="N4" s="7">
        <f>2*SUM(C37:C41,H37:H41)</f>
        <v>1135909.5364566629</v>
      </c>
      <c r="P4" s="7">
        <v>1135909.5364600001</v>
      </c>
    </row>
    <row r="5" spans="1:16" x14ac:dyDescent="0.2">
      <c r="A5" s="4" t="s">
        <v>11</v>
      </c>
      <c r="B5" s="4">
        <v>26053.23</v>
      </c>
      <c r="C5" s="4">
        <v>14867.52</v>
      </c>
      <c r="D5" s="4">
        <v>16174.57</v>
      </c>
      <c r="E5" s="4">
        <v>6805.14</v>
      </c>
      <c r="F5" s="4">
        <v>2015.37</v>
      </c>
      <c r="G5" s="4">
        <v>3440.31</v>
      </c>
      <c r="H5" s="4">
        <v>1051.1099999999999</v>
      </c>
      <c r="I5" s="4">
        <v>2862.64</v>
      </c>
      <c r="J5" s="4"/>
      <c r="K5" s="4"/>
      <c r="M5" s="5" t="s">
        <v>87</v>
      </c>
      <c r="N5" s="7">
        <f>3.5*SUM(D37:D41,I37:I41)</f>
        <v>926299.20175916387</v>
      </c>
      <c r="P5" s="7">
        <v>926299.20175899996</v>
      </c>
    </row>
    <row r="6" spans="1:16" x14ac:dyDescent="0.2">
      <c r="A6" s="4" t="s">
        <v>12</v>
      </c>
      <c r="B6" s="4">
        <v>221758.35</v>
      </c>
      <c r="C6" s="4">
        <v>99945.05</v>
      </c>
      <c r="D6" s="4">
        <v>92982.57</v>
      </c>
      <c r="E6" s="4">
        <v>18993.22</v>
      </c>
      <c r="F6" s="4">
        <v>16605.22</v>
      </c>
      <c r="G6" s="4">
        <v>53676.65</v>
      </c>
      <c r="H6" s="4">
        <v>3707.48</v>
      </c>
      <c r="I6" s="4">
        <v>0</v>
      </c>
      <c r="J6" s="4"/>
      <c r="K6" s="4"/>
      <c r="M6" s="5" t="s">
        <v>88</v>
      </c>
      <c r="N6" s="7">
        <f>SUM(E37:F41,J37:K41)</f>
        <v>426956.37005666562</v>
      </c>
      <c r="P6" s="7">
        <v>426956.37005700002</v>
      </c>
    </row>
    <row r="7" spans="1:16" x14ac:dyDescent="0.2">
      <c r="A7" s="4" t="s">
        <v>13</v>
      </c>
      <c r="B7" s="4">
        <v>146287.41</v>
      </c>
      <c r="C7" s="4">
        <v>80803.02</v>
      </c>
      <c r="D7" s="4">
        <v>57693.01</v>
      </c>
      <c r="E7" s="4">
        <v>12026.48</v>
      </c>
      <c r="F7" s="4">
        <v>4262.46</v>
      </c>
      <c r="G7" s="4">
        <v>17290.310000000001</v>
      </c>
      <c r="H7" s="4">
        <v>6223.74</v>
      </c>
      <c r="I7" s="4">
        <v>17890.03</v>
      </c>
      <c r="J7" s="4"/>
      <c r="K7" s="4"/>
      <c r="M7" s="5" t="s">
        <v>40</v>
      </c>
      <c r="N7" s="7">
        <f>(B32*C32)/60</f>
        <v>1072703.9597833331</v>
      </c>
      <c r="P7" s="7"/>
    </row>
    <row r="8" spans="1:16" x14ac:dyDescent="0.2">
      <c r="A8" s="4" t="s">
        <v>14</v>
      </c>
      <c r="B8" s="4">
        <v>148901.18</v>
      </c>
      <c r="C8" s="4">
        <v>83017.570000000007</v>
      </c>
      <c r="D8" s="4">
        <v>61953.599999999999</v>
      </c>
      <c r="E8" s="4">
        <v>14674.85</v>
      </c>
      <c r="F8" s="4">
        <v>4939.8999999999996</v>
      </c>
      <c r="G8" s="4">
        <v>17521.189999999999</v>
      </c>
      <c r="H8" s="4">
        <v>6411.85</v>
      </c>
      <c r="I8" s="4">
        <v>18405.810000000001</v>
      </c>
      <c r="J8" s="4"/>
      <c r="K8" s="4"/>
      <c r="M8" s="5" t="s">
        <v>41</v>
      </c>
      <c r="N8" s="7">
        <f>(B33*C33)/60</f>
        <v>77649.649716666667</v>
      </c>
      <c r="P8" s="7"/>
    </row>
    <row r="9" spans="1:16" x14ac:dyDescent="0.2">
      <c r="A9" s="4" t="s">
        <v>15</v>
      </c>
      <c r="B9" s="4">
        <v>124009.76</v>
      </c>
      <c r="C9" s="4">
        <v>43574.879999999997</v>
      </c>
      <c r="D9" s="4">
        <v>45900.59</v>
      </c>
      <c r="E9" s="4">
        <v>10351.65</v>
      </c>
      <c r="F9" s="4">
        <v>6192.29</v>
      </c>
      <c r="G9" s="4">
        <v>28714.6</v>
      </c>
      <c r="H9" s="4">
        <v>642.04</v>
      </c>
      <c r="I9" s="4">
        <v>0</v>
      </c>
      <c r="J9" s="4"/>
      <c r="K9" s="4"/>
      <c r="M9" s="1" t="s">
        <v>89</v>
      </c>
      <c r="N9" s="7"/>
      <c r="P9" s="7"/>
    </row>
    <row r="10" spans="1:16" x14ac:dyDescent="0.2">
      <c r="A10" s="4" t="s">
        <v>16</v>
      </c>
      <c r="B10" s="4">
        <v>10775.18</v>
      </c>
      <c r="C10" s="4">
        <v>7440.41</v>
      </c>
      <c r="D10" s="4">
        <v>5132.57</v>
      </c>
      <c r="E10" s="4">
        <v>2119.4899999999998</v>
      </c>
      <c r="F10" s="4">
        <v>519.92999999999995</v>
      </c>
      <c r="G10" s="4">
        <v>1245.73</v>
      </c>
      <c r="H10" s="4">
        <v>44.03</v>
      </c>
      <c r="I10" s="4">
        <v>1203.3900000000001</v>
      </c>
      <c r="J10" s="4"/>
      <c r="K10" s="4"/>
      <c r="M10" s="5" t="s">
        <v>90</v>
      </c>
      <c r="N10" s="7">
        <f>A60*SUM(B37:D41,G37:I41)/SUM(B37:K41)</f>
        <v>142908.17886760941</v>
      </c>
      <c r="P10" s="7">
        <v>142908.17886799999</v>
      </c>
    </row>
    <row r="11" spans="1:16" x14ac:dyDescent="0.2">
      <c r="A11" s="4" t="s">
        <v>17</v>
      </c>
      <c r="B11" s="4">
        <v>10787.01</v>
      </c>
      <c r="C11" s="4">
        <v>7241.6</v>
      </c>
      <c r="D11" s="4">
        <v>5493.72</v>
      </c>
      <c r="E11" s="4">
        <v>2106.04</v>
      </c>
      <c r="F11" s="4">
        <v>929.93</v>
      </c>
      <c r="G11" s="4">
        <v>1229.67</v>
      </c>
      <c r="H11" s="4">
        <v>50.07</v>
      </c>
      <c r="I11" s="4">
        <v>1178.01</v>
      </c>
      <c r="J11" s="4"/>
      <c r="K11" s="4"/>
      <c r="M11" s="5" t="s">
        <v>91</v>
      </c>
      <c r="N11" s="7">
        <f>A60*SUM(E37:F41,J37:K41)/SUM(B37:K41)</f>
        <v>14045.088111181574</v>
      </c>
      <c r="P11" s="7">
        <v>14045.088111200001</v>
      </c>
    </row>
    <row r="12" spans="1:16" x14ac:dyDescent="0.2">
      <c r="A12" s="4" t="s">
        <v>18</v>
      </c>
      <c r="B12" s="4">
        <v>408551.27</v>
      </c>
      <c r="C12" s="4">
        <v>124292.08</v>
      </c>
      <c r="D12" s="4">
        <v>137858.82</v>
      </c>
      <c r="E12" s="4">
        <v>32461.78</v>
      </c>
      <c r="F12" s="4">
        <v>15563.09</v>
      </c>
      <c r="G12" s="4">
        <v>87052.86</v>
      </c>
      <c r="H12" s="4">
        <v>2781.09</v>
      </c>
      <c r="I12" s="4">
        <v>0</v>
      </c>
      <c r="J12" s="4"/>
      <c r="K12" s="4"/>
      <c r="M12" s="1" t="s">
        <v>97</v>
      </c>
      <c r="N12" s="7"/>
      <c r="P12" s="7"/>
    </row>
    <row r="13" spans="1:16" x14ac:dyDescent="0.2">
      <c r="A13" s="4" t="s">
        <v>19</v>
      </c>
      <c r="B13" s="4">
        <v>34301.79</v>
      </c>
      <c r="C13" s="4">
        <v>19715.55</v>
      </c>
      <c r="D13" s="4">
        <v>19205.2</v>
      </c>
      <c r="E13" s="4">
        <v>6214</v>
      </c>
      <c r="F13" s="4">
        <v>1201.3900000000001</v>
      </c>
      <c r="G13" s="4">
        <v>4499.41</v>
      </c>
      <c r="H13" s="4">
        <v>1309.48</v>
      </c>
      <c r="I13" s="4">
        <v>5980.92</v>
      </c>
      <c r="J13" s="4"/>
      <c r="K13" s="4"/>
      <c r="M13" s="5" t="s">
        <v>92</v>
      </c>
      <c r="N13" s="7">
        <f>SUM(C3:C5)</f>
        <v>52666.3</v>
      </c>
      <c r="P13" s="7">
        <v>52666.3</v>
      </c>
    </row>
    <row r="14" spans="1:16" x14ac:dyDescent="0.2">
      <c r="A14" s="4" t="s">
        <v>20</v>
      </c>
      <c r="B14" s="4">
        <v>32221.71</v>
      </c>
      <c r="C14" s="4">
        <v>18689.95</v>
      </c>
      <c r="D14" s="4">
        <v>18564.14</v>
      </c>
      <c r="E14" s="4">
        <v>5874.25</v>
      </c>
      <c r="F14" s="4">
        <v>1796.68</v>
      </c>
      <c r="G14" s="4">
        <v>4264.4399999999996</v>
      </c>
      <c r="H14" s="4">
        <v>1152.26</v>
      </c>
      <c r="I14" s="4">
        <v>5476.52</v>
      </c>
      <c r="J14" s="4"/>
      <c r="K14" s="4"/>
      <c r="M14" s="5" t="s">
        <v>93</v>
      </c>
      <c r="N14" s="7">
        <f>SUM(C6:C8)</f>
        <v>263765.64</v>
      </c>
      <c r="P14" s="7">
        <v>263765.64</v>
      </c>
    </row>
    <row r="15" spans="1:16" x14ac:dyDescent="0.2">
      <c r="A15" s="4" t="s">
        <v>21</v>
      </c>
      <c r="B15" s="4">
        <v>876504.47</v>
      </c>
      <c r="C15" s="4">
        <v>189680.27</v>
      </c>
      <c r="D15" s="4">
        <v>289994.02</v>
      </c>
      <c r="E15" s="4">
        <v>89483.62</v>
      </c>
      <c r="F15" s="4">
        <v>23498.38</v>
      </c>
      <c r="G15" s="4">
        <v>176013.92</v>
      </c>
      <c r="H15" s="4">
        <v>998.1</v>
      </c>
      <c r="I15" s="4">
        <v>0</v>
      </c>
      <c r="J15" s="4"/>
      <c r="K15" s="4"/>
      <c r="M15" s="5" t="s">
        <v>96</v>
      </c>
      <c r="N15" s="7">
        <f>SUM(C9:C11)</f>
        <v>58256.889999999992</v>
      </c>
      <c r="P15" s="7">
        <v>58256.89</v>
      </c>
    </row>
    <row r="16" spans="1:16" x14ac:dyDescent="0.2">
      <c r="A16" s="4" t="s">
        <v>22</v>
      </c>
      <c r="B16" s="4">
        <v>17732.79</v>
      </c>
      <c r="C16" s="4">
        <v>9112.1299999999992</v>
      </c>
      <c r="D16" s="4">
        <v>7041.49</v>
      </c>
      <c r="E16" s="4">
        <v>2704.6</v>
      </c>
      <c r="F16" s="4">
        <v>694.81</v>
      </c>
      <c r="G16" s="4">
        <v>2035.16</v>
      </c>
      <c r="H16" s="4">
        <v>31.87</v>
      </c>
      <c r="I16" s="4">
        <v>1575.05</v>
      </c>
      <c r="J16" s="4"/>
      <c r="K16" s="4"/>
      <c r="M16" s="5" t="s">
        <v>94</v>
      </c>
      <c r="N16" s="7">
        <f>SUM(C12:C14)</f>
        <v>162697.58000000002</v>
      </c>
      <c r="P16" s="7">
        <v>162697.57999999999</v>
      </c>
    </row>
    <row r="17" spans="1:16" x14ac:dyDescent="0.2">
      <c r="A17" s="4" t="s">
        <v>23</v>
      </c>
      <c r="B17" s="4">
        <v>18016.54</v>
      </c>
      <c r="C17" s="4">
        <v>9123.2000000000007</v>
      </c>
      <c r="D17" s="4">
        <v>7463.87</v>
      </c>
      <c r="E17" s="4">
        <v>3038.26</v>
      </c>
      <c r="F17" s="4">
        <v>728.11</v>
      </c>
      <c r="G17" s="4">
        <v>2075.36</v>
      </c>
      <c r="H17" s="4">
        <v>38.880000000000003</v>
      </c>
      <c r="I17" s="4">
        <v>1583.24</v>
      </c>
      <c r="J17" s="4"/>
      <c r="K17" s="4"/>
      <c r="M17" s="5" t="s">
        <v>95</v>
      </c>
      <c r="N17" s="7">
        <f>SUM(C15:C17)</f>
        <v>207915.6</v>
      </c>
      <c r="P17" s="7">
        <v>207915.6</v>
      </c>
    </row>
    <row r="18" spans="1:16" x14ac:dyDescent="0.2">
      <c r="A18" s="3" t="s">
        <v>24</v>
      </c>
      <c r="B18" s="3" t="s">
        <v>25</v>
      </c>
      <c r="C18" s="3" t="s">
        <v>26</v>
      </c>
      <c r="D18" s="3" t="s">
        <v>27</v>
      </c>
      <c r="E18" s="4"/>
      <c r="F18" s="4"/>
      <c r="G18" s="4"/>
      <c r="H18" s="4"/>
      <c r="I18" s="4"/>
      <c r="J18" s="4"/>
      <c r="K18" s="4"/>
      <c r="M18" s="1" t="s">
        <v>98</v>
      </c>
      <c r="N18" s="7"/>
      <c r="P18" s="7"/>
    </row>
    <row r="19" spans="1:16" x14ac:dyDescent="0.2">
      <c r="A19" s="4" t="s">
        <v>28</v>
      </c>
      <c r="B19" s="4">
        <v>89328.8</v>
      </c>
      <c r="C19" s="4">
        <v>62.32</v>
      </c>
      <c r="D19" s="4">
        <v>2.8</v>
      </c>
      <c r="E19" s="4"/>
      <c r="F19" s="4"/>
      <c r="G19" s="4"/>
      <c r="H19" s="4"/>
      <c r="I19" s="4"/>
      <c r="J19" s="4"/>
      <c r="K19" s="4"/>
      <c r="M19" s="5" t="s">
        <v>99</v>
      </c>
      <c r="N19" s="7">
        <f>SUM(G3:G17,H3:H17)</f>
        <v>439149.06999999995</v>
      </c>
      <c r="P19" s="7">
        <v>439149.07</v>
      </c>
    </row>
    <row r="20" spans="1:16" x14ac:dyDescent="0.2">
      <c r="A20" s="4" t="s">
        <v>29</v>
      </c>
      <c r="B20" s="4">
        <v>516946.94</v>
      </c>
      <c r="C20" s="4">
        <v>54.52</v>
      </c>
      <c r="D20" s="4">
        <v>3.24</v>
      </c>
      <c r="E20" s="4"/>
      <c r="F20" s="4"/>
      <c r="G20" s="4"/>
      <c r="H20" s="4"/>
      <c r="I20" s="4"/>
      <c r="J20" s="4"/>
      <c r="K20" s="4"/>
      <c r="M20" s="5" t="s">
        <v>100</v>
      </c>
      <c r="N20" s="7">
        <f>SUM(I3:I17)</f>
        <v>59178.159999999996</v>
      </c>
      <c r="P20" s="7">
        <v>59178.16</v>
      </c>
    </row>
    <row r="21" spans="1:16" x14ac:dyDescent="0.2">
      <c r="A21" s="4" t="s">
        <v>30</v>
      </c>
      <c r="B21" s="4">
        <v>145571.95000000001</v>
      </c>
      <c r="C21" s="4">
        <v>47.18</v>
      </c>
      <c r="D21" s="4">
        <v>2.29</v>
      </c>
      <c r="E21" s="4"/>
      <c r="F21" s="4"/>
      <c r="G21" s="4"/>
      <c r="H21" s="4"/>
      <c r="I21" s="4"/>
      <c r="J21" s="4"/>
      <c r="K21" s="4"/>
      <c r="M21" s="5" t="s">
        <v>101</v>
      </c>
      <c r="N21" s="7">
        <f>SUM(E3:F17)</f>
        <v>304062.02999999997</v>
      </c>
      <c r="P21" s="7">
        <v>304062.03000000003</v>
      </c>
    </row>
    <row r="22" spans="1:16" x14ac:dyDescent="0.2">
      <c r="A22" s="4" t="s">
        <v>31</v>
      </c>
      <c r="B22" s="4">
        <v>475074.77</v>
      </c>
      <c r="C22" s="4">
        <v>47.75</v>
      </c>
      <c r="D22" s="4">
        <v>1.5</v>
      </c>
      <c r="E22" s="4"/>
      <c r="F22" s="4"/>
      <c r="G22" s="4"/>
      <c r="H22" s="4"/>
      <c r="I22" s="4"/>
      <c r="J22" s="4"/>
      <c r="K22" s="4"/>
      <c r="M22" s="1" t="s">
        <v>102</v>
      </c>
      <c r="N22" s="7"/>
      <c r="P22" s="7"/>
    </row>
    <row r="23" spans="1:16" x14ac:dyDescent="0.2">
      <c r="A23" s="4" t="s">
        <v>32</v>
      </c>
      <c r="B23" s="4">
        <v>912253.8</v>
      </c>
      <c r="C23" s="4">
        <v>30.37</v>
      </c>
      <c r="D23" s="4">
        <v>1.59</v>
      </c>
      <c r="E23" s="4"/>
      <c r="F23" s="4"/>
      <c r="G23" s="4"/>
      <c r="H23" s="4"/>
      <c r="I23" s="4"/>
      <c r="J23" s="4"/>
      <c r="K23" s="4"/>
      <c r="M23" s="5" t="s">
        <v>103</v>
      </c>
      <c r="N23" s="7">
        <f>SUM(B25:B30)</f>
        <v>24578408.09</v>
      </c>
      <c r="P23" s="7">
        <v>24578408.09</v>
      </c>
    </row>
    <row r="24" spans="1:16" x14ac:dyDescent="0.2">
      <c r="A24" s="3" t="s">
        <v>24</v>
      </c>
      <c r="B24" s="3" t="s">
        <v>25</v>
      </c>
      <c r="C24" s="3" t="s">
        <v>26</v>
      </c>
      <c r="D24" s="3" t="s">
        <v>33</v>
      </c>
      <c r="E24" s="3" t="s">
        <v>27</v>
      </c>
      <c r="F24" s="4"/>
      <c r="G24" s="4"/>
      <c r="H24" s="4"/>
      <c r="I24" s="4"/>
      <c r="J24" s="4"/>
      <c r="K24" s="4"/>
      <c r="M24" s="5" t="s">
        <v>104</v>
      </c>
      <c r="N24" s="7">
        <f>SUM(B25:B26)+SUM(B27:B28)/2+SUM(B29:B30)/3.5</f>
        <v>18332661.22285714</v>
      </c>
      <c r="P24" s="7">
        <v>18332661.222899999</v>
      </c>
    </row>
    <row r="25" spans="1:16" x14ac:dyDescent="0.2">
      <c r="A25" s="4" t="s">
        <v>34</v>
      </c>
      <c r="B25" s="4">
        <v>13727359.699999999</v>
      </c>
      <c r="C25" s="4">
        <v>12.27</v>
      </c>
      <c r="D25" s="4">
        <v>6.92</v>
      </c>
      <c r="E25" s="4">
        <v>158.97999999999999</v>
      </c>
      <c r="F25" s="4"/>
      <c r="G25" s="4"/>
      <c r="H25" s="4"/>
      <c r="I25" s="4"/>
      <c r="J25" s="4"/>
      <c r="K25" s="4"/>
      <c r="M25" s="1" t="s">
        <v>84</v>
      </c>
      <c r="N25" s="7"/>
      <c r="P25" s="7"/>
    </row>
    <row r="26" spans="1:16" x14ac:dyDescent="0.2">
      <c r="A26" s="4" t="s">
        <v>35</v>
      </c>
      <c r="B26" s="4">
        <v>427736.84</v>
      </c>
      <c r="C26" s="4">
        <v>29.09</v>
      </c>
      <c r="D26" s="4">
        <v>19.28</v>
      </c>
      <c r="E26" s="4">
        <v>467.24</v>
      </c>
      <c r="F26" s="4"/>
      <c r="G26" s="4"/>
      <c r="H26" s="4"/>
      <c r="I26" s="4"/>
      <c r="J26" s="4"/>
      <c r="K26" s="4"/>
      <c r="M26" s="5" t="s">
        <v>40</v>
      </c>
      <c r="N26" s="7">
        <f>N7</f>
        <v>1072703.9597833331</v>
      </c>
      <c r="P26" s="7">
        <v>1072703.9597799999</v>
      </c>
    </row>
    <row r="27" spans="1:16" x14ac:dyDescent="0.2">
      <c r="A27" s="4" t="s">
        <v>36</v>
      </c>
      <c r="B27" s="4">
        <v>5442186.3399999999</v>
      </c>
      <c r="C27" s="4">
        <v>10.14</v>
      </c>
      <c r="D27" s="4">
        <v>5.47</v>
      </c>
      <c r="E27" s="4">
        <v>126.85</v>
      </c>
      <c r="F27" s="4"/>
      <c r="G27" s="4"/>
      <c r="H27" s="4"/>
      <c r="I27" s="4"/>
      <c r="J27" s="4"/>
      <c r="K27" s="4"/>
      <c r="M27" s="5" t="s">
        <v>41</v>
      </c>
      <c r="N27" s="7">
        <f>N8</f>
        <v>77649.649716666667</v>
      </c>
      <c r="P27" s="7">
        <v>77649.649716700005</v>
      </c>
    </row>
    <row r="28" spans="1:16" x14ac:dyDescent="0.2">
      <c r="A28" s="4" t="s">
        <v>37</v>
      </c>
      <c r="B28" s="4">
        <v>155366.78</v>
      </c>
      <c r="C28" s="4">
        <v>23.73</v>
      </c>
      <c r="D28" s="4">
        <v>15.84</v>
      </c>
      <c r="E28" s="4">
        <v>404.32</v>
      </c>
      <c r="F28" s="4"/>
      <c r="G28" s="4"/>
      <c r="H28" s="4"/>
      <c r="I28" s="4"/>
      <c r="J28" s="4"/>
      <c r="K28" s="4"/>
      <c r="M28" s="1" t="s">
        <v>105</v>
      </c>
    </row>
    <row r="29" spans="1:16" x14ac:dyDescent="0.2">
      <c r="A29" s="4" t="s">
        <v>38</v>
      </c>
      <c r="B29" s="4">
        <v>4825758.43</v>
      </c>
      <c r="C29" s="4">
        <v>9.86</v>
      </c>
      <c r="D29" s="4">
        <v>5.39</v>
      </c>
      <c r="E29" s="4">
        <v>125.69</v>
      </c>
      <c r="F29" s="4"/>
      <c r="G29" s="4"/>
      <c r="H29" s="4"/>
      <c r="I29" s="4"/>
      <c r="J29" s="4"/>
      <c r="K29" s="4"/>
      <c r="M29" s="5" t="s">
        <v>90</v>
      </c>
      <c r="N29" s="7">
        <f>SUM(B45:D49,G45:I49)</f>
        <v>163946188.85180005</v>
      </c>
      <c r="P29" s="7">
        <v>163946188.852</v>
      </c>
    </row>
    <row r="30" spans="1:16" x14ac:dyDescent="0.2">
      <c r="A30" s="4" t="s">
        <v>39</v>
      </c>
      <c r="B30" s="4">
        <v>0</v>
      </c>
      <c r="C30" s="4">
        <v>0</v>
      </c>
      <c r="D30" s="4">
        <v>0</v>
      </c>
      <c r="E30" s="4">
        <v>0</v>
      </c>
      <c r="F30" s="4"/>
      <c r="G30" s="4"/>
      <c r="H30" s="4"/>
      <c r="I30" s="4"/>
      <c r="J30" s="4"/>
      <c r="K30" s="4"/>
      <c r="M30" s="5" t="s">
        <v>91</v>
      </c>
      <c r="N30" s="7">
        <f>SUM(E45:F49,J45:K49)</f>
        <v>16876793.567099959</v>
      </c>
      <c r="P30" s="7">
        <v>16876793.5671</v>
      </c>
    </row>
    <row r="31" spans="1:16" x14ac:dyDescent="0.2">
      <c r="A31" s="3" t="s">
        <v>24</v>
      </c>
      <c r="B31" s="3" t="s">
        <v>25</v>
      </c>
      <c r="C31" s="3" t="s">
        <v>26</v>
      </c>
      <c r="D31" s="3" t="s">
        <v>33</v>
      </c>
      <c r="E31" s="4"/>
      <c r="F31" s="4"/>
      <c r="G31" s="4"/>
      <c r="H31" s="4"/>
      <c r="I31" s="4"/>
      <c r="J31" s="4"/>
      <c r="K31" s="4"/>
      <c r="M31" s="1" t="s">
        <v>106</v>
      </c>
    </row>
    <row r="32" spans="1:16" x14ac:dyDescent="0.2">
      <c r="A32" s="4" t="s">
        <v>40</v>
      </c>
      <c r="B32" s="4">
        <v>3464060.15</v>
      </c>
      <c r="C32" s="4">
        <v>18.579999999999998</v>
      </c>
      <c r="D32" s="4">
        <v>0.93</v>
      </c>
      <c r="E32" s="4"/>
      <c r="F32" s="4"/>
      <c r="G32" s="4"/>
      <c r="H32" s="4"/>
      <c r="I32" s="4"/>
      <c r="J32" s="4"/>
      <c r="K32" s="4"/>
      <c r="M32" s="8" t="s">
        <v>107</v>
      </c>
      <c r="N32" s="13">
        <f>B78*1.10231+(N29*(0.007+0.01891)*0.00000110231131)</f>
        <v>6.7552103298700299</v>
      </c>
      <c r="P32" s="14">
        <v>6.7552103298699997</v>
      </c>
    </row>
    <row r="33" spans="1:16" x14ac:dyDescent="0.2">
      <c r="A33" s="4" t="s">
        <v>41</v>
      </c>
      <c r="B33" s="4">
        <v>386637.26</v>
      </c>
      <c r="C33" s="4">
        <v>12.05</v>
      </c>
      <c r="D33" s="4">
        <v>2.41</v>
      </c>
      <c r="E33" s="4"/>
      <c r="F33" s="4"/>
      <c r="G33" s="4"/>
      <c r="H33" s="4"/>
      <c r="I33" s="4"/>
      <c r="J33" s="4"/>
      <c r="K33" s="4"/>
      <c r="M33" s="8" t="s">
        <v>108</v>
      </c>
      <c r="N33" s="13">
        <f>B77*1.10231+(N30*(0.007+0.01891)*0.00000110231131)</f>
        <v>1.4835913234630445</v>
      </c>
      <c r="P33" s="14">
        <v>1.48359132346</v>
      </c>
    </row>
    <row r="34" spans="1:1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M34" s="5" t="s">
        <v>109</v>
      </c>
      <c r="N34" s="15">
        <f>B76</f>
        <v>71906.338269649394</v>
      </c>
      <c r="P34" s="15">
        <v>71906.338269600004</v>
      </c>
    </row>
    <row r="35" spans="1:16" x14ac:dyDescent="0.2">
      <c r="A35" s="3" t="s">
        <v>42</v>
      </c>
      <c r="B35" s="4"/>
      <c r="C35" s="4"/>
      <c r="D35" s="4"/>
      <c r="E35" s="4"/>
      <c r="F35" s="4"/>
      <c r="G35" s="4"/>
      <c r="H35" s="4"/>
      <c r="I35" s="4"/>
      <c r="J35" s="4"/>
      <c r="K35" s="4"/>
      <c r="M35" s="5" t="s">
        <v>110</v>
      </c>
      <c r="N35" s="16">
        <f>1.10231*B82</f>
        <v>0.11476465199152497</v>
      </c>
      <c r="P35" s="16">
        <v>0.11476465199200001</v>
      </c>
    </row>
    <row r="36" spans="1:16" x14ac:dyDescent="0.2">
      <c r="A36" s="4"/>
      <c r="B36" s="4" t="s">
        <v>43</v>
      </c>
      <c r="C36" s="4" t="s">
        <v>44</v>
      </c>
      <c r="D36" s="4" t="s">
        <v>45</v>
      </c>
      <c r="E36" s="4" t="s">
        <v>46</v>
      </c>
      <c r="F36" s="4" t="s">
        <v>47</v>
      </c>
      <c r="G36" s="4" t="s">
        <v>48</v>
      </c>
      <c r="H36" s="4" t="s">
        <v>49</v>
      </c>
      <c r="I36" s="4" t="s">
        <v>50</v>
      </c>
      <c r="J36" s="4" t="s">
        <v>51</v>
      </c>
      <c r="K36" s="4" t="s">
        <v>52</v>
      </c>
      <c r="M36" s="5" t="s">
        <v>111</v>
      </c>
      <c r="N36" s="16">
        <f>1.10231*B81</f>
        <v>0.22130632373222389</v>
      </c>
      <c r="P36" s="16">
        <v>0.22130632373199999</v>
      </c>
    </row>
    <row r="37" spans="1:16" x14ac:dyDescent="0.2">
      <c r="A37" s="4" t="s">
        <v>53</v>
      </c>
      <c r="B37" s="4">
        <v>135191.787673332</v>
      </c>
      <c r="C37" s="4">
        <v>14658.1386616666</v>
      </c>
      <c r="D37" s="4">
        <v>4525.0331483333803</v>
      </c>
      <c r="E37" s="4">
        <v>12180.241248333199</v>
      </c>
      <c r="F37" s="4">
        <v>3314.35874500001</v>
      </c>
      <c r="G37" s="4">
        <v>0.47429499999999902</v>
      </c>
      <c r="H37" s="4">
        <v>0</v>
      </c>
      <c r="I37" s="4">
        <v>0</v>
      </c>
      <c r="J37" s="4">
        <v>0</v>
      </c>
      <c r="K37" s="4">
        <v>0</v>
      </c>
      <c r="M37" s="5" t="s">
        <v>112</v>
      </c>
      <c r="N37" s="16">
        <f>1.10231*B80</f>
        <v>4.8730944016826802E-2</v>
      </c>
      <c r="P37" s="16">
        <v>4.8730944016799997E-2</v>
      </c>
    </row>
    <row r="38" spans="1:16" x14ac:dyDescent="0.2">
      <c r="A38" s="4" t="s">
        <v>54</v>
      </c>
      <c r="B38" s="4">
        <v>861307.18204666697</v>
      </c>
      <c r="C38" s="4">
        <v>132795.23834333301</v>
      </c>
      <c r="D38" s="4">
        <v>72014.425801666002</v>
      </c>
      <c r="E38" s="4">
        <v>17827.480213333201</v>
      </c>
      <c r="F38" s="4">
        <v>6598.0866733332996</v>
      </c>
      <c r="G38" s="4">
        <v>121353.163331666</v>
      </c>
      <c r="H38" s="4">
        <v>17373.537091666502</v>
      </c>
      <c r="I38" s="4">
        <v>0</v>
      </c>
      <c r="J38" s="4">
        <v>4948.8448383333198</v>
      </c>
      <c r="K38" s="4">
        <v>0</v>
      </c>
      <c r="M38" s="5" t="s">
        <v>113</v>
      </c>
      <c r="N38" s="16">
        <f>1.10231*B83</f>
        <v>0.29680089307185298</v>
      </c>
      <c r="P38" s="16">
        <v>0.29680089307200003</v>
      </c>
    </row>
    <row r="39" spans="1:16" x14ac:dyDescent="0.2">
      <c r="A39" s="4" t="s">
        <v>55</v>
      </c>
      <c r="B39" s="4">
        <v>781298.52328166598</v>
      </c>
      <c r="C39" s="4">
        <v>145190.21103999999</v>
      </c>
      <c r="D39" s="4">
        <v>65526.665318333296</v>
      </c>
      <c r="E39" s="4">
        <v>214810.37677833301</v>
      </c>
      <c r="F39" s="4">
        <v>8723.3259066666305</v>
      </c>
      <c r="G39" s="4">
        <v>22648.4928699999</v>
      </c>
      <c r="H39" s="4">
        <v>4583.0057816666704</v>
      </c>
      <c r="I39" s="4">
        <v>0</v>
      </c>
      <c r="J39" s="4">
        <v>7522.2994749999998</v>
      </c>
      <c r="K39" s="4">
        <v>0</v>
      </c>
      <c r="M39" s="5" t="s">
        <v>114</v>
      </c>
      <c r="N39" s="16">
        <f>(B72-B80-B81-B82-B83)*1.10231</f>
        <v>1.7303224334603029</v>
      </c>
      <c r="P39" s="16">
        <v>1.73032243346</v>
      </c>
    </row>
    <row r="40" spans="1:16" x14ac:dyDescent="0.2">
      <c r="A40" s="4" t="s">
        <v>56</v>
      </c>
      <c r="B40" s="4">
        <v>972039.66982666706</v>
      </c>
      <c r="C40" s="4">
        <v>152760.06302166599</v>
      </c>
      <c r="D40" s="4">
        <v>81256.455934999394</v>
      </c>
      <c r="E40" s="4">
        <v>72892.391181666098</v>
      </c>
      <c r="F40" s="4">
        <v>4931.30137666666</v>
      </c>
      <c r="G40" s="4">
        <v>122619.88048666601</v>
      </c>
      <c r="H40" s="4">
        <v>18168.382943333301</v>
      </c>
      <c r="I40" s="4">
        <v>0</v>
      </c>
      <c r="J40" s="4">
        <v>13831.235358333301</v>
      </c>
      <c r="K40" s="4">
        <v>0</v>
      </c>
      <c r="M40" s="5" t="s">
        <v>115</v>
      </c>
      <c r="N40" s="16">
        <f>1.10231*B75</f>
        <v>22.857492056798925</v>
      </c>
      <c r="P40" s="16">
        <v>22.857492056800002</v>
      </c>
    </row>
    <row r="41" spans="1:16" x14ac:dyDescent="0.2">
      <c r="A41" s="4" t="s">
        <v>57</v>
      </c>
      <c r="B41" s="4">
        <v>484830.18337000097</v>
      </c>
      <c r="C41" s="4">
        <v>80865.665991665999</v>
      </c>
      <c r="D41" s="4">
        <v>41334.334585000499</v>
      </c>
      <c r="E41" s="4">
        <v>56845.629096666897</v>
      </c>
      <c r="F41" s="4">
        <v>2530.7991650000299</v>
      </c>
      <c r="G41" s="4">
        <v>10362.008756666601</v>
      </c>
      <c r="H41" s="4">
        <v>1560.52535333333</v>
      </c>
      <c r="I41" s="4">
        <v>0</v>
      </c>
      <c r="J41" s="4">
        <v>0</v>
      </c>
      <c r="K41" s="4">
        <v>0</v>
      </c>
      <c r="M41" s="5" t="s">
        <v>116</v>
      </c>
      <c r="N41" s="16">
        <f>1.10231*B74</f>
        <v>1.1797923248976554</v>
      </c>
      <c r="P41" s="16">
        <v>1.1797923249</v>
      </c>
    </row>
    <row r="42" spans="1:1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M42" s="1" t="s">
        <v>118</v>
      </c>
    </row>
    <row r="43" spans="1:16" x14ac:dyDescent="0.2">
      <c r="A43" s="3" t="s">
        <v>58</v>
      </c>
      <c r="B43" s="4"/>
      <c r="C43" s="4"/>
      <c r="D43" s="4"/>
      <c r="E43" s="4"/>
      <c r="F43" s="4"/>
      <c r="G43" s="4"/>
      <c r="H43" s="4"/>
      <c r="I43" s="4"/>
      <c r="J43" s="4"/>
      <c r="K43" s="4"/>
      <c r="M43" s="5" t="s">
        <v>119</v>
      </c>
      <c r="N43" s="16">
        <f>SUM(B63,B66,B68)</f>
        <v>1.7692402224847685</v>
      </c>
      <c r="P43" s="16">
        <v>1.7692402224799999</v>
      </c>
    </row>
    <row r="44" spans="1:16" x14ac:dyDescent="0.2">
      <c r="A44" s="4"/>
      <c r="B44" s="4" t="s">
        <v>43</v>
      </c>
      <c r="C44" s="4" t="s">
        <v>44</v>
      </c>
      <c r="D44" s="4" t="s">
        <v>45</v>
      </c>
      <c r="E44" s="4" t="s">
        <v>46</v>
      </c>
      <c r="F44" s="4" t="s">
        <v>47</v>
      </c>
      <c r="G44" s="4" t="s">
        <v>48</v>
      </c>
      <c r="H44" s="4" t="s">
        <v>49</v>
      </c>
      <c r="I44" s="4" t="s">
        <v>50</v>
      </c>
      <c r="J44" s="4" t="s">
        <v>51</v>
      </c>
      <c r="K44" s="4" t="s">
        <v>52</v>
      </c>
      <c r="M44" s="5" t="s">
        <v>120</v>
      </c>
      <c r="N44" s="16">
        <f>SUM(B64,B67,B69)</f>
        <v>124.41653097805276</v>
      </c>
      <c r="P44" s="16">
        <v>124.416530978</v>
      </c>
    </row>
    <row r="45" spans="1:16" x14ac:dyDescent="0.2">
      <c r="A45" s="4" t="s">
        <v>53</v>
      </c>
      <c r="B45" s="4">
        <v>6376040.2330999598</v>
      </c>
      <c r="C45" s="4">
        <v>690533.94319999905</v>
      </c>
      <c r="D45" s="4">
        <v>205363.456199999</v>
      </c>
      <c r="E45" s="4">
        <v>520368.45719999901</v>
      </c>
      <c r="F45" s="4">
        <v>167697.621899997</v>
      </c>
      <c r="G45" s="4">
        <v>21.781299999999899</v>
      </c>
      <c r="H45" s="4">
        <v>0</v>
      </c>
      <c r="I45" s="4">
        <v>0</v>
      </c>
      <c r="J45" s="4">
        <v>0</v>
      </c>
      <c r="K45" s="4">
        <v>0</v>
      </c>
      <c r="M45" s="5" t="s">
        <v>117</v>
      </c>
      <c r="N45" s="16">
        <f>B65</f>
        <v>193.25677359934701</v>
      </c>
      <c r="P45" s="16">
        <v>193.25677359900001</v>
      </c>
    </row>
    <row r="46" spans="1:16" x14ac:dyDescent="0.2">
      <c r="A46" s="4" t="s">
        <v>54</v>
      </c>
      <c r="B46" s="4">
        <v>31294812.176399902</v>
      </c>
      <c r="C46" s="4">
        <v>4601360.1132000098</v>
      </c>
      <c r="D46" s="4">
        <v>2535371.1070999899</v>
      </c>
      <c r="E46" s="4">
        <v>690918.83300000103</v>
      </c>
      <c r="F46" s="4">
        <v>277549.47580000001</v>
      </c>
      <c r="G46" s="4">
        <v>5104304.6023999797</v>
      </c>
      <c r="H46" s="4">
        <v>733025.58500000404</v>
      </c>
      <c r="I46" s="4">
        <v>0</v>
      </c>
      <c r="J46" s="4">
        <v>216942.08979999699</v>
      </c>
      <c r="K46" s="4">
        <v>0</v>
      </c>
      <c r="M46" s="1" t="s">
        <v>164</v>
      </c>
      <c r="N46" s="16"/>
      <c r="P46" s="16"/>
    </row>
    <row r="47" spans="1:16" x14ac:dyDescent="0.2">
      <c r="A47" s="4" t="s">
        <v>55</v>
      </c>
      <c r="B47" s="4">
        <v>29805258.101900201</v>
      </c>
      <c r="C47" s="4">
        <v>5274957.2799000097</v>
      </c>
      <c r="D47" s="4">
        <v>2337278.108</v>
      </c>
      <c r="E47" s="4">
        <v>8426867.7053999994</v>
      </c>
      <c r="F47" s="4">
        <v>416823.25819999899</v>
      </c>
      <c r="G47" s="4">
        <v>1060159.6581999899</v>
      </c>
      <c r="H47" s="4">
        <v>207612.57639999999</v>
      </c>
      <c r="I47" s="4">
        <v>0</v>
      </c>
      <c r="J47" s="4">
        <v>335559.77389999799</v>
      </c>
      <c r="K47" s="4">
        <v>0</v>
      </c>
      <c r="M47" s="5" t="s">
        <v>155</v>
      </c>
      <c r="N47" s="12">
        <f>B94</f>
        <v>0.1</v>
      </c>
      <c r="P47" s="12">
        <v>0.1</v>
      </c>
    </row>
    <row r="48" spans="1:16" x14ac:dyDescent="0.2">
      <c r="A48" s="4" t="s">
        <v>56</v>
      </c>
      <c r="B48" s="4">
        <v>33984932.568399899</v>
      </c>
      <c r="C48" s="4">
        <v>5123176.3447999703</v>
      </c>
      <c r="D48" s="4">
        <v>2763978.34439999</v>
      </c>
      <c r="E48" s="4">
        <v>2560601.9094999698</v>
      </c>
      <c r="F48" s="4">
        <v>207688.41630000001</v>
      </c>
      <c r="G48" s="4">
        <v>5264239.5511999903</v>
      </c>
      <c r="H48" s="4">
        <v>768119.32259999705</v>
      </c>
      <c r="I48" s="4">
        <v>0</v>
      </c>
      <c r="J48" s="4">
        <v>584024.58729999897</v>
      </c>
      <c r="K48" s="4">
        <v>0</v>
      </c>
      <c r="M48" s="5" t="s">
        <v>156</v>
      </c>
      <c r="N48" s="12">
        <f t="shared" ref="N48:N55" si="0">B95</f>
        <v>0.1</v>
      </c>
      <c r="P48" s="12">
        <v>0.1</v>
      </c>
    </row>
    <row r="49" spans="1:16" x14ac:dyDescent="0.2">
      <c r="A49" s="4" t="s">
        <v>57</v>
      </c>
      <c r="B49" s="4">
        <v>20337265.219100099</v>
      </c>
      <c r="C49" s="4">
        <v>3280909.02840001</v>
      </c>
      <c r="D49" s="4">
        <v>1616070.8169</v>
      </c>
      <c r="E49" s="4">
        <v>2344039.7659999998</v>
      </c>
      <c r="F49" s="4">
        <v>127711.67279999801</v>
      </c>
      <c r="G49" s="4">
        <v>507556.42810000503</v>
      </c>
      <c r="H49" s="4">
        <v>73842.505600000106</v>
      </c>
      <c r="I49" s="4">
        <v>0</v>
      </c>
      <c r="J49" s="4">
        <v>0</v>
      </c>
      <c r="K49" s="4">
        <v>0</v>
      </c>
      <c r="M49" s="5" t="s">
        <v>157</v>
      </c>
      <c r="N49" s="12">
        <f t="shared" si="0"/>
        <v>0.25</v>
      </c>
      <c r="P49" s="12">
        <v>0.25</v>
      </c>
    </row>
    <row r="50" spans="1:1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M50" s="5" t="s">
        <v>158</v>
      </c>
      <c r="N50" s="12">
        <f t="shared" si="0"/>
        <v>0.2</v>
      </c>
      <c r="P50" s="12">
        <v>0.2</v>
      </c>
    </row>
    <row r="51" spans="1:16" x14ac:dyDescent="0.2">
      <c r="A51" s="3" t="s">
        <v>59</v>
      </c>
      <c r="B51" s="4"/>
      <c r="C51" s="4"/>
      <c r="D51" s="4"/>
      <c r="E51" s="4"/>
      <c r="F51" s="4"/>
      <c r="G51" s="4"/>
      <c r="H51" s="4"/>
      <c r="I51" s="4"/>
      <c r="J51" s="4"/>
      <c r="K51" s="4"/>
      <c r="M51" s="5" t="s">
        <v>159</v>
      </c>
      <c r="N51" s="12">
        <f t="shared" si="0"/>
        <v>0.1</v>
      </c>
      <c r="P51" s="12">
        <v>0.1</v>
      </c>
    </row>
    <row r="52" spans="1:16" x14ac:dyDescent="0.2">
      <c r="A52" s="4"/>
      <c r="B52" s="4" t="s">
        <v>43</v>
      </c>
      <c r="C52" s="4" t="s">
        <v>44</v>
      </c>
      <c r="D52" s="4" t="s">
        <v>45</v>
      </c>
      <c r="E52" s="4" t="s">
        <v>46</v>
      </c>
      <c r="F52" s="4" t="s">
        <v>47</v>
      </c>
      <c r="G52" s="4" t="s">
        <v>48</v>
      </c>
      <c r="H52" s="4" t="s">
        <v>49</v>
      </c>
      <c r="I52" s="4" t="s">
        <v>50</v>
      </c>
      <c r="J52" s="4" t="s">
        <v>51</v>
      </c>
      <c r="K52" s="4" t="s">
        <v>52</v>
      </c>
      <c r="M52" s="5" t="s">
        <v>160</v>
      </c>
      <c r="N52" s="12">
        <f t="shared" si="0"/>
        <v>0.05</v>
      </c>
      <c r="P52" s="12">
        <v>0.05</v>
      </c>
    </row>
    <row r="53" spans="1:16" x14ac:dyDescent="0.2">
      <c r="A53" s="4" t="s">
        <v>53</v>
      </c>
      <c r="B53" s="4">
        <v>7908645.3168000001</v>
      </c>
      <c r="C53" s="4">
        <v>851910.60639999097</v>
      </c>
      <c r="D53" s="4">
        <v>262500.14709999698</v>
      </c>
      <c r="E53" s="4">
        <v>720739.97439999902</v>
      </c>
      <c r="F53" s="4">
        <v>195796.71639999899</v>
      </c>
      <c r="G53" s="4">
        <v>28.025700000000001</v>
      </c>
      <c r="H53" s="4">
        <v>0</v>
      </c>
      <c r="I53" s="4">
        <v>0</v>
      </c>
      <c r="J53" s="4">
        <v>0</v>
      </c>
      <c r="K53" s="4">
        <v>0</v>
      </c>
      <c r="M53" s="5" t="s">
        <v>161</v>
      </c>
      <c r="N53" s="12">
        <f t="shared" si="0"/>
        <v>0.05</v>
      </c>
      <c r="P53" s="12">
        <v>0.05</v>
      </c>
    </row>
    <row r="54" spans="1:16" x14ac:dyDescent="0.2">
      <c r="A54" s="4" t="s">
        <v>54</v>
      </c>
      <c r="B54" s="4">
        <v>45051400.9409004</v>
      </c>
      <c r="C54" s="4">
        <v>7198945.9284000201</v>
      </c>
      <c r="D54" s="4">
        <v>4081192.56469998</v>
      </c>
      <c r="E54" s="4">
        <v>936444.14519999805</v>
      </c>
      <c r="F54" s="4">
        <v>328112.30899999797</v>
      </c>
      <c r="G54" s="4">
        <v>5914458.8545000199</v>
      </c>
      <c r="H54" s="4">
        <v>884262.33219999401</v>
      </c>
      <c r="I54" s="4">
        <v>0</v>
      </c>
      <c r="J54" s="4">
        <v>251324.057799998</v>
      </c>
      <c r="K54" s="4">
        <v>0</v>
      </c>
      <c r="M54" s="5" t="s">
        <v>162</v>
      </c>
      <c r="N54" s="12">
        <f t="shared" si="0"/>
        <v>0.1</v>
      </c>
      <c r="P54" s="12">
        <v>0.1</v>
      </c>
    </row>
    <row r="55" spans="1:16" x14ac:dyDescent="0.2">
      <c r="A55" s="4" t="s">
        <v>55</v>
      </c>
      <c r="B55" s="4">
        <v>44431975.6392003</v>
      </c>
      <c r="C55" s="4">
        <v>8232989.5311999703</v>
      </c>
      <c r="D55" s="4">
        <v>3713094.42310001</v>
      </c>
      <c r="E55" s="4">
        <v>12112475.825200001</v>
      </c>
      <c r="F55" s="4">
        <v>485396.09359999897</v>
      </c>
      <c r="G55" s="4">
        <v>1244815.5919000001</v>
      </c>
      <c r="H55" s="4">
        <v>251727.607400001</v>
      </c>
      <c r="I55" s="4">
        <v>0</v>
      </c>
      <c r="J55" s="4">
        <v>408740.635899999</v>
      </c>
      <c r="K55" s="4">
        <v>0</v>
      </c>
      <c r="M55" s="5" t="s">
        <v>163</v>
      </c>
      <c r="N55" s="12">
        <f t="shared" si="0"/>
        <v>0.05</v>
      </c>
      <c r="P55" s="12">
        <v>0.05</v>
      </c>
    </row>
    <row r="56" spans="1:16" x14ac:dyDescent="0.2">
      <c r="A56" s="4" t="s">
        <v>56</v>
      </c>
      <c r="B56" s="4">
        <v>50979296.517099902</v>
      </c>
      <c r="C56" s="4">
        <v>8152116.5791999698</v>
      </c>
      <c r="D56" s="4">
        <v>4478558.3396999696</v>
      </c>
      <c r="E56" s="4">
        <v>3811626.4521999899</v>
      </c>
      <c r="F56" s="4">
        <v>245008.61689999799</v>
      </c>
      <c r="G56" s="4">
        <v>6077611.5386999696</v>
      </c>
      <c r="H56" s="4">
        <v>916869.34839999699</v>
      </c>
      <c r="I56" s="4">
        <v>0</v>
      </c>
      <c r="J56" s="4">
        <v>707843.34379999898</v>
      </c>
      <c r="K56" s="4">
        <v>0</v>
      </c>
      <c r="M56" s="5" t="s">
        <v>146</v>
      </c>
      <c r="N56" s="11">
        <f>B109</f>
        <v>1583</v>
      </c>
      <c r="P56" s="11">
        <v>1583</v>
      </c>
    </row>
    <row r="57" spans="1:16" x14ac:dyDescent="0.2">
      <c r="A57" s="4" t="s">
        <v>57</v>
      </c>
      <c r="B57" s="4">
        <v>28699700.880699899</v>
      </c>
      <c r="C57" s="4">
        <v>4766698.4438999798</v>
      </c>
      <c r="D57" s="4">
        <v>2434276.1471999902</v>
      </c>
      <c r="E57" s="4">
        <v>3354206.0570999999</v>
      </c>
      <c r="F57" s="4">
        <v>149501.846599999</v>
      </c>
      <c r="G57" s="4">
        <v>615142.373300003</v>
      </c>
      <c r="H57" s="4">
        <v>92435.612500000498</v>
      </c>
      <c r="I57" s="4">
        <v>0</v>
      </c>
      <c r="J57" s="4">
        <v>0</v>
      </c>
      <c r="K57" s="4">
        <v>0</v>
      </c>
      <c r="M57" s="5" t="s">
        <v>147</v>
      </c>
      <c r="N57" s="11">
        <f>B110</f>
        <v>9299150</v>
      </c>
      <c r="P57" s="11">
        <v>9299150</v>
      </c>
    </row>
    <row r="58" spans="1:1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M58" s="1" t="s">
        <v>149</v>
      </c>
      <c r="N58" s="11">
        <f>N24*B108/B109</f>
        <v>3474288.2923923833</v>
      </c>
      <c r="P58" s="11">
        <v>3474288.2923900001</v>
      </c>
    </row>
    <row r="59" spans="1:16" x14ac:dyDescent="0.2">
      <c r="A59" s="3" t="s">
        <v>60</v>
      </c>
      <c r="B59" s="4"/>
      <c r="C59" s="4"/>
      <c r="D59" s="4"/>
      <c r="E59" s="4"/>
      <c r="F59" s="4"/>
      <c r="G59" s="4"/>
      <c r="H59" s="4"/>
      <c r="I59" s="4"/>
      <c r="J59" s="4"/>
      <c r="K59" s="4"/>
      <c r="M59" s="1" t="s">
        <v>150</v>
      </c>
      <c r="N59" s="17">
        <f>(B32*D32)/B110/3*60+(B33*D33)/B110/12*60+SUM(G3:H17)*60/B110</f>
        <v>10.263243626890629</v>
      </c>
      <c r="P59" s="17">
        <v>10.2632436269</v>
      </c>
    </row>
    <row r="60" spans="1:16" x14ac:dyDescent="0.2">
      <c r="A60" s="4">
        <v>156953.26697879101</v>
      </c>
      <c r="B60" s="4"/>
      <c r="C60" s="4"/>
      <c r="D60" s="4"/>
      <c r="E60" s="4"/>
      <c r="F60" s="4"/>
      <c r="G60" s="4"/>
      <c r="H60" s="4"/>
      <c r="I60" s="4"/>
      <c r="J60" s="4"/>
      <c r="K60" s="4"/>
      <c r="M60" s="1" t="s">
        <v>151</v>
      </c>
      <c r="N60" s="17">
        <f>N59*0.62/30*B110</f>
        <v>1972415.1341086666</v>
      </c>
      <c r="P60" s="17">
        <v>1972415.13411</v>
      </c>
    </row>
    <row r="61" spans="1:1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M61" s="1" t="s">
        <v>152</v>
      </c>
      <c r="N61" s="17">
        <f>SUM(D3:D17)/SUM(B3:B17)</f>
        <v>0.37509263963129436</v>
      </c>
      <c r="P61" s="17">
        <v>0.37509263963099998</v>
      </c>
    </row>
    <row r="62" spans="1:16" x14ac:dyDescent="0.2">
      <c r="A62" s="4"/>
      <c r="B62" s="4" t="s">
        <v>61</v>
      </c>
      <c r="C62" s="4"/>
      <c r="D62" s="4"/>
      <c r="E62" s="4"/>
      <c r="F62" s="4"/>
      <c r="G62" s="4"/>
      <c r="H62" s="4"/>
      <c r="I62" s="4"/>
      <c r="J62" s="4"/>
      <c r="K62" s="4"/>
      <c r="M62" s="1" t="s">
        <v>154</v>
      </c>
      <c r="N62" s="11">
        <f>N23</f>
        <v>24578408.09</v>
      </c>
      <c r="P62" s="11">
        <v>24578408.09</v>
      </c>
    </row>
    <row r="63" spans="1:16" x14ac:dyDescent="0.2">
      <c r="A63" s="4" t="s">
        <v>62</v>
      </c>
      <c r="B63" s="4">
        <v>1.37022810882491</v>
      </c>
      <c r="C63" s="4"/>
      <c r="D63" s="4"/>
      <c r="E63" s="4"/>
      <c r="F63" s="4"/>
      <c r="G63" s="4"/>
      <c r="H63" s="4"/>
      <c r="I63" s="4"/>
      <c r="J63" s="4"/>
      <c r="K63" s="4"/>
      <c r="P63" s="12"/>
    </row>
    <row r="64" spans="1:16" x14ac:dyDescent="0.2">
      <c r="A64" s="4" t="s">
        <v>63</v>
      </c>
      <c r="B64" s="4">
        <v>107.370842554904</v>
      </c>
      <c r="C64" s="4"/>
      <c r="D64" s="4"/>
      <c r="E64" s="4"/>
      <c r="F64" s="4"/>
      <c r="G64" s="4"/>
      <c r="H64" s="4"/>
      <c r="I64" s="4"/>
      <c r="J64" s="4"/>
      <c r="K64" s="4"/>
      <c r="P64" s="12"/>
    </row>
    <row r="65" spans="1:16" x14ac:dyDescent="0.2">
      <c r="A65" s="4" t="s">
        <v>64</v>
      </c>
      <c r="B65" s="4">
        <v>193.25677359934701</v>
      </c>
      <c r="C65" s="4"/>
      <c r="D65" s="4"/>
      <c r="E65" s="4"/>
      <c r="F65" s="4"/>
      <c r="G65" s="4"/>
      <c r="H65" s="4"/>
      <c r="I65" s="4"/>
      <c r="J65" s="4"/>
      <c r="K65" s="4"/>
      <c r="P65" s="12"/>
    </row>
    <row r="66" spans="1:16" x14ac:dyDescent="0.2">
      <c r="A66" s="4" t="s">
        <v>65</v>
      </c>
      <c r="B66" s="4">
        <v>0.33932157744688701</v>
      </c>
      <c r="C66" s="4"/>
      <c r="D66" s="4"/>
      <c r="E66" s="4"/>
      <c r="F66" s="4"/>
      <c r="G66" s="4"/>
      <c r="H66" s="4"/>
      <c r="I66" s="4"/>
      <c r="J66" s="4"/>
      <c r="K66" s="4"/>
      <c r="P66" s="12"/>
    </row>
    <row r="67" spans="1:16" x14ac:dyDescent="0.2">
      <c r="A67" s="4" t="s">
        <v>66</v>
      </c>
      <c r="B67" s="4">
        <v>8.9322148778973798</v>
      </c>
      <c r="C67" s="4"/>
      <c r="D67" s="4"/>
      <c r="E67" s="4"/>
      <c r="F67" s="4"/>
      <c r="G67" s="4"/>
      <c r="H67" s="4"/>
      <c r="I67" s="4"/>
      <c r="J67" s="4"/>
      <c r="K67" s="4"/>
      <c r="P67" s="11"/>
    </row>
    <row r="68" spans="1:16" x14ac:dyDescent="0.2">
      <c r="A68" s="4" t="s">
        <v>67</v>
      </c>
      <c r="B68" s="4">
        <v>5.9690536212971698E-2</v>
      </c>
      <c r="C68" s="4"/>
      <c r="D68" s="4"/>
      <c r="E68" s="4"/>
      <c r="F68" s="4"/>
      <c r="G68" s="4"/>
      <c r="H68" s="4"/>
      <c r="I68" s="4"/>
      <c r="J68" s="4"/>
      <c r="K68" s="4"/>
      <c r="P68" s="11"/>
    </row>
    <row r="69" spans="1:16" x14ac:dyDescent="0.2">
      <c r="A69" s="4" t="s">
        <v>68</v>
      </c>
      <c r="B69" s="4">
        <v>8.1134735452513809</v>
      </c>
      <c r="C69" s="4"/>
      <c r="D69" s="4"/>
      <c r="E69" s="4"/>
      <c r="F69" s="4"/>
      <c r="G69" s="4"/>
      <c r="H69" s="4"/>
      <c r="I69" s="4"/>
      <c r="J69" s="4"/>
      <c r="K69" s="4"/>
      <c r="P69" s="11"/>
    </row>
    <row r="70" spans="1:1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P70" s="17"/>
    </row>
    <row r="71" spans="1:16" x14ac:dyDescent="0.2">
      <c r="A71" s="4"/>
      <c r="B71" s="4" t="s">
        <v>69</v>
      </c>
      <c r="C71" s="4"/>
      <c r="D71" s="4"/>
      <c r="E71" s="4"/>
      <c r="F71" s="4"/>
      <c r="G71" s="4"/>
      <c r="H71" s="4"/>
      <c r="I71" s="4"/>
      <c r="J71" s="4"/>
      <c r="K71" s="4"/>
      <c r="P71" s="17"/>
    </row>
    <row r="72" spans="1:16" x14ac:dyDescent="0.2">
      <c r="A72" s="4" t="s">
        <v>70</v>
      </c>
      <c r="B72" s="4">
        <v>2.18806437959624</v>
      </c>
      <c r="C72" s="4"/>
      <c r="D72" s="4"/>
      <c r="E72" s="4"/>
      <c r="F72" s="4"/>
      <c r="G72" s="4"/>
      <c r="H72" s="4"/>
      <c r="I72" s="4"/>
      <c r="J72" s="4"/>
      <c r="K72" s="4"/>
      <c r="P72" s="17"/>
    </row>
    <row r="73" spans="1:16" x14ac:dyDescent="0.2">
      <c r="A73" s="4" t="s">
        <v>71</v>
      </c>
      <c r="B73" s="4">
        <v>19.629823507055299</v>
      </c>
      <c r="C73" s="4"/>
      <c r="D73" s="4"/>
      <c r="E73" s="4"/>
      <c r="F73" s="4"/>
      <c r="G73" s="4"/>
      <c r="H73" s="4"/>
      <c r="I73" s="4"/>
      <c r="J73" s="4"/>
      <c r="K73" s="4"/>
      <c r="P73" s="11"/>
    </row>
    <row r="74" spans="1:16" x14ac:dyDescent="0.2">
      <c r="A74" s="4" t="s">
        <v>72</v>
      </c>
      <c r="B74" s="4">
        <v>1.0702908663603301</v>
      </c>
      <c r="C74" s="4"/>
      <c r="D74" s="4"/>
      <c r="E74" s="4"/>
      <c r="F74" s="4"/>
      <c r="G74" s="4"/>
      <c r="H74" s="4"/>
      <c r="I74" s="4"/>
      <c r="J74" s="4"/>
      <c r="K74" s="4"/>
    </row>
    <row r="75" spans="1:16" x14ac:dyDescent="0.2">
      <c r="A75" s="4" t="s">
        <v>73</v>
      </c>
      <c r="B75" s="4">
        <v>20.7359926488909</v>
      </c>
      <c r="C75" s="4"/>
      <c r="D75" s="4"/>
      <c r="E75" s="4"/>
      <c r="F75" s="4"/>
      <c r="G75" s="4"/>
      <c r="H75" s="4"/>
      <c r="I75" s="4"/>
      <c r="J75" s="4"/>
      <c r="K75" s="4"/>
    </row>
    <row r="76" spans="1:16" x14ac:dyDescent="0.2">
      <c r="A76" s="4" t="s">
        <v>74</v>
      </c>
      <c r="B76" s="4">
        <v>71906.338269649394</v>
      </c>
      <c r="C76" s="4"/>
      <c r="D76" s="4"/>
      <c r="E76" s="4"/>
      <c r="F76" s="4"/>
      <c r="G76" s="4"/>
      <c r="H76" s="4"/>
      <c r="I76" s="4"/>
      <c r="J76" s="4"/>
      <c r="K76" s="4"/>
    </row>
    <row r="77" spans="1:16" x14ac:dyDescent="0.2">
      <c r="A77" s="4" t="s">
        <v>75</v>
      </c>
      <c r="B77" s="4">
        <v>0.90861476865587398</v>
      </c>
      <c r="C77" s="4"/>
      <c r="D77" s="4"/>
      <c r="E77" s="4"/>
      <c r="F77" s="4"/>
      <c r="G77" s="4"/>
      <c r="H77" s="4"/>
      <c r="I77" s="4"/>
      <c r="J77" s="4"/>
      <c r="K77" s="4"/>
    </row>
    <row r="78" spans="1:16" x14ac:dyDescent="0.2">
      <c r="A78" s="4" t="s">
        <v>76</v>
      </c>
      <c r="B78" s="4">
        <v>1.8803802134038199</v>
      </c>
      <c r="C78" s="4"/>
      <c r="D78" s="4"/>
      <c r="E78" s="4"/>
      <c r="F78" s="4"/>
      <c r="G78" s="4"/>
      <c r="H78" s="4"/>
      <c r="I78" s="4"/>
      <c r="J78" s="4"/>
      <c r="K78" s="4"/>
    </row>
    <row r="79" spans="1:16" x14ac:dyDescent="0.2">
      <c r="A79" s="4" t="s">
        <v>77</v>
      </c>
      <c r="B79" s="4">
        <v>0.496162578412634</v>
      </c>
      <c r="C79" s="4"/>
      <c r="D79" s="4"/>
      <c r="E79" s="4"/>
      <c r="F79" s="4"/>
      <c r="G79" s="4"/>
      <c r="H79" s="4"/>
      <c r="I79" s="4"/>
      <c r="J79" s="4"/>
      <c r="K79" s="4"/>
    </row>
    <row r="80" spans="1:16" x14ac:dyDescent="0.2">
      <c r="A80" s="4" t="s">
        <v>78</v>
      </c>
      <c r="B80" s="4">
        <v>4.4208021352275501E-2</v>
      </c>
      <c r="C80" s="4"/>
      <c r="D80" s="4"/>
      <c r="E80" s="4"/>
      <c r="F80" s="4"/>
      <c r="G80" s="4"/>
      <c r="H80" s="4"/>
      <c r="I80" s="4"/>
      <c r="J80" s="4"/>
      <c r="K80" s="4"/>
    </row>
    <row r="81" spans="1:11" x14ac:dyDescent="0.2">
      <c r="A81" s="4" t="s">
        <v>79</v>
      </c>
      <c r="B81" s="4">
        <v>0.20076595851640999</v>
      </c>
      <c r="C81" s="4"/>
      <c r="D81" s="4"/>
      <c r="E81" s="4"/>
      <c r="F81" s="4"/>
      <c r="G81" s="4"/>
      <c r="H81" s="4"/>
      <c r="I81" s="4"/>
      <c r="J81" s="4"/>
      <c r="K81" s="4"/>
    </row>
    <row r="82" spans="1:11" x14ac:dyDescent="0.2">
      <c r="A82" s="4" t="s">
        <v>80</v>
      </c>
      <c r="B82" s="4">
        <v>0.104112864794409</v>
      </c>
      <c r="C82" s="4"/>
      <c r="D82" s="4"/>
      <c r="E82" s="4"/>
      <c r="F82" s="4"/>
      <c r="G82" s="4"/>
      <c r="H82" s="4"/>
      <c r="I82" s="4"/>
      <c r="J82" s="4"/>
      <c r="K82" s="4"/>
    </row>
    <row r="83" spans="1:11" x14ac:dyDescent="0.2">
      <c r="A83" s="4" t="s">
        <v>81</v>
      </c>
      <c r="B83" s="4">
        <v>0.269253561223116</v>
      </c>
      <c r="C83" s="4"/>
      <c r="D83" s="4"/>
      <c r="E83" s="4"/>
      <c r="F83" s="4"/>
      <c r="G83" s="4"/>
      <c r="H83" s="4"/>
      <c r="I83" s="4"/>
      <c r="J83" s="4"/>
      <c r="K83" s="4"/>
    </row>
    <row r="84" spans="1:11" x14ac:dyDescent="0.2">
      <c r="A84" s="4" t="s">
        <v>82</v>
      </c>
      <c r="B84" s="4">
        <v>7.5395713704223404</v>
      </c>
      <c r="C84" s="4"/>
      <c r="D84" s="4"/>
      <c r="E84" s="4"/>
      <c r="F84" s="4"/>
      <c r="G84" s="4"/>
      <c r="H84" s="4"/>
      <c r="I84" s="4"/>
      <c r="J84" s="4"/>
      <c r="K84" s="4"/>
    </row>
    <row r="85" spans="1:11" x14ac:dyDescent="0.2">
      <c r="A85" s="4" t="s">
        <v>83</v>
      </c>
      <c r="B85" s="4">
        <v>3.2214633866945102</v>
      </c>
      <c r="C85" s="4"/>
      <c r="D85" s="4"/>
      <c r="E85" s="4"/>
      <c r="F85" s="4"/>
      <c r="G85" s="4"/>
      <c r="H85" s="4"/>
      <c r="I85" s="4"/>
      <c r="J85" s="4"/>
      <c r="K85" s="4"/>
    </row>
    <row r="88" spans="1:11" x14ac:dyDescent="0.2">
      <c r="A88" s="9" t="s">
        <v>122</v>
      </c>
    </row>
    <row r="89" spans="1:11" x14ac:dyDescent="0.2">
      <c r="A89" s="4" t="s">
        <v>123</v>
      </c>
      <c r="B89" s="4" t="s">
        <v>124</v>
      </c>
    </row>
    <row r="90" spans="1:11" x14ac:dyDescent="0.2">
      <c r="A90" s="4" t="s">
        <v>125</v>
      </c>
      <c r="B90" s="4" t="s">
        <v>126</v>
      </c>
    </row>
    <row r="91" spans="1:11" x14ac:dyDescent="0.2">
      <c r="A91" s="4" t="s">
        <v>127</v>
      </c>
      <c r="B91" s="4" t="s">
        <v>128</v>
      </c>
    </row>
    <row r="92" spans="1:11" x14ac:dyDescent="0.2">
      <c r="A92" s="4" t="s">
        <v>129</v>
      </c>
      <c r="B92" s="4" t="s">
        <v>130</v>
      </c>
    </row>
    <row r="93" spans="1:11" x14ac:dyDescent="0.2">
      <c r="A93" s="4" t="s">
        <v>131</v>
      </c>
      <c r="B93" s="4" t="s">
        <v>132</v>
      </c>
    </row>
    <row r="94" spans="1:11" x14ac:dyDescent="0.2">
      <c r="A94" s="4" t="s">
        <v>133</v>
      </c>
      <c r="B94" s="4">
        <v>0.1</v>
      </c>
    </row>
    <row r="95" spans="1:11" x14ac:dyDescent="0.2">
      <c r="A95" s="4" t="s">
        <v>134</v>
      </c>
      <c r="B95" s="4">
        <v>0.1</v>
      </c>
    </row>
    <row r="96" spans="1:11" x14ac:dyDescent="0.2">
      <c r="A96" s="4" t="s">
        <v>135</v>
      </c>
      <c r="B96" s="4">
        <v>0.25</v>
      </c>
    </row>
    <row r="97" spans="1:2" x14ac:dyDescent="0.2">
      <c r="A97" s="4" t="s">
        <v>136</v>
      </c>
      <c r="B97" s="4">
        <v>0.2</v>
      </c>
    </row>
    <row r="98" spans="1:2" x14ac:dyDescent="0.2">
      <c r="A98" s="4" t="s">
        <v>137</v>
      </c>
      <c r="B98" s="4">
        <v>0.1</v>
      </c>
    </row>
    <row r="99" spans="1:2" x14ac:dyDescent="0.2">
      <c r="A99" s="4" t="s">
        <v>138</v>
      </c>
      <c r="B99" s="4">
        <v>0.05</v>
      </c>
    </row>
    <row r="100" spans="1:2" x14ac:dyDescent="0.2">
      <c r="A100" s="4" t="s">
        <v>139</v>
      </c>
      <c r="B100" s="4">
        <v>0.05</v>
      </c>
    </row>
    <row r="101" spans="1:2" x14ac:dyDescent="0.2">
      <c r="A101" s="4" t="s">
        <v>140</v>
      </c>
      <c r="B101" s="4">
        <v>0.1</v>
      </c>
    </row>
    <row r="102" spans="1:2" x14ac:dyDescent="0.2">
      <c r="A102" s="4" t="s">
        <v>141</v>
      </c>
      <c r="B102" s="4">
        <v>0.05</v>
      </c>
    </row>
    <row r="103" spans="1:2" x14ac:dyDescent="0.2">
      <c r="A103" s="4" t="s">
        <v>142</v>
      </c>
      <c r="B103" s="4">
        <v>0</v>
      </c>
    </row>
    <row r="104" spans="1:2" x14ac:dyDescent="0.2">
      <c r="A104" s="4" t="s">
        <v>143</v>
      </c>
      <c r="B104" s="4">
        <v>134639000</v>
      </c>
    </row>
    <row r="105" spans="1:2" x14ac:dyDescent="0.2">
      <c r="A105" s="4" t="s">
        <v>144</v>
      </c>
      <c r="B105" s="4">
        <v>20</v>
      </c>
    </row>
    <row r="106" spans="1:2" x14ac:dyDescent="0.2">
      <c r="A106" s="4" t="s">
        <v>145</v>
      </c>
      <c r="B106" s="4">
        <v>0</v>
      </c>
    </row>
    <row r="107" spans="1:2" x14ac:dyDescent="0.2">
      <c r="A107" s="10"/>
      <c r="B107" s="10"/>
    </row>
    <row r="108" spans="1:2" x14ac:dyDescent="0.2">
      <c r="A108" s="10" t="s">
        <v>148</v>
      </c>
      <c r="B108" s="10">
        <v>300</v>
      </c>
    </row>
    <row r="109" spans="1:2" x14ac:dyDescent="0.2">
      <c r="A109" s="1" t="s">
        <v>146</v>
      </c>
      <c r="B109" s="1">
        <v>1583</v>
      </c>
    </row>
    <row r="110" spans="1:2" x14ac:dyDescent="0.2">
      <c r="A110" s="1" t="s">
        <v>147</v>
      </c>
      <c r="B110" s="1">
        <v>9299150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2"/>
  <sheetViews>
    <sheetView tabSelected="1" workbookViewId="0">
      <pane ySplit="2" topLeftCell="A47" activePane="bottomLeft" state="frozen"/>
      <selection pane="bottomLeft" activeCell="D71" sqref="D71"/>
    </sheetView>
  </sheetViews>
  <sheetFormatPr defaultRowHeight="12.75" x14ac:dyDescent="0.2"/>
  <cols>
    <col min="1" max="1" width="9.140625" style="1"/>
    <col min="2" max="2" width="19.140625" style="1" customWidth="1"/>
    <col min="3" max="3" width="16.42578125" style="1" bestFit="1" customWidth="1"/>
    <col min="4" max="4" width="19.5703125" style="1" bestFit="1" customWidth="1"/>
    <col min="5" max="5" width="2.42578125" style="1" customWidth="1"/>
    <col min="6" max="6" width="12.7109375" style="1" customWidth="1"/>
    <col min="7" max="7" width="14.42578125" style="1" bestFit="1" customWidth="1"/>
    <col min="8" max="8" width="9.140625" style="1"/>
    <col min="9" max="9" width="15.140625" style="1" bestFit="1" customWidth="1"/>
    <col min="10" max="16384" width="9.140625" style="1"/>
  </cols>
  <sheetData>
    <row r="2" spans="1:28" ht="25.5" x14ac:dyDescent="0.2">
      <c r="B2" s="1" t="s">
        <v>84</v>
      </c>
      <c r="C2" s="2" t="s">
        <v>126</v>
      </c>
      <c r="D2" s="2" t="s">
        <v>128</v>
      </c>
      <c r="E2" s="2"/>
      <c r="F2" s="2" t="s">
        <v>168</v>
      </c>
      <c r="G2" s="2" t="s">
        <v>167</v>
      </c>
      <c r="H2" s="26" t="s">
        <v>170</v>
      </c>
      <c r="I2" s="26" t="s">
        <v>172</v>
      </c>
    </row>
    <row r="3" spans="1:28" x14ac:dyDescent="0.2">
      <c r="A3" s="25">
        <v>0</v>
      </c>
      <c r="B3" s="5" t="s">
        <v>85</v>
      </c>
      <c r="C3" s="18">
        <f>'2040_03_116_pave'!$N3</f>
        <v>3458597.936068322</v>
      </c>
      <c r="D3" s="18">
        <f>'2040_03_116_paveSGR'!$N3</f>
        <v>3511651.3659383315</v>
      </c>
      <c r="E3" s="7"/>
      <c r="F3" s="27">
        <f>D3-C3</f>
        <v>53053.429870009422</v>
      </c>
      <c r="G3" s="27">
        <f>F3*annualization</f>
        <v>15916028.961002827</v>
      </c>
      <c r="H3" s="1">
        <v>-16.03</v>
      </c>
      <c r="I3" s="29">
        <f>H3*G3</f>
        <v>-255133944.24487534</v>
      </c>
    </row>
    <row r="4" spans="1:28" x14ac:dyDescent="0.2">
      <c r="A4" s="25">
        <v>1</v>
      </c>
      <c r="B4" s="5" t="s">
        <v>86</v>
      </c>
      <c r="C4" s="18">
        <f>'2040_03_116_pave'!$N4</f>
        <v>1136882.6724566636</v>
      </c>
      <c r="D4" s="18">
        <f>'2040_03_116_paveSGR'!$N4</f>
        <v>1135909.5364566629</v>
      </c>
      <c r="E4" s="7"/>
      <c r="F4" s="27">
        <f t="shared" ref="F4:F62" si="0">D4-C4</f>
        <v>-973.13600000063889</v>
      </c>
      <c r="G4" s="27">
        <f>F4*annualization</f>
        <v>-291940.80000019167</v>
      </c>
      <c r="H4" s="1">
        <v>-16.03</v>
      </c>
      <c r="I4" s="29">
        <f t="shared" ref="I4:I5" si="1">H4*G4</f>
        <v>4679811.0240030726</v>
      </c>
    </row>
    <row r="5" spans="1:28" x14ac:dyDescent="0.2">
      <c r="A5" s="25">
        <v>2</v>
      </c>
      <c r="B5" s="5" t="s">
        <v>87</v>
      </c>
      <c r="C5" s="18">
        <f>'2040_03_116_pave'!$N5</f>
        <v>932767.39931666467</v>
      </c>
      <c r="D5" s="18">
        <f>'2040_03_116_paveSGR'!$N5</f>
        <v>926299.20175916387</v>
      </c>
      <c r="E5" s="7"/>
      <c r="F5" s="27">
        <f t="shared" si="0"/>
        <v>-6468.1975575007964</v>
      </c>
      <c r="G5" s="27">
        <f>F5*annualization</f>
        <v>-1940459.2672502389</v>
      </c>
      <c r="H5" s="1">
        <v>-16.03</v>
      </c>
      <c r="I5" s="29">
        <f t="shared" si="1"/>
        <v>31105562.054021332</v>
      </c>
    </row>
    <row r="6" spans="1:28" x14ac:dyDescent="0.2">
      <c r="A6" s="25">
        <v>3</v>
      </c>
      <c r="B6" s="5" t="s">
        <v>88</v>
      </c>
      <c r="C6" s="18">
        <f>'2040_03_116_pave'!$N6</f>
        <v>426702.27806333214</v>
      </c>
      <c r="D6" s="18">
        <f>'2040_03_116_paveSGR'!$N6</f>
        <v>426956.37005666562</v>
      </c>
      <c r="E6" s="7"/>
      <c r="F6" s="27">
        <f t="shared" si="0"/>
        <v>254.09199333348079</v>
      </c>
      <c r="G6" s="27">
        <f>F6*annualization</f>
        <v>76227.598000044236</v>
      </c>
      <c r="H6" s="1">
        <v>-26.24</v>
      </c>
      <c r="I6" s="29">
        <f>H6*G6</f>
        <v>-2000212.1715211605</v>
      </c>
      <c r="W6" s="1">
        <v>0</v>
      </c>
      <c r="X6" s="1">
        <v>0</v>
      </c>
      <c r="Y6" s="1">
        <v>-1.1999999999999999E-3</v>
      </c>
      <c r="Z6" s="1">
        <v>-1.4999999999999999E-2</v>
      </c>
      <c r="AA6" s="1">
        <v>0</v>
      </c>
      <c r="AB6" s="1" t="s">
        <v>171</v>
      </c>
    </row>
    <row r="7" spans="1:28" x14ac:dyDescent="0.2">
      <c r="A7" s="25"/>
      <c r="B7" s="5" t="s">
        <v>40</v>
      </c>
      <c r="C7" s="18"/>
      <c r="D7" s="18"/>
      <c r="E7" s="7"/>
      <c r="F7" s="7"/>
      <c r="G7" s="7"/>
    </row>
    <row r="8" spans="1:28" x14ac:dyDescent="0.2">
      <c r="A8" s="25"/>
      <c r="B8" s="5" t="s">
        <v>41</v>
      </c>
      <c r="C8" s="18"/>
      <c r="D8" s="18"/>
      <c r="E8" s="7"/>
      <c r="F8" s="7"/>
      <c r="G8" s="7"/>
    </row>
    <row r="9" spans="1:28" x14ac:dyDescent="0.2">
      <c r="A9" s="25"/>
      <c r="B9" s="1" t="s">
        <v>89</v>
      </c>
      <c r="C9" s="18"/>
      <c r="D9" s="18"/>
      <c r="E9" s="7"/>
      <c r="F9" s="7"/>
      <c r="G9" s="7"/>
    </row>
    <row r="10" spans="1:28" x14ac:dyDescent="0.2">
      <c r="A10" s="25">
        <v>4</v>
      </c>
      <c r="B10" s="5" t="s">
        <v>90</v>
      </c>
      <c r="C10" s="18">
        <f>'2040_03_116_pave'!$N10</f>
        <v>138266.01550665387</v>
      </c>
      <c r="D10" s="18">
        <f>'2040_03_116_paveSGR'!$N10</f>
        <v>142908.17886760941</v>
      </c>
      <c r="E10" s="7"/>
      <c r="F10" s="27">
        <f t="shared" si="0"/>
        <v>4642.1633609555429</v>
      </c>
      <c r="G10" s="27">
        <f>F10*annualization</f>
        <v>1392649.0082866629</v>
      </c>
      <c r="H10" s="1">
        <v>-16.03</v>
      </c>
      <c r="I10" s="29">
        <f t="shared" ref="I10:I11" si="2">H10*G10</f>
        <v>-22324163.602835208</v>
      </c>
    </row>
    <row r="11" spans="1:28" x14ac:dyDescent="0.2">
      <c r="A11" s="25">
        <v>5</v>
      </c>
      <c r="B11" s="5" t="s">
        <v>91</v>
      </c>
      <c r="C11" s="18">
        <f>'2040_03_116_pave'!$N11</f>
        <v>13741.19385967314</v>
      </c>
      <c r="D11" s="18">
        <f>'2040_03_116_paveSGR'!$N11</f>
        <v>14045.088111181574</v>
      </c>
      <c r="E11" s="7"/>
      <c r="F11" s="27">
        <f t="shared" si="0"/>
        <v>303.89425150843454</v>
      </c>
      <c r="G11" s="27">
        <f>F11*annualization</f>
        <v>91168.275452530361</v>
      </c>
      <c r="H11" s="1">
        <v>-26.24</v>
      </c>
      <c r="I11" s="29">
        <f t="shared" si="2"/>
        <v>-2392255.5478743967</v>
      </c>
    </row>
    <row r="12" spans="1:28" x14ac:dyDescent="0.2">
      <c r="A12" s="25"/>
      <c r="B12" s="1" t="s">
        <v>97</v>
      </c>
      <c r="C12" s="18"/>
      <c r="D12" s="18"/>
      <c r="E12" s="7"/>
      <c r="F12" s="7"/>
      <c r="G12" s="7"/>
    </row>
    <row r="13" spans="1:28" x14ac:dyDescent="0.2">
      <c r="A13" s="25">
        <v>6</v>
      </c>
      <c r="B13" s="5" t="s">
        <v>92</v>
      </c>
      <c r="C13" s="18">
        <f>'2040_03_116_pave'!$N13</f>
        <v>53327.960000000006</v>
      </c>
      <c r="D13" s="18">
        <f>'2040_03_116_paveSGR'!$N13</f>
        <v>52666.3</v>
      </c>
      <c r="E13" s="7"/>
      <c r="F13" s="27">
        <f t="shared" si="0"/>
        <v>-661.66000000000349</v>
      </c>
      <c r="G13" s="27">
        <f>F13*annualization</f>
        <v>-198498.00000000105</v>
      </c>
      <c r="H13" s="1">
        <v>-16.03</v>
      </c>
      <c r="I13" s="29">
        <f t="shared" ref="I13:I17" si="3">H13*G13</f>
        <v>3181922.9400000172</v>
      </c>
    </row>
    <row r="14" spans="1:28" x14ac:dyDescent="0.2">
      <c r="A14" s="25">
        <v>7</v>
      </c>
      <c r="B14" s="5" t="s">
        <v>93</v>
      </c>
      <c r="C14" s="18">
        <f>'2040_03_116_pave'!$N14</f>
        <v>267045.32999999996</v>
      </c>
      <c r="D14" s="18">
        <f>'2040_03_116_paveSGR'!$N14</f>
        <v>263765.64</v>
      </c>
      <c r="E14" s="7"/>
      <c r="F14" s="27">
        <f t="shared" si="0"/>
        <v>-3279.6899999999441</v>
      </c>
      <c r="G14" s="27">
        <f>F14*annualization</f>
        <v>-983906.99999998324</v>
      </c>
      <c r="H14" s="1">
        <v>-16.03</v>
      </c>
      <c r="I14" s="29">
        <f t="shared" si="3"/>
        <v>15772029.209999733</v>
      </c>
    </row>
    <row r="15" spans="1:28" x14ac:dyDescent="0.2">
      <c r="A15" s="25">
        <v>8</v>
      </c>
      <c r="B15" s="5" t="s">
        <v>96</v>
      </c>
      <c r="C15" s="18">
        <f>'2040_03_116_pave'!$N15</f>
        <v>58724.95</v>
      </c>
      <c r="D15" s="18">
        <f>'2040_03_116_paveSGR'!$N15</f>
        <v>58256.889999999992</v>
      </c>
      <c r="E15" s="7"/>
      <c r="F15" s="27">
        <f t="shared" si="0"/>
        <v>-468.06000000000495</v>
      </c>
      <c r="G15" s="27">
        <f>F15*annualization</f>
        <v>-140418.00000000148</v>
      </c>
      <c r="H15" s="1">
        <v>-16.03</v>
      </c>
      <c r="I15" s="29">
        <f t="shared" si="3"/>
        <v>2250900.5400000238</v>
      </c>
    </row>
    <row r="16" spans="1:28" x14ac:dyDescent="0.2">
      <c r="A16" s="25">
        <v>9</v>
      </c>
      <c r="B16" s="5" t="s">
        <v>94</v>
      </c>
      <c r="C16" s="18">
        <f>'2040_03_116_pave'!$N16</f>
        <v>164549.65000000002</v>
      </c>
      <c r="D16" s="18">
        <f>'2040_03_116_paveSGR'!$N16</f>
        <v>162697.58000000002</v>
      </c>
      <c r="E16" s="7"/>
      <c r="F16" s="27">
        <f t="shared" si="0"/>
        <v>-1852.070000000007</v>
      </c>
      <c r="G16" s="27">
        <f>F16*annualization</f>
        <v>-555621.0000000021</v>
      </c>
      <c r="H16" s="1">
        <v>-16.03</v>
      </c>
      <c r="I16" s="29">
        <f t="shared" si="3"/>
        <v>8906604.6300000343</v>
      </c>
    </row>
    <row r="17" spans="1:9" x14ac:dyDescent="0.2">
      <c r="A17" s="25">
        <v>10</v>
      </c>
      <c r="B17" s="5" t="s">
        <v>95</v>
      </c>
      <c r="C17" s="18">
        <f>'2040_03_116_pave'!$N17</f>
        <v>209703.52</v>
      </c>
      <c r="D17" s="18">
        <f>'2040_03_116_paveSGR'!$N17</f>
        <v>207915.6</v>
      </c>
      <c r="E17" s="7"/>
      <c r="F17" s="27">
        <f t="shared" si="0"/>
        <v>-1787.9199999999837</v>
      </c>
      <c r="G17" s="27">
        <f>F17*annualization</f>
        <v>-536375.99999999511</v>
      </c>
      <c r="H17" s="1">
        <v>-16.03</v>
      </c>
      <c r="I17" s="29">
        <f t="shared" si="3"/>
        <v>8598107.279999923</v>
      </c>
    </row>
    <row r="18" spans="1:9" x14ac:dyDescent="0.2">
      <c r="A18" s="25"/>
      <c r="B18" s="1" t="s">
        <v>98</v>
      </c>
      <c r="C18" s="18"/>
      <c r="D18" s="18"/>
      <c r="E18" s="7"/>
      <c r="F18" s="7"/>
      <c r="G18" s="7"/>
    </row>
    <row r="19" spans="1:9" x14ac:dyDescent="0.2">
      <c r="A19" s="25">
        <v>11</v>
      </c>
      <c r="B19" s="5" t="s">
        <v>99</v>
      </c>
      <c r="C19" s="18">
        <f>'2040_03_116_pave'!$N19</f>
        <v>443537.69999999995</v>
      </c>
      <c r="D19" s="18">
        <f>'2040_03_116_paveSGR'!$N19</f>
        <v>439149.06999999995</v>
      </c>
      <c r="E19" s="7"/>
      <c r="F19" s="27">
        <f t="shared" si="0"/>
        <v>-4388.6300000000047</v>
      </c>
      <c r="G19" s="27">
        <f>F19*annualization</f>
        <v>-1316589.0000000014</v>
      </c>
      <c r="H19" s="1">
        <v>-35.265999999999998</v>
      </c>
      <c r="I19" s="29">
        <f t="shared" ref="I19:I21" si="4">H19*G19</f>
        <v>46430827.674000047</v>
      </c>
    </row>
    <row r="20" spans="1:9" x14ac:dyDescent="0.2">
      <c r="A20" s="25">
        <v>12</v>
      </c>
      <c r="B20" s="5" t="s">
        <v>100</v>
      </c>
      <c r="C20" s="18">
        <f>'2040_03_116_pave'!$N20</f>
        <v>60373.079999999994</v>
      </c>
      <c r="D20" s="18">
        <f>'2040_03_116_paveSGR'!$N20</f>
        <v>59178.159999999996</v>
      </c>
      <c r="E20" s="7"/>
      <c r="F20" s="27">
        <f t="shared" si="0"/>
        <v>-1194.9199999999983</v>
      </c>
      <c r="G20" s="27">
        <f>F20*annualization</f>
        <v>-358475.99999999948</v>
      </c>
      <c r="H20" s="1">
        <v>-35.265999999999998</v>
      </c>
      <c r="I20" s="29">
        <f t="shared" si="4"/>
        <v>12642014.615999982</v>
      </c>
    </row>
    <row r="21" spans="1:9" x14ac:dyDescent="0.2">
      <c r="A21" s="25">
        <v>13</v>
      </c>
      <c r="B21" s="5" t="s">
        <v>101</v>
      </c>
      <c r="C21" s="18">
        <f>'2040_03_116_pave'!$N21</f>
        <v>307953.95</v>
      </c>
      <c r="D21" s="18">
        <f>'2040_03_116_paveSGR'!$N21</f>
        <v>304062.02999999997</v>
      </c>
      <c r="E21" s="7"/>
      <c r="F21" s="27">
        <f t="shared" si="0"/>
        <v>-3891.9200000000419</v>
      </c>
      <c r="G21" s="27">
        <f>F21*annualization</f>
        <v>-1167576.0000000126</v>
      </c>
      <c r="H21" s="1">
        <v>-35.265999999999998</v>
      </c>
      <c r="I21" s="29">
        <f t="shared" si="4"/>
        <v>41175735.216000438</v>
      </c>
    </row>
    <row r="22" spans="1:9" x14ac:dyDescent="0.2">
      <c r="A22" s="25"/>
      <c r="B22" s="1" t="s">
        <v>102</v>
      </c>
      <c r="C22" s="18"/>
      <c r="D22" s="18"/>
      <c r="E22" s="7"/>
      <c r="F22" s="7"/>
      <c r="G22" s="7"/>
    </row>
    <row r="23" spans="1:9" x14ac:dyDescent="0.2">
      <c r="A23" s="25">
        <v>14</v>
      </c>
      <c r="B23" s="5" t="s">
        <v>103</v>
      </c>
      <c r="C23" s="18">
        <f>'2040_03_116_pave'!$N23</f>
        <v>24504462.439999998</v>
      </c>
      <c r="D23" s="18">
        <f>'2040_03_116_paveSGR'!$N23</f>
        <v>24578408.09</v>
      </c>
      <c r="E23" s="7"/>
      <c r="F23" s="27">
        <f t="shared" si="0"/>
        <v>73945.650000002235</v>
      </c>
      <c r="G23" s="27">
        <f>F23*annualization</f>
        <v>22183695.000000671</v>
      </c>
      <c r="H23" s="1">
        <v>0</v>
      </c>
      <c r="I23" s="29">
        <f t="shared" ref="I23:I24" si="5">H23*G23</f>
        <v>0</v>
      </c>
    </row>
    <row r="24" spans="1:9" x14ac:dyDescent="0.2">
      <c r="A24" s="25">
        <v>15</v>
      </c>
      <c r="B24" s="5" t="s">
        <v>104</v>
      </c>
      <c r="C24" s="18">
        <f>'2040_03_116_pave'!$N24</f>
        <v>18219251.260714285</v>
      </c>
      <c r="D24" s="18">
        <f>'2040_03_116_paveSGR'!$N24</f>
        <v>18332661.22285714</v>
      </c>
      <c r="E24" s="7"/>
      <c r="F24" s="27">
        <f t="shared" si="0"/>
        <v>113409.96214285493</v>
      </c>
      <c r="G24" s="27">
        <f>F24*annualization</f>
        <v>34022988.642856479</v>
      </c>
      <c r="H24" s="1">
        <v>0</v>
      </c>
      <c r="I24" s="29">
        <f t="shared" si="5"/>
        <v>0</v>
      </c>
    </row>
    <row r="25" spans="1:9" x14ac:dyDescent="0.2">
      <c r="A25" s="25"/>
      <c r="B25" s="1" t="s">
        <v>84</v>
      </c>
      <c r="C25" s="18"/>
      <c r="D25" s="18"/>
      <c r="E25" s="7"/>
      <c r="F25" s="7"/>
      <c r="G25" s="7"/>
    </row>
    <row r="26" spans="1:9" x14ac:dyDescent="0.2">
      <c r="A26" s="25">
        <v>16</v>
      </c>
      <c r="B26" s="5" t="s">
        <v>40</v>
      </c>
      <c r="C26" s="18">
        <f>'2040_03_116_pave'!$N26</f>
        <v>1084430.2355</v>
      </c>
      <c r="D26" s="18">
        <f>'2040_03_116_paveSGR'!$N26</f>
        <v>1072703.9597833331</v>
      </c>
      <c r="E26" s="7"/>
      <c r="F26" s="27">
        <f t="shared" si="0"/>
        <v>-11726.275716666831</v>
      </c>
      <c r="G26" s="27">
        <f>F26*annualization</f>
        <v>-3517882.7150000492</v>
      </c>
      <c r="H26" s="1">
        <v>-16.03</v>
      </c>
      <c r="I26" s="29">
        <f t="shared" ref="I26:I27" si="6">H26*G26</f>
        <v>56391659.921450794</v>
      </c>
    </row>
    <row r="27" spans="1:9" x14ac:dyDescent="0.2">
      <c r="A27" s="25">
        <v>17</v>
      </c>
      <c r="B27" s="5" t="s">
        <v>41</v>
      </c>
      <c r="C27" s="18">
        <f>'2040_03_116_pave'!$N27</f>
        <v>79269.950889999993</v>
      </c>
      <c r="D27" s="18">
        <f>'2040_03_116_paveSGR'!$N27</f>
        <v>77649.649716666667</v>
      </c>
      <c r="E27" s="7"/>
      <c r="F27" s="27">
        <f t="shared" si="0"/>
        <v>-1620.301173333326</v>
      </c>
      <c r="G27" s="27">
        <f>F27*annualization</f>
        <v>-486090.3519999978</v>
      </c>
      <c r="H27" s="1">
        <v>-16.03</v>
      </c>
      <c r="I27" s="29">
        <f t="shared" si="6"/>
        <v>7792028.3425599653</v>
      </c>
    </row>
    <row r="28" spans="1:9" x14ac:dyDescent="0.2">
      <c r="A28" s="25"/>
      <c r="B28" s="1" t="s">
        <v>105</v>
      </c>
      <c r="C28" s="4"/>
      <c r="D28" s="4"/>
    </row>
    <row r="29" spans="1:9" x14ac:dyDescent="0.2">
      <c r="A29" s="25">
        <v>18</v>
      </c>
      <c r="B29" s="5" t="s">
        <v>90</v>
      </c>
      <c r="C29" s="18">
        <f>'2040_03_116_pave'!$N29</f>
        <v>162525126.23040006</v>
      </c>
      <c r="D29" s="18">
        <f>'2040_03_116_paveSGR'!$N29</f>
        <v>163946188.85180005</v>
      </c>
      <c r="E29" s="7"/>
      <c r="F29" s="27">
        <f t="shared" si="0"/>
        <v>1421062.6213999987</v>
      </c>
      <c r="G29" s="27">
        <f>F29*annualization</f>
        <v>426318786.4199996</v>
      </c>
      <c r="H29" s="1">
        <v>-0.26879999999999998</v>
      </c>
      <c r="I29" s="29">
        <f t="shared" ref="I29:I45" si="7">H29*G29</f>
        <v>-114594489.78969589</v>
      </c>
    </row>
    <row r="30" spans="1:9" x14ac:dyDescent="0.2">
      <c r="A30" s="25">
        <v>19</v>
      </c>
      <c r="B30" s="5" t="s">
        <v>91</v>
      </c>
      <c r="C30" s="18">
        <f>'2040_03_116_pave'!$N30</f>
        <v>16897012.609399952</v>
      </c>
      <c r="D30" s="18">
        <f>'2040_03_116_paveSGR'!$N30</f>
        <v>16876793.567099959</v>
      </c>
      <c r="E30" s="7"/>
      <c r="F30" s="27">
        <f t="shared" si="0"/>
        <v>-20219.042299993336</v>
      </c>
      <c r="G30" s="27">
        <f>F30*annualization</f>
        <v>-6065712.6899980009</v>
      </c>
      <c r="H30" s="1">
        <v>-0.39500000000000002</v>
      </c>
      <c r="I30" s="29">
        <f t="shared" si="7"/>
        <v>2395956.5125492103</v>
      </c>
    </row>
    <row r="31" spans="1:9" x14ac:dyDescent="0.2">
      <c r="A31" s="25"/>
      <c r="B31" s="1" t="s">
        <v>106</v>
      </c>
      <c r="C31" s="4"/>
      <c r="D31" s="4"/>
      <c r="I31" s="29"/>
    </row>
    <row r="32" spans="1:9" x14ac:dyDescent="0.2">
      <c r="A32" s="25">
        <v>20</v>
      </c>
      <c r="B32" s="8" t="s">
        <v>107</v>
      </c>
      <c r="C32" s="19">
        <f>'2040_03_116_pave'!$N32</f>
        <v>6.6939607113123216</v>
      </c>
      <c r="D32" s="19">
        <f>'2040_03_116_paveSGR'!$N32</f>
        <v>6.7552103298700299</v>
      </c>
      <c r="E32" s="13"/>
      <c r="F32" s="13">
        <f t="shared" si="0"/>
        <v>6.1249618557708274E-2</v>
      </c>
      <c r="G32" s="13">
        <f>F32*annualization</f>
        <v>18.374885567312482</v>
      </c>
      <c r="H32" s="1">
        <v>-490300</v>
      </c>
      <c r="I32" s="29">
        <f t="shared" si="7"/>
        <v>-9009206.3936533108</v>
      </c>
    </row>
    <row r="33" spans="1:9" x14ac:dyDescent="0.2">
      <c r="A33" s="25">
        <v>21</v>
      </c>
      <c r="B33" s="8" t="s">
        <v>108</v>
      </c>
      <c r="C33" s="19">
        <f>'2040_03_116_pave'!$N33</f>
        <v>1.4846599185723175</v>
      </c>
      <c r="D33" s="19">
        <f>'2040_03_116_paveSGR'!$N33</f>
        <v>1.4835913234630445</v>
      </c>
      <c r="E33" s="13"/>
      <c r="F33" s="13">
        <f t="shared" si="0"/>
        <v>-1.0685951092730406E-3</v>
      </c>
      <c r="G33" s="13">
        <f>F33*annualization</f>
        <v>-0.32057853278191217</v>
      </c>
      <c r="H33" s="1">
        <v>-487200</v>
      </c>
      <c r="I33" s="29">
        <f t="shared" si="7"/>
        <v>156185.86117134761</v>
      </c>
    </row>
    <row r="34" spans="1:9" x14ac:dyDescent="0.2">
      <c r="A34" s="25">
        <v>22</v>
      </c>
      <c r="B34" s="5" t="s">
        <v>109</v>
      </c>
      <c r="C34" s="20">
        <f>'2040_03_116_pave'!$N34</f>
        <v>71420.294943600893</v>
      </c>
      <c r="D34" s="20">
        <f>'2040_03_116_paveSGR'!$N34</f>
        <v>71906.338269649394</v>
      </c>
      <c r="E34" s="15"/>
      <c r="F34" s="27">
        <f t="shared" si="0"/>
        <v>486.0433260485006</v>
      </c>
      <c r="G34" s="27">
        <f>F34*annualization</f>
        <v>145812.99781455018</v>
      </c>
      <c r="H34" s="1">
        <v>-55.35</v>
      </c>
      <c r="I34" s="29">
        <f t="shared" si="7"/>
        <v>-8070749.4290353525</v>
      </c>
    </row>
    <row r="35" spans="1:9" x14ac:dyDescent="0.2">
      <c r="A35" s="25">
        <v>23</v>
      </c>
      <c r="B35" s="5" t="s">
        <v>110</v>
      </c>
      <c r="C35" s="21">
        <f>'2040_03_116_pave'!$N35</f>
        <v>0.11416754771892185</v>
      </c>
      <c r="D35" s="21">
        <f>'2040_03_116_paveSGR'!$N35</f>
        <v>0.11476465199152497</v>
      </c>
      <c r="E35" s="16"/>
      <c r="F35" s="16">
        <f t="shared" si="0"/>
        <v>5.9710427260312171E-4</v>
      </c>
      <c r="G35" s="16">
        <f>F35*annualization</f>
        <v>0.17913128178093651</v>
      </c>
      <c r="H35" s="1">
        <v>-5700</v>
      </c>
      <c r="I35" s="29">
        <f t="shared" si="7"/>
        <v>-1021.0483061513381</v>
      </c>
    </row>
    <row r="36" spans="1:9" x14ac:dyDescent="0.2">
      <c r="A36" s="25">
        <v>24</v>
      </c>
      <c r="B36" s="5" t="s">
        <v>111</v>
      </c>
      <c r="C36" s="21">
        <f>'2040_03_116_pave'!$N36</f>
        <v>0.21976974188738491</v>
      </c>
      <c r="D36" s="21">
        <f>'2040_03_116_paveSGR'!$N36</f>
        <v>0.22130632373222389</v>
      </c>
      <c r="E36" s="16"/>
      <c r="F36" s="16">
        <f t="shared" si="0"/>
        <v>1.5365818448389856E-3</v>
      </c>
      <c r="G36" s="16">
        <f>F36*annualization</f>
        <v>0.46097455345169569</v>
      </c>
      <c r="H36" s="1">
        <v>-12800</v>
      </c>
      <c r="I36" s="29">
        <f t="shared" si="7"/>
        <v>-5900.4742841817051</v>
      </c>
    </row>
    <row r="37" spans="1:9" x14ac:dyDescent="0.2">
      <c r="A37" s="25">
        <v>25</v>
      </c>
      <c r="B37" s="5" t="s">
        <v>112</v>
      </c>
      <c r="C37" s="21">
        <f>'2040_03_116_pave'!$N37</f>
        <v>4.8384602445894702E-2</v>
      </c>
      <c r="D37" s="21">
        <f>'2040_03_116_paveSGR'!$N37</f>
        <v>4.8730944016826802E-2</v>
      </c>
      <c r="E37" s="16"/>
      <c r="F37" s="16">
        <f t="shared" si="0"/>
        <v>3.4634157093210022E-4</v>
      </c>
      <c r="G37" s="16">
        <f>F37*annualization</f>
        <v>0.10390247127963007</v>
      </c>
      <c r="H37" s="1">
        <v>-32200</v>
      </c>
      <c r="I37" s="29">
        <f t="shared" si="7"/>
        <v>-3345.659575204088</v>
      </c>
    </row>
    <row r="38" spans="1:9" x14ac:dyDescent="0.2">
      <c r="A38" s="25">
        <v>26</v>
      </c>
      <c r="B38" s="5" t="s">
        <v>113</v>
      </c>
      <c r="C38" s="21">
        <f>'2040_03_116_pave'!$N38</f>
        <v>0.29524917223296088</v>
      </c>
      <c r="D38" s="21">
        <f>'2040_03_116_paveSGR'!$N38</f>
        <v>0.29680089307185298</v>
      </c>
      <c r="E38" s="16"/>
      <c r="F38" s="16">
        <f t="shared" si="0"/>
        <v>1.5517208388921011E-3</v>
      </c>
      <c r="G38" s="16">
        <f>F38*annualization</f>
        <v>0.46551625166763033</v>
      </c>
      <c r="H38" s="1">
        <v>-6400</v>
      </c>
      <c r="I38" s="29">
        <f t="shared" si="7"/>
        <v>-2979.304010672834</v>
      </c>
    </row>
    <row r="39" spans="1:9" x14ac:dyDescent="0.2">
      <c r="A39" s="25">
        <v>27</v>
      </c>
      <c r="B39" s="5" t="s">
        <v>114</v>
      </c>
      <c r="C39" s="21">
        <f>'2040_03_116_pave'!$N39</f>
        <v>1.7184656588785829</v>
      </c>
      <c r="D39" s="21">
        <f>'2040_03_116_paveSGR'!$N39</f>
        <v>1.7303224334603029</v>
      </c>
      <c r="E39" s="16"/>
      <c r="F39" s="16">
        <f t="shared" si="0"/>
        <v>1.1856774581719964E-2</v>
      </c>
      <c r="G39" s="16">
        <f>F39*annualization</f>
        <v>3.5570323745159893</v>
      </c>
      <c r="H39" s="1">
        <v>-5100</v>
      </c>
      <c r="I39" s="29">
        <f t="shared" si="7"/>
        <v>-18140.865110031544</v>
      </c>
    </row>
    <row r="40" spans="1:9" x14ac:dyDescent="0.2">
      <c r="A40" s="25">
        <v>28</v>
      </c>
      <c r="B40" s="5" t="s">
        <v>115</v>
      </c>
      <c r="C40" s="21">
        <f>'2040_03_116_pave'!$N40</f>
        <v>22.806369630741603</v>
      </c>
      <c r="D40" s="21">
        <f>'2040_03_116_paveSGR'!$N40</f>
        <v>22.857492056798925</v>
      </c>
      <c r="E40" s="16"/>
      <c r="F40" s="16">
        <f t="shared" si="0"/>
        <v>5.1122426057322201E-2</v>
      </c>
      <c r="G40" s="16">
        <f>F40*annualization</f>
        <v>15.33672781719666</v>
      </c>
      <c r="H40" s="1">
        <v>-7800</v>
      </c>
      <c r="I40" s="29">
        <f t="shared" si="7"/>
        <v>-119626.47697413396</v>
      </c>
    </row>
    <row r="41" spans="1:9" x14ac:dyDescent="0.2">
      <c r="A41" s="25">
        <v>29</v>
      </c>
      <c r="B41" s="5" t="s">
        <v>116</v>
      </c>
      <c r="C41" s="21">
        <f>'2040_03_116_pave'!$N41</f>
        <v>1.1727395154858957</v>
      </c>
      <c r="D41" s="21">
        <f>'2040_03_116_paveSGR'!$N41</f>
        <v>1.1797923248976554</v>
      </c>
      <c r="E41" s="16"/>
      <c r="F41" s="16">
        <f t="shared" si="0"/>
        <v>7.0528094117596751E-3</v>
      </c>
      <c r="G41" s="16">
        <f>F41*annualization</f>
        <v>2.1158428235279025</v>
      </c>
      <c r="H41" s="1">
        <v>-40500</v>
      </c>
      <c r="I41" s="29">
        <f t="shared" si="7"/>
        <v>-85691.63435288005</v>
      </c>
    </row>
    <row r="42" spans="1:9" x14ac:dyDescent="0.2">
      <c r="A42" s="25"/>
      <c r="B42" s="1" t="s">
        <v>118</v>
      </c>
      <c r="C42" s="4"/>
      <c r="D42" s="4"/>
    </row>
    <row r="43" spans="1:9" x14ac:dyDescent="0.2">
      <c r="A43" s="25">
        <v>30</v>
      </c>
      <c r="B43" s="5" t="s">
        <v>119</v>
      </c>
      <c r="C43" s="21">
        <f>'2040_03_116_pave'!$N43</f>
        <v>1.7539357616556861</v>
      </c>
      <c r="D43" s="21">
        <f>'2040_03_116_paveSGR'!$N43</f>
        <v>1.7692402224847685</v>
      </c>
      <c r="E43" s="16"/>
      <c r="F43" s="16">
        <f t="shared" si="0"/>
        <v>1.5304460829082434E-2</v>
      </c>
      <c r="G43" s="16">
        <f>F43*annualization</f>
        <v>4.5913382487247301</v>
      </c>
      <c r="H43" s="1">
        <v>-4590000</v>
      </c>
      <c r="I43" s="29">
        <f t="shared" si="7"/>
        <v>-21074242.56164651</v>
      </c>
    </row>
    <row r="44" spans="1:9" x14ac:dyDescent="0.2">
      <c r="A44" s="25">
        <v>31</v>
      </c>
      <c r="B44" s="5" t="s">
        <v>120</v>
      </c>
      <c r="C44" s="21">
        <f>'2040_03_116_pave'!$N44</f>
        <v>123.32727284707873</v>
      </c>
      <c r="D44" s="21">
        <f>'2040_03_116_paveSGR'!$N44</f>
        <v>124.41653097805276</v>
      </c>
      <c r="E44" s="16"/>
      <c r="F44" s="16">
        <f t="shared" si="0"/>
        <v>1.0892581309740308</v>
      </c>
      <c r="G44" s="16">
        <f>F44*annualization</f>
        <v>326.77743929220924</v>
      </c>
      <c r="H44" s="1">
        <v>-64000</v>
      </c>
      <c r="I44" s="29">
        <f t="shared" si="7"/>
        <v>-20913756.11470139</v>
      </c>
    </row>
    <row r="45" spans="1:9" x14ac:dyDescent="0.2">
      <c r="A45" s="25">
        <v>32</v>
      </c>
      <c r="B45" s="5" t="s">
        <v>117</v>
      </c>
      <c r="C45" s="21">
        <f>'2040_03_116_pave'!$N45</f>
        <v>191.76196608966401</v>
      </c>
      <c r="D45" s="21">
        <f>'2040_03_116_paveSGR'!$N45</f>
        <v>193.25677359934701</v>
      </c>
      <c r="E45" s="16"/>
      <c r="F45" s="16">
        <f t="shared" si="0"/>
        <v>1.4948075096829996</v>
      </c>
      <c r="G45" s="16">
        <f>F45*annualization</f>
        <v>448.44225290489987</v>
      </c>
      <c r="H45" s="1">
        <v>-2455</v>
      </c>
      <c r="I45" s="29">
        <f t="shared" si="7"/>
        <v>-1100925.7308815292</v>
      </c>
    </row>
    <row r="46" spans="1:9" x14ac:dyDescent="0.2">
      <c r="A46" s="25"/>
      <c r="B46" s="1" t="s">
        <v>164</v>
      </c>
      <c r="C46" s="21"/>
      <c r="D46" s="21"/>
      <c r="E46" s="16"/>
      <c r="F46" s="16"/>
      <c r="G46" s="16"/>
    </row>
    <row r="47" spans="1:9" x14ac:dyDescent="0.2">
      <c r="A47" s="25">
        <v>33</v>
      </c>
      <c r="B47" s="5" t="s">
        <v>155</v>
      </c>
      <c r="C47" s="22">
        <f>'2040_03_116_pave'!$N47</f>
        <v>0.1</v>
      </c>
      <c r="D47" s="22">
        <f>'2040_03_116_paveSGR'!$N47</f>
        <v>0.1</v>
      </c>
      <c r="E47" s="12"/>
      <c r="F47" s="12"/>
      <c r="G47" s="12"/>
      <c r="H47" s="1">
        <v>0</v>
      </c>
    </row>
    <row r="48" spans="1:9" x14ac:dyDescent="0.2">
      <c r="A48" s="25">
        <v>34</v>
      </c>
      <c r="B48" s="5" t="s">
        <v>156</v>
      </c>
      <c r="C48" s="22">
        <f>'2040_03_116_pave'!$N48</f>
        <v>0.1</v>
      </c>
      <c r="D48" s="22">
        <f>'2040_03_116_paveSGR'!$N48</f>
        <v>0.1</v>
      </c>
      <c r="E48" s="12"/>
      <c r="F48" s="12"/>
      <c r="G48" s="12"/>
      <c r="H48" s="1">
        <v>0</v>
      </c>
    </row>
    <row r="49" spans="1:9" x14ac:dyDescent="0.2">
      <c r="A49" s="25">
        <v>35</v>
      </c>
      <c r="B49" s="5" t="s">
        <v>157</v>
      </c>
      <c r="C49" s="22">
        <f>'2040_03_116_pave'!$N49</f>
        <v>0.25</v>
      </c>
      <c r="D49" s="22">
        <f>'2040_03_116_paveSGR'!$N49</f>
        <v>0.25</v>
      </c>
      <c r="E49" s="12"/>
      <c r="F49" s="12"/>
      <c r="G49" s="12"/>
      <c r="H49" s="1">
        <v>0</v>
      </c>
    </row>
    <row r="50" spans="1:9" x14ac:dyDescent="0.2">
      <c r="A50" s="25">
        <v>36</v>
      </c>
      <c r="B50" s="5" t="s">
        <v>158</v>
      </c>
      <c r="C50" s="22">
        <f>'2040_03_116_pave'!$N50</f>
        <v>0.2</v>
      </c>
      <c r="D50" s="22">
        <f>'2040_03_116_paveSGR'!$N50</f>
        <v>0.2</v>
      </c>
      <c r="E50" s="12"/>
      <c r="F50" s="12"/>
      <c r="G50" s="12"/>
      <c r="H50" s="1">
        <v>0</v>
      </c>
    </row>
    <row r="51" spans="1:9" x14ac:dyDescent="0.2">
      <c r="A51" s="25">
        <v>37</v>
      </c>
      <c r="B51" s="5" t="s">
        <v>159</v>
      </c>
      <c r="C51" s="22">
        <f>'2040_03_116_pave'!$N51</f>
        <v>0.1</v>
      </c>
      <c r="D51" s="22">
        <f>'2040_03_116_paveSGR'!$N51</f>
        <v>0.1</v>
      </c>
      <c r="E51" s="12"/>
      <c r="F51" s="12"/>
      <c r="G51" s="12"/>
      <c r="H51" s="1">
        <v>0</v>
      </c>
    </row>
    <row r="52" spans="1:9" x14ac:dyDescent="0.2">
      <c r="A52" s="25">
        <v>38</v>
      </c>
      <c r="B52" s="5" t="s">
        <v>160</v>
      </c>
      <c r="C52" s="22">
        <f>'2040_03_116_pave'!$N52</f>
        <v>0.05</v>
      </c>
      <c r="D52" s="22">
        <f>'2040_03_116_paveSGR'!$N52</f>
        <v>0.05</v>
      </c>
      <c r="E52" s="12"/>
      <c r="F52" s="12"/>
      <c r="G52" s="12"/>
      <c r="H52" s="1">
        <v>0</v>
      </c>
    </row>
    <row r="53" spans="1:9" x14ac:dyDescent="0.2">
      <c r="A53" s="25">
        <v>39</v>
      </c>
      <c r="B53" s="5" t="s">
        <v>161</v>
      </c>
      <c r="C53" s="22">
        <f>'2040_03_116_pave'!$N53</f>
        <v>0.05</v>
      </c>
      <c r="D53" s="22">
        <f>'2040_03_116_paveSGR'!$N53</f>
        <v>0.05</v>
      </c>
      <c r="E53" s="12"/>
      <c r="F53" s="12"/>
      <c r="G53" s="12"/>
      <c r="H53" s="1">
        <v>0</v>
      </c>
    </row>
    <row r="54" spans="1:9" x14ac:dyDescent="0.2">
      <c r="A54" s="25">
        <v>40</v>
      </c>
      <c r="B54" s="5" t="s">
        <v>162</v>
      </c>
      <c r="C54" s="22">
        <f>'2040_03_116_pave'!$N54</f>
        <v>0.1</v>
      </c>
      <c r="D54" s="22">
        <f>'2040_03_116_paveSGR'!$N54</f>
        <v>0.1</v>
      </c>
      <c r="E54" s="12"/>
      <c r="F54" s="12"/>
      <c r="G54" s="12"/>
      <c r="H54" s="1">
        <v>0</v>
      </c>
    </row>
    <row r="55" spans="1:9" x14ac:dyDescent="0.2">
      <c r="A55" s="25">
        <v>41</v>
      </c>
      <c r="B55" s="5" t="s">
        <v>163</v>
      </c>
      <c r="C55" s="22">
        <f>'2040_03_116_pave'!$N55</f>
        <v>0.05</v>
      </c>
      <c r="D55" s="22">
        <f>'2040_03_116_paveSGR'!$N55</f>
        <v>0.05</v>
      </c>
      <c r="E55" s="12"/>
      <c r="F55" s="12"/>
      <c r="G55" s="12"/>
      <c r="H55" s="1">
        <v>0</v>
      </c>
    </row>
    <row r="56" spans="1:9" x14ac:dyDescent="0.2">
      <c r="A56" s="25">
        <v>42</v>
      </c>
      <c r="B56" s="5" t="s">
        <v>146</v>
      </c>
      <c r="C56" s="23">
        <f>'2040_03_116_pave'!$N56</f>
        <v>1583</v>
      </c>
      <c r="D56" s="23">
        <f>'2040_03_116_paveSGR'!$N56</f>
        <v>1583</v>
      </c>
      <c r="E56" s="11"/>
      <c r="F56" s="11"/>
      <c r="G56" s="11"/>
      <c r="H56" s="1">
        <v>0</v>
      </c>
    </row>
    <row r="57" spans="1:9" x14ac:dyDescent="0.2">
      <c r="A57" s="25">
        <v>43</v>
      </c>
      <c r="B57" s="5" t="s">
        <v>147</v>
      </c>
      <c r="C57" s="23">
        <f>'2040_03_116_pave'!$N57</f>
        <v>9299150</v>
      </c>
      <c r="D57" s="23">
        <f>'2040_03_116_paveSGR'!$N57</f>
        <v>9299150</v>
      </c>
      <c r="E57" s="11"/>
      <c r="F57" s="11"/>
      <c r="G57" s="11"/>
      <c r="H57" s="1">
        <v>0</v>
      </c>
    </row>
    <row r="58" spans="1:9" x14ac:dyDescent="0.2">
      <c r="A58" s="25">
        <v>44</v>
      </c>
      <c r="B58" s="1" t="s">
        <v>149</v>
      </c>
      <c r="C58" s="23">
        <f>'2040_03_116_pave'!$N58</f>
        <v>3452795.5642541288</v>
      </c>
      <c r="D58" s="23">
        <f>'2040_03_116_paveSGR'!$N58</f>
        <v>3474288.2923923833</v>
      </c>
      <c r="E58" s="11"/>
      <c r="F58" s="27">
        <f t="shared" si="0"/>
        <v>21492.72813825449</v>
      </c>
      <c r="G58" s="27">
        <f>F58</f>
        <v>21492.72813825449</v>
      </c>
      <c r="H58" s="1">
        <v>-6290</v>
      </c>
      <c r="I58" s="29">
        <f t="shared" ref="I58:I62" si="8">H58*G58</f>
        <v>-135189259.98962075</v>
      </c>
    </row>
    <row r="59" spans="1:9" x14ac:dyDescent="0.2">
      <c r="A59" s="25">
        <v>45</v>
      </c>
      <c r="B59" s="1" t="s">
        <v>150</v>
      </c>
      <c r="C59" s="24">
        <f>'2040_03_116_pave'!$N59</f>
        <v>10.370647551227801</v>
      </c>
      <c r="D59" s="24">
        <f>'2040_03_116_paveSGR'!$N59</f>
        <v>10.263243626890629</v>
      </c>
      <c r="E59" s="17"/>
      <c r="F59" s="28">
        <f t="shared" si="0"/>
        <v>-0.10740392433717183</v>
      </c>
      <c r="G59" s="28">
        <f t="shared" ref="G59:G61" si="9">F59</f>
        <v>-0.10740392433717183</v>
      </c>
      <c r="H59" s="1">
        <v>0</v>
      </c>
      <c r="I59" s="29">
        <f t="shared" si="8"/>
        <v>0</v>
      </c>
    </row>
    <row r="60" spans="1:9" x14ac:dyDescent="0.2">
      <c r="A60" s="25">
        <v>46</v>
      </c>
      <c r="B60" s="1" t="s">
        <v>151</v>
      </c>
      <c r="C60" s="24">
        <f>'2040_03_116_pave'!$N60</f>
        <v>1993056.2816373333</v>
      </c>
      <c r="D60" s="24">
        <f>'2040_03_116_paveSGR'!$N60</f>
        <v>1972415.1341086666</v>
      </c>
      <c r="E60" s="17"/>
      <c r="F60" s="28">
        <f t="shared" si="0"/>
        <v>-20641.14752866677</v>
      </c>
      <c r="G60" s="28">
        <f t="shared" si="9"/>
        <v>-20641.14752866677</v>
      </c>
      <c r="H60" s="1">
        <v>1220</v>
      </c>
      <c r="I60" s="29">
        <f t="shared" si="8"/>
        <v>-25182199.98497346</v>
      </c>
    </row>
    <row r="61" spans="1:9" x14ac:dyDescent="0.2">
      <c r="A61" s="25">
        <v>47</v>
      </c>
      <c r="B61" s="1" t="s">
        <v>152</v>
      </c>
      <c r="C61" s="24">
        <f>'2040_03_116_pave'!$N61</f>
        <v>0.37588707404314115</v>
      </c>
      <c r="D61" s="24">
        <f>'2040_03_116_paveSGR'!$N61</f>
        <v>0.37509263963129436</v>
      </c>
      <c r="E61" s="17"/>
      <c r="F61" s="28">
        <f t="shared" si="0"/>
        <v>-7.9443441184678942E-4</v>
      </c>
      <c r="G61" s="28">
        <f t="shared" si="9"/>
        <v>-7.9443441184678942E-4</v>
      </c>
      <c r="H61" s="1">
        <v>0</v>
      </c>
      <c r="I61" s="29">
        <f t="shared" si="8"/>
        <v>0</v>
      </c>
    </row>
    <row r="62" spans="1:9" x14ac:dyDescent="0.2">
      <c r="A62" s="25">
        <v>48</v>
      </c>
      <c r="B62" s="1" t="s">
        <v>154</v>
      </c>
      <c r="C62" s="23">
        <f>'2040_03_116_pave'!$N62</f>
        <v>24504462.439999998</v>
      </c>
      <c r="D62" s="23">
        <f>'2040_03_116_paveSGR'!$N62</f>
        <v>24578408.09</v>
      </c>
      <c r="E62" s="11"/>
      <c r="F62" s="27">
        <f t="shared" si="0"/>
        <v>73945.650000002235</v>
      </c>
      <c r="G62" s="27">
        <f>F62*annualization</f>
        <v>22183695.000000671</v>
      </c>
      <c r="H62" s="1">
        <v>0</v>
      </c>
      <c r="I62" s="29">
        <f t="shared" si="8"/>
        <v>0</v>
      </c>
    </row>
    <row r="63" spans="1:9" x14ac:dyDescent="0.2">
      <c r="A63" s="25"/>
      <c r="B63" s="1" t="s">
        <v>105</v>
      </c>
      <c r="C63" s="23"/>
      <c r="D63" s="23"/>
      <c r="E63" s="11"/>
      <c r="F63" s="11"/>
      <c r="G63" s="11"/>
    </row>
    <row r="64" spans="1:9" x14ac:dyDescent="0.2">
      <c r="A64" s="25">
        <v>49</v>
      </c>
      <c r="B64" s="5" t="s">
        <v>90</v>
      </c>
      <c r="C64" s="11">
        <f>C29</f>
        <v>162525126.23040006</v>
      </c>
      <c r="D64" s="11">
        <f>D29</f>
        <v>163946188.85180005</v>
      </c>
      <c r="F64" s="27">
        <f t="shared" ref="F64:F65" si="10">D64-C64</f>
        <v>1421062.6213999987</v>
      </c>
      <c r="G64" s="27">
        <f>F64*annualization</f>
        <v>426318786.4199996</v>
      </c>
      <c r="H64" s="1">
        <v>-1.1999999999999999E-3</v>
      </c>
      <c r="I64" s="29">
        <f t="shared" ref="I64:I65" si="11">H64*G64</f>
        <v>-511582.54370399949</v>
      </c>
    </row>
    <row r="65" spans="1:9" x14ac:dyDescent="0.2">
      <c r="A65" s="25">
        <v>50</v>
      </c>
      <c r="B65" s="5" t="s">
        <v>91</v>
      </c>
      <c r="C65" s="11">
        <f>C30</f>
        <v>16897012.609399952</v>
      </c>
      <c r="D65" s="11">
        <f>D30</f>
        <v>16876793.567099959</v>
      </c>
      <c r="F65" s="27">
        <f t="shared" si="10"/>
        <v>-20219.042299993336</v>
      </c>
      <c r="G65" s="27">
        <f>F65*annualization</f>
        <v>-6065712.6899980009</v>
      </c>
      <c r="H65" s="1">
        <v>-1.4999999999999999E-2</v>
      </c>
      <c r="I65" s="29">
        <f t="shared" si="11"/>
        <v>90985.690349970013</v>
      </c>
    </row>
    <row r="66" spans="1:9" x14ac:dyDescent="0.2">
      <c r="A66" s="25">
        <v>51</v>
      </c>
      <c r="B66" s="1" t="s">
        <v>175</v>
      </c>
      <c r="H66" s="1">
        <v>0</v>
      </c>
      <c r="I66" s="1">
        <f>G24*C71*(D47*(7.16*C72+5.64*(1-C72))+D48*(0.04*(1-C72))+D49*(0.15*C72+0.33*(1-C72))+D50*(0.54*C72+0.39*(1-C72)))</f>
        <v>13524137.985535452</v>
      </c>
    </row>
    <row r="67" spans="1:9" x14ac:dyDescent="0.2">
      <c r="A67" s="25">
        <v>52</v>
      </c>
      <c r="B67" s="1" t="s">
        <v>169</v>
      </c>
      <c r="F67" s="27">
        <f>(D62-C62)*D61</f>
        <v>27736.46904775266</v>
      </c>
      <c r="G67" s="27">
        <f>F67*annualization</f>
        <v>8320940.7143257977</v>
      </c>
      <c r="H67" s="1">
        <v>-35.265999999999998</v>
      </c>
      <c r="I67" s="29">
        <f t="shared" ref="I67" si="12">H67*G67</f>
        <v>-293446295.23141354</v>
      </c>
    </row>
    <row r="71" spans="1:9" ht="38.25" x14ac:dyDescent="0.2">
      <c r="B71" s="30" t="s">
        <v>173</v>
      </c>
      <c r="C71" s="1">
        <v>0.5</v>
      </c>
    </row>
    <row r="72" spans="1:9" ht="38.25" x14ac:dyDescent="0.2">
      <c r="B72" s="30" t="s">
        <v>174</v>
      </c>
      <c r="C72" s="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2040_03_116_pave</vt:lpstr>
      <vt:lpstr>2040_03_116_paveSGR</vt:lpstr>
      <vt:lpstr>diff</vt:lpstr>
      <vt:lpstr>annualization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2014-10-08T21:55:48Z</dcterms:created>
  <dcterms:modified xsi:type="dcterms:W3CDTF">2014-10-09T00:10:07Z</dcterms:modified>
</cp:coreProperties>
</file>