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Harrison\Documents\MILES-SA\Multi Nodal Model\Interstate Data\Generation\"/>
    </mc:Choice>
  </mc:AlternateContent>
  <xr:revisionPtr revIDLastSave="0" documentId="13_ncr:1_{776CD418-0647-488E-A9F6-AB089A1E5798}" xr6:coauthVersionLast="47" xr6:coauthVersionMax="47" xr10:uidLastSave="{00000000-0000-0000-0000-000000000000}"/>
  <bookViews>
    <workbookView xWindow="-103" yWindow="-103" windowWidth="22149" windowHeight="13200" xr2:uid="{3778ED13-E037-46A0-8556-12ABE2EF7AAC}"/>
  </bookViews>
  <sheets>
    <sheet name="REZ Forecasts Data" sheetId="15" r:id="rId1"/>
    <sheet name="Generation Capacity (Winter)" sheetId="6" r:id="rId2"/>
    <sheet name="Capacity by Year and REZ" sheetId="14" r:id="rId3"/>
  </sheets>
  <definedNames>
    <definedName name="REZForecastISP">Table1[]</definedName>
    <definedName name="TYest">Table1[]</definedName>
  </definedName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6" l="1"/>
  <c r="K17" i="6"/>
  <c r="L17" i="6"/>
  <c r="M17" i="6"/>
  <c r="N17" i="6"/>
  <c r="O17" i="6"/>
  <c r="P17" i="6"/>
  <c r="Q17" i="6"/>
  <c r="R17" i="6"/>
  <c r="S17" i="6"/>
  <c r="T17" i="6"/>
  <c r="U17" i="6"/>
  <c r="V17" i="6"/>
  <c r="W17" i="6"/>
  <c r="X17" i="6"/>
  <c r="Y17" i="6"/>
  <c r="Z17" i="6"/>
  <c r="AA17" i="6"/>
  <c r="AB17" i="6"/>
  <c r="AC17" i="6"/>
  <c r="AD17" i="6"/>
  <c r="AE17" i="6"/>
  <c r="AF17" i="6"/>
  <c r="AG17" i="6"/>
  <c r="AH17" i="6"/>
  <c r="AI17" i="6"/>
  <c r="AJ17" i="6"/>
  <c r="AK17" i="6"/>
  <c r="J18" i="6"/>
  <c r="K18" i="6"/>
  <c r="L18" i="6"/>
  <c r="M18" i="6"/>
  <c r="N18" i="6"/>
  <c r="O18" i="6"/>
  <c r="P18" i="6"/>
  <c r="Q18" i="6"/>
  <c r="R18" i="6"/>
  <c r="S18" i="6"/>
  <c r="T18" i="6"/>
  <c r="U18" i="6"/>
  <c r="V18" i="6"/>
  <c r="W18" i="6"/>
  <c r="X18" i="6"/>
  <c r="Y18" i="6"/>
  <c r="Z18" i="6"/>
  <c r="AA18" i="6"/>
  <c r="AB18" i="6"/>
  <c r="AC18" i="6"/>
  <c r="AD18" i="6"/>
  <c r="AE18" i="6"/>
  <c r="AF18" i="6"/>
  <c r="AG18" i="6"/>
  <c r="AH18" i="6"/>
  <c r="AI18" i="6"/>
  <c r="AJ18" i="6"/>
  <c r="AK18" i="6"/>
  <c r="J21" i="6"/>
  <c r="K21" i="6"/>
  <c r="L21" i="6"/>
  <c r="M21" i="6"/>
  <c r="N21" i="6"/>
  <c r="O21" i="6"/>
  <c r="P21" i="6"/>
  <c r="Q21" i="6"/>
  <c r="R21" i="6"/>
  <c r="S21" i="6"/>
  <c r="T21" i="6"/>
  <c r="U21" i="6"/>
  <c r="V21" i="6"/>
  <c r="W21" i="6"/>
  <c r="X21" i="6"/>
  <c r="Y21" i="6"/>
  <c r="Z21" i="6"/>
  <c r="AA21" i="6"/>
  <c r="AB21" i="6"/>
  <c r="AC21" i="6"/>
  <c r="AD21" i="6"/>
  <c r="AE21" i="6"/>
  <c r="AF21" i="6"/>
  <c r="AG21" i="6"/>
  <c r="AH21" i="6"/>
  <c r="AI21" i="6"/>
  <c r="AJ21" i="6"/>
  <c r="AK21" i="6"/>
  <c r="E53" i="15" l="1" a="1"/>
  <c r="E53" i="15" s="1"/>
  <c r="F53" i="15" a="1"/>
  <c r="F53" i="15" s="1"/>
  <c r="G53" i="15" a="1"/>
  <c r="G53" i="15" s="1"/>
  <c r="H53" i="15" a="1"/>
  <c r="H53" i="15" s="1"/>
  <c r="I53" i="15" a="1"/>
  <c r="I53" i="15" s="1"/>
  <c r="J53" i="15" a="1"/>
  <c r="J53" i="15" s="1"/>
  <c r="K53" i="15" a="1"/>
  <c r="K53" i="15" s="1"/>
  <c r="L53" i="15" a="1"/>
  <c r="L53" i="15"/>
  <c r="M53" i="15" a="1"/>
  <c r="M53" i="15" s="1"/>
  <c r="N53" i="15" a="1"/>
  <c r="N53" i="15" s="1"/>
  <c r="O53" i="15" a="1"/>
  <c r="O53" i="15" s="1"/>
  <c r="P53" i="15" a="1"/>
  <c r="P53" i="15" s="1"/>
  <c r="Q53" i="15" a="1"/>
  <c r="Q53" i="15" s="1"/>
  <c r="R53" i="15" a="1"/>
  <c r="R53" i="15" s="1"/>
  <c r="S53" i="15" a="1"/>
  <c r="S53" i="15" s="1"/>
  <c r="T53" i="15" a="1"/>
  <c r="T53" i="15" s="1"/>
  <c r="U53" i="15" a="1"/>
  <c r="U53" i="15" s="1"/>
  <c r="V53" i="15" a="1"/>
  <c r="V53" i="15" s="1"/>
  <c r="W53" i="15" a="1"/>
  <c r="W53" i="15" s="1"/>
  <c r="X53" i="15" a="1"/>
  <c r="X53" i="15" s="1"/>
  <c r="Y53" i="15" a="1"/>
  <c r="Y53" i="15" s="1"/>
  <c r="Z53" i="15" a="1"/>
  <c r="Z53" i="15" s="1"/>
  <c r="AA53" i="15" a="1"/>
  <c r="AA53" i="15" s="1"/>
  <c r="AB53" i="15" a="1"/>
  <c r="AB53" i="15" s="1"/>
  <c r="AC53" i="15" a="1"/>
  <c r="AC53" i="15" s="1"/>
  <c r="AD53" i="15" a="1"/>
  <c r="AD53" i="15" s="1"/>
  <c r="AE53" i="15" a="1"/>
  <c r="AE53" i="15" s="1"/>
  <c r="AF53" i="15" a="1"/>
  <c r="AF53" i="15" s="1"/>
  <c r="E54" i="15" a="1"/>
  <c r="E54" i="15" s="1"/>
  <c r="F54" i="15" a="1"/>
  <c r="F54" i="15" s="1"/>
  <c r="G54" i="15" a="1"/>
  <c r="G54" i="15" s="1"/>
  <c r="H54" i="15" a="1"/>
  <c r="H54" i="15" s="1"/>
  <c r="I54" i="15" a="1"/>
  <c r="I54" i="15" s="1"/>
  <c r="J54" i="15" a="1"/>
  <c r="J54" i="15" s="1"/>
  <c r="K54" i="15" a="1"/>
  <c r="K54" i="15" s="1"/>
  <c r="L54" i="15" a="1"/>
  <c r="L54" i="15" s="1"/>
  <c r="M54" i="15" a="1"/>
  <c r="M54" i="15" s="1"/>
  <c r="N54" i="15" a="1"/>
  <c r="N54" i="15" s="1"/>
  <c r="O54" i="15" a="1"/>
  <c r="O54" i="15" s="1"/>
  <c r="P54" i="15" a="1"/>
  <c r="P54" i="15" s="1"/>
  <c r="Q54" i="15" a="1"/>
  <c r="Q54" i="15" s="1"/>
  <c r="R54" i="15" a="1"/>
  <c r="R54" i="15" s="1"/>
  <c r="S54" i="15" a="1"/>
  <c r="S54" i="15" s="1"/>
  <c r="T54" i="15" a="1"/>
  <c r="T54" i="15" s="1"/>
  <c r="U54" i="15" a="1"/>
  <c r="U54" i="15" s="1"/>
  <c r="V54" i="15" a="1"/>
  <c r="V54" i="15" s="1"/>
  <c r="W54" i="15" a="1"/>
  <c r="W54" i="15" s="1"/>
  <c r="X54" i="15" a="1"/>
  <c r="X54" i="15" s="1"/>
  <c r="Y54" i="15" a="1"/>
  <c r="Y54" i="15" s="1"/>
  <c r="Z54" i="15" a="1"/>
  <c r="Z54" i="15" s="1"/>
  <c r="AA54" i="15" a="1"/>
  <c r="AA54" i="15" s="1"/>
  <c r="AB54" i="15" a="1"/>
  <c r="AB54" i="15" s="1"/>
  <c r="AC54" i="15" a="1"/>
  <c r="AC54" i="15" s="1"/>
  <c r="AD54" i="15" a="1"/>
  <c r="AD54" i="15" s="1"/>
  <c r="AE54" i="15" a="1"/>
  <c r="AE54" i="15" s="1"/>
  <c r="AF54" i="15" a="1"/>
  <c r="AF54" i="15" s="1"/>
  <c r="E55" i="15" a="1"/>
  <c r="E55" i="15" s="1"/>
  <c r="F55" i="15" a="1"/>
  <c r="F55" i="15" s="1"/>
  <c r="G55" i="15" a="1"/>
  <c r="G55" i="15" s="1"/>
  <c r="H55" i="15" a="1"/>
  <c r="H55" i="15" s="1"/>
  <c r="I55" i="15" a="1"/>
  <c r="I55" i="15" s="1"/>
  <c r="J55" i="15" a="1"/>
  <c r="J55" i="15" s="1"/>
  <c r="K55" i="15" a="1"/>
  <c r="K55" i="15" s="1"/>
  <c r="L55" i="15" a="1"/>
  <c r="L55" i="15" s="1"/>
  <c r="M55" i="15" a="1"/>
  <c r="M55" i="15" s="1"/>
  <c r="N55" i="15" a="1"/>
  <c r="N55" i="15" s="1"/>
  <c r="O55" i="15" a="1"/>
  <c r="O55" i="15" s="1"/>
  <c r="P55" i="15" a="1"/>
  <c r="P55" i="15" s="1"/>
  <c r="Q55" i="15" a="1"/>
  <c r="Q55" i="15" s="1"/>
  <c r="R55" i="15" a="1"/>
  <c r="R55" i="15" s="1"/>
  <c r="S55" i="15" a="1"/>
  <c r="S55" i="15" s="1"/>
  <c r="T55" i="15" a="1"/>
  <c r="T55" i="15" s="1"/>
  <c r="U55" i="15" a="1"/>
  <c r="U55" i="15" s="1"/>
  <c r="V55" i="15" a="1"/>
  <c r="V55" i="15" s="1"/>
  <c r="W55" i="15" a="1"/>
  <c r="W55" i="15" s="1"/>
  <c r="X55" i="15" a="1"/>
  <c r="X55" i="15" s="1"/>
  <c r="Y55" i="15" a="1"/>
  <c r="Y55" i="15" s="1"/>
  <c r="Z55" i="15" a="1"/>
  <c r="Z55" i="15" s="1"/>
  <c r="AA55" i="15" a="1"/>
  <c r="AA55" i="15" s="1"/>
  <c r="AB55" i="15" a="1"/>
  <c r="AB55" i="15" s="1"/>
  <c r="AC55" i="15" a="1"/>
  <c r="AC55" i="15" s="1"/>
  <c r="AD55" i="15" a="1"/>
  <c r="AD55" i="15" s="1"/>
  <c r="AE55" i="15" a="1"/>
  <c r="AE55" i="15" s="1"/>
  <c r="AF55" i="15" a="1"/>
  <c r="AF55" i="15" s="1"/>
  <c r="E56" i="15" a="1"/>
  <c r="E56" i="15" s="1"/>
  <c r="F56" i="15" a="1"/>
  <c r="F56" i="15" s="1"/>
  <c r="G56" i="15" a="1"/>
  <c r="G56" i="15" s="1"/>
  <c r="H56" i="15" a="1"/>
  <c r="H56" i="15" s="1"/>
  <c r="I56" i="15" a="1"/>
  <c r="I56" i="15" s="1"/>
  <c r="J56" i="15" a="1"/>
  <c r="J56" i="15" s="1"/>
  <c r="K56" i="15" a="1"/>
  <c r="K56" i="15" s="1"/>
  <c r="L56" i="15" a="1"/>
  <c r="L56" i="15" s="1"/>
  <c r="M56" i="15" a="1"/>
  <c r="M56" i="15" s="1"/>
  <c r="N56" i="15" a="1"/>
  <c r="N56" i="15" s="1"/>
  <c r="O56" i="15" a="1"/>
  <c r="O56" i="15" s="1"/>
  <c r="P56" i="15" a="1"/>
  <c r="P56" i="15" s="1"/>
  <c r="Q56" i="15" a="1"/>
  <c r="Q56" i="15" s="1"/>
  <c r="R56" i="15" a="1"/>
  <c r="R56" i="15" s="1"/>
  <c r="S56" i="15" a="1"/>
  <c r="S56" i="15" s="1"/>
  <c r="T56" i="15" a="1"/>
  <c r="T56" i="15" s="1"/>
  <c r="U56" i="15" a="1"/>
  <c r="U56" i="15" s="1"/>
  <c r="V56" i="15" a="1"/>
  <c r="V56" i="15" s="1"/>
  <c r="W56" i="15" a="1"/>
  <c r="W56" i="15" s="1"/>
  <c r="X56" i="15" a="1"/>
  <c r="X56" i="15" s="1"/>
  <c r="Y56" i="15" a="1"/>
  <c r="Y56" i="15" s="1"/>
  <c r="Z56" i="15" a="1"/>
  <c r="Z56" i="15" s="1"/>
  <c r="AA56" i="15" a="1"/>
  <c r="AA56" i="15" s="1"/>
  <c r="AB56" i="15" a="1"/>
  <c r="AB56" i="15" s="1"/>
  <c r="AC56" i="15" a="1"/>
  <c r="AC56" i="15" s="1"/>
  <c r="AD56" i="15" a="1"/>
  <c r="AD56" i="15" s="1"/>
  <c r="AE56" i="15" a="1"/>
  <c r="AE56" i="15" s="1"/>
  <c r="AF56" i="15" a="1"/>
  <c r="AF56" i="15" s="1"/>
  <c r="E57" i="15" a="1"/>
  <c r="E57" i="15" s="1"/>
  <c r="F57" i="15" a="1"/>
  <c r="F57" i="15" s="1"/>
  <c r="G57" i="15" a="1"/>
  <c r="G57" i="15" s="1"/>
  <c r="H57" i="15" a="1"/>
  <c r="H57" i="15" s="1"/>
  <c r="I57" i="15" a="1"/>
  <c r="I57" i="15" s="1"/>
  <c r="J57" i="15" a="1"/>
  <c r="J57" i="15" s="1"/>
  <c r="K57" i="15" a="1"/>
  <c r="K57" i="15" s="1"/>
  <c r="L57" i="15" a="1"/>
  <c r="L57" i="15" s="1"/>
  <c r="M57" i="15" a="1"/>
  <c r="M57" i="15" s="1"/>
  <c r="N57" i="15" a="1"/>
  <c r="N57" i="15" s="1"/>
  <c r="O57" i="15" a="1"/>
  <c r="O57" i="15" s="1"/>
  <c r="P57" i="15" a="1"/>
  <c r="P57" i="15" s="1"/>
  <c r="Q57" i="15" a="1"/>
  <c r="Q57" i="15" s="1"/>
  <c r="R57" i="15" a="1"/>
  <c r="R57" i="15" s="1"/>
  <c r="S57" i="15" a="1"/>
  <c r="S57" i="15" s="1"/>
  <c r="T57" i="15" a="1"/>
  <c r="T57" i="15" s="1"/>
  <c r="U57" i="15" a="1"/>
  <c r="U57" i="15" s="1"/>
  <c r="V57" i="15" a="1"/>
  <c r="V57" i="15" s="1"/>
  <c r="W57" i="15" a="1"/>
  <c r="W57" i="15" s="1"/>
  <c r="X57" i="15" a="1"/>
  <c r="X57" i="15" s="1"/>
  <c r="Y57" i="15" a="1"/>
  <c r="Y57" i="15" s="1"/>
  <c r="Z57" i="15" a="1"/>
  <c r="Z57" i="15" s="1"/>
  <c r="AA57" i="15" a="1"/>
  <c r="AA57" i="15" s="1"/>
  <c r="AB57" i="15" a="1"/>
  <c r="AB57" i="15" s="1"/>
  <c r="AC57" i="15" a="1"/>
  <c r="AC57" i="15" s="1"/>
  <c r="AD57" i="15" a="1"/>
  <c r="AD57" i="15" s="1"/>
  <c r="AE57" i="15" a="1"/>
  <c r="AE57" i="15" s="1"/>
  <c r="AF57" i="15" a="1"/>
  <c r="AF57" i="15" s="1"/>
  <c r="E58" i="15" a="1"/>
  <c r="E58" i="15" s="1"/>
  <c r="F58" i="15" a="1"/>
  <c r="F58" i="15" s="1"/>
  <c r="G58" i="15" a="1"/>
  <c r="G58" i="15" s="1"/>
  <c r="H58" i="15" a="1"/>
  <c r="H58" i="15" s="1"/>
  <c r="I58" i="15" a="1"/>
  <c r="I58" i="15" s="1"/>
  <c r="J58" i="15" a="1"/>
  <c r="J58" i="15" s="1"/>
  <c r="K58" i="15" a="1"/>
  <c r="K58" i="15" s="1"/>
  <c r="L58" i="15" a="1"/>
  <c r="L58" i="15" s="1"/>
  <c r="M58" i="15" a="1"/>
  <c r="M58" i="15" s="1"/>
  <c r="N58" i="15" a="1"/>
  <c r="N58" i="15" s="1"/>
  <c r="O58" i="15" a="1"/>
  <c r="O58" i="15" s="1"/>
  <c r="P58" i="15" a="1"/>
  <c r="P58" i="15" s="1"/>
  <c r="Q58" i="15" a="1"/>
  <c r="Q58" i="15" s="1"/>
  <c r="R58" i="15" a="1"/>
  <c r="R58" i="15" s="1"/>
  <c r="S58" i="15" a="1"/>
  <c r="S58" i="15" s="1"/>
  <c r="T58" i="15" a="1"/>
  <c r="T58" i="15" s="1"/>
  <c r="U58" i="15" a="1"/>
  <c r="U58" i="15" s="1"/>
  <c r="V58" i="15" a="1"/>
  <c r="V58" i="15" s="1"/>
  <c r="W58" i="15" a="1"/>
  <c r="W58" i="15" s="1"/>
  <c r="X58" i="15" a="1"/>
  <c r="X58" i="15" s="1"/>
  <c r="Y58" i="15" a="1"/>
  <c r="Y58" i="15" s="1"/>
  <c r="Z58" i="15" a="1"/>
  <c r="Z58" i="15" s="1"/>
  <c r="AA58" i="15" a="1"/>
  <c r="AA58" i="15" s="1"/>
  <c r="AB58" i="15" a="1"/>
  <c r="AB58" i="15" s="1"/>
  <c r="AC58" i="15" a="1"/>
  <c r="AC58" i="15" s="1"/>
  <c r="AD58" i="15" a="1"/>
  <c r="AD58" i="15" s="1"/>
  <c r="AE58" i="15" a="1"/>
  <c r="AE58" i="15" s="1"/>
  <c r="AF58" i="15" a="1"/>
  <c r="AF58" i="15" s="1"/>
  <c r="E59" i="15" a="1"/>
  <c r="E59" i="15" s="1"/>
  <c r="F59" i="15" a="1"/>
  <c r="F59" i="15" s="1"/>
  <c r="G59" i="15" a="1"/>
  <c r="G59" i="15" s="1"/>
  <c r="H59" i="15" a="1"/>
  <c r="H59" i="15" s="1"/>
  <c r="I59" i="15" a="1"/>
  <c r="I59" i="15" s="1"/>
  <c r="J59" i="15" a="1"/>
  <c r="J59" i="15" s="1"/>
  <c r="K59" i="15" a="1"/>
  <c r="K59" i="15" s="1"/>
  <c r="L59" i="15" a="1"/>
  <c r="L59" i="15" s="1"/>
  <c r="M59" i="15" a="1"/>
  <c r="M59" i="15" s="1"/>
  <c r="N59" i="15" a="1"/>
  <c r="N59" i="15" s="1"/>
  <c r="O59" i="15" a="1"/>
  <c r="O59" i="15" s="1"/>
  <c r="P59" i="15" a="1"/>
  <c r="P59" i="15" s="1"/>
  <c r="Q59" i="15" a="1"/>
  <c r="Q59" i="15" s="1"/>
  <c r="R59" i="15" a="1"/>
  <c r="R59" i="15" s="1"/>
  <c r="S59" i="15" a="1"/>
  <c r="S59" i="15" s="1"/>
  <c r="T59" i="15" a="1"/>
  <c r="T59" i="15" s="1"/>
  <c r="U59" i="15" a="1"/>
  <c r="U59" i="15" s="1"/>
  <c r="V59" i="15" a="1"/>
  <c r="V59" i="15" s="1"/>
  <c r="W59" i="15" a="1"/>
  <c r="W59" i="15" s="1"/>
  <c r="X59" i="15" a="1"/>
  <c r="X59" i="15" s="1"/>
  <c r="Y59" i="15" a="1"/>
  <c r="Y59" i="15" s="1"/>
  <c r="Z59" i="15" a="1"/>
  <c r="Z59" i="15" s="1"/>
  <c r="AA59" i="15" a="1"/>
  <c r="AA59" i="15" s="1"/>
  <c r="AB59" i="15" a="1"/>
  <c r="AB59" i="15" s="1"/>
  <c r="AC59" i="15" a="1"/>
  <c r="AC59" i="15" s="1"/>
  <c r="AD59" i="15" a="1"/>
  <c r="AD59" i="15" s="1"/>
  <c r="AE59" i="15" a="1"/>
  <c r="AE59" i="15" s="1"/>
  <c r="AF59" i="15" a="1"/>
  <c r="AF59" i="15" s="1"/>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J48" i="6"/>
  <c r="J25" i="6"/>
  <c r="K48" i="6"/>
  <c r="K25" i="6"/>
  <c r="L48" i="6"/>
  <c r="L25" i="6"/>
  <c r="M48" i="6"/>
  <c r="M25" i="6"/>
  <c r="N48" i="6"/>
  <c r="N25" i="6"/>
  <c r="O48" i="6"/>
  <c r="O25" i="6"/>
  <c r="P48" i="6"/>
  <c r="P25" i="6"/>
  <c r="Q48" i="6"/>
  <c r="Q25" i="6"/>
  <c r="R48" i="6"/>
  <c r="R25" i="6"/>
  <c r="S48" i="6"/>
  <c r="S25" i="6"/>
  <c r="T48" i="6"/>
  <c r="T25" i="6"/>
  <c r="U48" i="6"/>
  <c r="U25" i="6"/>
  <c r="V48" i="6"/>
  <c r="V25" i="6"/>
  <c r="W48" i="6"/>
  <c r="W25" i="6"/>
  <c r="X48" i="6"/>
  <c r="X25" i="6"/>
  <c r="Y48" i="6"/>
  <c r="Y25" i="6"/>
  <c r="Z48" i="6"/>
  <c r="Z25" i="6"/>
  <c r="AA48" i="6"/>
  <c r="AA25" i="6"/>
  <c r="AB48" i="6"/>
  <c r="AB25" i="6"/>
  <c r="AC48" i="6"/>
  <c r="AC25" i="6"/>
  <c r="AD48" i="6"/>
  <c r="AD25" i="6"/>
  <c r="AE48" i="6"/>
  <c r="AE25" i="6"/>
  <c r="AF48" i="6"/>
  <c r="AF25" i="6"/>
  <c r="AG48" i="6"/>
  <c r="AG25" i="6"/>
  <c r="AH48" i="6"/>
  <c r="AH25" i="6"/>
  <c r="AI48" i="6"/>
  <c r="AI25" i="6"/>
  <c r="AJ48" i="6"/>
  <c r="AJ25" i="6"/>
  <c r="AK48" i="6"/>
  <c r="AK25" i="6"/>
  <c r="J26" i="6"/>
  <c r="K26" i="6"/>
  <c r="L26" i="6"/>
  <c r="M26" i="6"/>
  <c r="N26" i="6"/>
  <c r="O26" i="6"/>
  <c r="P26" i="6"/>
  <c r="Q26" i="6"/>
  <c r="R26" i="6"/>
  <c r="S26" i="6"/>
  <c r="T26" i="6"/>
  <c r="U26" i="6"/>
  <c r="V26" i="6"/>
  <c r="W26" i="6"/>
  <c r="X26" i="6"/>
  <c r="Y26" i="6"/>
  <c r="Z26" i="6"/>
  <c r="AA26" i="6"/>
  <c r="AB26" i="6"/>
  <c r="AC26" i="6"/>
  <c r="AD26" i="6"/>
  <c r="AE26" i="6"/>
  <c r="AF26" i="6"/>
  <c r="AG26" i="6"/>
  <c r="AH26" i="6"/>
  <c r="AI26" i="6"/>
  <c r="AJ26" i="6"/>
  <c r="AK26"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J23" i="6"/>
  <c r="K23" i="6"/>
  <c r="L23" i="6"/>
  <c r="M23" i="6"/>
  <c r="N23" i="6"/>
  <c r="O23" i="6"/>
  <c r="P23" i="6"/>
  <c r="Q23" i="6"/>
  <c r="R23" i="6"/>
  <c r="S23" i="6"/>
  <c r="T23" i="6"/>
  <c r="U23" i="6"/>
  <c r="V23" i="6"/>
  <c r="W23" i="6"/>
  <c r="X23" i="6"/>
  <c r="Y23" i="6"/>
  <c r="Z23" i="6"/>
  <c r="AA23" i="6"/>
  <c r="AB23" i="6"/>
  <c r="AC23" i="6"/>
  <c r="AD23" i="6"/>
  <c r="AE23" i="6"/>
  <c r="AF23" i="6"/>
  <c r="AG23" i="6"/>
  <c r="AH23" i="6"/>
  <c r="AI23" i="6"/>
  <c r="AJ23" i="6"/>
  <c r="AK23" i="6"/>
  <c r="J10" i="6" l="1"/>
  <c r="K10" i="6"/>
  <c r="J15" i="6"/>
  <c r="J22" i="6"/>
  <c r="J28" i="6"/>
  <c r="J29" i="6"/>
  <c r="J30" i="6"/>
  <c r="J31" i="6"/>
  <c r="J41" i="6"/>
  <c r="J47" i="6"/>
  <c r="J51" i="6"/>
  <c r="J8" i="6"/>
  <c r="J9" i="6"/>
  <c r="J11" i="6"/>
  <c r="J12" i="6"/>
  <c r="J13" i="6"/>
  <c r="J14" i="6"/>
  <c r="J16" i="6"/>
  <c r="J19" i="6"/>
  <c r="J20" i="6"/>
  <c r="J27" i="6"/>
  <c r="J32" i="6"/>
  <c r="J33" i="6"/>
  <c r="J34" i="6"/>
  <c r="J35" i="6"/>
  <c r="J36" i="6"/>
  <c r="J37" i="6"/>
  <c r="J38" i="6"/>
  <c r="J39" i="6"/>
  <c r="J40" i="6"/>
  <c r="J42" i="6"/>
  <c r="J44" i="6"/>
  <c r="J45" i="6"/>
  <c r="J46" i="6"/>
  <c r="J49" i="6"/>
  <c r="J50" i="6"/>
  <c r="J52" i="6"/>
  <c r="K15" i="6"/>
  <c r="K22" i="6"/>
  <c r="K28" i="6"/>
  <c r="K29" i="6"/>
  <c r="K30" i="6"/>
  <c r="K31" i="6"/>
  <c r="K41" i="6"/>
  <c r="K47" i="6"/>
  <c r="K51" i="6"/>
  <c r="K8" i="6"/>
  <c r="K9" i="6"/>
  <c r="K11" i="6"/>
  <c r="K12" i="6"/>
  <c r="K13" i="6"/>
  <c r="K14" i="6"/>
  <c r="K16" i="6"/>
  <c r="K19" i="6"/>
  <c r="K20" i="6"/>
  <c r="K27" i="6"/>
  <c r="K32" i="6"/>
  <c r="K33" i="6"/>
  <c r="K34" i="6"/>
  <c r="K35" i="6"/>
  <c r="K36" i="6"/>
  <c r="K37" i="6"/>
  <c r="K38" i="6"/>
  <c r="K39" i="6"/>
  <c r="K40" i="6"/>
  <c r="K42" i="6"/>
  <c r="K44" i="6"/>
  <c r="K45" i="6"/>
  <c r="K46" i="6"/>
  <c r="K49" i="6"/>
  <c r="K50" i="6"/>
  <c r="K52" i="6"/>
  <c r="AF60" i="15" a="1"/>
  <c r="AF60" i="15" s="1"/>
  <c r="AF61" i="15" a="1"/>
  <c r="AF61" i="15" s="1"/>
  <c r="AF62" i="15" a="1"/>
  <c r="AF62" i="15" s="1"/>
  <c r="AF63" i="15" a="1"/>
  <c r="AF63" i="15" s="1"/>
  <c r="AF64" i="15" a="1"/>
  <c r="AF64" i="15" s="1"/>
  <c r="AF65" i="15" a="1"/>
  <c r="AF65" i="15" s="1"/>
  <c r="AF66" i="15" a="1"/>
  <c r="AF66" i="15" s="1"/>
  <c r="AF67" i="15" a="1"/>
  <c r="AF67" i="15" s="1"/>
  <c r="AF68" i="15" a="1"/>
  <c r="AF68" i="15" s="1"/>
  <c r="AE60" i="15" a="1"/>
  <c r="AE60" i="15" s="1"/>
  <c r="AE61" i="15" a="1"/>
  <c r="AE61" i="15" s="1"/>
  <c r="AE62" i="15" a="1"/>
  <c r="AE62" i="15" s="1"/>
  <c r="AE63" i="15" a="1"/>
  <c r="AE63" i="15" s="1"/>
  <c r="AE64" i="15" a="1"/>
  <c r="AE64" i="15" s="1"/>
  <c r="AE65" i="15" a="1"/>
  <c r="AE65" i="15" s="1"/>
  <c r="AE66" i="15" a="1"/>
  <c r="AE66" i="15" s="1"/>
  <c r="AE67" i="15" a="1"/>
  <c r="AE67" i="15" s="1"/>
  <c r="AE68" i="15" a="1"/>
  <c r="AE68" i="15" s="1"/>
  <c r="H60" i="15" a="1"/>
  <c r="H60" i="15" s="1"/>
  <c r="H61" i="15" a="1"/>
  <c r="H61" i="15" s="1"/>
  <c r="H62" i="15" a="1"/>
  <c r="H62" i="15" s="1"/>
  <c r="H63" i="15" a="1"/>
  <c r="H63" i="15" s="1"/>
  <c r="H64" i="15" a="1"/>
  <c r="H64" i="15" s="1"/>
  <c r="H65" i="15" a="1"/>
  <c r="H65" i="15" s="1"/>
  <c r="H66" i="15" a="1"/>
  <c r="H66" i="15" s="1"/>
  <c r="H67" i="15" a="1"/>
  <c r="H67" i="15" s="1"/>
  <c r="H68" i="15" a="1"/>
  <c r="H68" i="15" s="1"/>
  <c r="AD60" i="15" a="1"/>
  <c r="AD60" i="15" s="1"/>
  <c r="AD61" i="15" a="1"/>
  <c r="AD61" i="15" s="1"/>
  <c r="AD62" i="15" a="1"/>
  <c r="AD62" i="15" s="1"/>
  <c r="AD63" i="15" a="1"/>
  <c r="AD63" i="15" s="1"/>
  <c r="AD64" i="15" a="1"/>
  <c r="AD64" i="15" s="1"/>
  <c r="AD65" i="15" a="1"/>
  <c r="AD65" i="15" s="1"/>
  <c r="AD66" i="15" a="1"/>
  <c r="AD66" i="15" s="1"/>
  <c r="AD67" i="15" a="1"/>
  <c r="AD67" i="15" s="1"/>
  <c r="AD68" i="15" a="1"/>
  <c r="AD68" i="15" s="1"/>
  <c r="AC60" i="15" a="1"/>
  <c r="AC60" i="15" s="1"/>
  <c r="AC61" i="15" a="1"/>
  <c r="AC61" i="15" s="1"/>
  <c r="AC62" i="15" a="1"/>
  <c r="AC62" i="15" s="1"/>
  <c r="AC63" i="15" a="1"/>
  <c r="AC63" i="15" s="1"/>
  <c r="AC64" i="15" a="1"/>
  <c r="AC64" i="15" s="1"/>
  <c r="AC65" i="15" a="1"/>
  <c r="AC65" i="15" s="1"/>
  <c r="AC66" i="15" a="1"/>
  <c r="AC66" i="15" s="1"/>
  <c r="AC67" i="15" a="1"/>
  <c r="AC67" i="15" s="1"/>
  <c r="AC68" i="15" a="1"/>
  <c r="AC68" i="15" s="1"/>
  <c r="AB60" i="15" a="1"/>
  <c r="AB60" i="15" s="1"/>
  <c r="AB61" i="15" a="1"/>
  <c r="AB61" i="15" s="1"/>
  <c r="AB62" i="15" a="1"/>
  <c r="AB62" i="15" s="1"/>
  <c r="AB63" i="15" a="1"/>
  <c r="AB63" i="15" s="1"/>
  <c r="AB64" i="15" a="1"/>
  <c r="AB64" i="15" s="1"/>
  <c r="AB65" i="15" a="1"/>
  <c r="AB65" i="15" s="1"/>
  <c r="AB66" i="15" a="1"/>
  <c r="AB66" i="15" s="1"/>
  <c r="AB67" i="15" a="1"/>
  <c r="AB67" i="15" s="1"/>
  <c r="AB68" i="15" a="1"/>
  <c r="AB68" i="15" s="1"/>
  <c r="AA60" i="15" a="1"/>
  <c r="AA60" i="15" s="1"/>
  <c r="AA61" i="15" a="1"/>
  <c r="AA61" i="15" s="1"/>
  <c r="AA62" i="15" a="1"/>
  <c r="AA62" i="15" s="1"/>
  <c r="AA63" i="15" a="1"/>
  <c r="AA63" i="15" s="1"/>
  <c r="AA64" i="15" a="1"/>
  <c r="AA64" i="15" s="1"/>
  <c r="AA65" i="15" a="1"/>
  <c r="AA65" i="15" s="1"/>
  <c r="AA66" i="15" a="1"/>
  <c r="AA66" i="15" s="1"/>
  <c r="AA67" i="15" a="1"/>
  <c r="AA67" i="15" s="1"/>
  <c r="AA68" i="15" a="1"/>
  <c r="AA68" i="15" s="1"/>
  <c r="Z60" i="15" a="1"/>
  <c r="Z60" i="15" s="1"/>
  <c r="Z61" i="15" a="1"/>
  <c r="Z61" i="15" s="1"/>
  <c r="Z62" i="15" a="1"/>
  <c r="Z62" i="15" s="1"/>
  <c r="Z63" i="15" a="1"/>
  <c r="Z63" i="15" s="1"/>
  <c r="Z64" i="15" a="1"/>
  <c r="Z64" i="15" s="1"/>
  <c r="Z65" i="15" a="1"/>
  <c r="Z65" i="15" s="1"/>
  <c r="Z66" i="15" a="1"/>
  <c r="Z66" i="15" s="1"/>
  <c r="Z67" i="15" a="1"/>
  <c r="Z67" i="15" s="1"/>
  <c r="Z68" i="15" a="1"/>
  <c r="Z68" i="15" s="1"/>
  <c r="Y60" i="15" a="1"/>
  <c r="Y60" i="15" s="1"/>
  <c r="Y61" i="15" a="1"/>
  <c r="Y61" i="15" s="1"/>
  <c r="Y62" i="15" a="1"/>
  <c r="Y62" i="15" s="1"/>
  <c r="Y63" i="15" a="1"/>
  <c r="Y63" i="15" s="1"/>
  <c r="Y64" i="15" a="1"/>
  <c r="Y64" i="15" s="1"/>
  <c r="Y65" i="15" a="1"/>
  <c r="Y65" i="15" s="1"/>
  <c r="Y66" i="15" a="1"/>
  <c r="Y66" i="15" s="1"/>
  <c r="Y67" i="15" a="1"/>
  <c r="Y67" i="15" s="1"/>
  <c r="Y68" i="15" a="1"/>
  <c r="Y68" i="15" s="1"/>
  <c r="X60" i="15" a="1"/>
  <c r="X60" i="15" s="1"/>
  <c r="X61" i="15" a="1"/>
  <c r="X61" i="15" s="1"/>
  <c r="X62" i="15" a="1"/>
  <c r="X62" i="15" s="1"/>
  <c r="X63" i="15" a="1"/>
  <c r="X63" i="15" s="1"/>
  <c r="X64" i="15" a="1"/>
  <c r="X64" i="15" s="1"/>
  <c r="X65" i="15" a="1"/>
  <c r="X65" i="15" s="1"/>
  <c r="X66" i="15" a="1"/>
  <c r="X66" i="15" s="1"/>
  <c r="X67" i="15" a="1"/>
  <c r="X67" i="15" s="1"/>
  <c r="X68" i="15" a="1"/>
  <c r="X68" i="15" s="1"/>
  <c r="W60" i="15" a="1"/>
  <c r="W60" i="15" s="1"/>
  <c r="W61" i="15" a="1"/>
  <c r="W61" i="15" s="1"/>
  <c r="W62" i="15" a="1"/>
  <c r="W62" i="15" s="1"/>
  <c r="W63" i="15" a="1"/>
  <c r="W63" i="15" s="1"/>
  <c r="W64" i="15" a="1"/>
  <c r="W64" i="15" s="1"/>
  <c r="W65" i="15" a="1"/>
  <c r="W65" i="15" s="1"/>
  <c r="W66" i="15" a="1"/>
  <c r="W66" i="15" s="1"/>
  <c r="W67" i="15" a="1"/>
  <c r="W67" i="15" s="1"/>
  <c r="W68" i="15" a="1"/>
  <c r="W68" i="15" s="1"/>
  <c r="V60" i="15" a="1"/>
  <c r="V60" i="15" s="1"/>
  <c r="V61" i="15" a="1"/>
  <c r="V61" i="15" s="1"/>
  <c r="V62" i="15" a="1"/>
  <c r="V62" i="15" s="1"/>
  <c r="V63" i="15" a="1"/>
  <c r="V63" i="15" s="1"/>
  <c r="V64" i="15" a="1"/>
  <c r="V64" i="15" s="1"/>
  <c r="V65" i="15" a="1"/>
  <c r="V65" i="15" s="1"/>
  <c r="V66" i="15" a="1"/>
  <c r="V66" i="15" s="1"/>
  <c r="V67" i="15" a="1"/>
  <c r="V67" i="15" s="1"/>
  <c r="V68" i="15" a="1"/>
  <c r="V68" i="15" s="1"/>
  <c r="U60" i="15" a="1"/>
  <c r="U60" i="15" s="1"/>
  <c r="U61" i="15" a="1"/>
  <c r="U61" i="15" s="1"/>
  <c r="U62" i="15" a="1"/>
  <c r="U62" i="15" s="1"/>
  <c r="U63" i="15" a="1"/>
  <c r="U63" i="15" s="1"/>
  <c r="U64" i="15" a="1"/>
  <c r="U64" i="15" s="1"/>
  <c r="U65" i="15" a="1"/>
  <c r="U65" i="15" s="1"/>
  <c r="U66" i="15" a="1"/>
  <c r="U66" i="15" s="1"/>
  <c r="U67" i="15" a="1"/>
  <c r="U67" i="15" s="1"/>
  <c r="U68" i="15" a="1"/>
  <c r="U68" i="15" s="1"/>
  <c r="T60" i="15" a="1"/>
  <c r="T60" i="15" s="1"/>
  <c r="T61" i="15" a="1"/>
  <c r="T61" i="15" s="1"/>
  <c r="T62" i="15" a="1"/>
  <c r="T62" i="15" s="1"/>
  <c r="T63" i="15" a="1"/>
  <c r="T63" i="15" s="1"/>
  <c r="T64" i="15" a="1"/>
  <c r="T64" i="15" s="1"/>
  <c r="T65" i="15" a="1"/>
  <c r="T65" i="15" s="1"/>
  <c r="T66" i="15" a="1"/>
  <c r="T66" i="15" s="1"/>
  <c r="T67" i="15" a="1"/>
  <c r="T67" i="15" s="1"/>
  <c r="T68" i="15" a="1"/>
  <c r="T68" i="15" s="1"/>
  <c r="S60" i="15" a="1"/>
  <c r="S60" i="15" s="1"/>
  <c r="S61" i="15" a="1"/>
  <c r="S61" i="15" s="1"/>
  <c r="S62" i="15" a="1"/>
  <c r="S62" i="15" s="1"/>
  <c r="S63" i="15" a="1"/>
  <c r="S63" i="15" s="1"/>
  <c r="S64" i="15" a="1"/>
  <c r="S64" i="15" s="1"/>
  <c r="S65" i="15" a="1"/>
  <c r="S65" i="15" s="1"/>
  <c r="S66" i="15" a="1"/>
  <c r="S66" i="15" s="1"/>
  <c r="S67" i="15" a="1"/>
  <c r="S67" i="15" s="1"/>
  <c r="S68" i="15" a="1"/>
  <c r="S68" i="15" s="1"/>
  <c r="R60" i="15" a="1"/>
  <c r="R60" i="15" s="1"/>
  <c r="R61" i="15" a="1"/>
  <c r="R61" i="15" s="1"/>
  <c r="R62" i="15" a="1"/>
  <c r="R62" i="15" s="1"/>
  <c r="R63" i="15" a="1"/>
  <c r="R63" i="15" s="1"/>
  <c r="R64" i="15" a="1"/>
  <c r="R64" i="15" s="1"/>
  <c r="R65" i="15" a="1"/>
  <c r="R65" i="15" s="1"/>
  <c r="R66" i="15" a="1"/>
  <c r="R66" i="15" s="1"/>
  <c r="R67" i="15" a="1"/>
  <c r="R67" i="15" s="1"/>
  <c r="R68" i="15" a="1"/>
  <c r="R68" i="15" s="1"/>
  <c r="Q60" i="15" a="1"/>
  <c r="Q60" i="15" s="1"/>
  <c r="Q61" i="15" a="1"/>
  <c r="Q61" i="15" s="1"/>
  <c r="Q62" i="15" a="1"/>
  <c r="Q62" i="15" s="1"/>
  <c r="Q63" i="15" a="1"/>
  <c r="Q63" i="15" s="1"/>
  <c r="Q64" i="15" a="1"/>
  <c r="Q64" i="15" s="1"/>
  <c r="Q65" i="15" a="1"/>
  <c r="Q65" i="15" s="1"/>
  <c r="Q66" i="15" a="1"/>
  <c r="Q66" i="15" s="1"/>
  <c r="Q67" i="15" a="1"/>
  <c r="Q67" i="15" s="1"/>
  <c r="Q68" i="15" a="1"/>
  <c r="Q68" i="15" s="1"/>
  <c r="P60" i="15" a="1"/>
  <c r="P60" i="15" s="1"/>
  <c r="P61" i="15" a="1"/>
  <c r="P61" i="15" s="1"/>
  <c r="P62" i="15" a="1"/>
  <c r="P62" i="15" s="1"/>
  <c r="P63" i="15" a="1"/>
  <c r="P63" i="15" s="1"/>
  <c r="P64" i="15" a="1"/>
  <c r="P64" i="15" s="1"/>
  <c r="P65" i="15" a="1"/>
  <c r="P65" i="15" s="1"/>
  <c r="P66" i="15" a="1"/>
  <c r="P66" i="15" s="1"/>
  <c r="P67" i="15" a="1"/>
  <c r="P67" i="15" s="1"/>
  <c r="P68" i="15" a="1"/>
  <c r="P68" i="15" s="1"/>
  <c r="O60" i="15" a="1"/>
  <c r="O60" i="15" s="1"/>
  <c r="O61" i="15" a="1"/>
  <c r="O61" i="15" s="1"/>
  <c r="O62" i="15" a="1"/>
  <c r="O62" i="15" s="1"/>
  <c r="O63" i="15" a="1"/>
  <c r="O63" i="15" s="1"/>
  <c r="O64" i="15" a="1"/>
  <c r="O64" i="15" s="1"/>
  <c r="O65" i="15" a="1"/>
  <c r="O65" i="15" s="1"/>
  <c r="O66" i="15" a="1"/>
  <c r="O66" i="15" s="1"/>
  <c r="O67" i="15" a="1"/>
  <c r="O67" i="15" s="1"/>
  <c r="O68" i="15" a="1"/>
  <c r="O68" i="15" s="1"/>
  <c r="N60" i="15" a="1"/>
  <c r="N60" i="15" s="1"/>
  <c r="N61" i="15" a="1"/>
  <c r="N61" i="15" s="1"/>
  <c r="N62" i="15" a="1"/>
  <c r="N62" i="15" s="1"/>
  <c r="N63" i="15" a="1"/>
  <c r="N63" i="15" s="1"/>
  <c r="N64" i="15" a="1"/>
  <c r="N64" i="15" s="1"/>
  <c r="N65" i="15" a="1"/>
  <c r="N65" i="15" s="1"/>
  <c r="N66" i="15" a="1"/>
  <c r="N66" i="15" s="1"/>
  <c r="N67" i="15" a="1"/>
  <c r="N67" i="15" s="1"/>
  <c r="N68" i="15" a="1"/>
  <c r="N68" i="15" s="1"/>
  <c r="M60" i="15" a="1"/>
  <c r="M60" i="15" s="1"/>
  <c r="M61" i="15" a="1"/>
  <c r="M61" i="15" s="1"/>
  <c r="M62" i="15" a="1"/>
  <c r="M62" i="15" s="1"/>
  <c r="M63" i="15" a="1"/>
  <c r="M63" i="15" s="1"/>
  <c r="M64" i="15" a="1"/>
  <c r="M64" i="15" s="1"/>
  <c r="M65" i="15" a="1"/>
  <c r="M65" i="15" s="1"/>
  <c r="M66" i="15" a="1"/>
  <c r="M66" i="15" s="1"/>
  <c r="M67" i="15" a="1"/>
  <c r="M67" i="15" s="1"/>
  <c r="M68" i="15" a="1"/>
  <c r="M68" i="15" s="1"/>
  <c r="L60" i="15" a="1"/>
  <c r="L60" i="15" s="1"/>
  <c r="L61" i="15" a="1"/>
  <c r="L61" i="15" s="1"/>
  <c r="L62" i="15" a="1"/>
  <c r="L62" i="15" s="1"/>
  <c r="L63" i="15" a="1"/>
  <c r="L63" i="15" s="1"/>
  <c r="L64" i="15" a="1"/>
  <c r="L64" i="15" s="1"/>
  <c r="L65" i="15" a="1"/>
  <c r="L65" i="15" s="1"/>
  <c r="L66" i="15" a="1"/>
  <c r="L66" i="15" s="1"/>
  <c r="L67" i="15" a="1"/>
  <c r="L67" i="15" s="1"/>
  <c r="L68" i="15" a="1"/>
  <c r="L68" i="15" s="1"/>
  <c r="K60" i="15" a="1"/>
  <c r="K60" i="15" s="1"/>
  <c r="K61" i="15" a="1"/>
  <c r="K61" i="15" s="1"/>
  <c r="K62" i="15" a="1"/>
  <c r="K62" i="15" s="1"/>
  <c r="K63" i="15" a="1"/>
  <c r="K63" i="15" s="1"/>
  <c r="K64" i="15" a="1"/>
  <c r="K64" i="15" s="1"/>
  <c r="K65" i="15" a="1"/>
  <c r="K65" i="15" s="1"/>
  <c r="K66" i="15" a="1"/>
  <c r="K66" i="15" s="1"/>
  <c r="K67" i="15" a="1"/>
  <c r="K67" i="15" s="1"/>
  <c r="K68" i="15" a="1"/>
  <c r="K68" i="15" s="1"/>
  <c r="J60" i="15" a="1"/>
  <c r="J60" i="15" s="1"/>
  <c r="J61" i="15" a="1"/>
  <c r="J61" i="15" s="1"/>
  <c r="J62" i="15" a="1"/>
  <c r="J62" i="15" s="1"/>
  <c r="J63" i="15" a="1"/>
  <c r="J63" i="15" s="1"/>
  <c r="J64" i="15" a="1"/>
  <c r="J64" i="15" s="1"/>
  <c r="J65" i="15" a="1"/>
  <c r="J65" i="15" s="1"/>
  <c r="J66" i="15" a="1"/>
  <c r="J66" i="15" s="1"/>
  <c r="J67" i="15" a="1"/>
  <c r="J67" i="15" s="1"/>
  <c r="J68" i="15" a="1"/>
  <c r="J68" i="15" s="1"/>
  <c r="I60" i="15" a="1"/>
  <c r="I60" i="15" s="1"/>
  <c r="I61" i="15" a="1"/>
  <c r="I61" i="15" s="1"/>
  <c r="I62" i="15" a="1"/>
  <c r="I62" i="15" s="1"/>
  <c r="I63" i="15" a="1"/>
  <c r="I63" i="15" s="1"/>
  <c r="I64" i="15" a="1"/>
  <c r="I64" i="15" s="1"/>
  <c r="I65" i="15" a="1"/>
  <c r="I65" i="15" s="1"/>
  <c r="I66" i="15" a="1"/>
  <c r="I66" i="15" s="1"/>
  <c r="I67" i="15" a="1"/>
  <c r="I67" i="15" s="1"/>
  <c r="I68" i="15" a="1"/>
  <c r="I68" i="15" s="1"/>
  <c r="G60" i="15" a="1"/>
  <c r="G60" i="15" s="1"/>
  <c r="G61" i="15" a="1"/>
  <c r="G61" i="15" s="1"/>
  <c r="G62" i="15" a="1"/>
  <c r="G62" i="15" s="1"/>
  <c r="G63" i="15" a="1"/>
  <c r="G63" i="15" s="1"/>
  <c r="G64" i="15" a="1"/>
  <c r="G64" i="15" s="1"/>
  <c r="G65" i="15" a="1"/>
  <c r="G65" i="15" s="1"/>
  <c r="G66" i="15" a="1"/>
  <c r="G66" i="15" s="1"/>
  <c r="G67" i="15" a="1"/>
  <c r="G67" i="15" s="1"/>
  <c r="G68" i="15" a="1"/>
  <c r="G68" i="15" s="1"/>
  <c r="F60" i="15" a="1"/>
  <c r="F60" i="15" s="1"/>
  <c r="F61" i="15" a="1"/>
  <c r="F61" i="15" s="1"/>
  <c r="F62" i="15" a="1"/>
  <c r="F62" i="15" s="1"/>
  <c r="F63" i="15" a="1"/>
  <c r="F63" i="15" s="1"/>
  <c r="F64" i="15" a="1"/>
  <c r="F64" i="15" s="1"/>
  <c r="F65" i="15" a="1"/>
  <c r="F65" i="15" s="1"/>
  <c r="F66" i="15" a="1"/>
  <c r="F66" i="15" s="1"/>
  <c r="F67" i="15" a="1"/>
  <c r="F67" i="15" s="1"/>
  <c r="F68" i="15" a="1"/>
  <c r="F68" i="15" s="1"/>
  <c r="E60" i="15" a="1"/>
  <c r="E60" i="15" s="1"/>
  <c r="E61" i="15" a="1"/>
  <c r="E61" i="15" s="1"/>
  <c r="E62" i="15" a="1"/>
  <c r="E62" i="15" s="1"/>
  <c r="E63" i="15" a="1"/>
  <c r="E63" i="15" s="1"/>
  <c r="E64" i="15" a="1"/>
  <c r="E64" i="15" s="1"/>
  <c r="E65" i="15" a="1"/>
  <c r="E65" i="15" s="1"/>
  <c r="E66" i="15" a="1"/>
  <c r="E66" i="15" s="1"/>
  <c r="E67" i="15" a="1"/>
  <c r="E67" i="15" s="1"/>
  <c r="E68" i="15" a="1"/>
  <c r="E68" i="15" s="1"/>
  <c r="L50" i="6" l="1"/>
  <c r="M50" i="6"/>
  <c r="N50" i="6"/>
  <c r="O50" i="6"/>
  <c r="P50" i="6"/>
  <c r="Q50" i="6"/>
  <c r="R50" i="6"/>
  <c r="S50" i="6"/>
  <c r="T50" i="6"/>
  <c r="U50" i="6"/>
  <c r="V50" i="6"/>
  <c r="W50" i="6"/>
  <c r="X50" i="6"/>
  <c r="Y50" i="6"/>
  <c r="Z50" i="6"/>
  <c r="AA50" i="6"/>
  <c r="AB50" i="6"/>
  <c r="AC50" i="6"/>
  <c r="AD50" i="6"/>
  <c r="AE50" i="6"/>
  <c r="AF50" i="6"/>
  <c r="AG50" i="6"/>
  <c r="AH50" i="6"/>
  <c r="AI50" i="6"/>
  <c r="AJ50" i="6"/>
  <c r="AK50" i="6"/>
  <c r="AK10" i="6"/>
  <c r="AK15" i="6"/>
  <c r="AK22" i="6"/>
  <c r="AK28" i="6"/>
  <c r="AK29" i="6"/>
  <c r="AK30" i="6"/>
  <c r="AK31" i="6"/>
  <c r="AK41" i="6"/>
  <c r="AK47" i="6"/>
  <c r="AK51" i="6"/>
  <c r="AK8" i="6"/>
  <c r="AK9" i="6"/>
  <c r="AK11" i="6"/>
  <c r="AK12" i="6"/>
  <c r="AK13" i="6"/>
  <c r="AK14" i="6"/>
  <c r="AK16" i="6"/>
  <c r="AK19" i="6"/>
  <c r="AK20" i="6"/>
  <c r="AK27" i="6"/>
  <c r="AK32" i="6"/>
  <c r="AK33" i="6"/>
  <c r="AK34" i="6"/>
  <c r="AK35" i="6"/>
  <c r="AK36" i="6"/>
  <c r="AK37" i="6"/>
  <c r="AK38" i="6"/>
  <c r="AK39" i="6"/>
  <c r="AK40" i="6"/>
  <c r="AK42" i="6"/>
  <c r="AK44" i="6"/>
  <c r="AK45" i="6"/>
  <c r="AK46" i="6"/>
  <c r="AK49" i="6"/>
  <c r="AK52" i="6"/>
  <c r="AJ10" i="6"/>
  <c r="AJ15" i="6"/>
  <c r="AJ22" i="6"/>
  <c r="AJ28" i="6"/>
  <c r="AJ29" i="6"/>
  <c r="AJ30" i="6"/>
  <c r="AJ31" i="6"/>
  <c r="AJ41" i="6"/>
  <c r="AJ47" i="6"/>
  <c r="AJ51" i="6"/>
  <c r="AJ8" i="6"/>
  <c r="AJ9" i="6"/>
  <c r="AJ11" i="6"/>
  <c r="AJ12" i="6"/>
  <c r="AJ13" i="6"/>
  <c r="AJ14" i="6"/>
  <c r="AJ16" i="6"/>
  <c r="AJ19" i="6"/>
  <c r="AJ20" i="6"/>
  <c r="AJ27" i="6"/>
  <c r="AJ32" i="6"/>
  <c r="AJ33" i="6"/>
  <c r="AJ34" i="6"/>
  <c r="AJ35" i="6"/>
  <c r="AJ36" i="6"/>
  <c r="AJ37" i="6"/>
  <c r="AJ38" i="6"/>
  <c r="AJ39" i="6"/>
  <c r="AJ40" i="6"/>
  <c r="AJ42" i="6"/>
  <c r="AJ44" i="6"/>
  <c r="AJ45" i="6"/>
  <c r="AJ46" i="6"/>
  <c r="AJ49" i="6"/>
  <c r="AJ52" i="6"/>
  <c r="AI10" i="6"/>
  <c r="AI15" i="6"/>
  <c r="AI22" i="6"/>
  <c r="AI28" i="6"/>
  <c r="AI29" i="6"/>
  <c r="AI30" i="6"/>
  <c r="AI31" i="6"/>
  <c r="AI41" i="6"/>
  <c r="AI47" i="6"/>
  <c r="AI51" i="6"/>
  <c r="AI8" i="6"/>
  <c r="AI9" i="6"/>
  <c r="AI11" i="6"/>
  <c r="AI12" i="6"/>
  <c r="AI13" i="6"/>
  <c r="AI14" i="6"/>
  <c r="AI16" i="6"/>
  <c r="AI19" i="6"/>
  <c r="AI20" i="6"/>
  <c r="AI27" i="6"/>
  <c r="AI32" i="6"/>
  <c r="AI33" i="6"/>
  <c r="AI34" i="6"/>
  <c r="AI35" i="6"/>
  <c r="AI36" i="6"/>
  <c r="AI37" i="6"/>
  <c r="AI38" i="6"/>
  <c r="AI39" i="6"/>
  <c r="AI40" i="6"/>
  <c r="AI42" i="6"/>
  <c r="AI44" i="6"/>
  <c r="AI45" i="6"/>
  <c r="AI46" i="6"/>
  <c r="AI49" i="6"/>
  <c r="AI52" i="6"/>
  <c r="AH10" i="6"/>
  <c r="AH15" i="6"/>
  <c r="AH22" i="6"/>
  <c r="AH28" i="6"/>
  <c r="AH29" i="6"/>
  <c r="AH30" i="6"/>
  <c r="AH31" i="6"/>
  <c r="AH41" i="6"/>
  <c r="AH47" i="6"/>
  <c r="AH51" i="6"/>
  <c r="AH8" i="6"/>
  <c r="AH9" i="6"/>
  <c r="AH11" i="6"/>
  <c r="AH12" i="6"/>
  <c r="AH13" i="6"/>
  <c r="AH14" i="6"/>
  <c r="AH16" i="6"/>
  <c r="AH19" i="6"/>
  <c r="AH20" i="6"/>
  <c r="AH27" i="6"/>
  <c r="AH32" i="6"/>
  <c r="AH33" i="6"/>
  <c r="AH34" i="6"/>
  <c r="AH35" i="6"/>
  <c r="AH36" i="6"/>
  <c r="AH37" i="6"/>
  <c r="AH38" i="6"/>
  <c r="AH39" i="6"/>
  <c r="AH40" i="6"/>
  <c r="AH42" i="6"/>
  <c r="AH44" i="6"/>
  <c r="AH45" i="6"/>
  <c r="AH46" i="6"/>
  <c r="AH49" i="6"/>
  <c r="AH52" i="6"/>
  <c r="AG10" i="6"/>
  <c r="AG15" i="6"/>
  <c r="AG22" i="6"/>
  <c r="AG28" i="6"/>
  <c r="AG29" i="6"/>
  <c r="AG30" i="6"/>
  <c r="AG31" i="6"/>
  <c r="AG41" i="6"/>
  <c r="AG47" i="6"/>
  <c r="AG51" i="6"/>
  <c r="AG8" i="6"/>
  <c r="AG9" i="6"/>
  <c r="AG11" i="6"/>
  <c r="AG12" i="6"/>
  <c r="AG13" i="6"/>
  <c r="AG14" i="6"/>
  <c r="AG16" i="6"/>
  <c r="AG19" i="6"/>
  <c r="AG20" i="6"/>
  <c r="AG27" i="6"/>
  <c r="AG32" i="6"/>
  <c r="AG33" i="6"/>
  <c r="AG34" i="6"/>
  <c r="AG35" i="6"/>
  <c r="AG36" i="6"/>
  <c r="AG37" i="6"/>
  <c r="AG38" i="6"/>
  <c r="AG39" i="6"/>
  <c r="AG40" i="6"/>
  <c r="AG42" i="6"/>
  <c r="AG44" i="6"/>
  <c r="AG45" i="6"/>
  <c r="AG46" i="6"/>
  <c r="AG49" i="6"/>
  <c r="AG52" i="6"/>
  <c r="AF10" i="6"/>
  <c r="AF15" i="6"/>
  <c r="AF22" i="6"/>
  <c r="AF28" i="6"/>
  <c r="AF29" i="6"/>
  <c r="AF30" i="6"/>
  <c r="AF31" i="6"/>
  <c r="AF41" i="6"/>
  <c r="AF47" i="6"/>
  <c r="AF51" i="6"/>
  <c r="AF8" i="6"/>
  <c r="AF9" i="6"/>
  <c r="AF11" i="6"/>
  <c r="AF12" i="6"/>
  <c r="AF13" i="6"/>
  <c r="AF14" i="6"/>
  <c r="AF16" i="6"/>
  <c r="AF19" i="6"/>
  <c r="AF20" i="6"/>
  <c r="AF27" i="6"/>
  <c r="AF32" i="6"/>
  <c r="AF33" i="6"/>
  <c r="AF34" i="6"/>
  <c r="AF35" i="6"/>
  <c r="AF36" i="6"/>
  <c r="AF37" i="6"/>
  <c r="AF38" i="6"/>
  <c r="AF39" i="6"/>
  <c r="AF40" i="6"/>
  <c r="AF42" i="6"/>
  <c r="AF44" i="6"/>
  <c r="AF45" i="6"/>
  <c r="AF46" i="6"/>
  <c r="AF49" i="6"/>
  <c r="AF52" i="6"/>
  <c r="AE10" i="6"/>
  <c r="AE15" i="6"/>
  <c r="AE22" i="6"/>
  <c r="AE28" i="6"/>
  <c r="AE29" i="6"/>
  <c r="AE30" i="6"/>
  <c r="AE31" i="6"/>
  <c r="AE41" i="6"/>
  <c r="AE47" i="6"/>
  <c r="AE51" i="6"/>
  <c r="AE8" i="6"/>
  <c r="AE9" i="6"/>
  <c r="AE11" i="6"/>
  <c r="AE12" i="6"/>
  <c r="AE13" i="6"/>
  <c r="AE14" i="6"/>
  <c r="AE16" i="6"/>
  <c r="AE19" i="6"/>
  <c r="AE20" i="6"/>
  <c r="AE27" i="6"/>
  <c r="AE32" i="6"/>
  <c r="AE33" i="6"/>
  <c r="AE34" i="6"/>
  <c r="AE35" i="6"/>
  <c r="AE36" i="6"/>
  <c r="AE37" i="6"/>
  <c r="AE38" i="6"/>
  <c r="AE39" i="6"/>
  <c r="AE40" i="6"/>
  <c r="AE42" i="6"/>
  <c r="AE44" i="6"/>
  <c r="AE45" i="6"/>
  <c r="AE46" i="6"/>
  <c r="AE49" i="6"/>
  <c r="AE52" i="6"/>
  <c r="AD10" i="6"/>
  <c r="AD15" i="6"/>
  <c r="AD22" i="6"/>
  <c r="AD28" i="6"/>
  <c r="AD29" i="6"/>
  <c r="AD30" i="6"/>
  <c r="AD31" i="6"/>
  <c r="AD41" i="6"/>
  <c r="AD47" i="6"/>
  <c r="AD51" i="6"/>
  <c r="AD8" i="6"/>
  <c r="AD9" i="6"/>
  <c r="AD11" i="6"/>
  <c r="AD12" i="6"/>
  <c r="AD13" i="6"/>
  <c r="AD14" i="6"/>
  <c r="AD16" i="6"/>
  <c r="AD19" i="6"/>
  <c r="AD20" i="6"/>
  <c r="AD27" i="6"/>
  <c r="AD32" i="6"/>
  <c r="AD33" i="6"/>
  <c r="AD34" i="6"/>
  <c r="AD35" i="6"/>
  <c r="AD36" i="6"/>
  <c r="AD37" i="6"/>
  <c r="AD38" i="6"/>
  <c r="AD39" i="6"/>
  <c r="AD40" i="6"/>
  <c r="AD42" i="6"/>
  <c r="AD44" i="6"/>
  <c r="AD45" i="6"/>
  <c r="AD46" i="6"/>
  <c r="AD49" i="6"/>
  <c r="AD52" i="6"/>
  <c r="AC10" i="6"/>
  <c r="AC15" i="6"/>
  <c r="AC22" i="6"/>
  <c r="AC28" i="6"/>
  <c r="AC29" i="6"/>
  <c r="AC30" i="6"/>
  <c r="AC31" i="6"/>
  <c r="AC41" i="6"/>
  <c r="AC47" i="6"/>
  <c r="AC51" i="6"/>
  <c r="AC8" i="6"/>
  <c r="AC9" i="6"/>
  <c r="AC11" i="6"/>
  <c r="AC12" i="6"/>
  <c r="AC13" i="6"/>
  <c r="AC14" i="6"/>
  <c r="AC16" i="6"/>
  <c r="AC19" i="6"/>
  <c r="AC20" i="6"/>
  <c r="AC27" i="6"/>
  <c r="AC32" i="6"/>
  <c r="AC33" i="6"/>
  <c r="AC34" i="6"/>
  <c r="AC35" i="6"/>
  <c r="AC36" i="6"/>
  <c r="AC37" i="6"/>
  <c r="AC38" i="6"/>
  <c r="AC39" i="6"/>
  <c r="AC40" i="6"/>
  <c r="AC42" i="6"/>
  <c r="AC44" i="6"/>
  <c r="AC45" i="6"/>
  <c r="AC46" i="6"/>
  <c r="AC49" i="6"/>
  <c r="AC52" i="6"/>
  <c r="AB10" i="6"/>
  <c r="AB15" i="6"/>
  <c r="AB22" i="6"/>
  <c r="AB28" i="6"/>
  <c r="AB29" i="6"/>
  <c r="AB30" i="6"/>
  <c r="AB31" i="6"/>
  <c r="AB41" i="6"/>
  <c r="AB47" i="6"/>
  <c r="AB51" i="6"/>
  <c r="AB8" i="6"/>
  <c r="AB9" i="6"/>
  <c r="AB11" i="6"/>
  <c r="AB12" i="6"/>
  <c r="AB13" i="6"/>
  <c r="AB14" i="6"/>
  <c r="AB16" i="6"/>
  <c r="AB19" i="6"/>
  <c r="AB20" i="6"/>
  <c r="AB27" i="6"/>
  <c r="AB32" i="6"/>
  <c r="AB33" i="6"/>
  <c r="AB34" i="6"/>
  <c r="AB35" i="6"/>
  <c r="AB36" i="6"/>
  <c r="AB37" i="6"/>
  <c r="AB38" i="6"/>
  <c r="AB39" i="6"/>
  <c r="AB40" i="6"/>
  <c r="AB42" i="6"/>
  <c r="AB44" i="6"/>
  <c r="AB45" i="6"/>
  <c r="AB46" i="6"/>
  <c r="AB49" i="6"/>
  <c r="AB52" i="6"/>
  <c r="AA10" i="6"/>
  <c r="AA15" i="6"/>
  <c r="AA22" i="6"/>
  <c r="AA28" i="6"/>
  <c r="AA29" i="6"/>
  <c r="AA30" i="6"/>
  <c r="AA31" i="6"/>
  <c r="AA41" i="6"/>
  <c r="AA47" i="6"/>
  <c r="AA51" i="6"/>
  <c r="AA8" i="6"/>
  <c r="AA9" i="6"/>
  <c r="AA11" i="6"/>
  <c r="AA12" i="6"/>
  <c r="AA13" i="6"/>
  <c r="AA14" i="6"/>
  <c r="AA16" i="6"/>
  <c r="AA19" i="6"/>
  <c r="AA20" i="6"/>
  <c r="AA27" i="6"/>
  <c r="AA32" i="6"/>
  <c r="AA33" i="6"/>
  <c r="AA34" i="6"/>
  <c r="AA35" i="6"/>
  <c r="AA36" i="6"/>
  <c r="AA37" i="6"/>
  <c r="AA38" i="6"/>
  <c r="AA39" i="6"/>
  <c r="AA40" i="6"/>
  <c r="AA42" i="6"/>
  <c r="AA44" i="6"/>
  <c r="AA45" i="6"/>
  <c r="AA46" i="6"/>
  <c r="AA49" i="6"/>
  <c r="AA52" i="6"/>
  <c r="Z10" i="6"/>
  <c r="Z15" i="6"/>
  <c r="Z22" i="6"/>
  <c r="Z28" i="6"/>
  <c r="Z29" i="6"/>
  <c r="Z30" i="6"/>
  <c r="Z31" i="6"/>
  <c r="Z41" i="6"/>
  <c r="Z47" i="6"/>
  <c r="Z51" i="6"/>
  <c r="Z8" i="6"/>
  <c r="Z9" i="6"/>
  <c r="Z11" i="6"/>
  <c r="Z12" i="6"/>
  <c r="Z13" i="6"/>
  <c r="Z14" i="6"/>
  <c r="Z16" i="6"/>
  <c r="Z19" i="6"/>
  <c r="Z20" i="6"/>
  <c r="Z27" i="6"/>
  <c r="Z32" i="6"/>
  <c r="Z33" i="6"/>
  <c r="Z34" i="6"/>
  <c r="Z35" i="6"/>
  <c r="Z36" i="6"/>
  <c r="Z37" i="6"/>
  <c r="Z38" i="6"/>
  <c r="Z39" i="6"/>
  <c r="Z40" i="6"/>
  <c r="Z42" i="6"/>
  <c r="Z44" i="6"/>
  <c r="Z45" i="6"/>
  <c r="Z46" i="6"/>
  <c r="Z49" i="6"/>
  <c r="Z52" i="6"/>
  <c r="Y10" i="6"/>
  <c r="Y15" i="6"/>
  <c r="Y22" i="6"/>
  <c r="Y28" i="6"/>
  <c r="Y29" i="6"/>
  <c r="Y30" i="6"/>
  <c r="Y31" i="6"/>
  <c r="Y41" i="6"/>
  <c r="Y47" i="6"/>
  <c r="Y51" i="6"/>
  <c r="Y8" i="6"/>
  <c r="Y9" i="6"/>
  <c r="Y11" i="6"/>
  <c r="Y12" i="6"/>
  <c r="Y13" i="6"/>
  <c r="Y14" i="6"/>
  <c r="Y16" i="6"/>
  <c r="Y19" i="6"/>
  <c r="Y20" i="6"/>
  <c r="Y27" i="6"/>
  <c r="Y32" i="6"/>
  <c r="Y33" i="6"/>
  <c r="Y34" i="6"/>
  <c r="Y35" i="6"/>
  <c r="Y36" i="6"/>
  <c r="Y37" i="6"/>
  <c r="Y38" i="6"/>
  <c r="Y39" i="6"/>
  <c r="Y40" i="6"/>
  <c r="Y42" i="6"/>
  <c r="Y44" i="6"/>
  <c r="Y45" i="6"/>
  <c r="Y46" i="6"/>
  <c r="Y49" i="6"/>
  <c r="Y52" i="6"/>
  <c r="X10" i="6"/>
  <c r="X15" i="6"/>
  <c r="X22" i="6"/>
  <c r="X28" i="6"/>
  <c r="X29" i="6"/>
  <c r="X30" i="6"/>
  <c r="X31" i="6"/>
  <c r="X41" i="6"/>
  <c r="X47" i="6"/>
  <c r="X51" i="6"/>
  <c r="X8" i="6"/>
  <c r="X9" i="6"/>
  <c r="X11" i="6"/>
  <c r="X12" i="6"/>
  <c r="X13" i="6"/>
  <c r="X14" i="6"/>
  <c r="X16" i="6"/>
  <c r="X19" i="6"/>
  <c r="X20" i="6"/>
  <c r="X27" i="6"/>
  <c r="X32" i="6"/>
  <c r="X33" i="6"/>
  <c r="X34" i="6"/>
  <c r="X35" i="6"/>
  <c r="X36" i="6"/>
  <c r="X37" i="6"/>
  <c r="X38" i="6"/>
  <c r="X39" i="6"/>
  <c r="X40" i="6"/>
  <c r="X42" i="6"/>
  <c r="X44" i="6"/>
  <c r="X45" i="6"/>
  <c r="X46" i="6"/>
  <c r="X49" i="6"/>
  <c r="X52" i="6"/>
  <c r="W10" i="6"/>
  <c r="W15" i="6"/>
  <c r="W22" i="6"/>
  <c r="W28" i="6"/>
  <c r="W29" i="6"/>
  <c r="W30" i="6"/>
  <c r="W31" i="6"/>
  <c r="W41" i="6"/>
  <c r="W47" i="6"/>
  <c r="W51" i="6"/>
  <c r="W8" i="6"/>
  <c r="W9" i="6"/>
  <c r="W11" i="6"/>
  <c r="W12" i="6"/>
  <c r="W13" i="6"/>
  <c r="W14" i="6"/>
  <c r="W16" i="6"/>
  <c r="W19" i="6"/>
  <c r="W20" i="6"/>
  <c r="W27" i="6"/>
  <c r="W32" i="6"/>
  <c r="W33" i="6"/>
  <c r="W34" i="6"/>
  <c r="W35" i="6"/>
  <c r="W36" i="6"/>
  <c r="W37" i="6"/>
  <c r="W38" i="6"/>
  <c r="W39" i="6"/>
  <c r="W40" i="6"/>
  <c r="W42" i="6"/>
  <c r="W44" i="6"/>
  <c r="W45" i="6"/>
  <c r="W46" i="6"/>
  <c r="W49" i="6"/>
  <c r="W52" i="6"/>
  <c r="V10" i="6"/>
  <c r="V15" i="6"/>
  <c r="V22" i="6"/>
  <c r="V28" i="6"/>
  <c r="V29" i="6"/>
  <c r="V30" i="6"/>
  <c r="V31" i="6"/>
  <c r="V41" i="6"/>
  <c r="V47" i="6"/>
  <c r="V51" i="6"/>
  <c r="V8" i="6"/>
  <c r="V9" i="6"/>
  <c r="V11" i="6"/>
  <c r="V12" i="6"/>
  <c r="V13" i="6"/>
  <c r="V14" i="6"/>
  <c r="V16" i="6"/>
  <c r="V19" i="6"/>
  <c r="V20" i="6"/>
  <c r="V27" i="6"/>
  <c r="V32" i="6"/>
  <c r="V33" i="6"/>
  <c r="V34" i="6"/>
  <c r="V35" i="6"/>
  <c r="V36" i="6"/>
  <c r="V37" i="6"/>
  <c r="V38" i="6"/>
  <c r="V39" i="6"/>
  <c r="V40" i="6"/>
  <c r="V42" i="6"/>
  <c r="V44" i="6"/>
  <c r="V45" i="6"/>
  <c r="V46" i="6"/>
  <c r="V49" i="6"/>
  <c r="V52" i="6"/>
  <c r="U10" i="6"/>
  <c r="U15" i="6"/>
  <c r="U22" i="6"/>
  <c r="U28" i="6"/>
  <c r="U29" i="6"/>
  <c r="U30" i="6"/>
  <c r="U31" i="6"/>
  <c r="U41" i="6"/>
  <c r="U47" i="6"/>
  <c r="U51" i="6"/>
  <c r="U8" i="6"/>
  <c r="U9" i="6"/>
  <c r="U11" i="6"/>
  <c r="U12" i="6"/>
  <c r="U13" i="6"/>
  <c r="U14" i="6"/>
  <c r="U16" i="6"/>
  <c r="U19" i="6"/>
  <c r="U20" i="6"/>
  <c r="U27" i="6"/>
  <c r="U32" i="6"/>
  <c r="U33" i="6"/>
  <c r="U34" i="6"/>
  <c r="U35" i="6"/>
  <c r="U36" i="6"/>
  <c r="U37" i="6"/>
  <c r="U38" i="6"/>
  <c r="U39" i="6"/>
  <c r="U40" i="6"/>
  <c r="U42" i="6"/>
  <c r="U44" i="6"/>
  <c r="U45" i="6"/>
  <c r="U46" i="6"/>
  <c r="U49" i="6"/>
  <c r="U52" i="6"/>
  <c r="T10" i="6"/>
  <c r="T15" i="6"/>
  <c r="T22" i="6"/>
  <c r="T28" i="6"/>
  <c r="T29" i="6"/>
  <c r="T30" i="6"/>
  <c r="T31" i="6"/>
  <c r="T41" i="6"/>
  <c r="T47" i="6"/>
  <c r="T51" i="6"/>
  <c r="T8" i="6"/>
  <c r="T9" i="6"/>
  <c r="T11" i="6"/>
  <c r="T12" i="6"/>
  <c r="T13" i="6"/>
  <c r="T14" i="6"/>
  <c r="T16" i="6"/>
  <c r="T19" i="6"/>
  <c r="T20" i="6"/>
  <c r="T27" i="6"/>
  <c r="T32" i="6"/>
  <c r="T33" i="6"/>
  <c r="T34" i="6"/>
  <c r="T35" i="6"/>
  <c r="T36" i="6"/>
  <c r="T37" i="6"/>
  <c r="T38" i="6"/>
  <c r="T39" i="6"/>
  <c r="T40" i="6"/>
  <c r="T42" i="6"/>
  <c r="T44" i="6"/>
  <c r="T45" i="6"/>
  <c r="T46" i="6"/>
  <c r="T49" i="6"/>
  <c r="T52" i="6"/>
  <c r="S10" i="6"/>
  <c r="S15" i="6"/>
  <c r="S22" i="6"/>
  <c r="S28" i="6"/>
  <c r="S29" i="6"/>
  <c r="S30" i="6"/>
  <c r="S31" i="6"/>
  <c r="S41" i="6"/>
  <c r="S47" i="6"/>
  <c r="S51" i="6"/>
  <c r="S8" i="6"/>
  <c r="S9" i="6"/>
  <c r="S11" i="6"/>
  <c r="S12" i="6"/>
  <c r="S13" i="6"/>
  <c r="S14" i="6"/>
  <c r="S16" i="6"/>
  <c r="S19" i="6"/>
  <c r="S20" i="6"/>
  <c r="S27" i="6"/>
  <c r="S32" i="6"/>
  <c r="S33" i="6"/>
  <c r="S34" i="6"/>
  <c r="S35" i="6"/>
  <c r="S36" i="6"/>
  <c r="S37" i="6"/>
  <c r="S38" i="6"/>
  <c r="S39" i="6"/>
  <c r="S40" i="6"/>
  <c r="S42" i="6"/>
  <c r="S44" i="6"/>
  <c r="S45" i="6"/>
  <c r="S46" i="6"/>
  <c r="S49" i="6"/>
  <c r="S52" i="6"/>
  <c r="R10" i="6"/>
  <c r="R15" i="6"/>
  <c r="R22" i="6"/>
  <c r="R28" i="6"/>
  <c r="R29" i="6"/>
  <c r="R30" i="6"/>
  <c r="R31" i="6"/>
  <c r="R41" i="6"/>
  <c r="R47" i="6"/>
  <c r="R51" i="6"/>
  <c r="R8" i="6"/>
  <c r="R9" i="6"/>
  <c r="R11" i="6"/>
  <c r="R12" i="6"/>
  <c r="R13" i="6"/>
  <c r="R14" i="6"/>
  <c r="R16" i="6"/>
  <c r="R19" i="6"/>
  <c r="R20" i="6"/>
  <c r="R27" i="6"/>
  <c r="R32" i="6"/>
  <c r="R33" i="6"/>
  <c r="R34" i="6"/>
  <c r="R35" i="6"/>
  <c r="R36" i="6"/>
  <c r="R37" i="6"/>
  <c r="R38" i="6"/>
  <c r="R39" i="6"/>
  <c r="R40" i="6"/>
  <c r="R42" i="6"/>
  <c r="R44" i="6"/>
  <c r="R45" i="6"/>
  <c r="R46" i="6"/>
  <c r="R49" i="6"/>
  <c r="R52" i="6"/>
  <c r="Q10" i="6"/>
  <c r="Q15" i="6"/>
  <c r="Q22" i="6"/>
  <c r="Q28" i="6"/>
  <c r="Q29" i="6"/>
  <c r="Q30" i="6"/>
  <c r="Q31" i="6"/>
  <c r="Q41" i="6"/>
  <c r="Q47" i="6"/>
  <c r="Q51" i="6"/>
  <c r="Q8" i="6"/>
  <c r="Q9" i="6"/>
  <c r="Q11" i="6"/>
  <c r="Q12" i="6"/>
  <c r="Q13" i="6"/>
  <c r="Q14" i="6"/>
  <c r="Q16" i="6"/>
  <c r="Q19" i="6"/>
  <c r="Q20" i="6"/>
  <c r="Q27" i="6"/>
  <c r="Q32" i="6"/>
  <c r="Q33" i="6"/>
  <c r="Q34" i="6"/>
  <c r="Q35" i="6"/>
  <c r="Q36" i="6"/>
  <c r="Q37" i="6"/>
  <c r="Q38" i="6"/>
  <c r="Q39" i="6"/>
  <c r="Q40" i="6"/>
  <c r="Q42" i="6"/>
  <c r="Q44" i="6"/>
  <c r="Q45" i="6"/>
  <c r="Q46" i="6"/>
  <c r="Q49" i="6"/>
  <c r="Q52" i="6"/>
  <c r="P10" i="6"/>
  <c r="P15" i="6"/>
  <c r="P22" i="6"/>
  <c r="P28" i="6"/>
  <c r="P29" i="6"/>
  <c r="P30" i="6"/>
  <c r="P31" i="6"/>
  <c r="P41" i="6"/>
  <c r="P47" i="6"/>
  <c r="P51" i="6"/>
  <c r="P8" i="6"/>
  <c r="P9" i="6"/>
  <c r="P11" i="6"/>
  <c r="P12" i="6"/>
  <c r="P13" i="6"/>
  <c r="P14" i="6"/>
  <c r="P16" i="6"/>
  <c r="P19" i="6"/>
  <c r="P20" i="6"/>
  <c r="P27" i="6"/>
  <c r="P32" i="6"/>
  <c r="P33" i="6"/>
  <c r="P34" i="6"/>
  <c r="P35" i="6"/>
  <c r="P36" i="6"/>
  <c r="P37" i="6"/>
  <c r="P38" i="6"/>
  <c r="P39" i="6"/>
  <c r="P40" i="6"/>
  <c r="P42" i="6"/>
  <c r="P44" i="6"/>
  <c r="P45" i="6"/>
  <c r="P46" i="6"/>
  <c r="P49" i="6"/>
  <c r="P52" i="6"/>
  <c r="O10" i="6"/>
  <c r="O15" i="6"/>
  <c r="O22" i="6"/>
  <c r="O28" i="6"/>
  <c r="O29" i="6"/>
  <c r="O30" i="6"/>
  <c r="O31" i="6"/>
  <c r="O41" i="6"/>
  <c r="O47" i="6"/>
  <c r="O51" i="6"/>
  <c r="O8" i="6"/>
  <c r="O9" i="6"/>
  <c r="O11" i="6"/>
  <c r="O12" i="6"/>
  <c r="O13" i="6"/>
  <c r="O14" i="6"/>
  <c r="O16" i="6"/>
  <c r="O19" i="6"/>
  <c r="O20" i="6"/>
  <c r="O27" i="6"/>
  <c r="O32" i="6"/>
  <c r="O33" i="6"/>
  <c r="O34" i="6"/>
  <c r="O35" i="6"/>
  <c r="O36" i="6"/>
  <c r="O37" i="6"/>
  <c r="O38" i="6"/>
  <c r="O39" i="6"/>
  <c r="O40" i="6"/>
  <c r="O42" i="6"/>
  <c r="O44" i="6"/>
  <c r="O45" i="6"/>
  <c r="O46" i="6"/>
  <c r="O49" i="6"/>
  <c r="O52" i="6"/>
  <c r="N10" i="6"/>
  <c r="N15" i="6"/>
  <c r="N22" i="6"/>
  <c r="N28" i="6"/>
  <c r="N29" i="6"/>
  <c r="N30" i="6"/>
  <c r="N31" i="6"/>
  <c r="N41" i="6"/>
  <c r="N47" i="6"/>
  <c r="N51" i="6"/>
  <c r="N8" i="6"/>
  <c r="N9" i="6"/>
  <c r="N11" i="6"/>
  <c r="N12" i="6"/>
  <c r="N13" i="6"/>
  <c r="N14" i="6"/>
  <c r="N16" i="6"/>
  <c r="N19" i="6"/>
  <c r="N20" i="6"/>
  <c r="N27" i="6"/>
  <c r="N32" i="6"/>
  <c r="N33" i="6"/>
  <c r="N34" i="6"/>
  <c r="N35" i="6"/>
  <c r="N36" i="6"/>
  <c r="N37" i="6"/>
  <c r="N38" i="6"/>
  <c r="N39" i="6"/>
  <c r="N40" i="6"/>
  <c r="N42" i="6"/>
  <c r="N44" i="6"/>
  <c r="N45" i="6"/>
  <c r="N46" i="6"/>
  <c r="N49" i="6"/>
  <c r="N52" i="6"/>
  <c r="M10" i="6"/>
  <c r="M15" i="6"/>
  <c r="M22" i="6"/>
  <c r="M28" i="6"/>
  <c r="M29" i="6"/>
  <c r="M30" i="6"/>
  <c r="M31" i="6"/>
  <c r="M41" i="6"/>
  <c r="M47" i="6"/>
  <c r="M51" i="6"/>
  <c r="M8" i="6"/>
  <c r="M9" i="6"/>
  <c r="M11" i="6"/>
  <c r="M12" i="6"/>
  <c r="M13" i="6"/>
  <c r="M14" i="6"/>
  <c r="M16" i="6"/>
  <c r="M19" i="6"/>
  <c r="M20" i="6"/>
  <c r="M27" i="6"/>
  <c r="M32" i="6"/>
  <c r="M33" i="6"/>
  <c r="M34" i="6"/>
  <c r="M35" i="6"/>
  <c r="M36" i="6"/>
  <c r="M37" i="6"/>
  <c r="M38" i="6"/>
  <c r="M39" i="6"/>
  <c r="M40" i="6"/>
  <c r="M42" i="6"/>
  <c r="M44" i="6"/>
  <c r="M45" i="6"/>
  <c r="M46" i="6"/>
  <c r="M49" i="6"/>
  <c r="M52" i="6"/>
  <c r="L10" i="6"/>
  <c r="L15" i="6"/>
  <c r="L22" i="6"/>
  <c r="L28" i="6"/>
  <c r="L29" i="6"/>
  <c r="L30" i="6"/>
  <c r="L31" i="6"/>
  <c r="L41" i="6"/>
  <c r="L47" i="6"/>
  <c r="L51" i="6"/>
  <c r="L8" i="6"/>
  <c r="L9" i="6"/>
  <c r="L11" i="6"/>
  <c r="L12" i="6"/>
  <c r="L13" i="6"/>
  <c r="L14" i="6"/>
  <c r="L16" i="6"/>
  <c r="L19" i="6"/>
  <c r="L20" i="6"/>
  <c r="L27" i="6"/>
  <c r="L32" i="6"/>
  <c r="L33" i="6"/>
  <c r="L34" i="6"/>
  <c r="L35" i="6"/>
  <c r="L36" i="6"/>
  <c r="L37" i="6"/>
  <c r="L38" i="6"/>
  <c r="L39" i="6"/>
  <c r="L40" i="6"/>
  <c r="L42" i="6"/>
  <c r="L44" i="6"/>
  <c r="L45" i="6"/>
  <c r="L46" i="6"/>
  <c r="L49" i="6"/>
  <c r="L5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<sst xmlns="http://schemas.openxmlformats.org/spreadsheetml/2006/main" count="579" uniqueCount="184">
  <si>
    <t>Technology</t>
  </si>
  <si>
    <t>Offshore Wind</t>
  </si>
  <si>
    <t>Wind</t>
  </si>
  <si>
    <t>REZ</t>
  </si>
  <si>
    <t>REZ Name</t>
  </si>
  <si>
    <t>Solar</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</si>
  <si>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</si>
  <si>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</si>
  <si>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</si>
  <si>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</si>
  <si>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</si>
  <si>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</si>
  <si>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</si>
  <si>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</si>
  <si>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</si>
  <si>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</si>
  <si>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</si>
  <si>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</si>
  <si>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</si>
  <si>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</si>
  <si>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</si>
  <si>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</si>
  <si>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</si>
  <si>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</si>
  <si>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</si>
  <si>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</si>
  <si>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</si>
  <si>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</si>
  <si>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</si>
  <si>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</si>
  <si>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</si>
  <si>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</si>
  <si>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</si>
  <si>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</si>
  <si>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Non REZ</t>
  </si>
  <si>
    <t>REZ Location</t>
  </si>
  <si>
    <t>Type</t>
  </si>
  <si>
    <t>FY Expected Retirement</t>
  </si>
  <si>
    <t>ISP Listed Capacity [MW]</t>
  </si>
  <si>
    <t>Commenced</t>
  </si>
  <si>
    <t>FY Expected Commencement</t>
  </si>
  <si>
    <t>Generator Site</t>
  </si>
  <si>
    <t>The table below includes the capacity of the current and committed renewable generators in SA. Data from this table has been taken from AEMO's Generation Information.</t>
  </si>
  <si>
    <t>Row Labels</t>
  </si>
  <si>
    <t>Grand Total</t>
  </si>
  <si>
    <t>Capacity by Year and REZ</t>
  </si>
  <si>
    <t>Note that Goyder South Wind Farm 1B capacity is released over two FY. Thus, this site is split into a release of two stages of capacity.</t>
  </si>
  <si>
    <t>Initial ISP Listed Capacity [MW]</t>
  </si>
  <si>
    <t>FY Initial Capacity Release</t>
  </si>
  <si>
    <t>REZ Forecast Data</t>
  </si>
  <si>
    <t>2024-25</t>
  </si>
  <si>
    <t>2025-26</t>
  </si>
  <si>
    <t>2026-27</t>
  </si>
  <si>
    <t>2027-28</t>
  </si>
  <si>
    <t>2028-29</t>
  </si>
  <si>
    <t>2029-30</t>
  </si>
  <si>
    <t>2030-31</t>
  </si>
  <si>
    <t>2031-32</t>
  </si>
  <si>
    <t>2032-33</t>
  </si>
  <si>
    <t>2033-34</t>
  </si>
  <si>
    <t>2034-35</t>
  </si>
  <si>
    <t>2035-36</t>
  </si>
  <si>
    <t>2036-37</t>
  </si>
  <si>
    <t>2037-38</t>
  </si>
  <si>
    <t>2038-39</t>
  </si>
  <si>
    <t>2039-40</t>
  </si>
  <si>
    <t>2040-41</t>
  </si>
  <si>
    <t>2041-42</t>
  </si>
  <si>
    <t>2042-43</t>
  </si>
  <si>
    <t>2043-44</t>
  </si>
  <si>
    <t>2044-45</t>
  </si>
  <si>
    <t>2045-46</t>
  </si>
  <si>
    <t>2046-47</t>
  </si>
  <si>
    <t>2047-48</t>
  </si>
  <si>
    <t>2048-49</t>
  </si>
  <si>
    <t>2049-50</t>
  </si>
  <si>
    <t>2050-51</t>
  </si>
  <si>
    <t>2051-52</t>
  </si>
  <si>
    <t>The table below is calculated by subtracted the capacity of generators currently in the system from the forecast REZ capacity to determine how much additional capacity is expected by AEMO to be developed in each REZ</t>
  </si>
  <si>
    <t>Sum of 2024-25</t>
  </si>
  <si>
    <t>Sum of 2025-26</t>
  </si>
  <si>
    <t>Sum of 2026-27</t>
  </si>
  <si>
    <t>Sum of 2027-28</t>
  </si>
  <si>
    <t>Sum of 2028-29</t>
  </si>
  <si>
    <t>Sum of 2029-30</t>
  </si>
  <si>
    <t>Sum of 2030-31</t>
  </si>
  <si>
    <t>Sum of 2031-32</t>
  </si>
  <si>
    <t>Sum of 2032-33</t>
  </si>
  <si>
    <t>Sum of 2033-34</t>
  </si>
  <si>
    <t>Sum of 2034-35</t>
  </si>
  <si>
    <t>Sum of 2035-36</t>
  </si>
  <si>
    <t>Sum of 2036-37</t>
  </si>
  <si>
    <t>Sum of 2037-38</t>
  </si>
  <si>
    <t>Sum of 2038-39</t>
  </si>
  <si>
    <t>Sum of 2039-40</t>
  </si>
  <si>
    <t>Sum of 2040-41</t>
  </si>
  <si>
    <t>Sum of 2041-42</t>
  </si>
  <si>
    <t>Sum of 2042-43</t>
  </si>
  <si>
    <t>Sum of 2043-44</t>
  </si>
  <si>
    <t>Sum of 2044-45</t>
  </si>
  <si>
    <t>Sum of 2045-46</t>
  </si>
  <si>
    <t>Sum of 2046-47</t>
  </si>
  <si>
    <t>Sum of 2047-48</t>
  </si>
  <si>
    <t>Sum of 2048-49</t>
  </si>
  <si>
    <t>Sum of 2049-50</t>
  </si>
  <si>
    <t>Sum of 2050-51</t>
  </si>
  <si>
    <t>Sum of 2051-52</t>
  </si>
  <si>
    <t>Below is a pivot table linking to the 'Generation Capacity by Year' sheet. This sums up the amount of capacity expected in each REZ in each year that is made up of existing generators and comitted generators.</t>
  </si>
  <si>
    <t>Table manually created by copying the values above into the relevant entries. This displays the amount of generation in each REZ that is consistent of current and comitted generators.</t>
  </si>
  <si>
    <t>Installed Generator Capacity by REZ ISP (MW)</t>
  </si>
  <si>
    <t>Annual As-Generated by REZ ISP [GWh]</t>
  </si>
  <si>
    <t>Some values have been rounded as there was a difference of around 0.01MW in some cases. I believe this is due to rounding issues.</t>
  </si>
  <si>
    <t>Forecasted REZ Developments (REZ Forecasts - Existing and Committed Generators). ***This is one of the tables that is copied to the Mapping Tables file***</t>
  </si>
  <si>
    <t>All values are stated in terms of MW. ***This table is copied into the mapping table spreadsheet ***</t>
  </si>
  <si>
    <t>Generation Capacity By Year (Winter Ratings)</t>
  </si>
  <si>
    <t>Bannerton Solar Park</t>
  </si>
  <si>
    <t>Cohuna Solar Farm</t>
  </si>
  <si>
    <t>Gannawarra Solar Farm</t>
  </si>
  <si>
    <t>Glenrowan West Solar Farm</t>
  </si>
  <si>
    <t>Karadoc Solar Farm</t>
  </si>
  <si>
    <t>Kiamal Solar Farm stage 1</t>
  </si>
  <si>
    <t>Numurkah Solar Farm</t>
  </si>
  <si>
    <t>Wemen Solar Farm</t>
  </si>
  <si>
    <t>Winton Solar Farm</t>
  </si>
  <si>
    <t>Yatpool Solar Farm</t>
  </si>
  <si>
    <t>Murray River</t>
  </si>
  <si>
    <t>Central North Vic</t>
  </si>
  <si>
    <t>Ararat Wind Farm</t>
  </si>
  <si>
    <t>Bald Hills Wind Farm</t>
  </si>
  <si>
    <t>Berrybank Wind Farm</t>
  </si>
  <si>
    <t>Bulgana Green Power Hub - Wind Farm</t>
  </si>
  <si>
    <t>Challicum Hills Wind Farm</t>
  </si>
  <si>
    <t>Cherry Tree Wind Farm</t>
  </si>
  <si>
    <t>Crowlands Wind Farm</t>
  </si>
  <si>
    <t>Elaine Wind Farm</t>
  </si>
  <si>
    <t>Kiata Wind Farm</t>
  </si>
  <si>
    <t>Macarthur Wind Farm</t>
  </si>
  <si>
    <t>Moorabool Wind Farm</t>
  </si>
  <si>
    <t>Mortlake South Wind Farm</t>
  </si>
  <si>
    <t>Mortons Lane Wind Farm</t>
  </si>
  <si>
    <t>Mt Gellibrand Wind Farm</t>
  </si>
  <si>
    <t>Mt Mercer Wind Farm</t>
  </si>
  <si>
    <t>Murra Warra Wind Farm - stage 1</t>
  </si>
  <si>
    <t>Murra Warra Wind Farm - stage 2</t>
  </si>
  <si>
    <t>Oaklands Hill Wind Farm</t>
  </si>
  <si>
    <t>Portland Wind Farm</t>
  </si>
  <si>
    <t>Salt Creek Wind Farm</t>
  </si>
  <si>
    <t>Stockyard Hill Wind Farm</t>
  </si>
  <si>
    <t>Waubra Wind Farm</t>
  </si>
  <si>
    <t>Yaloak South Wind Farm</t>
  </si>
  <si>
    <t>Yambuk Wind Farm</t>
  </si>
  <si>
    <t>Yendon Wind Farm</t>
  </si>
  <si>
    <t>Western Victoria</t>
  </si>
  <si>
    <t>South West Victoria</t>
  </si>
  <si>
    <t>?</t>
  </si>
  <si>
    <t>Girgarre Solar Farm</t>
  </si>
  <si>
    <t>Glenrowan Solar Farm</t>
  </si>
  <si>
    <t>Wunghnu Solar Farm</t>
  </si>
  <si>
    <t>Golden Plains Wind Farm East</t>
  </si>
  <si>
    <t>Hawkesdale Wind Farm</t>
  </si>
  <si>
    <t>Ryan Corner Wind Farm</t>
  </si>
  <si>
    <t>V0</t>
  </si>
  <si>
    <t>VIC Non-REZ</t>
  </si>
  <si>
    <t>V1</t>
  </si>
  <si>
    <t>Ovens Murray</t>
  </si>
  <si>
    <t>V2</t>
  </si>
  <si>
    <t>V3</t>
  </si>
  <si>
    <t>V4</t>
  </si>
  <si>
    <t>V5</t>
  </si>
  <si>
    <t>Gippsland</t>
  </si>
  <si>
    <t>V6</t>
  </si>
  <si>
    <t>Central North VIC</t>
  </si>
  <si>
    <t>V7</t>
  </si>
  <si>
    <t>Gippsland Coast</t>
  </si>
  <si>
    <t>V8</t>
  </si>
  <si>
    <t>Portland Coast</t>
  </si>
  <si>
    <t>Central North Vic Diff</t>
  </si>
  <si>
    <t>Frasers Solar Farm</t>
  </si>
  <si>
    <t>SW VIC</t>
  </si>
  <si>
    <t>Dundonnell Wind Farm 1</t>
  </si>
  <si>
    <t>Dundonnell Wind Farm 2</t>
  </si>
  <si>
    <t>Dundonnell Wind Farm 3</t>
  </si>
  <si>
    <t>Manually remove this bit once it is copied out of this table</t>
  </si>
  <si>
    <t>The first two tables have been extracted from AEMO's 2024 ISP step change workbook for 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</si>
</sst>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_-;\-* #,##0.0_-;_-* &quot;-&quot;??_-;_-@_-"/>
  </numFmts>
  <fonts count="8"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0"/>
      <name val="Arial"/>
      <family val="2"/>
    </font>
    <font>
      <b/>
      <sz val="11"/>
      <color theme="1"/>
      <name val="Arial"/>
      <family val="2"/>
    </font>
    <font>
      <sz val="11"/>
      <color theme="1"/>
      <name val="Arial"/>
      <family val="2"/>
    </font>
    <font>
      <b/>
      <sz val="11"/>
      <color theme="0"/>
      <name val="Arial"/>
      <family val="2"/>
    </font>
  </fonts>
  <fills count="6">
    <fill>
      <patternFill patternType="none"/>
    </fill>
    <fill>
      <patternFill patternType="gray125"/>
    </fill>
    <fill>
      <patternFill patternType="solid">
        <fgColor rgb="FFE9E7E2"/>
        <bgColor indexed="64"/>
      </patternFill>
    </fill>
    <fill>
      <patternFill patternType="solid">
        <fgColor theme="6"/>
        <bgColor theme="6"/>
      </patternFill>
    </fill>
    <fill>
      <patternFill patternType="solid">
        <fgColor theme="0" tint="-0.14999847407452621"/>
        <bgColor theme="0" tint="-0.14999847407452621"/>
      </patternFill>
    </fill>
    <fill>
      <patternFill patternType="solid">
        <fgColor rgb="FFFFFF00"/>
        <bgColor indexed="64"/>
      </patternFill>
    </fill>
  </fills>
  <borders count="3">
    <border>
      <left/>
      <right/>
      <top/>
      <bottom/>
      <diagonal/>
    </border>
    <border>
      <left style="medium">
        <color theme="0"/>
      </left>
      <right style="medium">
        <color theme="0"/>
      </right>
      <top style="medium">
        <color theme="0"/>
      </top>
      <bottom style="medium">
        <color theme="0"/>
      </bottom>
      <diagonal/>
    </border>
    <border>
      <left/>
      <right/>
      <top/>
      <bottom style="medium">
        <color theme="1"/>
      </bottom>
      <diagonal/>
    </border>
  </borders>
  <cellStyleXfs count="4">
    <xf numFmtId="0" fontId="0" fillId="0" borderId="0"/>
    <xf numFmtId="164" fontId="4" fillId="0" borderId="1" applyNumberFormat="0" applyAlignment="0">
      <alignment horizontal="center"/>
    </xf>
    <xf numFmtId="164" fontId="4" fillId="2" borderId="1" applyNumberFormat="0" applyAlignment="0">
      <alignment horizontal="center"/>
    </xf>
    <xf numFmtId="43" fontId="1" fillId="0" borderId="0" applyFont="0" applyFill="0" applyBorder="0" applyAlignment="0" applyProtection="0"/>
  </cellStyleXfs>
  <cellXfs count="13">
    <xf numFmtId="0" fontId="0" fillId="0" borderId="0" xfId="0"/>
    <xf numFmtId="0" fontId="3" fillId="0" borderId="0" xfId="0" applyFont="1"/>
    <xf numFmtId="0" fontId="0" fillId="0" borderId="0" xfId="0" applyAlignment="1">
      <alignment horizontal="left"/>
    </xf>
    <xf numFmtId="0" fontId="0" fillId="0" borderId="0" xfId="0" pivotButton="1"/>
    <xf numFmtId="0" fontId="0" fillId="0" borderId="0" xfId="0" applyAlignment="1">
      <alignment horizontal="left" indent="1"/>
    </xf>
    <xf numFmtId="0" fontId="2" fillId="3" borderId="2" xfId="0" applyFont="1" applyFill="1" applyBorder="1"/>
    <xf numFmtId="0" fontId="5" fillId="0" borderId="0" xfId="0" applyFont="1"/>
    <xf numFmtId="0" fontId="6" fillId="0" borderId="0" xfId="0" applyFont="1"/>
    <xf numFmtId="0" fontId="7" fillId="3" borderId="2" xfId="0" applyFont="1" applyFill="1" applyBorder="1"/>
    <xf numFmtId="0" fontId="6" fillId="4" borderId="0" xfId="0" applyFont="1" applyFill="1"/>
    <xf numFmtId="0" fontId="0" fillId="4" borderId="0" xfId="0" applyFill="1"/>
    <xf numFmtId="0" fontId="0" fillId="4" borderId="2" xfId="0" applyFill="1" applyBorder="1"/>
    <xf numFmtId="0" fontId="6" fillId="5" borderId="0" xfId="0" applyFont="1" applyFill="1"/>
  </cellXfs>
  <cellStyles count="4">
    <cellStyle name="CellNum" xfId="1" xr:uid="{BE35ED4D-F31B-4CB8-81BD-BFE926C228B8}"/>
    <cellStyle name="CellNumalt" xfId="2" xr:uid="{503BB616-D82D-4592-8A32-7670CC1500F0}"/>
    <cellStyle name="Comma 6" xfId="3" xr:uid="{F573E47D-CC6F-46D6-ACCA-50E0D200FAE0}"/>
    <cellStyle name="Normal" xfId="0" builtinId="0"/>
  </cellStyles>
  <dxfs count="136">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Aptos Narrow"/>
        <family val="2"/>
        <scheme val="minor"/>
      </font>
      <numFmt numFmtId="0" formatCode="General"/>
      <fill>
        <patternFill patternType="solid">
          <fgColor theme="6"/>
          <bgColor theme="6"/>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strike val="0"/>
        <outline val="0"/>
        <shadow val="0"/>
        <u val="none"/>
        <vertAlign val="baseline"/>
        <sz val="11"/>
        <name val="Arial"/>
        <family val="2"/>
        <scheme val="none"/>
      </font>
      <numFmt numFmtId="0" formatCode="General"/>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border outline="0">
        <top style="medium">
          <color theme="1"/>
        </top>
      </border>
    </dxf>
    <dxf>
      <font>
        <strike val="0"/>
        <outline val="0"/>
        <shadow val="0"/>
        <u val="none"/>
        <vertAlign val="baseline"/>
        <sz val="11"/>
        <name val="Arial"/>
        <family val="2"/>
        <scheme val="none"/>
      </font>
    </dxf>
    <dxf>
      <border outline="0">
        <bottom style="medium">
          <color theme="1"/>
        </bottom>
      </border>
    </dxf>
    <dxf>
      <font>
        <b/>
        <i val="0"/>
        <strike val="0"/>
        <condense val="0"/>
        <extend val="0"/>
        <outline val="0"/>
        <shadow val="0"/>
        <u val="none"/>
        <vertAlign val="baseline"/>
        <sz val="11"/>
        <color theme="0"/>
        <name val="Arial"/>
        <family val="2"/>
        <scheme val="none"/>
      </font>
      <numFmt numFmtId="0" formatCode="General"/>
      <fill>
        <patternFill patternType="solid">
          <fgColor theme="6"/>
          <bgColor theme="6"/>
        </patternFill>
      </fill>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dxf>
    <dxf>
      <border outline="0">
        <top style="medium">
          <color theme="1"/>
        </top>
      </border>
    </dxf>
    <dxf>
      <font>
        <b val="0"/>
        <i val="0"/>
        <strike val="0"/>
        <condense val="0"/>
        <extend val="0"/>
        <outline val="0"/>
        <shadow val="0"/>
        <u val="none"/>
        <vertAlign val="baseline"/>
        <sz val="11"/>
        <color theme="1"/>
        <name val="Arial"/>
        <family val="2"/>
        <scheme val="none"/>
      </font>
    </dxf>
    <dxf>
      <border outline="0">
        <bottom style="medium">
          <color theme="1"/>
        </bottom>
      </border>
    </dxf>
    <dxf>
      <font>
        <b/>
        <i val="0"/>
        <strike val="0"/>
        <condense val="0"/>
        <extend val="0"/>
        <outline val="0"/>
        <shadow val="0"/>
        <u val="none"/>
        <vertAlign val="baseline"/>
        <sz val="11"/>
        <color theme="0"/>
        <name val="Arial"/>
        <family val="2"/>
        <scheme val="none"/>
      </font>
      <fill>
        <patternFill patternType="solid">
          <fgColor theme="6"/>
          <bgColor theme="6"/>
        </patternFill>
      </fill>
    </dxf>
  </dxfs>
  <tableStyles count="0" defaultTableStyle="TableStyleMedium2" defaultPivotStyle="PivotStyleLight16"/>
  <colors>
    <mruColors>
      <color rgb="FF83E2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rison" refreshedDate="45552.83851736111" createdVersion="8" refreshedVersion="8" minRefreshableVersion="3" recordCount="45" xr:uid="{7D91D084-4A6D-4D02-83FE-E42A7C90BBD4}">
  <cacheSource type="worksheet">
    <worksheetSource name="GenCapByYear"/>
  </cacheSource>
  <cacheFields count="36">
    <cacheField name="Generator Site" numFmtId="0">
      <sharedItems/>
    </cacheField>
    <cacheField name="REZ Location" numFmtId="0">
      <sharedItems count="13">
        <s v="Western Victoria"/>
        <s v="Non REZ"/>
        <s v="Murray River"/>
        <s v="South West Victoria"/>
        <s v="Gippsland"/>
        <s v="Central North Vic"/>
        <s v="N/A" u="1"/>
        <s v="Northern SA" u="1"/>
        <s v="South East SA" u="1"/>
        <s v="Eastern Eyre Peninsula" u="1"/>
        <s v="Mid-North SA" u="1"/>
        <s v="Riverland" u="1"/>
        <s v="Yorke Peninsula" u="1"/>
      </sharedItems>
    </cacheField>
    <cacheField name="Type" numFmtId="0">
      <sharedItems count="2">
        <s v="Wind"/>
        <s v="Solar"/>
      </sharedItems>
    </cacheField>
    <cacheField name="Initial ISP Listed Capacity [MW]" numFmtId="0">
      <sharedItems containsString="0" containsBlank="1" containsNumber="1" containsInteger="1" minValue="0" maxValue="0"/>
    </cacheField>
    <cacheField name="ISP Listed Capacity [MW]" numFmtId="0">
      <sharedItems containsSemiMixedTypes="0" containsString="0" containsNumber="1" minValue="19.5" maxValue="756.4"/>
    </cacheField>
    <cacheField name="FY Initial Capacity Release" numFmtId="0">
      <sharedItems containsString="0" containsBlank="1" containsNumber="1" containsInteger="1" minValue="2024" maxValue="2024"/>
    </cacheField>
    <cacheField name="FY Expected Commencement" numFmtId="0">
      <sharedItems containsMixedTypes="1" containsNumber="1" containsInteger="1" minValue="2025" maxValue="2025"/>
    </cacheField>
    <cacheField name="FY Expected Retirement" numFmtId="0">
      <sharedItems containsSemiMixedTypes="0" containsString="0" containsNumber="1" containsInteger="1" minValue="2030" maxValue="2054"/>
    </cacheField>
    <cacheField name="2024-25" numFmtId="0">
      <sharedItems containsSemiMixedTypes="0" containsString="0" containsNumber="1" minValue="0" maxValue="510.99"/>
    </cacheField>
    <cacheField name="2025-26" numFmtId="0">
      <sharedItems containsSemiMixedTypes="0" containsString="0" containsNumber="1" minValue="19.5" maxValue="756.4"/>
    </cacheField>
    <cacheField name="2026-27" numFmtId="0">
      <sharedItems containsSemiMixedTypes="0" containsString="0" containsNumber="1" minValue="19.5" maxValue="756.4"/>
    </cacheField>
    <cacheField name="2027-28" numFmtId="0">
      <sharedItems containsSemiMixedTypes="0" containsString="0" containsNumber="1" minValue="19.5" maxValue="756.4"/>
    </cacheField>
    <cacheField name="2028-29" numFmtId="0">
      <sharedItems containsSemiMixedTypes="0" containsString="0" containsNumber="1" minValue="19.5" maxValue="756.4"/>
    </cacheField>
    <cacheField name="2029-30" numFmtId="0">
      <sharedItems containsSemiMixedTypes="0" containsString="0" containsNumber="1" minValue="19.5" maxValue="756.4"/>
    </cacheField>
    <cacheField name="2030-31" numFmtId="0">
      <sharedItems containsSemiMixedTypes="0" containsString="0" containsNumber="1" minValue="0" maxValue="756.4"/>
    </cacheField>
    <cacheField name="2031-32" numFmtId="0">
      <sharedItems containsSemiMixedTypes="0" containsString="0" containsNumber="1" minValue="0" maxValue="756.4"/>
    </cacheField>
    <cacheField name="2032-33" numFmtId="0">
      <sharedItems containsSemiMixedTypes="0" containsString="0" containsNumber="1" minValue="0" maxValue="756.4"/>
    </cacheField>
    <cacheField name="2033-34" numFmtId="0">
      <sharedItems containsSemiMixedTypes="0" containsString="0" containsNumber="1" minValue="0" maxValue="756.4"/>
    </cacheField>
    <cacheField name="2034-35" numFmtId="0">
      <sharedItems containsSemiMixedTypes="0" containsString="0" containsNumber="1" minValue="0" maxValue="756.4"/>
    </cacheField>
    <cacheField name="2035-36" numFmtId="0">
      <sharedItems containsSemiMixedTypes="0" containsString="0" containsNumber="1" minValue="0" maxValue="756.4"/>
    </cacheField>
    <cacheField name="2036-37" numFmtId="0">
      <sharedItems containsSemiMixedTypes="0" containsString="0" containsNumber="1" minValue="0" maxValue="756.4"/>
    </cacheField>
    <cacheField name="2037-38" numFmtId="0">
      <sharedItems containsSemiMixedTypes="0" containsString="0" containsNumber="1" minValue="0" maxValue="756.4"/>
    </cacheField>
    <cacheField name="2038-39" numFmtId="0">
      <sharedItems containsSemiMixedTypes="0" containsString="0" containsNumber="1" minValue="0" maxValue="756.4"/>
    </cacheField>
    <cacheField name="2039-40" numFmtId="0">
      <sharedItems containsSemiMixedTypes="0" containsString="0" containsNumber="1" minValue="0" maxValue="756.4"/>
    </cacheField>
    <cacheField name="2040-41" numFmtId="0">
      <sharedItems containsSemiMixedTypes="0" containsString="0" containsNumber="1" minValue="0" maxValue="756.4"/>
    </cacheField>
    <cacheField name="2041-42" numFmtId="0">
      <sharedItems containsSemiMixedTypes="0" containsString="0" containsNumber="1" minValue="0" maxValue="756.4"/>
    </cacheField>
    <cacheField name="2042-43" numFmtId="0">
      <sharedItems containsSemiMixedTypes="0" containsString="0" containsNumber="1" minValue="0" maxValue="756.4"/>
    </cacheField>
    <cacheField name="2043-44" numFmtId="0">
      <sharedItems containsSemiMixedTypes="0" containsString="0" containsNumber="1" minValue="0" maxValue="756.4"/>
    </cacheField>
    <cacheField name="2044-45" numFmtId="0">
      <sharedItems containsSemiMixedTypes="0" containsString="0" containsNumber="1" minValue="0" maxValue="756.4"/>
    </cacheField>
    <cacheField name="2045-46" numFmtId="0">
      <sharedItems containsSemiMixedTypes="0" containsString="0" containsNumber="1" minValue="0" maxValue="756.4"/>
    </cacheField>
    <cacheField name="2046-47" numFmtId="0">
      <sharedItems containsSemiMixedTypes="0" containsString="0" containsNumber="1" minValue="0" maxValue="756.4"/>
    </cacheField>
    <cacheField name="2047-48" numFmtId="0">
      <sharedItems containsSemiMixedTypes="0" containsString="0" containsNumber="1" minValue="0" maxValue="756.4"/>
    </cacheField>
    <cacheField name="2048-49" numFmtId="0">
      <sharedItems containsSemiMixedTypes="0" containsString="0" containsNumber="1" minValue="0" maxValue="756.4"/>
    </cacheField>
    <cacheField name="2049-50" numFmtId="0">
      <sharedItems containsSemiMixedTypes="0" containsString="0" containsNumber="1" minValue="0" maxValue="756.4"/>
    </cacheField>
    <cacheField name="2050-51" numFmtId="0">
      <sharedItems containsSemiMixedTypes="0" containsString="0" containsNumber="1" minValue="0" maxValue="756.4"/>
    </cacheField>
    <cacheField name="2051-52" numFmtId="0">
      <sharedItems containsSemiMixedTypes="0" containsString="0" containsNumber="1" minValue="0" maxValue="756.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s v="Ararat Wind Farm"/>
    <x v="0"/>
    <x v="0"/>
    <m/>
    <n v="240"/>
    <m/>
    <s v="Commenced"/>
    <n v="2047"/>
    <n v="240"/>
    <n v="240"/>
    <n v="240"/>
    <n v="240"/>
    <n v="240"/>
    <n v="240"/>
    <n v="240"/>
    <n v="240"/>
    <n v="240"/>
    <n v="240"/>
    <n v="240"/>
    <n v="240"/>
    <n v="240"/>
    <n v="240"/>
    <n v="240"/>
    <n v="240"/>
    <n v="240"/>
    <n v="240"/>
    <n v="240"/>
    <n v="240"/>
    <n v="240"/>
    <n v="240"/>
    <n v="240"/>
    <n v="0"/>
    <n v="0"/>
    <n v="0"/>
    <n v="0"/>
    <n v="0"/>
  </r>
  <r>
    <s v="Bald Hills Wind Farm"/>
    <x v="1"/>
    <x v="0"/>
    <m/>
    <n v="106.6"/>
    <m/>
    <s v="Commenced"/>
    <n v="2040"/>
    <n v="106.6"/>
    <n v="106.6"/>
    <n v="106.6"/>
    <n v="106.6"/>
    <n v="106.6"/>
    <n v="106.6"/>
    <n v="106.6"/>
    <n v="106.6"/>
    <n v="106.6"/>
    <n v="106.6"/>
    <n v="106.6"/>
    <n v="106.6"/>
    <n v="106.6"/>
    <n v="106.6"/>
    <n v="106.6"/>
    <n v="106.6"/>
    <n v="0"/>
    <n v="0"/>
    <n v="0"/>
    <n v="0"/>
    <n v="0"/>
    <n v="0"/>
    <n v="0"/>
    <n v="0"/>
    <n v="0"/>
    <n v="0"/>
    <n v="0"/>
    <n v="0"/>
  </r>
  <r>
    <s v="Bannerton Solar Park"/>
    <x v="2"/>
    <x v="1"/>
    <m/>
    <n v="88"/>
    <m/>
    <s v="Commenced"/>
    <n v="2049"/>
    <n v="88"/>
    <n v="88"/>
    <n v="88"/>
    <n v="88"/>
    <n v="88"/>
    <n v="88"/>
    <n v="88"/>
    <n v="88"/>
    <n v="88"/>
    <n v="88"/>
    <n v="88"/>
    <n v="88"/>
    <n v="88"/>
    <n v="88"/>
    <n v="88"/>
    <n v="88"/>
    <n v="88"/>
    <n v="88"/>
    <n v="88"/>
    <n v="88"/>
    <n v="88"/>
    <n v="88"/>
    <n v="88"/>
    <n v="88"/>
    <n v="88"/>
    <n v="0"/>
    <n v="0"/>
    <n v="0"/>
  </r>
  <r>
    <s v="Berrybank Wind Farm"/>
    <x v="3"/>
    <x v="0"/>
    <m/>
    <n v="281.10000000000002"/>
    <m/>
    <s v="Commenced"/>
    <n v="2050"/>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281.10000000000002"/>
    <n v="0"/>
    <n v="0"/>
  </r>
  <r>
    <s v="Bulgana Green Power Hub - Wind Farm"/>
    <x v="0"/>
    <x v="0"/>
    <m/>
    <n v="204.4"/>
    <m/>
    <s v="Commenced"/>
    <n v="2049"/>
    <n v="204.4"/>
    <n v="204.4"/>
    <n v="204.4"/>
    <n v="204.4"/>
    <n v="204.4"/>
    <n v="204.4"/>
    <n v="204.4"/>
    <n v="204.4"/>
    <n v="204.4"/>
    <n v="204.4"/>
    <n v="204.4"/>
    <n v="204.4"/>
    <n v="204.4"/>
    <n v="204.4"/>
    <n v="204.4"/>
    <n v="204.4"/>
    <n v="204.4"/>
    <n v="204.4"/>
    <n v="204.4"/>
    <n v="204.4"/>
    <n v="204.4"/>
    <n v="204.4"/>
    <n v="204.4"/>
    <n v="204.4"/>
    <n v="204.4"/>
    <n v="0"/>
    <n v="0"/>
    <n v="0"/>
  </r>
  <r>
    <s v="Challicum Hills Wind Farm"/>
    <x v="0"/>
    <x v="0"/>
    <m/>
    <n v="52.5"/>
    <m/>
    <s v="Commenced"/>
    <n v="2030"/>
    <n v="52.5"/>
    <n v="52.5"/>
    <n v="52.5"/>
    <n v="52.5"/>
    <n v="52.5"/>
    <n v="52.5"/>
    <n v="0"/>
    <n v="0"/>
    <n v="0"/>
    <n v="0"/>
    <n v="0"/>
    <n v="0"/>
    <n v="0"/>
    <n v="0"/>
    <n v="0"/>
    <n v="0"/>
    <n v="0"/>
    <n v="0"/>
    <n v="0"/>
    <n v="0"/>
    <n v="0"/>
    <n v="0"/>
    <n v="0"/>
    <n v="0"/>
    <n v="0"/>
    <n v="0"/>
    <n v="0"/>
    <n v="0"/>
  </r>
  <r>
    <s v="Cherry Tree Wind Farm"/>
    <x v="1"/>
    <x v="0"/>
    <m/>
    <n v="57.6"/>
    <m/>
    <s v="Commenced"/>
    <n v="2050"/>
    <n v="57.6"/>
    <n v="57.6"/>
    <n v="57.6"/>
    <n v="57.6"/>
    <n v="57.6"/>
    <n v="57.6"/>
    <n v="57.6"/>
    <n v="57.6"/>
    <n v="57.6"/>
    <n v="57.6"/>
    <n v="57.6"/>
    <n v="57.6"/>
    <n v="57.6"/>
    <n v="57.6"/>
    <n v="57.6"/>
    <n v="57.6"/>
    <n v="57.6"/>
    <n v="57.6"/>
    <n v="57.6"/>
    <n v="57.6"/>
    <n v="57.6"/>
    <n v="57.6"/>
    <n v="57.6"/>
    <n v="57.6"/>
    <n v="57.6"/>
    <n v="57.6"/>
    <n v="0"/>
    <n v="0"/>
  </r>
  <r>
    <s v="Cohuna Solar Farm"/>
    <x v="2"/>
    <x v="1"/>
    <m/>
    <n v="27.17"/>
    <m/>
    <s v="Commenced"/>
    <n v="2045"/>
    <n v="27.17"/>
    <n v="27.17"/>
    <n v="27.17"/>
    <n v="27.17"/>
    <n v="27.17"/>
    <n v="27.17"/>
    <n v="27.17"/>
    <n v="27.17"/>
    <n v="27.17"/>
    <n v="27.17"/>
    <n v="27.17"/>
    <n v="27.17"/>
    <n v="27.17"/>
    <n v="27.17"/>
    <n v="27.17"/>
    <n v="27.17"/>
    <n v="27.17"/>
    <n v="27.17"/>
    <n v="27.17"/>
    <n v="27.17"/>
    <n v="27.17"/>
    <n v="0"/>
    <n v="0"/>
    <n v="0"/>
    <n v="0"/>
    <n v="0"/>
    <n v="0"/>
    <n v="0"/>
  </r>
  <r>
    <s v="Crowlands Wind Farm"/>
    <x v="0"/>
    <x v="0"/>
    <m/>
    <n v="79.95"/>
    <m/>
    <s v="Commenced"/>
    <n v="2044"/>
    <n v="79.95"/>
    <n v="79.95"/>
    <n v="79.95"/>
    <n v="79.95"/>
    <n v="79.95"/>
    <n v="79.95"/>
    <n v="79.95"/>
    <n v="79.95"/>
    <n v="79.95"/>
    <n v="79.95"/>
    <n v="79.95"/>
    <n v="79.95"/>
    <n v="79.95"/>
    <n v="79.95"/>
    <n v="79.95"/>
    <n v="79.95"/>
    <n v="79.95"/>
    <n v="79.95"/>
    <n v="79.95"/>
    <n v="79.95"/>
    <n v="0"/>
    <n v="0"/>
    <n v="0"/>
    <n v="0"/>
    <n v="0"/>
    <n v="0"/>
    <n v="0"/>
    <n v="0"/>
  </r>
  <r>
    <s v="Dundonnell Wind Farm 1"/>
    <x v="3"/>
    <x v="0"/>
    <m/>
    <n v="168"/>
    <m/>
    <s v="Commenced"/>
    <n v="2045"/>
    <n v="168"/>
    <n v="168"/>
    <n v="168"/>
    <n v="168"/>
    <n v="168"/>
    <n v="168"/>
    <n v="168"/>
    <n v="168"/>
    <n v="168"/>
    <n v="168"/>
    <n v="168"/>
    <n v="168"/>
    <n v="168"/>
    <n v="168"/>
    <n v="168"/>
    <n v="168"/>
    <n v="168"/>
    <n v="168"/>
    <n v="168"/>
    <n v="168"/>
    <n v="168"/>
    <n v="0"/>
    <n v="0"/>
    <n v="0"/>
    <n v="0"/>
    <n v="0"/>
    <n v="0"/>
    <n v="0"/>
  </r>
  <r>
    <s v="Dundonnell Wind Farm 2"/>
    <x v="3"/>
    <x v="0"/>
    <m/>
    <n v="121.8"/>
    <m/>
    <s v="Commenced"/>
    <n v="2045"/>
    <n v="121.8"/>
    <n v="121.8"/>
    <n v="121.8"/>
    <n v="121.8"/>
    <n v="121.8"/>
    <n v="121.8"/>
    <n v="121.8"/>
    <n v="121.8"/>
    <n v="121.8"/>
    <n v="121.8"/>
    <n v="121.8"/>
    <n v="121.8"/>
    <n v="121.8"/>
    <n v="121.8"/>
    <n v="121.8"/>
    <n v="121.8"/>
    <n v="121.8"/>
    <n v="121.8"/>
    <n v="121.8"/>
    <n v="121.8"/>
    <n v="121.8"/>
    <n v="0"/>
    <n v="0"/>
    <n v="0"/>
    <n v="0"/>
    <n v="0"/>
    <n v="0"/>
    <n v="0"/>
  </r>
  <r>
    <s v="Dundonnell Wind Farm 3"/>
    <x v="3"/>
    <x v="0"/>
    <m/>
    <n v="46.2"/>
    <m/>
    <s v="Commenced"/>
    <n v="2045"/>
    <n v="46.2"/>
    <n v="46.2"/>
    <n v="46.2"/>
    <n v="46.2"/>
    <n v="46.2"/>
    <n v="46.2"/>
    <n v="46.2"/>
    <n v="46.2"/>
    <n v="46.2"/>
    <n v="46.2"/>
    <n v="46.2"/>
    <n v="46.2"/>
    <n v="46.2"/>
    <n v="46.2"/>
    <n v="46.2"/>
    <n v="46.2"/>
    <n v="46.2"/>
    <n v="46.2"/>
    <n v="46.2"/>
    <n v="46.2"/>
    <n v="46.2"/>
    <n v="0"/>
    <n v="0"/>
    <n v="0"/>
    <n v="0"/>
    <n v="0"/>
    <n v="0"/>
    <n v="0"/>
  </r>
  <r>
    <s v="Elaine Wind Farm"/>
    <x v="0"/>
    <x v="0"/>
    <m/>
    <n v="83.6"/>
    <m/>
    <s v="Commenced"/>
    <n v="2049"/>
    <n v="83.6"/>
    <n v="83.6"/>
    <n v="83.6"/>
    <n v="83.6"/>
    <n v="83.6"/>
    <n v="83.6"/>
    <n v="83.6"/>
    <n v="83.6"/>
    <n v="83.6"/>
    <n v="83.6"/>
    <n v="83.6"/>
    <n v="83.6"/>
    <n v="83.6"/>
    <n v="83.6"/>
    <n v="83.6"/>
    <n v="83.6"/>
    <n v="83.6"/>
    <n v="83.6"/>
    <n v="83.6"/>
    <n v="83.6"/>
    <n v="83.6"/>
    <n v="83.6"/>
    <n v="83.6"/>
    <n v="83.6"/>
    <n v="83.6"/>
    <n v="0"/>
    <n v="0"/>
    <n v="0"/>
  </r>
  <r>
    <s v="Frasers Solar Farm"/>
    <x v="4"/>
    <x v="1"/>
    <n v="0"/>
    <n v="77"/>
    <n v="2024"/>
    <n v="2025"/>
    <n v="2054"/>
    <n v="0"/>
    <n v="77"/>
    <n v="77"/>
    <n v="77"/>
    <n v="77"/>
    <n v="77"/>
    <n v="77"/>
    <n v="77"/>
    <n v="77"/>
    <n v="77"/>
    <n v="77"/>
    <n v="77"/>
    <n v="77"/>
    <n v="77"/>
    <n v="77"/>
    <n v="77"/>
    <n v="77"/>
    <n v="77"/>
    <n v="77"/>
    <n v="77"/>
    <n v="77"/>
    <n v="77"/>
    <n v="77"/>
    <n v="77"/>
    <n v="77"/>
    <n v="77"/>
    <n v="77"/>
    <n v="77"/>
  </r>
  <r>
    <s v="Gannawarra Solar Farm"/>
    <x v="2"/>
    <x v="1"/>
    <m/>
    <n v="50"/>
    <m/>
    <s v="Commenced"/>
    <n v="2048"/>
    <n v="50"/>
    <n v="50"/>
    <n v="50"/>
    <n v="50"/>
    <n v="50"/>
    <n v="50"/>
    <n v="50"/>
    <n v="50"/>
    <n v="50"/>
    <n v="50"/>
    <n v="50"/>
    <n v="50"/>
    <n v="50"/>
    <n v="50"/>
    <n v="50"/>
    <n v="50"/>
    <n v="50"/>
    <n v="50"/>
    <n v="50"/>
    <n v="50"/>
    <n v="50"/>
    <n v="50"/>
    <n v="50"/>
    <n v="50"/>
    <n v="0"/>
    <n v="0"/>
    <n v="0"/>
    <n v="0"/>
  </r>
  <r>
    <s v="Girgarre Solar Farm"/>
    <x v="5"/>
    <x v="1"/>
    <m/>
    <n v="75.81"/>
    <m/>
    <s v="Commenced"/>
    <n v="2054"/>
    <n v="75.81"/>
    <n v="75.81"/>
    <n v="75.81"/>
    <n v="75.81"/>
    <n v="75.81"/>
    <n v="75.81"/>
    <n v="75.81"/>
    <n v="75.81"/>
    <n v="75.81"/>
    <n v="75.81"/>
    <n v="75.81"/>
    <n v="75.81"/>
    <n v="75.81"/>
    <n v="75.81"/>
    <n v="75.81"/>
    <n v="75.81"/>
    <n v="75.81"/>
    <n v="75.81"/>
    <n v="75.81"/>
    <n v="75.81"/>
    <n v="75.81"/>
    <n v="75.81"/>
    <n v="75.81"/>
    <n v="75.81"/>
    <n v="75.81"/>
    <n v="75.81"/>
    <n v="75.81"/>
    <n v="75.81"/>
  </r>
  <r>
    <s v="Glenrowan Solar Farm"/>
    <x v="5"/>
    <x v="1"/>
    <m/>
    <n v="101.98"/>
    <m/>
    <s v="Commenced"/>
    <n v="2053"/>
    <n v="101.98"/>
    <n v="101.98"/>
    <n v="101.98"/>
    <n v="101.98"/>
    <n v="101.98"/>
    <n v="101.98"/>
    <n v="101.98"/>
    <n v="101.98"/>
    <n v="101.98"/>
    <n v="101.98"/>
    <n v="101.98"/>
    <n v="101.98"/>
    <n v="101.98"/>
    <n v="101.98"/>
    <n v="101.98"/>
    <n v="101.98"/>
    <n v="101.98"/>
    <n v="101.98"/>
    <n v="101.98"/>
    <n v="101.98"/>
    <n v="101.98"/>
    <n v="101.98"/>
    <n v="101.98"/>
    <n v="101.98"/>
    <n v="101.98"/>
    <n v="101.98"/>
    <n v="101.98"/>
    <n v="101.98"/>
  </r>
  <r>
    <s v="Golden Plains Wind Farm East"/>
    <x v="3"/>
    <x v="0"/>
    <n v="0"/>
    <n v="756.4"/>
    <n v="2024"/>
    <n v="2025"/>
    <n v="2054"/>
    <n v="0"/>
    <n v="756.4"/>
    <n v="756.4"/>
    <n v="756.4"/>
    <n v="756.4"/>
    <n v="756.4"/>
    <n v="756.4"/>
    <n v="756.4"/>
    <n v="756.4"/>
    <n v="756.4"/>
    <n v="756.4"/>
    <n v="756.4"/>
    <n v="756.4"/>
    <n v="756.4"/>
    <n v="756.4"/>
    <n v="756.4"/>
    <n v="756.4"/>
    <n v="756.4"/>
    <n v="756.4"/>
    <n v="756.4"/>
    <n v="756.4"/>
    <n v="756.4"/>
    <n v="756.4"/>
    <n v="756.4"/>
    <n v="756.4"/>
    <n v="756.4"/>
    <n v="756.4"/>
    <n v="756.4"/>
  </r>
  <r>
    <s v="Hawkesdale Wind Farm"/>
    <x v="3"/>
    <x v="0"/>
    <m/>
    <n v="96.6"/>
    <m/>
    <s v="Commenced"/>
    <n v="2054"/>
    <n v="96.6"/>
    <n v="96.6"/>
    <n v="96.6"/>
    <n v="96.6"/>
    <n v="96.6"/>
    <n v="96.6"/>
    <n v="96.6"/>
    <n v="96.6"/>
    <n v="96.6"/>
    <n v="96.6"/>
    <n v="96.6"/>
    <n v="96.6"/>
    <n v="96.6"/>
    <n v="96.6"/>
    <n v="96.6"/>
    <n v="96.6"/>
    <n v="96.6"/>
    <n v="96.6"/>
    <n v="96.6"/>
    <n v="96.6"/>
    <n v="96.6"/>
    <n v="96.6"/>
    <n v="96.6"/>
    <n v="96.6"/>
    <n v="96.6"/>
    <n v="96.6"/>
    <n v="96.6"/>
    <n v="96.6"/>
  </r>
  <r>
    <s v="Ryan Corner Wind Farm"/>
    <x v="3"/>
    <x v="0"/>
    <m/>
    <n v="218.4"/>
    <m/>
    <s v="Commenced"/>
    <n v="2054"/>
    <n v="218.4"/>
    <n v="218.4"/>
    <n v="218.4"/>
    <n v="218.4"/>
    <n v="218.4"/>
    <n v="218.4"/>
    <n v="218.4"/>
    <n v="218.4"/>
    <n v="218.4"/>
    <n v="218.4"/>
    <n v="218.4"/>
    <n v="218.4"/>
    <n v="218.4"/>
    <n v="218.4"/>
    <n v="218.4"/>
    <n v="218.4"/>
    <n v="218.4"/>
    <n v="218.4"/>
    <n v="218.4"/>
    <n v="218.4"/>
    <n v="218.4"/>
    <n v="218.4"/>
    <n v="218.4"/>
    <n v="218.4"/>
    <n v="218.4"/>
    <n v="218.4"/>
    <n v="218.4"/>
    <n v="218.4"/>
  </r>
  <r>
    <s v="Glenrowan West Solar Farm"/>
    <x v="5"/>
    <x v="1"/>
    <m/>
    <n v="110"/>
    <m/>
    <s v="Commenced"/>
    <n v="2051"/>
    <n v="110"/>
    <n v="110"/>
    <n v="110"/>
    <n v="110"/>
    <n v="110"/>
    <n v="110"/>
    <n v="110"/>
    <n v="110"/>
    <n v="110"/>
    <n v="110"/>
    <n v="110"/>
    <n v="110"/>
    <n v="110"/>
    <n v="110"/>
    <n v="110"/>
    <n v="110"/>
    <n v="110"/>
    <n v="110"/>
    <n v="110"/>
    <n v="110"/>
    <n v="110"/>
    <n v="110"/>
    <n v="110"/>
    <n v="110"/>
    <n v="110"/>
    <n v="110"/>
    <n v="110"/>
    <n v="0"/>
  </r>
  <r>
    <s v="Karadoc Solar Farm"/>
    <x v="2"/>
    <x v="1"/>
    <m/>
    <n v="90.02"/>
    <m/>
    <s v="Commenced"/>
    <n v="2048"/>
    <n v="90.02"/>
    <n v="90.02"/>
    <n v="90.02"/>
    <n v="90.02"/>
    <n v="90.02"/>
    <n v="90.02"/>
    <n v="90.02"/>
    <n v="90.02"/>
    <n v="90.02"/>
    <n v="90.02"/>
    <n v="90.02"/>
    <n v="90.02"/>
    <n v="90.02"/>
    <n v="90.02"/>
    <n v="90.02"/>
    <n v="90.02"/>
    <n v="90.02"/>
    <n v="90.02"/>
    <n v="90.02"/>
    <n v="90.02"/>
    <n v="90.02"/>
    <n v="90.02"/>
    <n v="90.02"/>
    <n v="90.02"/>
    <n v="0"/>
    <n v="0"/>
    <n v="0"/>
    <n v="0"/>
  </r>
  <r>
    <s v="Kiamal Solar Farm stage 1"/>
    <x v="2"/>
    <x v="1"/>
    <m/>
    <n v="199.95"/>
    <m/>
    <s v="Commenced"/>
    <n v="2049"/>
    <n v="199.95"/>
    <n v="199.95"/>
    <n v="199.95"/>
    <n v="199.95"/>
    <n v="199.95"/>
    <n v="199.95"/>
    <n v="199.95"/>
    <n v="199.95"/>
    <n v="199.95"/>
    <n v="199.95"/>
    <n v="199.95"/>
    <n v="199.95"/>
    <n v="199.95"/>
    <n v="199.95"/>
    <n v="199.95"/>
    <n v="199.95"/>
    <n v="199.95"/>
    <n v="199.95"/>
    <n v="199.95"/>
    <n v="199.95"/>
    <n v="199.95"/>
    <n v="199.95"/>
    <n v="199.95"/>
    <n v="199.95"/>
    <n v="199.95"/>
    <n v="0"/>
    <n v="0"/>
    <n v="0"/>
  </r>
  <r>
    <s v="Numurkah Solar Farm"/>
    <x v="5"/>
    <x v="1"/>
    <m/>
    <n v="99.95"/>
    <m/>
    <s v="Commenced"/>
    <n v="2044"/>
    <n v="99.95"/>
    <n v="99.95"/>
    <n v="99.95"/>
    <n v="99.95"/>
    <n v="99.95"/>
    <n v="99.95"/>
    <n v="99.95"/>
    <n v="99.95"/>
    <n v="99.95"/>
    <n v="99.95"/>
    <n v="99.95"/>
    <n v="99.95"/>
    <n v="99.95"/>
    <n v="99.95"/>
    <n v="99.95"/>
    <n v="99.95"/>
    <n v="99.95"/>
    <n v="99.95"/>
    <n v="99.95"/>
    <n v="99.95"/>
    <n v="0"/>
    <n v="0"/>
    <n v="0"/>
    <n v="0"/>
    <n v="0"/>
    <n v="0"/>
    <n v="0"/>
    <n v="0"/>
  </r>
  <r>
    <s v="Kiata Wind Farm"/>
    <x v="0"/>
    <x v="0"/>
    <m/>
    <n v="31.05"/>
    <m/>
    <s v="Commenced"/>
    <n v="2042"/>
    <n v="31.05"/>
    <n v="31.05"/>
    <n v="31.05"/>
    <n v="31.05"/>
    <n v="31.05"/>
    <n v="31.05"/>
    <n v="31.05"/>
    <n v="31.05"/>
    <n v="31.05"/>
    <n v="31.05"/>
    <n v="31.05"/>
    <n v="31.05"/>
    <n v="31.05"/>
    <n v="31.05"/>
    <n v="31.05"/>
    <n v="31.05"/>
    <n v="31.05"/>
    <n v="31.05"/>
    <n v="0"/>
    <n v="0"/>
    <n v="0"/>
    <n v="0"/>
    <n v="0"/>
    <n v="0"/>
    <n v="0"/>
    <n v="0"/>
    <n v="0"/>
    <n v="0"/>
  </r>
  <r>
    <s v="Macarthur Wind Farm"/>
    <x v="3"/>
    <x v="0"/>
    <m/>
    <n v="420"/>
    <m/>
    <s v="Commenced"/>
    <n v="2038"/>
    <n v="420"/>
    <n v="420"/>
    <n v="420"/>
    <n v="420"/>
    <n v="420"/>
    <n v="420"/>
    <n v="420"/>
    <n v="420"/>
    <n v="420"/>
    <n v="420"/>
    <n v="420"/>
    <n v="420"/>
    <n v="420"/>
    <n v="420"/>
    <n v="0"/>
    <n v="0"/>
    <n v="0"/>
    <n v="0"/>
    <n v="0"/>
    <n v="0"/>
    <n v="0"/>
    <n v="0"/>
    <n v="0"/>
    <n v="0"/>
    <n v="0"/>
    <n v="0"/>
    <n v="0"/>
    <n v="0"/>
  </r>
  <r>
    <s v="Moorabool Wind Farm"/>
    <x v="0"/>
    <x v="0"/>
    <m/>
    <n v="312"/>
    <m/>
    <s v="Commenced"/>
    <n v="2044"/>
    <n v="312"/>
    <n v="312"/>
    <n v="312"/>
    <n v="312"/>
    <n v="312"/>
    <n v="312"/>
    <n v="312"/>
    <n v="312"/>
    <n v="312"/>
    <n v="312"/>
    <n v="312"/>
    <n v="312"/>
    <n v="312"/>
    <n v="312"/>
    <n v="312"/>
    <n v="312"/>
    <n v="312"/>
    <n v="312"/>
    <n v="312"/>
    <n v="312"/>
    <n v="0"/>
    <n v="0"/>
    <n v="0"/>
    <n v="0"/>
    <n v="0"/>
    <n v="0"/>
    <n v="0"/>
    <n v="0"/>
  </r>
  <r>
    <s v="Mortlake South Wind Farm"/>
    <x v="3"/>
    <x v="0"/>
    <m/>
    <n v="157.5"/>
    <m/>
    <s v="Commenced"/>
    <n v="2047"/>
    <n v="157.5"/>
    <n v="157.5"/>
    <n v="157.5"/>
    <n v="157.5"/>
    <n v="157.5"/>
    <n v="157.5"/>
    <n v="157.5"/>
    <n v="157.5"/>
    <n v="157.5"/>
    <n v="157.5"/>
    <n v="157.5"/>
    <n v="157.5"/>
    <n v="157.5"/>
    <n v="157.5"/>
    <n v="157.5"/>
    <n v="157.5"/>
    <n v="157.5"/>
    <n v="157.5"/>
    <n v="157.5"/>
    <n v="157.5"/>
    <n v="157.5"/>
    <n v="157.5"/>
    <n v="157.5"/>
    <n v="0"/>
    <n v="0"/>
    <n v="0"/>
    <n v="0"/>
    <n v="0"/>
  </r>
  <r>
    <s v="Mortons Lane Wind Farm"/>
    <x v="3"/>
    <x v="0"/>
    <m/>
    <n v="19.5"/>
    <m/>
    <s v="Commenced"/>
    <n v="2041"/>
    <n v="19.5"/>
    <n v="19.5"/>
    <n v="19.5"/>
    <n v="19.5"/>
    <n v="19.5"/>
    <n v="19.5"/>
    <n v="19.5"/>
    <n v="19.5"/>
    <n v="19.5"/>
    <n v="19.5"/>
    <n v="19.5"/>
    <n v="19.5"/>
    <n v="19.5"/>
    <n v="19.5"/>
    <n v="19.5"/>
    <n v="19.5"/>
    <n v="19.5"/>
    <n v="0"/>
    <n v="0"/>
    <n v="0"/>
    <n v="0"/>
    <n v="0"/>
    <n v="0"/>
    <n v="0"/>
    <n v="0"/>
    <n v="0"/>
    <n v="0"/>
    <n v="0"/>
  </r>
  <r>
    <s v="Mt Gellibrand Wind Farm"/>
    <x v="3"/>
    <x v="0"/>
    <m/>
    <n v="99.88"/>
    <m/>
    <s v="Commenced"/>
    <n v="2043"/>
    <n v="99.88"/>
    <n v="99.88"/>
    <n v="99.88"/>
    <n v="99.88"/>
    <n v="99.88"/>
    <n v="99.88"/>
    <n v="99.88"/>
    <n v="99.88"/>
    <n v="99.88"/>
    <n v="99.88"/>
    <n v="99.88"/>
    <n v="99.88"/>
    <n v="99.88"/>
    <n v="99.88"/>
    <n v="99.88"/>
    <n v="99.88"/>
    <n v="99.88"/>
    <n v="99.88"/>
    <n v="99.88"/>
    <n v="0"/>
    <n v="0"/>
    <n v="0"/>
    <n v="0"/>
    <n v="0"/>
    <n v="0"/>
    <n v="0"/>
    <n v="0"/>
    <n v="0"/>
  </r>
  <r>
    <s v="Mt Mercer Wind Farm"/>
    <x v="0"/>
    <x v="0"/>
    <m/>
    <n v="131.19999999999999"/>
    <m/>
    <s v="Commenced"/>
    <n v="2043"/>
    <n v="131.19999999999999"/>
    <n v="131.19999999999999"/>
    <n v="131.19999999999999"/>
    <n v="131.19999999999999"/>
    <n v="131.19999999999999"/>
    <n v="131.19999999999999"/>
    <n v="131.19999999999999"/>
    <n v="131.19999999999999"/>
    <n v="131.19999999999999"/>
    <n v="131.19999999999999"/>
    <n v="131.19999999999999"/>
    <n v="131.19999999999999"/>
    <n v="131.19999999999999"/>
    <n v="131.19999999999999"/>
    <n v="131.19999999999999"/>
    <n v="131.19999999999999"/>
    <n v="131.19999999999999"/>
    <n v="131.19999999999999"/>
    <n v="131.19999999999999"/>
    <n v="0"/>
    <n v="0"/>
    <n v="0"/>
    <n v="0"/>
    <n v="0"/>
    <n v="0"/>
    <n v="0"/>
    <n v="0"/>
    <n v="0"/>
  </r>
  <r>
    <s v="Murra Warra Wind Farm - stage 1"/>
    <x v="0"/>
    <x v="0"/>
    <m/>
    <n v="225.7"/>
    <m/>
    <s v="Commenced"/>
    <n v="2049"/>
    <n v="225.7"/>
    <n v="225.7"/>
    <n v="225.7"/>
    <n v="225.7"/>
    <n v="225.7"/>
    <n v="225.7"/>
    <n v="225.7"/>
    <n v="225.7"/>
    <n v="225.7"/>
    <n v="225.7"/>
    <n v="225.7"/>
    <n v="225.7"/>
    <n v="225.7"/>
    <n v="225.7"/>
    <n v="225.7"/>
    <n v="225.7"/>
    <n v="225.7"/>
    <n v="225.7"/>
    <n v="225.7"/>
    <n v="225.7"/>
    <n v="225.7"/>
    <n v="225.7"/>
    <n v="225.7"/>
    <n v="225.7"/>
    <n v="225.7"/>
    <n v="0"/>
    <n v="0"/>
    <n v="0"/>
  </r>
  <r>
    <s v="Murra Warra Wind Farm - stage 2"/>
    <x v="0"/>
    <x v="0"/>
    <m/>
    <n v="209"/>
    <m/>
    <s v="Commenced"/>
    <n v="2052"/>
    <n v="209"/>
    <n v="209"/>
    <n v="209"/>
    <n v="209"/>
    <n v="209"/>
    <n v="209"/>
    <n v="209"/>
    <n v="209"/>
    <n v="209"/>
    <n v="209"/>
    <n v="209"/>
    <n v="209"/>
    <n v="209"/>
    <n v="209"/>
    <n v="209"/>
    <n v="209"/>
    <n v="209"/>
    <n v="209"/>
    <n v="209"/>
    <n v="209"/>
    <n v="209"/>
    <n v="209"/>
    <n v="209"/>
    <n v="209"/>
    <n v="209"/>
    <n v="209"/>
    <n v="209"/>
    <n v="209"/>
  </r>
  <r>
    <s v="Wemen Solar Farm"/>
    <x v="2"/>
    <x v="1"/>
    <m/>
    <n v="87.98"/>
    <m/>
    <s v="Commenced"/>
    <n v="2049"/>
    <n v="87.98"/>
    <n v="87.98"/>
    <n v="87.98"/>
    <n v="87.98"/>
    <n v="87.98"/>
    <n v="87.98"/>
    <n v="87.98"/>
    <n v="87.98"/>
    <n v="87.98"/>
    <n v="87.98"/>
    <n v="87.98"/>
    <n v="87.98"/>
    <n v="87.98"/>
    <n v="87.98"/>
    <n v="87.98"/>
    <n v="87.98"/>
    <n v="87.98"/>
    <n v="87.98"/>
    <n v="87.98"/>
    <n v="87.98"/>
    <n v="87.98"/>
    <n v="87.98"/>
    <n v="87.98"/>
    <n v="87.98"/>
    <n v="87.98"/>
    <n v="0"/>
    <n v="0"/>
    <n v="0"/>
  </r>
  <r>
    <s v="Oaklands Hill Wind Farm"/>
    <x v="3"/>
    <x v="0"/>
    <m/>
    <n v="63"/>
    <m/>
    <s v="Commenced"/>
    <n v="2037"/>
    <n v="63"/>
    <n v="63"/>
    <n v="63"/>
    <n v="63"/>
    <n v="63"/>
    <n v="63"/>
    <n v="63"/>
    <n v="63"/>
    <n v="63"/>
    <n v="63"/>
    <n v="63"/>
    <n v="63"/>
    <n v="63"/>
    <n v="0"/>
    <n v="0"/>
    <n v="0"/>
    <n v="0"/>
    <n v="0"/>
    <n v="0"/>
    <n v="0"/>
    <n v="0"/>
    <n v="0"/>
    <n v="0"/>
    <n v="0"/>
    <n v="0"/>
    <n v="0"/>
    <n v="0"/>
    <n v="0"/>
  </r>
  <r>
    <s v="Portland Wind Farm"/>
    <x v="3"/>
    <x v="0"/>
    <m/>
    <n v="151.69999999999999"/>
    <m/>
    <s v="Commenced"/>
    <n v="2041"/>
    <n v="151.69999999999999"/>
    <n v="151.69999999999999"/>
    <n v="151.69999999999999"/>
    <n v="151.69999999999999"/>
    <n v="151.69999999999999"/>
    <n v="151.69999999999999"/>
    <n v="151.69999999999999"/>
    <n v="151.69999999999999"/>
    <n v="151.69999999999999"/>
    <n v="151.69999999999999"/>
    <n v="151.69999999999999"/>
    <n v="151.69999999999999"/>
    <n v="151.69999999999999"/>
    <n v="151.69999999999999"/>
    <n v="151.69999999999999"/>
    <n v="151.69999999999999"/>
    <n v="151.69999999999999"/>
    <n v="0"/>
    <n v="0"/>
    <n v="0"/>
    <n v="0"/>
    <n v="0"/>
    <n v="0"/>
    <n v="0"/>
    <n v="0"/>
    <n v="0"/>
    <n v="0"/>
    <n v="0"/>
  </r>
  <r>
    <s v="Salt Creek Wind Farm"/>
    <x v="3"/>
    <x v="0"/>
    <m/>
    <n v="54"/>
    <m/>
    <s v="Commenced"/>
    <n v="2043"/>
    <n v="54"/>
    <n v="54"/>
    <n v="54"/>
    <n v="54"/>
    <n v="54"/>
    <n v="54"/>
    <n v="54"/>
    <n v="54"/>
    <n v="54"/>
    <n v="54"/>
    <n v="54"/>
    <n v="54"/>
    <n v="54"/>
    <n v="54"/>
    <n v="54"/>
    <n v="54"/>
    <n v="54"/>
    <n v="54"/>
    <n v="54"/>
    <n v="0"/>
    <n v="0"/>
    <n v="0"/>
    <n v="0"/>
    <n v="0"/>
    <n v="0"/>
    <n v="0"/>
    <n v="0"/>
    <n v="0"/>
  </r>
  <r>
    <s v="Stockyard Hill Wind Farm"/>
    <x v="3"/>
    <x v="0"/>
    <m/>
    <n v="510.99"/>
    <m/>
    <s v="Commenced"/>
    <n v="2045"/>
    <n v="510.99"/>
    <n v="510.99"/>
    <n v="510.99"/>
    <n v="510.99"/>
    <n v="510.99"/>
    <n v="510.99"/>
    <n v="510.99"/>
    <n v="510.99"/>
    <n v="510.99"/>
    <n v="510.99"/>
    <n v="510.99"/>
    <n v="510.99"/>
    <n v="510.99"/>
    <n v="510.99"/>
    <n v="510.99"/>
    <n v="510.99"/>
    <n v="510.99"/>
    <n v="510.99"/>
    <n v="510.99"/>
    <n v="510.99"/>
    <n v="510.99"/>
    <n v="0"/>
    <n v="0"/>
    <n v="0"/>
    <n v="0"/>
    <n v="0"/>
    <n v="0"/>
    <n v="0"/>
  </r>
  <r>
    <s v="Waubra Wind Farm"/>
    <x v="0"/>
    <x v="0"/>
    <m/>
    <n v="192"/>
    <m/>
    <s v="Commenced"/>
    <n v="2047"/>
    <n v="192"/>
    <n v="192"/>
    <n v="192"/>
    <n v="192"/>
    <n v="192"/>
    <n v="192"/>
    <n v="192"/>
    <n v="192"/>
    <n v="192"/>
    <n v="192"/>
    <n v="192"/>
    <n v="192"/>
    <n v="192"/>
    <n v="192"/>
    <n v="192"/>
    <n v="192"/>
    <n v="192"/>
    <n v="192"/>
    <n v="192"/>
    <n v="192"/>
    <n v="192"/>
    <n v="192"/>
    <n v="192"/>
    <n v="0"/>
    <n v="0"/>
    <n v="0"/>
    <n v="0"/>
    <n v="0"/>
  </r>
  <r>
    <s v="Winton Solar Farm"/>
    <x v="5"/>
    <x v="1"/>
    <m/>
    <n v="85"/>
    <m/>
    <s v="Commenced"/>
    <n v="2051"/>
    <n v="85"/>
    <n v="85"/>
    <n v="85"/>
    <n v="85"/>
    <n v="85"/>
    <n v="85"/>
    <n v="85"/>
    <n v="85"/>
    <n v="85"/>
    <n v="85"/>
    <n v="85"/>
    <n v="85"/>
    <n v="85"/>
    <n v="85"/>
    <n v="85"/>
    <n v="85"/>
    <n v="85"/>
    <n v="85"/>
    <n v="85"/>
    <n v="85"/>
    <n v="85"/>
    <n v="85"/>
    <n v="85"/>
    <n v="85"/>
    <n v="85"/>
    <n v="85"/>
    <n v="85"/>
    <n v="0"/>
  </r>
  <r>
    <s v="Wunghnu Solar Farm"/>
    <x v="1"/>
    <x v="1"/>
    <m/>
    <n v="75"/>
    <m/>
    <s v="Commenced"/>
    <n v="2054"/>
    <n v="75"/>
    <n v="75"/>
    <n v="75"/>
    <n v="75"/>
    <n v="75"/>
    <n v="75"/>
    <n v="75"/>
    <n v="75"/>
    <n v="75"/>
    <n v="75"/>
    <n v="75"/>
    <n v="75"/>
    <n v="75"/>
    <n v="75"/>
    <n v="75"/>
    <n v="75"/>
    <n v="75"/>
    <n v="75"/>
    <n v="75"/>
    <n v="75"/>
    <n v="75"/>
    <n v="75"/>
    <n v="75"/>
    <n v="75"/>
    <n v="75"/>
    <n v="75"/>
    <n v="75"/>
    <n v="75"/>
  </r>
  <r>
    <s v="Yaloak South Wind Farm"/>
    <x v="0"/>
    <x v="0"/>
    <m/>
    <n v="28.7"/>
    <m/>
    <s v="Commenced"/>
    <n v="2052"/>
    <n v="28.7"/>
    <n v="28.7"/>
    <n v="28.7"/>
    <n v="28.7"/>
    <n v="28.7"/>
    <n v="28.7"/>
    <n v="28.7"/>
    <n v="28.7"/>
    <n v="28.7"/>
    <n v="28.7"/>
    <n v="28.7"/>
    <n v="28.7"/>
    <n v="28.7"/>
    <n v="28.7"/>
    <n v="28.7"/>
    <n v="28.7"/>
    <n v="28.7"/>
    <n v="28.7"/>
    <n v="28.7"/>
    <n v="28.7"/>
    <n v="28.7"/>
    <n v="28.7"/>
    <n v="28.7"/>
    <n v="28.7"/>
    <n v="28.7"/>
    <n v="28.7"/>
    <n v="28.7"/>
    <n v="28.7"/>
  </r>
  <r>
    <s v="Yambuk Wind Farm"/>
    <x v="3"/>
    <x v="0"/>
    <m/>
    <n v="30"/>
    <m/>
    <s v="Commenced"/>
    <n v="2039"/>
    <n v="30"/>
    <n v="30"/>
    <n v="30"/>
    <n v="30"/>
    <n v="30"/>
    <n v="30"/>
    <n v="30"/>
    <n v="30"/>
    <n v="30"/>
    <n v="30"/>
    <n v="30"/>
    <n v="30"/>
    <n v="30"/>
    <n v="30"/>
    <n v="30"/>
    <n v="0"/>
    <n v="0"/>
    <n v="0"/>
    <n v="0"/>
    <n v="0"/>
    <n v="0"/>
    <n v="0"/>
    <n v="0"/>
    <n v="0"/>
    <n v="0"/>
    <n v="0"/>
    <n v="0"/>
    <n v="0"/>
  </r>
  <r>
    <s v="Yatpool Solar Farm"/>
    <x v="2"/>
    <x v="1"/>
    <m/>
    <n v="81"/>
    <m/>
    <s v="Commenced"/>
    <n v="2050"/>
    <n v="81"/>
    <n v="81"/>
    <n v="81"/>
    <n v="81"/>
    <n v="81"/>
    <n v="81"/>
    <n v="81"/>
    <n v="81"/>
    <n v="81"/>
    <n v="81"/>
    <n v="81"/>
    <n v="81"/>
    <n v="81"/>
    <n v="81"/>
    <n v="81"/>
    <n v="81"/>
    <n v="81"/>
    <n v="81"/>
    <n v="81"/>
    <n v="81"/>
    <n v="81"/>
    <n v="81"/>
    <n v="81"/>
    <n v="81"/>
    <n v="81"/>
    <n v="81"/>
    <n v="0"/>
    <n v="0"/>
  </r>
  <r>
    <s v="Yendon Wind Farm"/>
    <x v="0"/>
    <x v="0"/>
    <m/>
    <n v="144.4"/>
    <m/>
    <s v="Commenced"/>
    <n v="2049"/>
    <n v="144.4"/>
    <n v="144.4"/>
    <n v="144.4"/>
    <n v="144.4"/>
    <n v="144.4"/>
    <n v="144.4"/>
    <n v="144.4"/>
    <n v="144.4"/>
    <n v="144.4"/>
    <n v="144.4"/>
    <n v="144.4"/>
    <n v="144.4"/>
    <n v="144.4"/>
    <n v="144.4"/>
    <n v="144.4"/>
    <n v="144.4"/>
    <n v="144.4"/>
    <n v="144.4"/>
    <n v="144.4"/>
    <n v="144.4"/>
    <n v="144.4"/>
    <n v="144.4"/>
    <n v="144.4"/>
    <n v="144.4"/>
    <n v="144.4"/>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90F88E-D5F2-4098-B793-1020E441343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AD20" firstHeaderRow="0" firstDataRow="1" firstDataCol="1"/>
  <pivotFields count="36">
    <pivotField showAll="0"/>
    <pivotField axis="axisRow" showAll="0" sortType="ascending">
      <items count="14">
        <item x="5"/>
        <item m="1" x="9"/>
        <item x="4"/>
        <item m="1" x="10"/>
        <item x="2"/>
        <item m="1" x="6"/>
        <item x="1"/>
        <item m="1" x="7"/>
        <item m="1" x="11"/>
        <item m="1" x="8"/>
        <item x="3"/>
        <item x="0"/>
        <item m="1" x="12"/>
        <item t="default"/>
      </items>
    </pivotField>
    <pivotField axis="axisRow" showAll="0">
      <items count="3">
        <item x="1"/>
        <item x="0"/>
        <item t="default"/>
      </items>
    </pivotField>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2">
    <field x="1"/>
    <field x="2"/>
  </rowFields>
  <rowItems count="14">
    <i>
      <x/>
    </i>
    <i r="1">
      <x/>
    </i>
    <i>
      <x v="2"/>
    </i>
    <i r="1">
      <x/>
    </i>
    <i>
      <x v="4"/>
    </i>
    <i r="1">
      <x/>
    </i>
    <i>
      <x v="6"/>
    </i>
    <i r="1">
      <x/>
    </i>
    <i r="1">
      <x v="1"/>
    </i>
    <i>
      <x v="10"/>
    </i>
    <i r="1">
      <x v="1"/>
    </i>
    <i>
      <x v="11"/>
    </i>
    <i r="1">
      <x v="1"/>
    </i>
    <i t="grand">
      <x/>
    </i>
  </rowItems>
  <colFields count="1">
    <field x="-2"/>
  </colFields>
  <colItems count="28">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colItems>
  <dataFields count="28">
    <dataField name="Sum of 2024-25" fld="8" baseField="0" baseItem="0"/>
    <dataField name="Sum of 2025-26" fld="9" baseField="0" baseItem="0"/>
    <dataField name="Sum of 2026-27" fld="10" baseField="0" baseItem="0"/>
    <dataField name="Sum of 2027-28" fld="11" baseField="0" baseItem="0"/>
    <dataField name="Sum of 2028-29" fld="12" baseField="0" baseItem="0"/>
    <dataField name="Sum of 2029-30" fld="13" baseField="0" baseItem="0"/>
    <dataField name="Sum of 2030-31" fld="14" baseField="0" baseItem="0"/>
    <dataField name="Sum of 2031-32" fld="15" baseField="0" baseItem="0"/>
    <dataField name="Sum of 2032-33" fld="16" baseField="0" baseItem="0"/>
    <dataField name="Sum of 2033-34" fld="17" baseField="0" baseItem="0"/>
    <dataField name="Sum of 2034-35" fld="18" baseField="0" baseItem="0"/>
    <dataField name="Sum of 2035-36" fld="19" baseField="0" baseItem="0"/>
    <dataField name="Sum of 2036-37" fld="20" baseField="0" baseItem="0"/>
    <dataField name="Sum of 2037-38" fld="21" baseField="0" baseItem="0"/>
    <dataField name="Sum of 2038-39" fld="22" baseField="0" baseItem="0"/>
    <dataField name="Sum of 2039-40" fld="23" baseField="0" baseItem="0"/>
    <dataField name="Sum of 2040-41" fld="24" baseField="0" baseItem="0"/>
    <dataField name="Sum of 2041-42" fld="25" baseField="0" baseItem="0"/>
    <dataField name="Sum of 2042-43" fld="26" baseField="0" baseItem="0"/>
    <dataField name="Sum of 2043-44" fld="27" baseField="0" baseItem="0"/>
    <dataField name="Sum of 2044-45" fld="28" baseField="0" baseItem="0"/>
    <dataField name="Sum of 2045-46" fld="29" baseField="0" baseItem="0"/>
    <dataField name="Sum of 2046-47" fld="30" baseField="0" baseItem="0"/>
    <dataField name="Sum of 2047-48" fld="31" baseField="0" baseItem="0"/>
    <dataField name="Sum of 2048-49" fld="32" baseField="0" baseItem="0"/>
    <dataField name="Sum of 2049-50" fld="33" baseField="0" baseItem="0"/>
    <dataField name="Sum of 2050-51" fld="34" baseField="0" baseItem="0"/>
    <dataField name="Sum of 2051-52"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049E01-733C-40F2-B838-2C299347D24C}" name="Table1" displayName="Table1" ref="B10:AF26" totalsRowShown="0" headerRowDxfId="135" dataDxfId="133" headerRowBorderDxfId="134" tableBorderDxfId="132">
  <autoFilter ref="B10:AF26" xr:uid="{71049E01-733C-40F2-B838-2C299347D24C}"/>
  <tableColumns count="31">
    <tableColumn id="1" xr3:uid="{C0DF806B-4BB8-473F-B827-5123290D3262}" name="REZ" dataDxfId="131"/>
    <tableColumn id="2" xr3:uid="{302D82E3-32E6-4A2A-9350-5FBA23B1527A}" name="REZ Name" dataDxfId="130"/>
    <tableColumn id="3" xr3:uid="{D2A19861-5792-4617-A383-1AB13E6363B1}" name="Technology" dataDxfId="129"/>
    <tableColumn id="4" xr3:uid="{CB79C1BF-D4E8-433B-9B5A-28BC51D8EE01}" name="2025" dataDxfId="128"/>
    <tableColumn id="5" xr3:uid="{5EEB7816-FF82-415D-A046-26689F54F466}" name="2026" dataDxfId="127"/>
    <tableColumn id="6" xr3:uid="{BA2581BB-D145-48D1-80FB-312AEEDD9F9B}" name="2027" dataDxfId="126"/>
    <tableColumn id="7" xr3:uid="{B197D466-46CD-423B-BCD3-D09A4FD45574}" name="2028" dataDxfId="125"/>
    <tableColumn id="8" xr3:uid="{85C66A85-D883-4A7B-833B-01AB66135E10}" name="2029" dataDxfId="124"/>
    <tableColumn id="9" xr3:uid="{6ED61C78-0213-4981-A41C-17AA756D3560}" name="2030" dataDxfId="123"/>
    <tableColumn id="10" xr3:uid="{ADB03C71-158C-4340-AC00-2ED7020E5CC9}" name="2031" dataDxfId="122"/>
    <tableColumn id="11" xr3:uid="{57A6E2BA-03F3-4760-BD04-09C727C6A35E}" name="2032" dataDxfId="121"/>
    <tableColumn id="12" xr3:uid="{697B6923-17F4-4805-8135-4EB09473010E}" name="2033" dataDxfId="120"/>
    <tableColumn id="13" xr3:uid="{812D7173-CFC0-4632-AD7F-409BD745AC79}" name="2034" dataDxfId="119"/>
    <tableColumn id="14" xr3:uid="{EF170C48-1C4B-426B-874D-3673D185D951}" name="2035" dataDxfId="118"/>
    <tableColumn id="15" xr3:uid="{EC5B68EF-7F17-48B2-9104-A0E6A55826AC}" name="2036" dataDxfId="117"/>
    <tableColumn id="16" xr3:uid="{20075EE9-A45A-4B7F-B96B-BCAC3514D1D7}" name="2037" dataDxfId="116"/>
    <tableColumn id="17" xr3:uid="{0C3EC97E-8690-475E-A883-F3C67066F990}" name="2038" dataDxfId="115"/>
    <tableColumn id="18" xr3:uid="{D851F07A-C3E1-4337-ACA7-E9CC8364B9DD}" name="2039" dataDxfId="114"/>
    <tableColumn id="19" xr3:uid="{17BBF017-661B-4A58-B40E-D0A7F5688C53}" name="2040" dataDxfId="113"/>
    <tableColumn id="20" xr3:uid="{CF8E582E-C3BB-40C6-A48D-CCD7E5038146}" name="2041" dataDxfId="112"/>
    <tableColumn id="21" xr3:uid="{FDBA1405-9CB0-4AA0-AA0B-C59B4E079721}" name="2042" dataDxfId="111"/>
    <tableColumn id="22" xr3:uid="{46FFE341-3E16-4DD2-8CB1-8CD541A49614}" name="2043" dataDxfId="110"/>
    <tableColumn id="23" xr3:uid="{7D1A29E5-8B16-4D9F-82DF-6FF91949A0DB}" name="2044" dataDxfId="109"/>
    <tableColumn id="24" xr3:uid="{66FD4AB1-78EC-42C7-A1F7-3E302B9D9343}" name="2045" dataDxfId="108"/>
    <tableColumn id="25" xr3:uid="{D3D39340-CFEC-4E03-B80F-7A97B3EF1FA8}" name="2046" dataDxfId="107"/>
    <tableColumn id="26" xr3:uid="{7D30CCD3-B343-44C2-A679-F6BF7C578AA2}" name="2047" dataDxfId="106"/>
    <tableColumn id="27" xr3:uid="{1ABFEC83-5948-4C11-9510-3D3C19BEACC1}" name="2048" dataDxfId="105"/>
    <tableColumn id="28" xr3:uid="{5519C057-B697-4AC4-A824-18B8FE3D7D7D}" name="2049" dataDxfId="104"/>
    <tableColumn id="29" xr3:uid="{7FD18631-3E20-4406-90AC-84C845E9C329}" name="2050" dataDxfId="103"/>
    <tableColumn id="30" xr3:uid="{B38B10B8-FEC0-43DF-B7D6-E8980B02995E}" name="2051" dataDxfId="102"/>
    <tableColumn id="31" xr3:uid="{CDD6D30D-DFE8-412A-80EF-D873FF1F7D0F}" name="2052" dataDxfId="101"/>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7830C7-D37B-4062-9C59-7705BB3775F3}" name="Table4" displayName="Table4" ref="B30:AF46" totalsRowShown="0" headerRowDxfId="100" dataDxfId="99">
  <autoFilter ref="B30:AF46" xr:uid="{E57830C7-D37B-4062-9C59-7705BB3775F3}"/>
  <tableColumns count="31">
    <tableColumn id="1" xr3:uid="{41467AE6-B3D6-4606-B0CB-A2FFDD97EC58}" name="REZ" dataDxfId="98"/>
    <tableColumn id="2" xr3:uid="{4C96FA4E-C19E-4CD2-822A-321560DA0F64}" name="REZ Name" dataDxfId="97"/>
    <tableColumn id="3" xr3:uid="{696439AD-9DCD-4CFC-9369-FE4B61443096}" name="Technology" dataDxfId="96"/>
    <tableColumn id="4" xr3:uid="{8F2C3EA2-9303-4281-B9F9-521D8F001521}" name="2025" dataDxfId="95"/>
    <tableColumn id="5" xr3:uid="{5D00282F-E825-4DD0-9F68-CAAD3B56590B}" name="2026" dataDxfId="94"/>
    <tableColumn id="6" xr3:uid="{A6DE05CC-273F-424B-9199-7606DFA3A915}" name="2027" dataDxfId="93"/>
    <tableColumn id="7" xr3:uid="{99222AC7-8BBE-4DE1-A831-8C6E17C535D8}" name="2028" dataDxfId="92"/>
    <tableColumn id="8" xr3:uid="{44F4BD8E-37EA-4591-9217-52C404C50438}" name="2029" dataDxfId="91"/>
    <tableColumn id="9" xr3:uid="{001CD80D-ED07-491E-8CFA-10ABF6EE8718}" name="2030" dataDxfId="90"/>
    <tableColumn id="10" xr3:uid="{42293E86-FA1C-4CC4-82D6-BC8B3A24C810}" name="2031" dataDxfId="89"/>
    <tableColumn id="11" xr3:uid="{7577CEEE-3033-45CD-AD54-E41954FCD036}" name="2032" dataDxfId="88"/>
    <tableColumn id="12" xr3:uid="{D5F3693D-1903-495F-A32E-F17331F17888}" name="2033" dataDxfId="87"/>
    <tableColumn id="13" xr3:uid="{77E171BB-1551-4F38-B072-EBF8249E24C2}" name="2034" dataDxfId="86"/>
    <tableColumn id="14" xr3:uid="{0D2FBC63-8C77-4D70-B78A-4B539F63AD1B}" name="2035" dataDxfId="85"/>
    <tableColumn id="15" xr3:uid="{8B636ED1-C7E8-4D59-B299-6CF369303275}" name="2036" dataDxfId="84"/>
    <tableColumn id="16" xr3:uid="{CE34AEE5-A13E-4CAF-8705-887B156D1D64}" name="2037" dataDxfId="83"/>
    <tableColumn id="17" xr3:uid="{1AC0798E-416F-41BB-BB95-536471DAACED}" name="2038" dataDxfId="82"/>
    <tableColumn id="18" xr3:uid="{1A644F42-EF93-48B6-A57A-7B8038F41A9F}" name="2039" dataDxfId="81"/>
    <tableColumn id="19" xr3:uid="{0093024A-7917-449E-BDAB-949719628BFC}" name="2040" dataDxfId="80"/>
    <tableColumn id="20" xr3:uid="{165B83A0-2B9D-4D4F-9F15-5D1350A2B785}" name="2041" dataDxfId="79"/>
    <tableColumn id="21" xr3:uid="{FB52EC31-44C9-4CC0-8243-9AD307082522}" name="2042" dataDxfId="78"/>
    <tableColumn id="22" xr3:uid="{915D0DF1-D059-43FF-92C3-7263DDC70328}" name="2043" dataDxfId="77"/>
    <tableColumn id="23" xr3:uid="{DE9CB64C-EB6E-46C8-B5C0-4E94EC2F9D82}" name="2044" dataDxfId="76"/>
    <tableColumn id="24" xr3:uid="{74E84796-0784-434D-A40B-9EFEDB64CF30}" name="2045" dataDxfId="75"/>
    <tableColumn id="25" xr3:uid="{C87C74F5-96F9-468C-AFF0-D996C8DF84E9}" name="2046" dataDxfId="74"/>
    <tableColumn id="26" xr3:uid="{6A30DB3B-9F77-4A59-8F46-F1FA88E5C235}" name="2047" dataDxfId="73"/>
    <tableColumn id="27" xr3:uid="{7BD28955-E7F7-4AE1-ADBB-2BAAA44CC0A8}" name="2048" dataDxfId="72"/>
    <tableColumn id="28" xr3:uid="{996B0F90-D317-4C2D-A49A-6FBDD52D1D1D}" name="2049" dataDxfId="71"/>
    <tableColumn id="29" xr3:uid="{80241FEE-C370-4F86-B1CF-2D17939F57D9}" name="2050" dataDxfId="70"/>
    <tableColumn id="30" xr3:uid="{0CBAB567-DF7A-44B5-B82F-2FADD34C9FA0}" name="2051" dataDxfId="69"/>
    <tableColumn id="31" xr3:uid="{A7EC4E88-3A8D-4C94-B3BF-59764ED29BD1}" name="2052" dataDxfId="68"/>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8AF5F1-9622-49A7-BCBF-5E6E3CF2E265}" name="Table186" displayName="Table186" ref="B52:AF68" totalsRowShown="0" headerRowDxfId="67" dataDxfId="65" headerRowBorderDxfId="66" tableBorderDxfId="64">
  <autoFilter ref="B52:AF68" xr:uid="{9A8AF5F1-9622-49A7-BCBF-5E6E3CF2E265}"/>
  <tableColumns count="31">
    <tableColumn id="1" xr3:uid="{6F2A0D44-788E-40C7-85CF-1C0FD457777A}" name="REZ" dataDxfId="63"/>
    <tableColumn id="2" xr3:uid="{AE3F5792-51D7-4B90-B22D-662E151AE6A1}" name="REZ Name" dataDxfId="62"/>
    <tableColumn id="3" xr3:uid="{36D2F6B2-16EE-451F-BEE9-54B79794D543}" name="Technology" dataDxfId="61"/>
    <tableColumn id="4" xr3:uid="{BB733424-BF79-42B5-8A64-690DB3AE2A96}" name="2025" dataDxfId="60">
      <calculatedColumnFormula array="1">INDEX(Table1[], MATCH(1, (Table186[[#This Row],[REZ Name]]=Table1[REZ Name]) * (Table186[[#This Row],[Technology]]=Table1[Technology]), 0),4)-INDEX(GenREZAmounts[],MATCH(1, (Table186[[#This Row],[REZ Name]]=GenREZAmounts[REZ Name]) * (Table186[[#This Row],[Technology]]=GenREZAmounts[Technology]), 0),3)</calculatedColumnFormula>
    </tableColumn>
    <tableColumn id="5" xr3:uid="{C3FDCAD8-957F-4DD7-8BD6-E92109AF5ECD}" name="2026" dataDxfId="59">
      <calculatedColumnFormula array="1">INDEX(Table1[], MATCH(1, (Table186[[#This Row],[REZ Name]]=Table1[REZ Name]) * (Table186[[#This Row],[Technology]]=Table1[Technology]), 0),5)-INDEX(GenREZAmounts[],MATCH(1, (Table186[[#This Row],[REZ Name]]=GenREZAmounts[REZ Name]) * (Table186[[#This Row],[Technology]]=GenREZAmounts[Technology]), 0),4)</calculatedColumnFormula>
    </tableColumn>
    <tableColumn id="6" xr3:uid="{15DFA839-FB27-4AC8-9369-744779B50E1F}" name="2027" dataDxfId="58">
      <calculatedColumnFormula array="1">INDEX(Table1[], MATCH(1, (Table186[[#This Row],[REZ Name]]=Table1[REZ Name]) * (Table186[[#This Row],[Technology]]=Table1[Technology]), 0),6)-INDEX(GenREZAmounts[],MATCH(1, (Table186[[#This Row],[REZ Name]]=GenREZAmounts[REZ Name]) * (Table186[[#This Row],[Technology]]=GenREZAmounts[Technology]), 0),5)</calculatedColumnFormula>
    </tableColumn>
    <tableColumn id="7" xr3:uid="{83D22319-0286-4A51-B900-37C5E17DB25D}" name="2028" dataDxfId="57">
      <calculatedColumnFormula array="1">INDEX(Table1[], MATCH(1, (Table186[[#This Row],[REZ Name]]=Table1[REZ Name]) * (Table186[[#This Row],[Technology]]=Table1[Technology]), 0),7)-INDEX(GenREZAmounts[],MATCH(1, (Table186[[#This Row],[REZ Name]]=GenREZAmounts[REZ Name]) * (Table186[[#This Row],[Technology]]=GenREZAmounts[Technology]), 0),6)</calculatedColumnFormula>
    </tableColumn>
    <tableColumn id="8" xr3:uid="{AF3D4272-FCFD-4C8D-B1F5-58700A9FB601}" name="2029" dataDxfId="56">
      <calculatedColumnFormula array="1">INDEX(Table1[], MATCH(1, (Table186[[#This Row],[REZ Name]]=Table1[REZ Name]) * (Table186[[#This Row],[Technology]]=Table1[Technology]), 0),8)-INDEX(GenREZAmounts[],MATCH(1, (Table186[[#This Row],[REZ Name]]=GenREZAmounts[REZ Name]) * (Table186[[#This Row],[Technology]]=GenREZAmounts[Technology]), 0),7)</calculatedColumnFormula>
    </tableColumn>
    <tableColumn id="9" xr3:uid="{4BBFAB5F-B8AA-4A15-B7DB-B2D23A1DF064}" name="2030" dataDxfId="55">
      <calculatedColumnFormula array="1">INDEX(Table1[], MATCH(1, (Table186[[#This Row],[REZ Name]]=Table1[REZ Name]) * (Table186[[#This Row],[Technology]]=Table1[Technology]), 0),9)-INDEX(GenREZAmounts[],MATCH(1, (Table186[[#This Row],[REZ Name]]=GenREZAmounts[REZ Name]) * (Table186[[#This Row],[Technology]]=GenREZAmounts[Technology]), 0),8)</calculatedColumnFormula>
    </tableColumn>
    <tableColumn id="10" xr3:uid="{535001A3-8328-484A-B0C1-F34B12ED6D7B}" name="2031" dataDxfId="54">
      <calculatedColumnFormula array="1">INDEX(Table1[], MATCH(1, (Table186[[#This Row],[REZ Name]]=Table1[REZ Name]) * (Table186[[#This Row],[Technology]]=Table1[Technology]), 0),10)-INDEX(GenREZAmounts[],MATCH(1, (Table186[[#This Row],[REZ Name]]=GenREZAmounts[REZ Name]) * (Table186[[#This Row],[Technology]]=GenREZAmounts[Technology]), 0),9)</calculatedColumnFormula>
    </tableColumn>
    <tableColumn id="11" xr3:uid="{CBB2E56B-97BA-4213-BA17-D7DF63E97429}" name="2032" dataDxfId="53">
      <calculatedColumnFormula array="1">INDEX(Table1[], MATCH(1, (Table186[[#This Row],[REZ Name]]=Table1[REZ Name]) * (Table186[[#This Row],[Technology]]=Table1[Technology]), 0),11)-INDEX(GenREZAmounts[],MATCH(1, (Table186[[#This Row],[REZ Name]]=GenREZAmounts[REZ Name]) * (Table186[[#This Row],[Technology]]=GenREZAmounts[Technology]), 0),10)</calculatedColumnFormula>
    </tableColumn>
    <tableColumn id="12" xr3:uid="{72D61A17-0EF6-4D7C-8D63-CBEB93E9A5BB}" name="2033" dataDxfId="52">
      <calculatedColumnFormula array="1">INDEX(Table1[], MATCH(1, (Table186[[#This Row],[REZ Name]]=Table1[REZ Name]) * (Table186[[#This Row],[Technology]]=Table1[Technology]), 0),12)-INDEX(GenREZAmounts[],MATCH(1, (Table186[[#This Row],[REZ Name]]=GenREZAmounts[REZ Name]) * (Table186[[#This Row],[Technology]]=GenREZAmounts[Technology]), 0),11)</calculatedColumnFormula>
    </tableColumn>
    <tableColumn id="13" xr3:uid="{483ABEBB-73C5-4AE0-9894-F82C700C1879}" name="2034" dataDxfId="51">
      <calculatedColumnFormula array="1">INDEX(Table1[], MATCH(1, (Table186[[#This Row],[REZ Name]]=Table1[REZ Name]) * (Table186[[#This Row],[Technology]]=Table1[Technology]), 0),13)-INDEX(GenREZAmounts[],MATCH(1, (Table186[[#This Row],[REZ Name]]=GenREZAmounts[REZ Name]) * (Table186[[#This Row],[Technology]]=GenREZAmounts[Technology]), 0),12)</calculatedColumnFormula>
    </tableColumn>
    <tableColumn id="14" xr3:uid="{DDCF25F8-DF6C-4EE5-9F86-73FADC81B0DA}" name="2035" dataDxfId="50">
      <calculatedColumnFormula array="1">INDEX(Table1[], MATCH(1, (Table186[[#This Row],[REZ Name]]=Table1[REZ Name]) * (Table186[[#This Row],[Technology]]=Table1[Technology]), 0),14)-INDEX(GenREZAmounts[],MATCH(1, (Table186[[#This Row],[REZ Name]]=GenREZAmounts[REZ Name]) * (Table186[[#This Row],[Technology]]=GenREZAmounts[Technology]), 0),13)</calculatedColumnFormula>
    </tableColumn>
    <tableColumn id="15" xr3:uid="{89CBAAAC-54E1-465D-80CF-608CF183B2B1}" name="2036" dataDxfId="49">
      <calculatedColumnFormula array="1">INDEX(Table1[], MATCH(1, (Table186[[#This Row],[REZ Name]]=Table1[REZ Name]) * (Table186[[#This Row],[Technology]]=Table1[Technology]), 0),15)-INDEX(GenREZAmounts[],MATCH(1, (Table186[[#This Row],[REZ Name]]=GenREZAmounts[REZ Name]) * (Table186[[#This Row],[Technology]]=GenREZAmounts[Technology]), 0),14)</calculatedColumnFormula>
    </tableColumn>
    <tableColumn id="16" xr3:uid="{E9D968F6-6076-419E-A27A-845571E657AA}" name="2037" dataDxfId="48">
      <calculatedColumnFormula array="1">INDEX(Table1[], MATCH(1, (Table186[[#This Row],[REZ Name]]=Table1[REZ Name]) * (Table186[[#This Row],[Technology]]=Table1[Technology]), 0),16)-INDEX(GenREZAmounts[],MATCH(1, (Table186[[#This Row],[REZ Name]]=GenREZAmounts[REZ Name]) * (Table186[[#This Row],[Technology]]=GenREZAmounts[Technology]), 0),15)</calculatedColumnFormula>
    </tableColumn>
    <tableColumn id="17" xr3:uid="{0993CD91-A874-4279-9695-3E3FEA165BD6}" name="2038" dataDxfId="47">
      <calculatedColumnFormula array="1">INDEX(Table1[], MATCH(1, (Table186[[#This Row],[REZ Name]]=Table1[REZ Name]) * (Table186[[#This Row],[Technology]]=Table1[Technology]), 0),17)-INDEX(GenREZAmounts[],MATCH(1, (Table186[[#This Row],[REZ Name]]=GenREZAmounts[REZ Name]) * (Table186[[#This Row],[Technology]]=GenREZAmounts[Technology]), 0),16)</calculatedColumnFormula>
    </tableColumn>
    <tableColumn id="18" xr3:uid="{83A15A0F-E4A5-487D-93CB-306BF08383AB}" name="2039" dataDxfId="46">
      <calculatedColumnFormula array="1">INDEX(Table1[], MATCH(1, (Table186[[#This Row],[REZ Name]]=Table1[REZ Name]) * (Table186[[#This Row],[Technology]]=Table1[Technology]), 0),18)-INDEX(GenREZAmounts[],MATCH(1, (Table186[[#This Row],[REZ Name]]=GenREZAmounts[REZ Name]) * (Table186[[#This Row],[Technology]]=GenREZAmounts[Technology]), 0),17)</calculatedColumnFormula>
    </tableColumn>
    <tableColumn id="19" xr3:uid="{9EBEF26F-197C-485A-8FFF-B00415F16B92}" name="2040" dataDxfId="45">
      <calculatedColumnFormula array="1">INDEX(Table1[], MATCH(1, (Table186[[#This Row],[REZ Name]]=Table1[REZ Name]) * (Table186[[#This Row],[Technology]]=Table1[Technology]), 0),19)-INDEX(GenREZAmounts[],MATCH(1, (Table186[[#This Row],[REZ Name]]=GenREZAmounts[REZ Name]) * (Table186[[#This Row],[Technology]]=GenREZAmounts[Technology]), 0),18)</calculatedColumnFormula>
    </tableColumn>
    <tableColumn id="20" xr3:uid="{1839FD1E-102D-42E3-89B9-A78E3366B0D9}" name="2041" dataDxfId="44">
      <calculatedColumnFormula array="1">INDEX(Table1[], MATCH(1, (Table186[[#This Row],[REZ Name]]=Table1[REZ Name]) * (Table186[[#This Row],[Technology]]=Table1[Technology]), 0),20)-INDEX(GenREZAmounts[],MATCH(1, (Table186[[#This Row],[REZ Name]]=GenREZAmounts[REZ Name]) * (Table186[[#This Row],[Technology]]=GenREZAmounts[Technology]), 0),19)</calculatedColumnFormula>
    </tableColumn>
    <tableColumn id="21" xr3:uid="{630758C7-0C67-44A7-A73A-D33D89B0CA5E}" name="2042" dataDxfId="43">
      <calculatedColumnFormula array="1">INDEX(Table1[], MATCH(1, (Table186[[#This Row],[REZ Name]]=Table1[REZ Name]) * (Table186[[#This Row],[Technology]]=Table1[Technology]), 0),21)-INDEX(GenREZAmounts[],MATCH(1, (Table186[[#This Row],[REZ Name]]=GenREZAmounts[REZ Name]) * (Table186[[#This Row],[Technology]]=GenREZAmounts[Technology]), 0),20)</calculatedColumnFormula>
    </tableColumn>
    <tableColumn id="22" xr3:uid="{9BD1D619-D9F8-49EA-81BB-7EDEC383897E}" name="2043" dataDxfId="42">
      <calculatedColumnFormula array="1">INDEX(Table1[], MATCH(1, (Table186[[#This Row],[REZ Name]]=Table1[REZ Name]) * (Table186[[#This Row],[Technology]]=Table1[Technology]), 0),22)-INDEX(GenREZAmounts[],MATCH(1, (Table186[[#This Row],[REZ Name]]=GenREZAmounts[REZ Name]) * (Table186[[#This Row],[Technology]]=GenREZAmounts[Technology]), 0),21)</calculatedColumnFormula>
    </tableColumn>
    <tableColumn id="23" xr3:uid="{64005FB1-D606-46C1-87AD-B07EF04DB25B}" name="2044" dataDxfId="41">
      <calculatedColumnFormula array="1">INDEX(Table1[], MATCH(1, (Table186[[#This Row],[REZ Name]]=Table1[REZ Name]) * (Table186[[#This Row],[Technology]]=Table1[Technology]), 0),23)-INDEX(GenREZAmounts[],MATCH(1, (Table186[[#This Row],[REZ Name]]=GenREZAmounts[REZ Name]) * (Table186[[#This Row],[Technology]]=GenREZAmounts[Technology]), 0),22)</calculatedColumnFormula>
    </tableColumn>
    <tableColumn id="24" xr3:uid="{60C13FB0-D3D7-4908-9690-4412B9837527}" name="2045" dataDxfId="40">
      <calculatedColumnFormula array="1">INDEX(Table1[], MATCH(1, (Table186[[#This Row],[REZ Name]]=Table1[REZ Name]) * (Table186[[#This Row],[Technology]]=Table1[Technology]), 0),24)-INDEX(GenREZAmounts[],MATCH(1, (Table186[[#This Row],[REZ Name]]=GenREZAmounts[REZ Name]) * (Table186[[#This Row],[Technology]]=GenREZAmounts[Technology]), 0),23)</calculatedColumnFormula>
    </tableColumn>
    <tableColumn id="25" xr3:uid="{7C0DC26F-8267-40F7-B782-4A32586307AF}" name="2046" dataDxfId="39">
      <calculatedColumnFormula array="1">INDEX(Table1[], MATCH(1, (Table186[[#This Row],[REZ Name]]=Table1[REZ Name]) * (Table186[[#This Row],[Technology]]=Table1[Technology]), 0),25)-INDEX(GenREZAmounts[],MATCH(1, (Table186[[#This Row],[REZ Name]]=GenREZAmounts[REZ Name]) * (Table186[[#This Row],[Technology]]=GenREZAmounts[Technology]), 0),24)</calculatedColumnFormula>
    </tableColumn>
    <tableColumn id="26" xr3:uid="{866133ED-8512-4B22-947D-574051710018}" name="2047" dataDxfId="38">
      <calculatedColumnFormula array="1">INDEX(Table1[], MATCH(1, (Table186[[#This Row],[REZ Name]]=Table1[REZ Name]) * (Table186[[#This Row],[Technology]]=Table1[Technology]), 0),26)-INDEX(GenREZAmounts[],MATCH(1, (Table186[[#This Row],[REZ Name]]=GenREZAmounts[REZ Name]) * (Table186[[#This Row],[Technology]]=GenREZAmounts[Technology]), 0),25)</calculatedColumnFormula>
    </tableColumn>
    <tableColumn id="27" xr3:uid="{2ED9C04D-D238-4B52-8CCE-3F0E2E0C5461}" name="2048" dataDxfId="37">
      <calculatedColumnFormula array="1">INDEX(Table1[], MATCH(1, (Table186[[#This Row],[REZ Name]]=Table1[REZ Name]) * (Table186[[#This Row],[Technology]]=Table1[Technology]), 0),27)-INDEX(GenREZAmounts[],MATCH(1, (Table186[[#This Row],[REZ Name]]=GenREZAmounts[REZ Name]) * (Table186[[#This Row],[Technology]]=GenREZAmounts[Technology]), 0),26)</calculatedColumnFormula>
    </tableColumn>
    <tableColumn id="28" xr3:uid="{57706586-64D1-4286-8022-E7DE73C13961}" name="2049" dataDxfId="36">
      <calculatedColumnFormula array="1">INDEX(Table1[], MATCH(1, (Table186[[#This Row],[REZ Name]]=Table1[REZ Name]) * (Table186[[#This Row],[Technology]]=Table1[Technology]), 0),28)-INDEX(GenREZAmounts[],MATCH(1, (Table186[[#This Row],[REZ Name]]=GenREZAmounts[REZ Name]) * (Table186[[#This Row],[Technology]]=GenREZAmounts[Technology]), 0),27)</calculatedColumnFormula>
    </tableColumn>
    <tableColumn id="29" xr3:uid="{9EACEA6B-F109-4052-9DFF-0F1DB799726E}" name="2050" dataDxfId="35">
      <calculatedColumnFormula array="1">INDEX(Table1[], MATCH(1, (Table186[[#This Row],[REZ Name]]=Table1[REZ Name]) * (Table186[[#This Row],[Technology]]=Table1[Technology]), 0),29)-INDEX(GenREZAmounts[],MATCH(1, (Table186[[#This Row],[REZ Name]]=GenREZAmounts[REZ Name]) * (Table186[[#This Row],[Technology]]=GenREZAmounts[Technology]), 0),28)</calculatedColumnFormula>
    </tableColumn>
    <tableColumn id="30" xr3:uid="{F90379EE-82E2-4317-9BBB-48B17482E326}" name="2051" dataDxfId="34">
      <calculatedColumnFormula array="1">INDEX(Table1[], MATCH(1, (Table186[[#This Row],[REZ Name]]=Table1[REZ Name]) * (Table186[[#This Row],[Technology]]=Table1[Technology]), 0),30)-INDEX(GenREZAmounts[],MATCH(1, (Table186[[#This Row],[REZ Name]]=GenREZAmounts[REZ Name]) * (Table186[[#This Row],[Technology]]=GenREZAmounts[Technology]), 0),29)</calculatedColumnFormula>
    </tableColumn>
    <tableColumn id="31" xr3:uid="{75B92453-92B6-4961-BA0F-1DF2AD0BE445}" name="2052" dataDxfId="33">
      <calculatedColumnFormula array="1">INDEX(Table1[], MATCH(1, (Table186[[#This Row],[REZ Name]]=Table1[REZ Name]) * (Table186[[#This Row],[Technology]]=Table1[Technology]), 0),31)-INDEX(GenREZAmounts[],MATCH(1, (Table186[[#This Row],[REZ Name]]=GenREZAmounts[REZ Name]) * (Table186[[#This Row],[Technology]]=GenREZAmounts[Technology]), 0),30)</calculatedColumnFormula>
    </tableColumn>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B28B39-3045-4784-BC81-3094FE5D17CA}" name="GenCapByYear" displayName="GenCapByYear" ref="B7:AK52" totalsRowShown="0">
  <autoFilter ref="B7:AK52" xr:uid="{2DB28B39-3045-4784-BC81-3094FE5D17CA}"/>
  <sortState xmlns:xlrd2="http://schemas.microsoft.com/office/spreadsheetml/2017/richdata2" ref="B8:AK52">
    <sortCondition ref="B7:B52"/>
  </sortState>
  <tableColumns count="36">
    <tableColumn id="1" xr3:uid="{5CE628C8-2BC9-41D1-9F72-240F81D3225F}" name="Generator Site"/>
    <tableColumn id="2" xr3:uid="{B973773C-0F59-4562-A0B1-95407634EE3E}" name="REZ Location"/>
    <tableColumn id="4" xr3:uid="{588D956F-8E60-41F5-A4C8-1B4573449E15}" name="Type"/>
    <tableColumn id="44" xr3:uid="{1247EBE3-68C4-42B7-8AF7-B6AA79F9C201}" name="Initial ISP Listed Capacity [MW]"/>
    <tableColumn id="41" xr3:uid="{109B390C-84F8-40C1-93A0-0E3D664419F1}" name="ISP Listed Capacity [MW]"/>
    <tableColumn id="45" xr3:uid="{A8C347B3-ED80-43CE-8E30-BAB801CD55E8}" name="FY Initial Capacity Release"/>
    <tableColumn id="42" xr3:uid="{83C3D672-ACE8-46DB-9AE2-1F6D82D6599B}" name="FY Expected Commencement"/>
    <tableColumn id="40" xr3:uid="{7EB73920-8EEB-47CB-BF12-7FB58022A203}" name="FY Expected Retirement"/>
    <tableColumn id="11" xr3:uid="{86DF09AC-11F6-46A1-82C9-AA34C93D3783}" name="2024-25" dataDxfId="32">
      <calculatedColumnFormula>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calculatedColumnFormula>
    </tableColumn>
    <tableColumn id="12" xr3:uid="{EF9667E0-FB7C-4FAF-8A50-4067DCD5D082}" name="2025-26" dataDxfId="31">
      <calculatedColumnFormula>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calculatedColumnFormula>
    </tableColumn>
    <tableColumn id="13" xr3:uid="{8C42257F-A6A2-467C-9878-D625A7515146}" name="2026-27" dataDxfId="30">
      <calculatedColumnFormula>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calculatedColumnFormula>
    </tableColumn>
    <tableColumn id="14" xr3:uid="{B5176CBC-4F86-4763-A850-00EF9D556949}" name="2027-28" dataDxfId="29">
      <calculatedColumnFormula>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calculatedColumnFormula>
    </tableColumn>
    <tableColumn id="15" xr3:uid="{C19D9FF6-89F4-4107-8C40-9336CB7E2B04}" name="2028-29" dataDxfId="28">
      <calculatedColumnFormula>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calculatedColumnFormula>
    </tableColumn>
    <tableColumn id="16" xr3:uid="{AD89681D-6000-4F3E-85A6-C98ECA38259B}" name="2029-30" dataDxfId="27">
      <calculatedColumnFormula>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calculatedColumnFormula>
    </tableColumn>
    <tableColumn id="17" xr3:uid="{E60D8843-31B6-4F25-825B-3E2BA375A6E8}" name="2030-31" dataDxfId="26">
      <calculatedColumnFormula>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calculatedColumnFormula>
    </tableColumn>
    <tableColumn id="18" xr3:uid="{485852DA-8678-4762-B50C-AD5241FDDFB5}" name="2031-32" dataDxfId="25">
      <calculatedColumnFormula>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calculatedColumnFormula>
    </tableColumn>
    <tableColumn id="19" xr3:uid="{89E35BBF-2A0C-44E7-A110-C4F76B163FD9}" name="2032-33" dataDxfId="24">
      <calculatedColumnFormula>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calculatedColumnFormula>
    </tableColumn>
    <tableColumn id="20" xr3:uid="{380B5B53-A817-49BE-8A15-492F6B3B6D5C}" name="2033-34" dataDxfId="23">
      <calculatedColumnFormula>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calculatedColumnFormula>
    </tableColumn>
    <tableColumn id="21" xr3:uid="{8554DE4F-8899-4004-9A3C-01B1633D1248}" name="2034-35" dataDxfId="22">
      <calculatedColumnFormula>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calculatedColumnFormula>
    </tableColumn>
    <tableColumn id="22" xr3:uid="{D81DF0BC-32A9-4F0F-A855-5839A182D684}" name="2035-36" dataDxfId="21">
      <calculatedColumnFormula>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calculatedColumnFormula>
    </tableColumn>
    <tableColumn id="23" xr3:uid="{988F7EF4-CC09-4BC8-A020-4A08FDF02B67}" name="2036-37" dataDxfId="20">
      <calculatedColumnFormula>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calculatedColumnFormula>
    </tableColumn>
    <tableColumn id="24" xr3:uid="{50EA6492-B878-4734-998A-49BAD14E85C0}" name="2037-38" dataDxfId="19">
      <calculatedColumnFormula>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calculatedColumnFormula>
    </tableColumn>
    <tableColumn id="25" xr3:uid="{BBE569F1-EC7E-4624-BD67-4B650A09BF68}" name="2038-39" dataDxfId="18">
      <calculatedColumnFormula>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calculatedColumnFormula>
    </tableColumn>
    <tableColumn id="26" xr3:uid="{ACE60175-E1EE-471A-A9E5-1A42BC250EA1}" name="2039-40" dataDxfId="17">
      <calculatedColumnFormula>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calculatedColumnFormula>
    </tableColumn>
    <tableColumn id="27" xr3:uid="{682E7257-1532-4229-96CA-CB990D9907E1}" name="2040-41" dataDxfId="16">
      <calculatedColumnFormula>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calculatedColumnFormula>
    </tableColumn>
    <tableColumn id="28" xr3:uid="{601930E1-3B0A-40E2-B469-7288144F27F1}" name="2041-42" dataDxfId="15">
      <calculatedColumnFormula>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calculatedColumnFormula>
    </tableColumn>
    <tableColumn id="29" xr3:uid="{D518DA67-F0E3-40DC-AAF1-748BFB266191}" name="2042-43" dataDxfId="14">
      <calculatedColumnFormula>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calculatedColumnFormula>
    </tableColumn>
    <tableColumn id="30" xr3:uid="{BB942C18-EEDE-4096-B226-14306D215AB4}" name="2043-44" dataDxfId="13">
      <calculatedColumnFormula>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calculatedColumnFormula>
    </tableColumn>
    <tableColumn id="31" xr3:uid="{EF3F08AD-35E8-4579-A99F-9FC928011275}" name="2044-45" dataDxfId="12">
      <calculatedColumnFormula>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calculatedColumnFormula>
    </tableColumn>
    <tableColumn id="32" xr3:uid="{4F9007C2-8FAC-49EF-8047-7F3C747A720C}" name="2045-46" dataDxfId="11">
      <calculatedColumnFormula>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calculatedColumnFormula>
    </tableColumn>
    <tableColumn id="33" xr3:uid="{C7224F61-519B-4683-A967-6A0A5CE00D7A}" name="2046-47" dataDxfId="10">
      <calculatedColumnFormula>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calculatedColumnFormula>
    </tableColumn>
    <tableColumn id="34" xr3:uid="{943F2659-4CA9-4EE3-B859-06235E9BC382}" name="2047-48" dataDxfId="9">
      <calculatedColumnFormula>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calculatedColumnFormula>
    </tableColumn>
    <tableColumn id="35" xr3:uid="{E8B5D76A-D41D-4091-92E9-38D9A17DC98D}" name="2048-49" dataDxfId="8">
      <calculatedColumnFormula>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calculatedColumnFormula>
    </tableColumn>
    <tableColumn id="36" xr3:uid="{C00B690C-85B0-4C8E-A29B-5BB37ED0D8D7}" name="2049-50" dataDxfId="7">
      <calculatedColumnFormula>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calculatedColumnFormula>
    </tableColumn>
    <tableColumn id="37" xr3:uid="{6538169E-6F81-44A8-BB7F-1B95B4540D78}" name="2050-51" dataDxfId="6">
      <calculatedColumnFormula>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calculatedColumnFormula>
    </tableColumn>
    <tableColumn id="38" xr3:uid="{9185D348-92DA-4B93-9DD7-15229D081082}" name="2051-52" dataDxfId="5">
      <calculatedColumnFormula>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calculatedColumnFormula>
    </tableColumn>
  </tableColumns>
  <tableStyleInfo name="TableStyleMedium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9982A-E676-4B6E-AA95-076135AE5255}" name="GenREZAmounts" displayName="GenREZAmounts" ref="B30:AE46" totalsRowShown="0" headerRowDxfId="4" headerRowBorderDxfId="3" tableBorderDxfId="2">
  <autoFilter ref="B30:AE46" xr:uid="{2B09982A-E676-4B6E-AA95-076135AE5255}"/>
  <tableColumns count="30">
    <tableColumn id="1" xr3:uid="{272D7761-C9E8-4D6C-AFB2-4B82ECD2BF5A}" name="REZ Name" dataDxfId="1"/>
    <tableColumn id="2" xr3:uid="{506E60B5-19B6-40C2-8E19-518AAB2DFF90}" name="Technology" dataDxfId="0"/>
    <tableColumn id="3" xr3:uid="{55F2E8D8-ED31-4F3D-A35D-EC85067FC5DA}" name="2025"/>
    <tableColumn id="4" xr3:uid="{6057787F-B07F-455D-9A89-B219A5BE24E0}" name="2026"/>
    <tableColumn id="5" xr3:uid="{7012913D-0CBA-4C16-85EF-04AE45E8C89A}" name="2027"/>
    <tableColumn id="6" xr3:uid="{258FD9CE-9753-45C3-A89C-84F7DABC0845}" name="2028"/>
    <tableColumn id="7" xr3:uid="{4B065FB9-A7C2-4050-849E-6B7B4833B6E3}" name="2029"/>
    <tableColumn id="8" xr3:uid="{2AEB794F-B214-4B0F-A21F-3834FD7DF9C4}" name="2030"/>
    <tableColumn id="9" xr3:uid="{9A9F9721-5D4F-44F1-99A6-77A693820E2B}" name="2031"/>
    <tableColumn id="10" xr3:uid="{995FA8A4-D930-4567-8733-4BED00CE4AB1}" name="2032"/>
    <tableColumn id="11" xr3:uid="{7EA045AC-99AB-4347-80FC-11A767AFAEF2}" name="2033"/>
    <tableColumn id="12" xr3:uid="{3CA7895D-5593-4F2B-8EEF-D38DF8891E9A}" name="2034"/>
    <tableColumn id="13" xr3:uid="{A773B389-AED3-4E51-B545-2D95C36F7371}" name="2035"/>
    <tableColumn id="14" xr3:uid="{EAC8A72A-43D3-49DD-B270-F42FCB16FCE7}" name="2036"/>
    <tableColumn id="15" xr3:uid="{38E5203D-8A6F-4964-BB54-1D2ED532F1B8}" name="2037"/>
    <tableColumn id="16" xr3:uid="{D312EBAD-F6FD-4596-82D6-6456628591E8}" name="2038"/>
    <tableColumn id="17" xr3:uid="{2CEEBDC5-3925-4815-99C4-5321A303490E}" name="2039"/>
    <tableColumn id="18" xr3:uid="{0D66AE3B-2255-4229-8962-E2E88131D561}" name="2040"/>
    <tableColumn id="19" xr3:uid="{BB77F604-B36D-4B5F-94E5-6697A76400DB}" name="2041"/>
    <tableColumn id="20" xr3:uid="{7B9A3608-A89D-4060-985E-55942E567486}" name="2042"/>
    <tableColumn id="21" xr3:uid="{7064F991-8D3A-4B8E-856C-ADB5F7A3ED5A}" name="2043"/>
    <tableColumn id="22" xr3:uid="{90A630B7-BC35-40EB-9233-9D5FCAA503B5}" name="2044"/>
    <tableColumn id="23" xr3:uid="{2132F81C-1535-4DCF-A6F1-E837CCEB6FC3}" name="2045"/>
    <tableColumn id="24" xr3:uid="{82EE9573-C113-451B-A8D8-2A9C6FABAB87}" name="2046"/>
    <tableColumn id="25" xr3:uid="{146BC617-EE1F-4D38-BA5B-15116290EF22}" name="2047"/>
    <tableColumn id="26" xr3:uid="{5850066C-2E69-40A8-81CD-D6D00946E6FA}" name="2048"/>
    <tableColumn id="27" xr3:uid="{BDE38780-033A-40B1-AD27-E3D97F31FDEE}" name="2049"/>
    <tableColumn id="28" xr3:uid="{EBFD6B83-6A14-4793-9683-27104E62C19B}" name="2050"/>
    <tableColumn id="29" xr3:uid="{C785A84A-8826-446A-B5F3-05DABEA302B0}" name="2051"/>
    <tableColumn id="30" xr3:uid="{3826A570-639B-4C4D-8412-5472706955D2}" name="2052"/>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8EE1-FDCE-4766-A95E-33828492A4AC}">
  <dimension ref="B2:AF68"/>
  <sheetViews>
    <sheetView tabSelected="1" zoomScale="91" workbookViewId="0">
      <selection activeCell="B5" sqref="B5"/>
    </sheetView>
  </sheetViews>
  <sheetFormatPr defaultColWidth="9.15234375" defaultRowHeight="14.15" x14ac:dyDescent="0.35"/>
  <cols>
    <col min="1" max="1" width="3.53515625" style="7" customWidth="1"/>
    <col min="2" max="2" width="9.15234375" style="7"/>
    <col min="3" max="3" width="24" style="7" bestFit="1" customWidth="1"/>
    <col min="4" max="4" width="15.15234375" style="7" customWidth="1"/>
    <col min="5" max="6" width="9.15234375" style="7"/>
    <col min="7" max="7" width="11.84375" style="7" bestFit="1" customWidth="1"/>
    <col min="8" max="11" width="9.15234375" style="7"/>
    <col min="12" max="12" width="10" style="7" bestFit="1" customWidth="1"/>
    <col min="13" max="16384" width="9.15234375" style="7"/>
  </cols>
  <sheetData>
    <row r="2" spans="2:32" x14ac:dyDescent="0.35">
      <c r="B2" s="6" t="s">
        <v>49</v>
      </c>
    </row>
    <row r="4" spans="2:32" x14ac:dyDescent="0.35">
      <c r="B4" s="7" t="s">
        <v>183</v>
      </c>
    </row>
    <row r="9" spans="2:32" x14ac:dyDescent="0.35">
      <c r="B9" s="6" t="s">
        <v>109</v>
      </c>
      <c r="F9" s="7" t="s">
        <v>111</v>
      </c>
    </row>
    <row r="10" spans="2:32" ht="14.6" thickBot="1" x14ac:dyDescent="0.4">
      <c r="B10" s="8" t="s">
        <v>3</v>
      </c>
      <c r="C10" s="8" t="s">
        <v>4</v>
      </c>
      <c r="D10" s="8" t="s">
        <v>0</v>
      </c>
      <c r="E10" s="8" t="s">
        <v>6</v>
      </c>
      <c r="F10" s="8" t="s">
        <v>7</v>
      </c>
      <c r="G10" s="8" t="s">
        <v>8</v>
      </c>
      <c r="H10" s="8" t="s">
        <v>9</v>
      </c>
      <c r="I10" s="8" t="s">
        <v>10</v>
      </c>
      <c r="J10" s="8" t="s">
        <v>11</v>
      </c>
      <c r="K10" s="8" t="s">
        <v>12</v>
      </c>
      <c r="L10" s="8" t="s">
        <v>13</v>
      </c>
      <c r="M10" s="8" t="s">
        <v>14</v>
      </c>
      <c r="N10" s="8" t="s">
        <v>15</v>
      </c>
      <c r="O10" s="8" t="s">
        <v>16</v>
      </c>
      <c r="P10" s="8" t="s">
        <v>17</v>
      </c>
      <c r="Q10" s="8" t="s">
        <v>18</v>
      </c>
      <c r="R10" s="8" t="s">
        <v>19</v>
      </c>
      <c r="S10" s="8" t="s">
        <v>20</v>
      </c>
      <c r="T10" s="8" t="s">
        <v>21</v>
      </c>
      <c r="U10" s="8" t="s">
        <v>22</v>
      </c>
      <c r="V10" s="8" t="s">
        <v>23</v>
      </c>
      <c r="W10" s="8" t="s">
        <v>24</v>
      </c>
      <c r="X10" s="8" t="s">
        <v>25</v>
      </c>
      <c r="Y10" s="8" t="s">
        <v>26</v>
      </c>
      <c r="Z10" s="8" t="s">
        <v>27</v>
      </c>
      <c r="AA10" s="8" t="s">
        <v>28</v>
      </c>
      <c r="AB10" s="8" t="s">
        <v>29</v>
      </c>
      <c r="AC10" s="8" t="s">
        <v>30</v>
      </c>
      <c r="AD10" s="8" t="s">
        <v>31</v>
      </c>
      <c r="AE10" s="8" t="s">
        <v>32</v>
      </c>
      <c r="AF10" s="8" t="s">
        <v>33</v>
      </c>
    </row>
    <row r="11" spans="2:32" x14ac:dyDescent="0.35">
      <c r="B11" s="7" t="s">
        <v>161</v>
      </c>
      <c r="C11" s="7" t="s">
        <v>162</v>
      </c>
      <c r="D11" s="7" t="s">
        <v>5</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row>
    <row r="12" spans="2:32" x14ac:dyDescent="0.35">
      <c r="B12" s="7" t="s">
        <v>163</v>
      </c>
      <c r="C12" s="7" t="s">
        <v>164</v>
      </c>
      <c r="D12" s="7" t="s">
        <v>5</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478.77152199</v>
      </c>
      <c r="Y12" s="7">
        <v>508.00792293000001</v>
      </c>
      <c r="Z12" s="7">
        <v>508.00792293000001</v>
      </c>
      <c r="AA12" s="7">
        <v>508.00792293000001</v>
      </c>
      <c r="AB12" s="7">
        <v>508.00792293000001</v>
      </c>
      <c r="AC12" s="7">
        <v>589.23869797999998</v>
      </c>
      <c r="AD12" s="7">
        <v>589.23869797999998</v>
      </c>
      <c r="AE12" s="7">
        <v>589.23869797999998</v>
      </c>
      <c r="AF12" s="7">
        <v>589.23869797999998</v>
      </c>
    </row>
    <row r="13" spans="2:32" x14ac:dyDescent="0.35">
      <c r="B13" s="7" t="s">
        <v>165</v>
      </c>
      <c r="C13" s="7" t="s">
        <v>125</v>
      </c>
      <c r="D13" s="7" t="s">
        <v>5</v>
      </c>
      <c r="E13" s="7">
        <v>624.12</v>
      </c>
      <c r="F13" s="7">
        <v>719.22</v>
      </c>
      <c r="G13" s="7">
        <v>869.26000146000001</v>
      </c>
      <c r="H13" s="7">
        <v>869.26000283999997</v>
      </c>
      <c r="I13" s="7">
        <v>869.26000521000003</v>
      </c>
      <c r="J13" s="7">
        <v>1225.94723157</v>
      </c>
      <c r="K13" s="7">
        <v>1225.94723157</v>
      </c>
      <c r="L13" s="7">
        <v>1225.94723157</v>
      </c>
      <c r="M13" s="7">
        <v>1225.94723157</v>
      </c>
      <c r="N13" s="7">
        <v>1225.94723157</v>
      </c>
      <c r="O13" s="7">
        <v>2206.7656026</v>
      </c>
      <c r="P13" s="7">
        <v>2206.7656026</v>
      </c>
      <c r="Q13" s="7">
        <v>2273.7871415200002</v>
      </c>
      <c r="R13" s="7">
        <v>2273.7871415200002</v>
      </c>
      <c r="S13" s="7">
        <v>2273.7871415200002</v>
      </c>
      <c r="T13" s="7">
        <v>2273.7871415200002</v>
      </c>
      <c r="U13" s="7">
        <v>2419.67368549</v>
      </c>
      <c r="V13" s="7">
        <v>2419.67368549</v>
      </c>
      <c r="W13" s="7">
        <v>3168.5345647600002</v>
      </c>
      <c r="X13" s="7">
        <v>3755.9594641999997</v>
      </c>
      <c r="Y13" s="7">
        <v>4616.5964828799997</v>
      </c>
      <c r="Z13" s="7">
        <v>4589.4264828799996</v>
      </c>
      <c r="AA13" s="7">
        <v>4589.4264828799996</v>
      </c>
      <c r="AB13" s="7">
        <v>4589.4264828799996</v>
      </c>
      <c r="AC13" s="7">
        <v>4642.3567444699993</v>
      </c>
      <c r="AD13" s="7">
        <v>4266.4267444699999</v>
      </c>
      <c r="AE13" s="7">
        <v>4474.60327891</v>
      </c>
      <c r="AF13" s="7">
        <v>4474.60327891</v>
      </c>
    </row>
    <row r="14" spans="2:32" x14ac:dyDescent="0.35">
      <c r="B14" s="7" t="s">
        <v>166</v>
      </c>
      <c r="C14" s="7" t="s">
        <v>152</v>
      </c>
      <c r="D14" s="7" t="s">
        <v>5</v>
      </c>
      <c r="E14" s="7">
        <v>0</v>
      </c>
      <c r="F14" s="7">
        <v>0</v>
      </c>
      <c r="G14" s="7">
        <v>118.8</v>
      </c>
      <c r="H14" s="7">
        <v>118.8</v>
      </c>
      <c r="I14" s="7">
        <v>118.8</v>
      </c>
      <c r="J14" s="7">
        <v>118.8</v>
      </c>
      <c r="K14" s="7">
        <v>118.8</v>
      </c>
      <c r="L14" s="7">
        <v>118.8</v>
      </c>
      <c r="M14" s="7">
        <v>118.8</v>
      </c>
      <c r="N14" s="7">
        <v>118.8</v>
      </c>
      <c r="O14" s="7">
        <v>118.8</v>
      </c>
      <c r="P14" s="7">
        <v>118.8</v>
      </c>
      <c r="Q14" s="7">
        <v>118.8</v>
      </c>
      <c r="R14" s="7">
        <v>118.8</v>
      </c>
      <c r="S14" s="7">
        <v>118.8</v>
      </c>
      <c r="T14" s="7">
        <v>118.8</v>
      </c>
      <c r="U14" s="7">
        <v>118.8</v>
      </c>
      <c r="V14" s="7">
        <v>118.8</v>
      </c>
      <c r="W14" s="7">
        <v>118.8</v>
      </c>
      <c r="X14" s="7">
        <v>118.8</v>
      </c>
      <c r="Y14" s="7">
        <v>118.8</v>
      </c>
      <c r="Z14" s="7">
        <v>118.8</v>
      </c>
      <c r="AA14" s="7">
        <v>118.8</v>
      </c>
      <c r="AB14" s="7">
        <v>118.8</v>
      </c>
      <c r="AC14" s="7">
        <v>518.79999924000003</v>
      </c>
      <c r="AD14" s="7">
        <v>518.79999924000003</v>
      </c>
      <c r="AE14" s="7">
        <v>518.79999924000003</v>
      </c>
      <c r="AF14" s="7">
        <v>518.79999924000003</v>
      </c>
    </row>
    <row r="15" spans="2:32" x14ac:dyDescent="0.35">
      <c r="B15" s="7" t="s">
        <v>167</v>
      </c>
      <c r="C15" s="7" t="s">
        <v>153</v>
      </c>
      <c r="D15" s="7" t="s">
        <v>5</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row>
    <row r="16" spans="2:32" x14ac:dyDescent="0.35">
      <c r="B16" s="7" t="s">
        <v>168</v>
      </c>
      <c r="C16" s="7" t="s">
        <v>169</v>
      </c>
      <c r="D16" s="7" t="s">
        <v>5</v>
      </c>
      <c r="E16" s="7">
        <v>0</v>
      </c>
      <c r="F16" s="7">
        <v>77</v>
      </c>
      <c r="G16" s="7">
        <v>160.28</v>
      </c>
      <c r="H16" s="7">
        <v>160.28</v>
      </c>
      <c r="I16" s="7">
        <v>160.28</v>
      </c>
      <c r="J16" s="7">
        <v>160.28</v>
      </c>
      <c r="K16" s="7">
        <v>160.28</v>
      </c>
      <c r="L16" s="7">
        <v>160.28</v>
      </c>
      <c r="M16" s="7">
        <v>160.28</v>
      </c>
      <c r="N16" s="7">
        <v>160.28</v>
      </c>
      <c r="O16" s="7">
        <v>160.28</v>
      </c>
      <c r="P16" s="7">
        <v>160.28</v>
      </c>
      <c r="Q16" s="7">
        <v>160.28</v>
      </c>
      <c r="R16" s="7">
        <v>160.28</v>
      </c>
      <c r="S16" s="7">
        <v>160.28</v>
      </c>
      <c r="T16" s="7">
        <v>160.28</v>
      </c>
      <c r="U16" s="7">
        <v>160.28</v>
      </c>
      <c r="V16" s="7">
        <v>160.28</v>
      </c>
      <c r="W16" s="7">
        <v>160.28</v>
      </c>
      <c r="X16" s="7">
        <v>499.99999594999997</v>
      </c>
      <c r="Y16" s="7">
        <v>499.99999726999999</v>
      </c>
      <c r="Z16" s="7">
        <v>499.99999726999999</v>
      </c>
      <c r="AA16" s="7">
        <v>499.99999726999999</v>
      </c>
      <c r="AB16" s="7">
        <v>499.99999726999999</v>
      </c>
      <c r="AC16" s="7">
        <v>500.00000014</v>
      </c>
      <c r="AD16" s="7">
        <v>500.00000014</v>
      </c>
      <c r="AE16" s="7">
        <v>500.00000014</v>
      </c>
      <c r="AF16" s="7">
        <v>500.00000014</v>
      </c>
    </row>
    <row r="17" spans="2:32" x14ac:dyDescent="0.35">
      <c r="B17" s="7" t="s">
        <v>170</v>
      </c>
      <c r="C17" s="7" t="s">
        <v>171</v>
      </c>
      <c r="D17" s="7" t="s">
        <v>5</v>
      </c>
      <c r="E17" s="7">
        <v>547.75</v>
      </c>
      <c r="F17" s="7">
        <v>547.75</v>
      </c>
      <c r="G17" s="7">
        <v>547.75</v>
      </c>
      <c r="H17" s="7">
        <v>547.75</v>
      </c>
      <c r="I17" s="7">
        <v>547.75</v>
      </c>
      <c r="J17" s="7">
        <v>547.75</v>
      </c>
      <c r="K17" s="7">
        <v>547.75</v>
      </c>
      <c r="L17" s="7">
        <v>547.75</v>
      </c>
      <c r="M17" s="7">
        <v>547.75</v>
      </c>
      <c r="N17" s="7">
        <v>547.75</v>
      </c>
      <c r="O17" s="7">
        <v>547.75</v>
      </c>
      <c r="P17" s="7">
        <v>547.75</v>
      </c>
      <c r="Q17" s="7">
        <v>547.75</v>
      </c>
      <c r="R17" s="7">
        <v>547.75</v>
      </c>
      <c r="S17" s="7">
        <v>547.75</v>
      </c>
      <c r="T17" s="7">
        <v>547.75</v>
      </c>
      <c r="U17" s="7">
        <v>547.75</v>
      </c>
      <c r="V17" s="7">
        <v>547.75</v>
      </c>
      <c r="W17" s="7">
        <v>547.75</v>
      </c>
      <c r="X17" s="7">
        <v>917.42200072000003</v>
      </c>
      <c r="Y17" s="7">
        <v>954.91269943999998</v>
      </c>
      <c r="Z17" s="7">
        <v>954.91269943999998</v>
      </c>
      <c r="AA17" s="7">
        <v>954.91269943999998</v>
      </c>
      <c r="AB17" s="7">
        <v>954.91269943999998</v>
      </c>
      <c r="AC17" s="7">
        <v>1867.16171764</v>
      </c>
      <c r="AD17" s="7">
        <v>1867.16171764</v>
      </c>
      <c r="AE17" s="7">
        <v>1921.36870462</v>
      </c>
      <c r="AF17" s="7">
        <v>1726.35870462</v>
      </c>
    </row>
    <row r="18" spans="2:32" x14ac:dyDescent="0.35">
      <c r="B18" s="7" t="s">
        <v>161</v>
      </c>
      <c r="C18" s="7" t="s">
        <v>162</v>
      </c>
      <c r="D18" s="7" t="s">
        <v>2</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row>
    <row r="19" spans="2:32" x14ac:dyDescent="0.35">
      <c r="B19" s="7" t="s">
        <v>163</v>
      </c>
      <c r="C19" s="7" t="s">
        <v>164</v>
      </c>
      <c r="D19" s="7" t="s">
        <v>2</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7">
        <v>0</v>
      </c>
      <c r="AC19" s="7">
        <v>0</v>
      </c>
      <c r="AD19" s="7">
        <v>0</v>
      </c>
      <c r="AE19" s="7">
        <v>0</v>
      </c>
      <c r="AF19" s="7">
        <v>0</v>
      </c>
    </row>
    <row r="20" spans="2:32" x14ac:dyDescent="0.35">
      <c r="B20" s="7" t="s">
        <v>165</v>
      </c>
      <c r="C20" s="7" t="s">
        <v>125</v>
      </c>
      <c r="D20" s="7" t="s">
        <v>2</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row>
    <row r="21" spans="2:32" x14ac:dyDescent="0.35">
      <c r="B21" s="7" t="s">
        <v>166</v>
      </c>
      <c r="C21" s="7" t="s">
        <v>152</v>
      </c>
      <c r="D21" s="7" t="s">
        <v>2</v>
      </c>
      <c r="E21" s="7">
        <v>1934.5000000000002</v>
      </c>
      <c r="F21" s="7">
        <v>1934.5000000000002</v>
      </c>
      <c r="G21" s="7">
        <v>1934.5000000000002</v>
      </c>
      <c r="H21" s="7">
        <v>2634.5000063599996</v>
      </c>
      <c r="I21" s="7">
        <v>2793.39697209</v>
      </c>
      <c r="J21" s="7">
        <v>2793.39697209</v>
      </c>
      <c r="K21" s="7">
        <v>2793.39697209</v>
      </c>
      <c r="L21" s="7">
        <v>2793.39697209</v>
      </c>
      <c r="M21" s="7">
        <v>3242.1664032199997</v>
      </c>
      <c r="N21" s="7">
        <v>3371.7471030399997</v>
      </c>
      <c r="O21" s="7">
        <v>3332.9173089499996</v>
      </c>
      <c r="P21" s="7">
        <v>3332.9173089499996</v>
      </c>
      <c r="Q21" s="7">
        <v>3332.9173089499996</v>
      </c>
      <c r="R21" s="7">
        <v>3332.9173089499996</v>
      </c>
      <c r="S21" s="7">
        <v>3332.9173089499996</v>
      </c>
      <c r="T21" s="7">
        <v>3332.9173089499996</v>
      </c>
      <c r="U21" s="7">
        <v>3332.9173099699997</v>
      </c>
      <c r="V21" s="7">
        <v>3332.9173099699997</v>
      </c>
      <c r="W21" s="7">
        <v>3301.8673099700004</v>
      </c>
      <c r="X21" s="7">
        <v>3170.6673099699997</v>
      </c>
      <c r="Y21" s="7">
        <v>2858.6673099699997</v>
      </c>
      <c r="Z21" s="7">
        <v>3145.9610893899999</v>
      </c>
      <c r="AA21" s="7">
        <v>3160.0742761199999</v>
      </c>
      <c r="AB21" s="7">
        <v>2920.0742761199999</v>
      </c>
      <c r="AC21" s="7">
        <v>3097.1081958300001</v>
      </c>
      <c r="AD21" s="7">
        <v>2759.6211163099997</v>
      </c>
      <c r="AE21" s="7">
        <v>2679.6711163099999</v>
      </c>
      <c r="AF21" s="7">
        <v>2679.6711163099999</v>
      </c>
    </row>
    <row r="22" spans="2:32" x14ac:dyDescent="0.35">
      <c r="B22" s="7" t="s">
        <v>167</v>
      </c>
      <c r="C22" s="7" t="s">
        <v>153</v>
      </c>
      <c r="D22" s="7" t="s">
        <v>2</v>
      </c>
      <c r="E22" s="7">
        <v>2438.67</v>
      </c>
      <c r="F22" s="7">
        <v>3283.2299999999996</v>
      </c>
      <c r="G22" s="7">
        <v>3332.5761023699993</v>
      </c>
      <c r="H22" s="7">
        <v>3985.8106022999996</v>
      </c>
      <c r="I22" s="7">
        <v>4101.6876490099994</v>
      </c>
      <c r="J22" s="7">
        <v>4101.6876490099994</v>
      </c>
      <c r="K22" s="7">
        <v>4101.6876490099994</v>
      </c>
      <c r="L22" s="7">
        <v>4101.6876562899997</v>
      </c>
      <c r="M22" s="7">
        <v>4160.8902143599998</v>
      </c>
      <c r="N22" s="7">
        <v>4160.8902143599998</v>
      </c>
      <c r="O22" s="7">
        <v>4160.8902143599998</v>
      </c>
      <c r="P22" s="7">
        <v>4160.8902143599998</v>
      </c>
      <c r="Q22" s="7">
        <v>4160.8902143599998</v>
      </c>
      <c r="R22" s="7">
        <v>4097.8902143599989</v>
      </c>
      <c r="S22" s="7">
        <v>3677.8902143599994</v>
      </c>
      <c r="T22" s="7">
        <v>3677.8902198399992</v>
      </c>
      <c r="U22" s="7">
        <v>3496.1902370599996</v>
      </c>
      <c r="V22" s="7">
        <v>3496.1902370599996</v>
      </c>
      <c r="W22" s="7">
        <v>3771.7391419399996</v>
      </c>
      <c r="X22" s="7">
        <v>3642.9355051299995</v>
      </c>
      <c r="Y22" s="7">
        <v>3675.0689410899995</v>
      </c>
      <c r="Z22" s="7">
        <v>3617.9099987599993</v>
      </c>
      <c r="AA22" s="7">
        <v>3775.4099985499997</v>
      </c>
      <c r="AB22" s="7">
        <v>3617.9099985499997</v>
      </c>
      <c r="AC22" s="7">
        <v>3885.2657142999997</v>
      </c>
      <c r="AD22" s="7">
        <v>4483.0785137399998</v>
      </c>
      <c r="AE22" s="7">
        <v>4307.16851374</v>
      </c>
      <c r="AF22" s="7">
        <v>4307.16851374</v>
      </c>
    </row>
    <row r="23" spans="2:32" x14ac:dyDescent="0.35">
      <c r="B23" s="7" t="s">
        <v>168</v>
      </c>
      <c r="C23" s="7" t="s">
        <v>169</v>
      </c>
      <c r="D23" s="7" t="s">
        <v>2</v>
      </c>
      <c r="E23" s="7">
        <v>0</v>
      </c>
      <c r="F23" s="7">
        <v>0</v>
      </c>
      <c r="G23" s="7">
        <v>500</v>
      </c>
      <c r="H23" s="7">
        <v>500</v>
      </c>
      <c r="I23" s="7">
        <v>1350.32513268</v>
      </c>
      <c r="J23" s="7">
        <v>1999.99999815</v>
      </c>
      <c r="K23" s="7">
        <v>1999.99999815</v>
      </c>
      <c r="L23" s="7">
        <v>1999.99999815</v>
      </c>
      <c r="M23" s="7">
        <v>1999.99999815</v>
      </c>
      <c r="N23" s="7">
        <v>1999.99999815</v>
      </c>
      <c r="O23" s="7">
        <v>1999.99999815</v>
      </c>
      <c r="P23" s="7">
        <v>1999.99999815</v>
      </c>
      <c r="Q23" s="7">
        <v>1999.99999815</v>
      </c>
      <c r="R23" s="7">
        <v>1999.99999815</v>
      </c>
      <c r="S23" s="7">
        <v>1999.99999815</v>
      </c>
      <c r="T23" s="7">
        <v>1999.99999815</v>
      </c>
      <c r="U23" s="7">
        <v>1999.99999815</v>
      </c>
      <c r="V23" s="7">
        <v>1999.99999815</v>
      </c>
      <c r="W23" s="7">
        <v>1999.99999815</v>
      </c>
      <c r="X23" s="7">
        <v>1999.99999815</v>
      </c>
      <c r="Y23" s="7">
        <v>1999.99999815</v>
      </c>
      <c r="Z23" s="7">
        <v>1999.99999815</v>
      </c>
      <c r="AA23" s="7">
        <v>1999.99999815</v>
      </c>
      <c r="AB23" s="7">
        <v>1999.99999815</v>
      </c>
      <c r="AC23" s="7">
        <v>1999.99999996</v>
      </c>
      <c r="AD23" s="7">
        <v>1999.99999996</v>
      </c>
      <c r="AE23" s="7">
        <v>1999.99999996</v>
      </c>
      <c r="AF23" s="7">
        <v>1999.99999996</v>
      </c>
    </row>
    <row r="24" spans="2:32" x14ac:dyDescent="0.35">
      <c r="B24" s="7" t="s">
        <v>170</v>
      </c>
      <c r="C24" s="7" t="s">
        <v>171</v>
      </c>
      <c r="D24" s="7" t="s">
        <v>2</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row>
    <row r="25" spans="2:32" x14ac:dyDescent="0.35">
      <c r="B25" s="7" t="s">
        <v>172</v>
      </c>
      <c r="C25" s="7" t="s">
        <v>173</v>
      </c>
      <c r="D25" s="7" t="s">
        <v>1</v>
      </c>
      <c r="E25" s="7">
        <v>0</v>
      </c>
      <c r="F25" s="7">
        <v>0</v>
      </c>
      <c r="G25" s="7">
        <v>0</v>
      </c>
      <c r="H25" s="7">
        <v>0</v>
      </c>
      <c r="I25" s="7">
        <v>0</v>
      </c>
      <c r="J25" s="7">
        <v>0</v>
      </c>
      <c r="K25" s="7">
        <v>1000</v>
      </c>
      <c r="L25" s="7">
        <v>2000</v>
      </c>
      <c r="M25" s="7">
        <v>2666.6666587499999</v>
      </c>
      <c r="N25" s="7">
        <v>3333.3332487500002</v>
      </c>
      <c r="O25" s="7">
        <v>3420.5712445099998</v>
      </c>
      <c r="P25" s="7">
        <v>4420.57123271</v>
      </c>
      <c r="Q25" s="7">
        <v>5325.0838921599998</v>
      </c>
      <c r="R25" s="7">
        <v>6325.0838801099999</v>
      </c>
      <c r="S25" s="7">
        <v>7219.9999828</v>
      </c>
      <c r="T25" s="7">
        <v>8219.9999639100006</v>
      </c>
      <c r="U25" s="7">
        <v>8219.9999639100006</v>
      </c>
      <c r="V25" s="7">
        <v>8219.9999639100006</v>
      </c>
      <c r="W25" s="7">
        <v>8219.9999639100006</v>
      </c>
      <c r="X25" s="7">
        <v>8219.9999639100006</v>
      </c>
      <c r="Y25" s="7">
        <v>8219.9999639100006</v>
      </c>
      <c r="Z25" s="7">
        <v>8219.9999639100006</v>
      </c>
      <c r="AA25" s="7">
        <v>8219.9999639100006</v>
      </c>
      <c r="AB25" s="7">
        <v>8219.9999639100006</v>
      </c>
      <c r="AC25" s="7">
        <v>8219.9999639100006</v>
      </c>
      <c r="AD25" s="7">
        <v>8219.9999639100006</v>
      </c>
      <c r="AE25" s="7">
        <v>8219.9999639100006</v>
      </c>
      <c r="AF25" s="7">
        <v>8219.9999639100006</v>
      </c>
    </row>
    <row r="26" spans="2:32" x14ac:dyDescent="0.35">
      <c r="B26" s="7" t="s">
        <v>174</v>
      </c>
      <c r="C26" s="7" t="s">
        <v>175</v>
      </c>
      <c r="D26" s="7" t="s">
        <v>1</v>
      </c>
      <c r="E26" s="7">
        <v>0</v>
      </c>
      <c r="F26" s="7">
        <v>0</v>
      </c>
      <c r="G26" s="7">
        <v>0</v>
      </c>
      <c r="H26" s="7">
        <v>0</v>
      </c>
      <c r="I26" s="7">
        <v>0</v>
      </c>
      <c r="J26" s="7">
        <v>0</v>
      </c>
      <c r="K26" s="7">
        <v>0</v>
      </c>
      <c r="L26" s="7">
        <v>0</v>
      </c>
      <c r="M26" s="7">
        <v>0</v>
      </c>
      <c r="N26" s="7">
        <v>0</v>
      </c>
      <c r="O26" s="7">
        <v>579.42873215999998</v>
      </c>
      <c r="P26" s="7">
        <v>579.42873215999998</v>
      </c>
      <c r="Q26" s="7">
        <v>674.91606073000003</v>
      </c>
      <c r="R26" s="7">
        <v>674.91606073000003</v>
      </c>
      <c r="S26" s="7">
        <v>779.99999803000003</v>
      </c>
      <c r="T26" s="7">
        <v>779.99999803000003</v>
      </c>
      <c r="U26" s="7">
        <v>779.99999803000003</v>
      </c>
      <c r="V26" s="7">
        <v>779.99999803000003</v>
      </c>
      <c r="W26" s="7">
        <v>779.99999803000003</v>
      </c>
      <c r="X26" s="7">
        <v>779.99999803000003</v>
      </c>
      <c r="Y26" s="7">
        <v>779.99999803000003</v>
      </c>
      <c r="Z26" s="7">
        <v>779.99999803000003</v>
      </c>
      <c r="AA26" s="7">
        <v>779.99999803000003</v>
      </c>
      <c r="AB26" s="7">
        <v>779.99999803000003</v>
      </c>
      <c r="AC26" s="7">
        <v>779.99999803000003</v>
      </c>
      <c r="AD26" s="7">
        <v>779.99999803000003</v>
      </c>
      <c r="AE26" s="7">
        <v>779.99999803000003</v>
      </c>
      <c r="AF26" s="7">
        <v>779.99999803000003</v>
      </c>
    </row>
    <row r="29" spans="2:32" x14ac:dyDescent="0.35">
      <c r="B29" s="6" t="s">
        <v>110</v>
      </c>
    </row>
    <row r="30" spans="2:32" x14ac:dyDescent="0.35">
      <c r="B30" s="7" t="s">
        <v>3</v>
      </c>
      <c r="C30" s="7" t="s">
        <v>4</v>
      </c>
      <c r="D30" s="7" t="s">
        <v>0</v>
      </c>
      <c r="E30" s="7" t="s">
        <v>6</v>
      </c>
      <c r="F30" s="7" t="s">
        <v>7</v>
      </c>
      <c r="G30" s="7" t="s">
        <v>8</v>
      </c>
      <c r="H30" s="7" t="s">
        <v>9</v>
      </c>
      <c r="I30" s="7" t="s">
        <v>10</v>
      </c>
      <c r="J30" s="7" t="s">
        <v>11</v>
      </c>
      <c r="K30" s="7" t="s">
        <v>12</v>
      </c>
      <c r="L30" s="7" t="s">
        <v>13</v>
      </c>
      <c r="M30" s="7" t="s">
        <v>14</v>
      </c>
      <c r="N30" s="7" t="s">
        <v>15</v>
      </c>
      <c r="O30" s="7" t="s">
        <v>16</v>
      </c>
      <c r="P30" s="7" t="s">
        <v>17</v>
      </c>
      <c r="Q30" s="7" t="s">
        <v>18</v>
      </c>
      <c r="R30" s="7" t="s">
        <v>19</v>
      </c>
      <c r="S30" s="7" t="s">
        <v>20</v>
      </c>
      <c r="T30" s="7" t="s">
        <v>21</v>
      </c>
      <c r="U30" s="7" t="s">
        <v>22</v>
      </c>
      <c r="V30" s="7" t="s">
        <v>23</v>
      </c>
      <c r="W30" s="7" t="s">
        <v>24</v>
      </c>
      <c r="X30" s="7" t="s">
        <v>25</v>
      </c>
      <c r="Y30" s="7" t="s">
        <v>26</v>
      </c>
      <c r="Z30" s="7" t="s">
        <v>27</v>
      </c>
      <c r="AA30" s="7" t="s">
        <v>28</v>
      </c>
      <c r="AB30" s="7" t="s">
        <v>29</v>
      </c>
      <c r="AC30" s="7" t="s">
        <v>30</v>
      </c>
      <c r="AD30" s="7" t="s">
        <v>31</v>
      </c>
      <c r="AE30" s="7" t="s">
        <v>32</v>
      </c>
      <c r="AF30" s="7" t="s">
        <v>33</v>
      </c>
    </row>
    <row r="31" spans="2:32" x14ac:dyDescent="0.35">
      <c r="B31" s="7" t="s">
        <v>161</v>
      </c>
      <c r="C31" s="7" t="s">
        <v>162</v>
      </c>
      <c r="D31" s="7" t="s">
        <v>5</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row>
    <row r="32" spans="2:32" x14ac:dyDescent="0.35">
      <c r="B32" s="7" t="s">
        <v>163</v>
      </c>
      <c r="C32" s="7" t="s">
        <v>164</v>
      </c>
      <c r="D32" s="7" t="s">
        <v>5</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7">
        <v>0</v>
      </c>
      <c r="W32" s="7">
        <v>0</v>
      </c>
      <c r="X32" s="7">
        <v>730.51526630178512</v>
      </c>
      <c r="Y32" s="7">
        <v>734.31204789559013</v>
      </c>
      <c r="Z32" s="7">
        <v>804.30797385439007</v>
      </c>
      <c r="AA32" s="7">
        <v>776.62004998619534</v>
      </c>
      <c r="AB32" s="7">
        <v>728.7085875658845</v>
      </c>
      <c r="AC32" s="7">
        <v>842.36160189191503</v>
      </c>
      <c r="AD32" s="7">
        <v>867.09147438557034</v>
      </c>
      <c r="AE32" s="7">
        <v>789.9902282476653</v>
      </c>
      <c r="AF32" s="7">
        <v>809.06976489095962</v>
      </c>
    </row>
    <row r="33" spans="2:32" x14ac:dyDescent="0.35">
      <c r="B33" s="7" t="s">
        <v>165</v>
      </c>
      <c r="C33" s="7" t="s">
        <v>125</v>
      </c>
      <c r="D33" s="7" t="s">
        <v>5</v>
      </c>
      <c r="E33" s="7">
        <v>1430.6973193278802</v>
      </c>
      <c r="F33" s="7">
        <v>1692.8651397986605</v>
      </c>
      <c r="G33" s="7">
        <v>1784.0744337283897</v>
      </c>
      <c r="H33" s="7">
        <v>1968.9728851035002</v>
      </c>
      <c r="I33" s="7">
        <v>1941.886559259405</v>
      </c>
      <c r="J33" s="7">
        <v>2814.73136855249</v>
      </c>
      <c r="K33" s="7">
        <v>2424.6779946067895</v>
      </c>
      <c r="L33" s="7">
        <v>2655.2057274099293</v>
      </c>
      <c r="M33" s="7">
        <v>2750.4591482036294</v>
      </c>
      <c r="N33" s="7">
        <v>2582.9547209307352</v>
      </c>
      <c r="O33" s="7">
        <v>4942.678324856829</v>
      </c>
      <c r="P33" s="7">
        <v>4842.9200824269819</v>
      </c>
      <c r="Q33" s="7">
        <v>4679.0623705331454</v>
      </c>
      <c r="R33" s="7">
        <v>5010.5303517722314</v>
      </c>
      <c r="S33" s="7">
        <v>5174.0547084875807</v>
      </c>
      <c r="T33" s="7">
        <v>4885.8088974500415</v>
      </c>
      <c r="U33" s="7">
        <v>5090.0588520801602</v>
      </c>
      <c r="V33" s="7">
        <v>5167.2066652432541</v>
      </c>
      <c r="W33" s="7">
        <v>6215.5660885432808</v>
      </c>
      <c r="X33" s="7">
        <v>7323.8943474097232</v>
      </c>
      <c r="Y33" s="7">
        <v>7702.3777880869866</v>
      </c>
      <c r="Z33" s="7">
        <v>7923.0286368627048</v>
      </c>
      <c r="AA33" s="7">
        <v>7841.0471331766194</v>
      </c>
      <c r="AB33" s="7">
        <v>7383.2437043714099</v>
      </c>
      <c r="AC33" s="7">
        <v>7821.3116601702741</v>
      </c>
      <c r="AD33" s="7">
        <v>7470.3177784704621</v>
      </c>
      <c r="AE33" s="7">
        <v>7465.1846557425588</v>
      </c>
      <c r="AF33" s="7">
        <v>7633.2918293799667</v>
      </c>
    </row>
    <row r="34" spans="2:32" x14ac:dyDescent="0.35">
      <c r="B34" s="7" t="s">
        <v>166</v>
      </c>
      <c r="C34" s="7" t="s">
        <v>152</v>
      </c>
      <c r="D34" s="7" t="s">
        <v>5</v>
      </c>
      <c r="E34" s="7">
        <v>0</v>
      </c>
      <c r="F34" s="7">
        <v>38.648803539820001</v>
      </c>
      <c r="G34" s="7">
        <v>236.36001223830502</v>
      </c>
      <c r="H34" s="7">
        <v>229.69236268819003</v>
      </c>
      <c r="I34" s="7">
        <v>229.00340924492505</v>
      </c>
      <c r="J34" s="7">
        <v>245.48889261126476</v>
      </c>
      <c r="K34" s="7">
        <v>188.148319059145</v>
      </c>
      <c r="L34" s="7">
        <v>220.02119600113991</v>
      </c>
      <c r="M34" s="7">
        <v>219.6724289220802</v>
      </c>
      <c r="N34" s="7">
        <v>202.8778282197953</v>
      </c>
      <c r="O34" s="7">
        <v>219.97480989153473</v>
      </c>
      <c r="P34" s="7">
        <v>246.63765328471982</v>
      </c>
      <c r="Q34" s="7">
        <v>232.94691589362489</v>
      </c>
      <c r="R34" s="7">
        <v>258.77384872372494</v>
      </c>
      <c r="S34" s="7">
        <v>249.38078971163506</v>
      </c>
      <c r="T34" s="7">
        <v>244.93256754433526</v>
      </c>
      <c r="U34" s="7">
        <v>235.71081090868495</v>
      </c>
      <c r="V34" s="7">
        <v>216.75291754241999</v>
      </c>
      <c r="W34" s="7">
        <v>244.250616856395</v>
      </c>
      <c r="X34" s="7">
        <v>245.72476670315481</v>
      </c>
      <c r="Y34" s="7">
        <v>216.58298404544007</v>
      </c>
      <c r="Z34" s="7">
        <v>224.72205446244021</v>
      </c>
      <c r="AA34" s="7">
        <v>211.71940894121522</v>
      </c>
      <c r="AB34" s="7">
        <v>203.52884096470001</v>
      </c>
      <c r="AC34" s="7">
        <v>840.16147394805489</v>
      </c>
      <c r="AD34" s="7">
        <v>858.89157132758987</v>
      </c>
      <c r="AE34" s="7">
        <v>790.25204144156908</v>
      </c>
      <c r="AF34" s="7">
        <v>806.0050649143152</v>
      </c>
    </row>
    <row r="35" spans="2:32" x14ac:dyDescent="0.35">
      <c r="B35" s="7" t="s">
        <v>167</v>
      </c>
      <c r="C35" s="7" t="s">
        <v>153</v>
      </c>
      <c r="D35" s="7" t="s">
        <v>5</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row>
    <row r="36" spans="2:32" x14ac:dyDescent="0.35">
      <c r="B36" s="7" t="s">
        <v>168</v>
      </c>
      <c r="C36" s="7" t="s">
        <v>169</v>
      </c>
      <c r="D36" s="7" t="s">
        <v>5</v>
      </c>
      <c r="E36" s="7">
        <v>0</v>
      </c>
      <c r="F36" s="7">
        <v>113.14638052684499</v>
      </c>
      <c r="G36" s="7">
        <v>269.71890119706501</v>
      </c>
      <c r="H36" s="7">
        <v>254.37200562696503</v>
      </c>
      <c r="I36" s="7">
        <v>274.79492427651985</v>
      </c>
      <c r="J36" s="7">
        <v>275.27635947275496</v>
      </c>
      <c r="K36" s="7">
        <v>224.9409354809199</v>
      </c>
      <c r="L36" s="7">
        <v>243.57903629352006</v>
      </c>
      <c r="M36" s="7">
        <v>264.31624525948513</v>
      </c>
      <c r="N36" s="7">
        <v>246.13928915248493</v>
      </c>
      <c r="O36" s="7">
        <v>240.20582361123502</v>
      </c>
      <c r="P36" s="7">
        <v>248.1858911045899</v>
      </c>
      <c r="Q36" s="7">
        <v>246.85815062997492</v>
      </c>
      <c r="R36" s="7">
        <v>256.83765223846001</v>
      </c>
      <c r="S36" s="7">
        <v>255.61267189570995</v>
      </c>
      <c r="T36" s="7">
        <v>237.31212853229505</v>
      </c>
      <c r="U36" s="7">
        <v>225.49269085447006</v>
      </c>
      <c r="V36" s="7">
        <v>235.96355756333008</v>
      </c>
      <c r="W36" s="7">
        <v>242.84768557855494</v>
      </c>
      <c r="X36" s="7">
        <v>755.33472809513034</v>
      </c>
      <c r="Y36" s="7">
        <v>734.00401349941512</v>
      </c>
      <c r="Z36" s="7">
        <v>727.93782387021497</v>
      </c>
      <c r="AA36" s="7">
        <v>750.9161175059894</v>
      </c>
      <c r="AB36" s="7">
        <v>696.74171867018958</v>
      </c>
      <c r="AC36" s="7">
        <v>713.49943520031502</v>
      </c>
      <c r="AD36" s="7">
        <v>738.51816432797</v>
      </c>
      <c r="AE36" s="7">
        <v>744.31550537843509</v>
      </c>
      <c r="AF36" s="7">
        <v>739.55207152589992</v>
      </c>
    </row>
    <row r="37" spans="2:32" x14ac:dyDescent="0.35">
      <c r="B37" s="7" t="s">
        <v>170</v>
      </c>
      <c r="C37" s="7" t="s">
        <v>171</v>
      </c>
      <c r="D37" s="7" t="s">
        <v>5</v>
      </c>
      <c r="E37" s="7">
        <v>1109.5796075851952</v>
      </c>
      <c r="F37" s="7">
        <v>1183.0975807570999</v>
      </c>
      <c r="G37" s="7">
        <v>1134.9664909836549</v>
      </c>
      <c r="H37" s="7">
        <v>1039.6214760698249</v>
      </c>
      <c r="I37" s="7">
        <v>1072.9798123681401</v>
      </c>
      <c r="J37" s="7">
        <v>1144.6460580817652</v>
      </c>
      <c r="K37" s="7">
        <v>969.15467321953497</v>
      </c>
      <c r="L37" s="7">
        <v>1067.1831038993555</v>
      </c>
      <c r="M37" s="7">
        <v>1104.1040432683501</v>
      </c>
      <c r="N37" s="7">
        <v>1012.0122085678748</v>
      </c>
      <c r="O37" s="7">
        <v>1059.0804547402749</v>
      </c>
      <c r="P37" s="7">
        <v>1056.35379672814</v>
      </c>
      <c r="Q37" s="7">
        <v>958.45668958496526</v>
      </c>
      <c r="R37" s="7">
        <v>1055.4422322933751</v>
      </c>
      <c r="S37" s="7">
        <v>1055.1003890694506</v>
      </c>
      <c r="T37" s="7">
        <v>991.56180117198471</v>
      </c>
      <c r="U37" s="7">
        <v>981.0976951660947</v>
      </c>
      <c r="V37" s="7">
        <v>955.30194599131516</v>
      </c>
      <c r="W37" s="7">
        <v>934.73218081589994</v>
      </c>
      <c r="X37" s="7">
        <v>1591.3696101533656</v>
      </c>
      <c r="Y37" s="7">
        <v>1589.4391419262797</v>
      </c>
      <c r="Z37" s="7">
        <v>1611.9645332122946</v>
      </c>
      <c r="AA37" s="7">
        <v>1574.4644733541456</v>
      </c>
      <c r="AB37" s="7">
        <v>1432.9265951566053</v>
      </c>
      <c r="AC37" s="7">
        <v>2496.8134262233243</v>
      </c>
      <c r="AD37" s="7">
        <v>2476.1782673835405</v>
      </c>
      <c r="AE37" s="7">
        <v>2387.2891402455311</v>
      </c>
      <c r="AF37" s="7">
        <v>2311.9022410258353</v>
      </c>
    </row>
    <row r="38" spans="2:32" x14ac:dyDescent="0.35">
      <c r="B38" s="7" t="s">
        <v>161</v>
      </c>
      <c r="C38" s="7" t="s">
        <v>162</v>
      </c>
      <c r="D38" s="7" t="s">
        <v>2</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row>
    <row r="39" spans="2:32" x14ac:dyDescent="0.35">
      <c r="B39" s="7" t="s">
        <v>163</v>
      </c>
      <c r="C39" s="7" t="s">
        <v>164</v>
      </c>
      <c r="D39" s="7" t="s">
        <v>2</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row>
    <row r="40" spans="2:32" x14ac:dyDescent="0.35">
      <c r="B40" s="7" t="s">
        <v>165</v>
      </c>
      <c r="C40" s="7" t="s">
        <v>125</v>
      </c>
      <c r="D40" s="7" t="s">
        <v>2</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c r="W40" s="7">
        <v>0</v>
      </c>
      <c r="X40" s="7">
        <v>0</v>
      </c>
      <c r="Y40" s="7">
        <v>0</v>
      </c>
      <c r="Z40" s="7">
        <v>0</v>
      </c>
      <c r="AA40" s="7">
        <v>0</v>
      </c>
      <c r="AB40" s="7">
        <v>0</v>
      </c>
      <c r="AC40" s="7">
        <v>0</v>
      </c>
      <c r="AD40" s="7">
        <v>0</v>
      </c>
      <c r="AE40" s="7">
        <v>0</v>
      </c>
      <c r="AF40" s="7">
        <v>0</v>
      </c>
    </row>
    <row r="41" spans="2:32" x14ac:dyDescent="0.35">
      <c r="B41" s="7" t="s">
        <v>166</v>
      </c>
      <c r="C41" s="7" t="s">
        <v>152</v>
      </c>
      <c r="D41" s="7" t="s">
        <v>2</v>
      </c>
      <c r="E41" s="7">
        <v>5689.0710148306171</v>
      </c>
      <c r="F41" s="7">
        <v>5962.1019856466419</v>
      </c>
      <c r="G41" s="7">
        <v>5633.2104591452398</v>
      </c>
      <c r="H41" s="7">
        <v>8249.3724176010601</v>
      </c>
      <c r="I41" s="7">
        <v>8079.5289186875907</v>
      </c>
      <c r="J41" s="7">
        <v>8301.382464358916</v>
      </c>
      <c r="K41" s="7">
        <v>7552.2639528098562</v>
      </c>
      <c r="L41" s="7">
        <v>8440.6814181809223</v>
      </c>
      <c r="M41" s="7">
        <v>9292.8102944146758</v>
      </c>
      <c r="N41" s="7">
        <v>10553.670296759065</v>
      </c>
      <c r="O41" s="7">
        <v>9292.6487446615083</v>
      </c>
      <c r="P41" s="7">
        <v>9384.9441938250693</v>
      </c>
      <c r="Q41" s="7">
        <v>9094.166398231413</v>
      </c>
      <c r="R41" s="7">
        <v>9795.5261223131183</v>
      </c>
      <c r="S41" s="7">
        <v>9858.7455879877689</v>
      </c>
      <c r="T41" s="7">
        <v>9913.2011655115475</v>
      </c>
      <c r="U41" s="7">
        <v>9751.5402514085599</v>
      </c>
      <c r="V41" s="7">
        <v>10096.646377550036</v>
      </c>
      <c r="W41" s="7">
        <v>9300.2908291373096</v>
      </c>
      <c r="X41" s="7">
        <v>8680.0486941384788</v>
      </c>
      <c r="Y41" s="7">
        <v>7786.7560949450808</v>
      </c>
      <c r="Z41" s="7">
        <v>9109.9492466781558</v>
      </c>
      <c r="AA41" s="7">
        <v>8630.064522384102</v>
      </c>
      <c r="AB41" s="7">
        <v>8900.8599144308173</v>
      </c>
      <c r="AC41" s="7">
        <v>8390.5947416275194</v>
      </c>
      <c r="AD41" s="7">
        <v>7844.251184943384</v>
      </c>
      <c r="AE41" s="7">
        <v>7420.9055391013735</v>
      </c>
      <c r="AF41" s="7">
        <v>7902.6516715536254</v>
      </c>
    </row>
    <row r="42" spans="2:32" x14ac:dyDescent="0.35">
      <c r="B42" s="7" t="s">
        <v>167</v>
      </c>
      <c r="C42" s="7" t="s">
        <v>153</v>
      </c>
      <c r="D42" s="7" t="s">
        <v>2</v>
      </c>
      <c r="E42" s="7">
        <v>7431.3619884256186</v>
      </c>
      <c r="F42" s="7">
        <v>10528.36969299271</v>
      </c>
      <c r="G42" s="7">
        <v>10324.431101200074</v>
      </c>
      <c r="H42" s="7">
        <v>12672.381517093638</v>
      </c>
      <c r="I42" s="7">
        <v>12033.112724230639</v>
      </c>
      <c r="J42" s="7">
        <v>12337.558870101027</v>
      </c>
      <c r="K42" s="7">
        <v>11560.229913864485</v>
      </c>
      <c r="L42" s="7">
        <v>12861.532709390971</v>
      </c>
      <c r="M42" s="7">
        <v>12334.488321333965</v>
      </c>
      <c r="N42" s="7">
        <v>13793.974181692283</v>
      </c>
      <c r="O42" s="7">
        <v>11975.870654107996</v>
      </c>
      <c r="P42" s="7">
        <v>12099.96879975308</v>
      </c>
      <c r="Q42" s="7">
        <v>11966.932530748263</v>
      </c>
      <c r="R42" s="7">
        <v>12705.155311760162</v>
      </c>
      <c r="S42" s="7">
        <v>11822.361136551228</v>
      </c>
      <c r="T42" s="7">
        <v>11986.657915793399</v>
      </c>
      <c r="U42" s="7">
        <v>11007.768991351826</v>
      </c>
      <c r="V42" s="7">
        <v>11372.944188876772</v>
      </c>
      <c r="W42" s="7">
        <v>11509.322590431313</v>
      </c>
      <c r="X42" s="7">
        <v>10650.928439712932</v>
      </c>
      <c r="Y42" s="7">
        <v>10836.788367348267</v>
      </c>
      <c r="Z42" s="7">
        <v>11204.47453527729</v>
      </c>
      <c r="AA42" s="7">
        <v>11007.193644160021</v>
      </c>
      <c r="AB42" s="7">
        <v>11618.553700299128</v>
      </c>
      <c r="AC42" s="7">
        <v>10859.400618649088</v>
      </c>
      <c r="AD42" s="7">
        <v>12818.087734577861</v>
      </c>
      <c r="AE42" s="7">
        <v>12734.151095725423</v>
      </c>
      <c r="AF42" s="7">
        <v>13422.604683686706</v>
      </c>
    </row>
    <row r="43" spans="2:32" x14ac:dyDescent="0.35">
      <c r="B43" s="7" t="s">
        <v>168</v>
      </c>
      <c r="C43" s="7" t="s">
        <v>169</v>
      </c>
      <c r="D43" s="7" t="s">
        <v>2</v>
      </c>
      <c r="E43" s="7">
        <v>0</v>
      </c>
      <c r="F43" s="7">
        <v>0</v>
      </c>
      <c r="G43" s="7">
        <v>1703.7462821967986</v>
      </c>
      <c r="H43" s="7">
        <v>1645.7490833882835</v>
      </c>
      <c r="I43" s="7">
        <v>3922.1018671327593</v>
      </c>
      <c r="J43" s="7">
        <v>6056.3254524160475</v>
      </c>
      <c r="K43" s="7">
        <v>5687.345721979209</v>
      </c>
      <c r="L43" s="7">
        <v>5931.3674125920534</v>
      </c>
      <c r="M43" s="7">
        <v>5643.3074688570432</v>
      </c>
      <c r="N43" s="7">
        <v>6237.271438138243</v>
      </c>
      <c r="O43" s="7">
        <v>5656.0123104953063</v>
      </c>
      <c r="P43" s="7">
        <v>5573.470527405203</v>
      </c>
      <c r="Q43" s="7">
        <v>5541.8054321090049</v>
      </c>
      <c r="R43" s="7">
        <v>5713.5687140026812</v>
      </c>
      <c r="S43" s="7">
        <v>5746.2230978761063</v>
      </c>
      <c r="T43" s="7">
        <v>6069.7345590991254</v>
      </c>
      <c r="U43" s="7">
        <v>6090.5241609706609</v>
      </c>
      <c r="V43" s="7">
        <v>5918.4554111772932</v>
      </c>
      <c r="W43" s="7">
        <v>5557.1729458186119</v>
      </c>
      <c r="X43" s="7">
        <v>5572.0388252886451</v>
      </c>
      <c r="Y43" s="7">
        <v>5623.3367414864952</v>
      </c>
      <c r="Z43" s="7">
        <v>5655.8583296812722</v>
      </c>
      <c r="AA43" s="7">
        <v>5467.0969097721736</v>
      </c>
      <c r="AB43" s="7">
        <v>5976.238256164419</v>
      </c>
      <c r="AC43" s="7">
        <v>5453.0804268063312</v>
      </c>
      <c r="AD43" s="7">
        <v>5346.3382675952807</v>
      </c>
      <c r="AE43" s="7">
        <v>5367.4727023126916</v>
      </c>
      <c r="AF43" s="7">
        <v>5460.7048196034493</v>
      </c>
    </row>
    <row r="44" spans="2:32" x14ac:dyDescent="0.35">
      <c r="B44" s="7" t="s">
        <v>170</v>
      </c>
      <c r="C44" s="7" t="s">
        <v>171</v>
      </c>
      <c r="D44" s="7" t="s">
        <v>2</v>
      </c>
      <c r="E44" s="7">
        <v>0</v>
      </c>
      <c r="F44" s="7">
        <v>0</v>
      </c>
      <c r="G44" s="7">
        <v>0</v>
      </c>
      <c r="H44" s="7">
        <v>0</v>
      </c>
      <c r="I44" s="7">
        <v>0</v>
      </c>
      <c r="J44" s="7">
        <v>0</v>
      </c>
      <c r="K44" s="7">
        <v>0</v>
      </c>
      <c r="L44" s="7">
        <v>0</v>
      </c>
      <c r="M44" s="7">
        <v>0</v>
      </c>
      <c r="N44" s="7">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row>
    <row r="45" spans="2:32" x14ac:dyDescent="0.35">
      <c r="B45" s="7" t="s">
        <v>172</v>
      </c>
      <c r="C45" s="7" t="s">
        <v>173</v>
      </c>
      <c r="D45" s="7" t="s">
        <v>1</v>
      </c>
      <c r="E45" s="7">
        <v>0</v>
      </c>
      <c r="F45" s="7">
        <v>0</v>
      </c>
      <c r="G45" s="7">
        <v>0</v>
      </c>
      <c r="H45" s="7">
        <v>0</v>
      </c>
      <c r="I45" s="7">
        <v>0</v>
      </c>
      <c r="J45" s="7">
        <v>0</v>
      </c>
      <c r="K45" s="7">
        <v>3804.6736702031699</v>
      </c>
      <c r="L45" s="7">
        <v>7742.8731091367627</v>
      </c>
      <c r="M45" s="7">
        <v>10149.733803534438</v>
      </c>
      <c r="N45" s="7">
        <v>13671.133167438154</v>
      </c>
      <c r="O45" s="7">
        <v>12755.133665888232</v>
      </c>
      <c r="P45" s="7">
        <v>17284.540006575335</v>
      </c>
      <c r="Q45" s="7">
        <v>21261.114345516944</v>
      </c>
      <c r="R45" s="7">
        <v>26465.482672977418</v>
      </c>
      <c r="S45" s="7">
        <v>29173.31179794194</v>
      </c>
      <c r="T45" s="7">
        <v>34573.30699250217</v>
      </c>
      <c r="U45" s="7">
        <v>34093.284925339394</v>
      </c>
      <c r="V45" s="7">
        <v>34154.040315455582</v>
      </c>
      <c r="W45" s="7">
        <v>32302.813774538448</v>
      </c>
      <c r="X45" s="7">
        <v>31400.28557731842</v>
      </c>
      <c r="Y45" s="7">
        <v>32097.81253067515</v>
      </c>
      <c r="Z45" s="7">
        <v>31775.681976061387</v>
      </c>
      <c r="AA45" s="7">
        <v>31880.3669224806</v>
      </c>
      <c r="AB45" s="7">
        <v>33831.654267545091</v>
      </c>
      <c r="AC45" s="7">
        <v>31096.366227986593</v>
      </c>
      <c r="AD45" s="7">
        <v>31404.181303385925</v>
      </c>
      <c r="AE45" s="7">
        <v>32409.381802247324</v>
      </c>
      <c r="AF45" s="7">
        <v>33811.660476511512</v>
      </c>
    </row>
    <row r="46" spans="2:32" x14ac:dyDescent="0.35">
      <c r="B46" s="7" t="s">
        <v>174</v>
      </c>
      <c r="C46" s="7" t="s">
        <v>175</v>
      </c>
      <c r="D46" s="7" t="s">
        <v>1</v>
      </c>
      <c r="E46" s="7">
        <v>0</v>
      </c>
      <c r="F46" s="7">
        <v>0</v>
      </c>
      <c r="G46" s="7">
        <v>0</v>
      </c>
      <c r="H46" s="7">
        <v>0</v>
      </c>
      <c r="I46" s="7">
        <v>0</v>
      </c>
      <c r="J46" s="7">
        <v>0</v>
      </c>
      <c r="K46" s="7">
        <v>0</v>
      </c>
      <c r="L46" s="7">
        <v>0</v>
      </c>
      <c r="M46" s="7">
        <v>0</v>
      </c>
      <c r="N46" s="7">
        <v>0</v>
      </c>
      <c r="O46" s="7">
        <v>1945.864378727322</v>
      </c>
      <c r="P46" s="7">
        <v>1957.2503023929157</v>
      </c>
      <c r="Q46" s="7">
        <v>2284.4750685458957</v>
      </c>
      <c r="R46" s="7">
        <v>2394.1605887438081</v>
      </c>
      <c r="S46" s="7">
        <v>2870.7494694080938</v>
      </c>
      <c r="T46" s="7">
        <v>2977.2334685789401</v>
      </c>
      <c r="U46" s="7">
        <v>2775.5309819725653</v>
      </c>
      <c r="V46" s="7">
        <v>3059.2560062773186</v>
      </c>
      <c r="W46" s="7">
        <v>2834.9036419579238</v>
      </c>
      <c r="X46" s="7">
        <v>2663.8778548062332</v>
      </c>
      <c r="Y46" s="7">
        <v>2714.2511708043507</v>
      </c>
      <c r="Z46" s="7">
        <v>2922.8078551121621</v>
      </c>
      <c r="AA46" s="7">
        <v>2748.756541120868</v>
      </c>
      <c r="AB46" s="7">
        <v>2841.3657040847102</v>
      </c>
      <c r="AC46" s="7">
        <v>2579.9556237028369</v>
      </c>
      <c r="AD46" s="7">
        <v>2617.6917662177252</v>
      </c>
      <c r="AE46" s="7">
        <v>2643.4269875833911</v>
      </c>
      <c r="AF46" s="7">
        <v>2730.7845343915264</v>
      </c>
    </row>
    <row r="49" spans="2:32" x14ac:dyDescent="0.35">
      <c r="B49" s="12" t="s">
        <v>182</v>
      </c>
    </row>
    <row r="50" spans="2:32" x14ac:dyDescent="0.35">
      <c r="B50" s="6" t="s">
        <v>112</v>
      </c>
    </row>
    <row r="51" spans="2:32" x14ac:dyDescent="0.35">
      <c r="B51" s="7" t="s">
        <v>78</v>
      </c>
    </row>
    <row r="52" spans="2:32" ht="14.6" thickBot="1" x14ac:dyDescent="0.4">
      <c r="B52" s="8" t="s">
        <v>3</v>
      </c>
      <c r="C52" s="8" t="s">
        <v>4</v>
      </c>
      <c r="D52" s="8" t="s">
        <v>0</v>
      </c>
      <c r="E52" s="8" t="s">
        <v>6</v>
      </c>
      <c r="F52" s="8" t="s">
        <v>7</v>
      </c>
      <c r="G52" s="8" t="s">
        <v>8</v>
      </c>
      <c r="H52" s="8" t="s">
        <v>9</v>
      </c>
      <c r="I52" s="8" t="s">
        <v>10</v>
      </c>
      <c r="J52" s="8" t="s">
        <v>11</v>
      </c>
      <c r="K52" s="8" t="s">
        <v>12</v>
      </c>
      <c r="L52" s="8" t="s">
        <v>13</v>
      </c>
      <c r="M52" s="8" t="s">
        <v>14</v>
      </c>
      <c r="N52" s="8" t="s">
        <v>15</v>
      </c>
      <c r="O52" s="8" t="s">
        <v>16</v>
      </c>
      <c r="P52" s="8" t="s">
        <v>17</v>
      </c>
      <c r="Q52" s="8" t="s">
        <v>18</v>
      </c>
      <c r="R52" s="8" t="s">
        <v>19</v>
      </c>
      <c r="S52" s="8" t="s">
        <v>20</v>
      </c>
      <c r="T52" s="8" t="s">
        <v>21</v>
      </c>
      <c r="U52" s="8" t="s">
        <v>22</v>
      </c>
      <c r="V52" s="8" t="s">
        <v>23</v>
      </c>
      <c r="W52" s="8" t="s">
        <v>24</v>
      </c>
      <c r="X52" s="8" t="s">
        <v>25</v>
      </c>
      <c r="Y52" s="8" t="s">
        <v>26</v>
      </c>
      <c r="Z52" s="8" t="s">
        <v>27</v>
      </c>
      <c r="AA52" s="8" t="s">
        <v>28</v>
      </c>
      <c r="AB52" s="8" t="s">
        <v>29</v>
      </c>
      <c r="AC52" s="8" t="s">
        <v>30</v>
      </c>
      <c r="AD52" s="8" t="s">
        <v>31</v>
      </c>
      <c r="AE52" s="8" t="s">
        <v>32</v>
      </c>
      <c r="AF52" s="8" t="s">
        <v>33</v>
      </c>
    </row>
    <row r="53" spans="2:32" x14ac:dyDescent="0.35">
      <c r="B53" s="7" t="s">
        <v>161</v>
      </c>
      <c r="C53" s="7" t="s">
        <v>162</v>
      </c>
      <c r="D53" s="7" t="s">
        <v>5</v>
      </c>
      <c r="E53" s="9" cm="1">
        <f t="array" ref="E53">INDEX(Table1[], MATCH(1, (Table186[[#This Row],[REZ Name]]=Table1[REZ Name]) * (Table186[[#This Row],[Technology]]=Table1[Technology]), 0),4)-INDEX(GenREZAmounts[],MATCH(1, (Table186[[#This Row],[REZ Name]]=GenREZAmounts[REZ Name]) * (Table186[[#This Row],[Technology]]=GenREZAmounts[Technology]), 0),3)</f>
        <v>0</v>
      </c>
      <c r="F53" s="9" cm="1">
        <f t="array" ref="F53">INDEX(Table1[], MATCH(1, (Table186[[#This Row],[REZ Name]]=Table1[REZ Name]) * (Table186[[#This Row],[Technology]]=Table1[Technology]), 0),5)-INDEX(GenREZAmounts[],MATCH(1, (Table186[[#This Row],[REZ Name]]=GenREZAmounts[REZ Name]) * (Table186[[#This Row],[Technology]]=GenREZAmounts[Technology]), 0),4)</f>
        <v>0</v>
      </c>
      <c r="G53" s="7" cm="1">
        <f t="array" ref="G53">INDEX(Table1[], MATCH(1, (Table186[[#This Row],[REZ Name]]=Table1[REZ Name]) * (Table186[[#This Row],[Technology]]=Table1[Technology]), 0),6)-INDEX(GenREZAmounts[],MATCH(1, (Table186[[#This Row],[REZ Name]]=GenREZAmounts[REZ Name]) * (Table186[[#This Row],[Technology]]=GenREZAmounts[Technology]), 0),5)</f>
        <v>0</v>
      </c>
      <c r="H53" s="7" cm="1">
        <f t="array" ref="H53">INDEX(Table1[], MATCH(1, (Table186[[#This Row],[REZ Name]]=Table1[REZ Name]) * (Table186[[#This Row],[Technology]]=Table1[Technology]), 0),7)-INDEX(GenREZAmounts[],MATCH(1, (Table186[[#This Row],[REZ Name]]=GenREZAmounts[REZ Name]) * (Table186[[#This Row],[Technology]]=GenREZAmounts[Technology]), 0),6)</f>
        <v>0</v>
      </c>
      <c r="I53" s="7" cm="1">
        <f t="array" ref="I53">INDEX(Table1[], MATCH(1, (Table186[[#This Row],[REZ Name]]=Table1[REZ Name]) * (Table186[[#This Row],[Technology]]=Table1[Technology]), 0),8)-INDEX(GenREZAmounts[],MATCH(1, (Table186[[#This Row],[REZ Name]]=GenREZAmounts[REZ Name]) * (Table186[[#This Row],[Technology]]=GenREZAmounts[Technology]), 0),7)</f>
        <v>0</v>
      </c>
      <c r="J53" s="7" cm="1">
        <f t="array" ref="J53">INDEX(Table1[], MATCH(1, (Table186[[#This Row],[REZ Name]]=Table1[REZ Name]) * (Table186[[#This Row],[Technology]]=Table1[Technology]), 0),9)-INDEX(GenREZAmounts[],MATCH(1, (Table186[[#This Row],[REZ Name]]=GenREZAmounts[REZ Name]) * (Table186[[#This Row],[Technology]]=GenREZAmounts[Technology]), 0),8)</f>
        <v>0</v>
      </c>
      <c r="K53" s="7" cm="1">
        <f t="array" ref="K53">INDEX(Table1[], MATCH(1, (Table186[[#This Row],[REZ Name]]=Table1[REZ Name]) * (Table186[[#This Row],[Technology]]=Table1[Technology]), 0),10)-INDEX(GenREZAmounts[],MATCH(1, (Table186[[#This Row],[REZ Name]]=GenREZAmounts[REZ Name]) * (Table186[[#This Row],[Technology]]=GenREZAmounts[Technology]), 0),9)</f>
        <v>0</v>
      </c>
      <c r="L53" s="7" cm="1">
        <f t="array" ref="L53">INDEX(Table1[], MATCH(1, (Table186[[#This Row],[REZ Name]]=Table1[REZ Name]) * (Table186[[#This Row],[Technology]]=Table1[Technology]), 0),11)-INDEX(GenREZAmounts[],MATCH(1, (Table186[[#This Row],[REZ Name]]=GenREZAmounts[REZ Name]) * (Table186[[#This Row],[Technology]]=GenREZAmounts[Technology]), 0),10)</f>
        <v>0</v>
      </c>
      <c r="M53" s="7" cm="1">
        <f t="array" ref="M53">INDEX(Table1[], MATCH(1, (Table186[[#This Row],[REZ Name]]=Table1[REZ Name]) * (Table186[[#This Row],[Technology]]=Table1[Technology]), 0),12)-INDEX(GenREZAmounts[],MATCH(1, (Table186[[#This Row],[REZ Name]]=GenREZAmounts[REZ Name]) * (Table186[[#This Row],[Technology]]=GenREZAmounts[Technology]), 0),11)</f>
        <v>0</v>
      </c>
      <c r="N53" s="7" cm="1">
        <f t="array" ref="N53">INDEX(Table1[], MATCH(1, (Table186[[#This Row],[REZ Name]]=Table1[REZ Name]) * (Table186[[#This Row],[Technology]]=Table1[Technology]), 0),13)-INDEX(GenREZAmounts[],MATCH(1, (Table186[[#This Row],[REZ Name]]=GenREZAmounts[REZ Name]) * (Table186[[#This Row],[Technology]]=GenREZAmounts[Technology]), 0),12)</f>
        <v>0</v>
      </c>
      <c r="O53" s="7" cm="1">
        <f t="array" ref="O53">INDEX(Table1[], MATCH(1, (Table186[[#This Row],[REZ Name]]=Table1[REZ Name]) * (Table186[[#This Row],[Technology]]=Table1[Technology]), 0),14)-INDEX(GenREZAmounts[],MATCH(1, (Table186[[#This Row],[REZ Name]]=GenREZAmounts[REZ Name]) * (Table186[[#This Row],[Technology]]=GenREZAmounts[Technology]), 0),13)</f>
        <v>0</v>
      </c>
      <c r="P53" s="7" cm="1">
        <f t="array" ref="P53">INDEX(Table1[], MATCH(1, (Table186[[#This Row],[REZ Name]]=Table1[REZ Name]) * (Table186[[#This Row],[Technology]]=Table1[Technology]), 0),15)-INDEX(GenREZAmounts[],MATCH(1, (Table186[[#This Row],[REZ Name]]=GenREZAmounts[REZ Name]) * (Table186[[#This Row],[Technology]]=GenREZAmounts[Technology]), 0),14)</f>
        <v>0</v>
      </c>
      <c r="Q53" s="7" cm="1">
        <f t="array" ref="Q53">INDEX(Table1[], MATCH(1, (Table186[[#This Row],[REZ Name]]=Table1[REZ Name]) * (Table186[[#This Row],[Technology]]=Table1[Technology]), 0),16)-INDEX(GenREZAmounts[],MATCH(1, (Table186[[#This Row],[REZ Name]]=GenREZAmounts[REZ Name]) * (Table186[[#This Row],[Technology]]=GenREZAmounts[Technology]), 0),15)</f>
        <v>0</v>
      </c>
      <c r="R53" s="7" cm="1">
        <f t="array" ref="R53">INDEX(Table1[], MATCH(1, (Table186[[#This Row],[REZ Name]]=Table1[REZ Name]) * (Table186[[#This Row],[Technology]]=Table1[Technology]), 0),17)-INDEX(GenREZAmounts[],MATCH(1, (Table186[[#This Row],[REZ Name]]=GenREZAmounts[REZ Name]) * (Table186[[#This Row],[Technology]]=GenREZAmounts[Technology]), 0),16)</f>
        <v>0</v>
      </c>
      <c r="S53" s="7" cm="1">
        <f t="array" ref="S53">INDEX(Table1[], MATCH(1, (Table186[[#This Row],[REZ Name]]=Table1[REZ Name]) * (Table186[[#This Row],[Technology]]=Table1[Technology]), 0),18)-INDEX(GenREZAmounts[],MATCH(1, (Table186[[#This Row],[REZ Name]]=GenREZAmounts[REZ Name]) * (Table186[[#This Row],[Technology]]=GenREZAmounts[Technology]), 0),17)</f>
        <v>0</v>
      </c>
      <c r="T53" s="7" cm="1">
        <f t="array" ref="T53">INDEX(Table1[], MATCH(1, (Table186[[#This Row],[REZ Name]]=Table1[REZ Name]) * (Table186[[#This Row],[Technology]]=Table1[Technology]), 0),19)-INDEX(GenREZAmounts[],MATCH(1, (Table186[[#This Row],[REZ Name]]=GenREZAmounts[REZ Name]) * (Table186[[#This Row],[Technology]]=GenREZAmounts[Technology]), 0),18)</f>
        <v>0</v>
      </c>
      <c r="U53" s="7" cm="1">
        <f t="array" ref="U53">INDEX(Table1[], MATCH(1, (Table186[[#This Row],[REZ Name]]=Table1[REZ Name]) * (Table186[[#This Row],[Technology]]=Table1[Technology]), 0),20)-INDEX(GenREZAmounts[],MATCH(1, (Table186[[#This Row],[REZ Name]]=GenREZAmounts[REZ Name]) * (Table186[[#This Row],[Technology]]=GenREZAmounts[Technology]), 0),19)</f>
        <v>0</v>
      </c>
      <c r="V53" s="7" cm="1">
        <f t="array" ref="V53">INDEX(Table1[], MATCH(1, (Table186[[#This Row],[REZ Name]]=Table1[REZ Name]) * (Table186[[#This Row],[Technology]]=Table1[Technology]), 0),21)-INDEX(GenREZAmounts[],MATCH(1, (Table186[[#This Row],[REZ Name]]=GenREZAmounts[REZ Name]) * (Table186[[#This Row],[Technology]]=GenREZAmounts[Technology]), 0),20)</f>
        <v>0</v>
      </c>
      <c r="W53" s="7" cm="1">
        <f t="array" ref="W53">INDEX(Table1[], MATCH(1, (Table186[[#This Row],[REZ Name]]=Table1[REZ Name]) * (Table186[[#This Row],[Technology]]=Table1[Technology]), 0),22)-INDEX(GenREZAmounts[],MATCH(1, (Table186[[#This Row],[REZ Name]]=GenREZAmounts[REZ Name]) * (Table186[[#This Row],[Technology]]=GenREZAmounts[Technology]), 0),21)</f>
        <v>0</v>
      </c>
      <c r="X53" s="7" cm="1">
        <f t="array" ref="X53">INDEX(Table1[], MATCH(1, (Table186[[#This Row],[REZ Name]]=Table1[REZ Name]) * (Table186[[#This Row],[Technology]]=Table1[Technology]), 0),23)-INDEX(GenREZAmounts[],MATCH(1, (Table186[[#This Row],[REZ Name]]=GenREZAmounts[REZ Name]) * (Table186[[#This Row],[Technology]]=GenREZAmounts[Technology]), 0),22)</f>
        <v>0</v>
      </c>
      <c r="Y53" s="7" cm="1">
        <f t="array" ref="Y53">INDEX(Table1[], MATCH(1, (Table186[[#This Row],[REZ Name]]=Table1[REZ Name]) * (Table186[[#This Row],[Technology]]=Table1[Technology]), 0),24)-INDEX(GenREZAmounts[],MATCH(1, (Table186[[#This Row],[REZ Name]]=GenREZAmounts[REZ Name]) * (Table186[[#This Row],[Technology]]=GenREZAmounts[Technology]), 0),23)</f>
        <v>0</v>
      </c>
      <c r="Z53" s="7" cm="1">
        <f t="array" ref="Z53">INDEX(Table1[], MATCH(1, (Table186[[#This Row],[REZ Name]]=Table1[REZ Name]) * (Table186[[#This Row],[Technology]]=Table1[Technology]), 0),25)-INDEX(GenREZAmounts[],MATCH(1, (Table186[[#This Row],[REZ Name]]=GenREZAmounts[REZ Name]) * (Table186[[#This Row],[Technology]]=GenREZAmounts[Technology]), 0),24)</f>
        <v>0</v>
      </c>
      <c r="AA53" s="7" cm="1">
        <f t="array" ref="AA53">INDEX(Table1[], MATCH(1, (Table186[[#This Row],[REZ Name]]=Table1[REZ Name]) * (Table186[[#This Row],[Technology]]=Table1[Technology]), 0),26)-INDEX(GenREZAmounts[],MATCH(1, (Table186[[#This Row],[REZ Name]]=GenREZAmounts[REZ Name]) * (Table186[[#This Row],[Technology]]=GenREZAmounts[Technology]), 0),25)</f>
        <v>0</v>
      </c>
      <c r="AB53" s="7" cm="1">
        <f t="array" ref="AB53">INDEX(Table1[], MATCH(1, (Table186[[#This Row],[REZ Name]]=Table1[REZ Name]) * (Table186[[#This Row],[Technology]]=Table1[Technology]), 0),27)-INDEX(GenREZAmounts[],MATCH(1, (Table186[[#This Row],[REZ Name]]=GenREZAmounts[REZ Name]) * (Table186[[#This Row],[Technology]]=GenREZAmounts[Technology]), 0),26)</f>
        <v>0</v>
      </c>
      <c r="AC53" s="7" cm="1">
        <f t="array" ref="AC53">INDEX(Table1[], MATCH(1, (Table186[[#This Row],[REZ Name]]=Table1[REZ Name]) * (Table186[[#This Row],[Technology]]=Table1[Technology]), 0),28)-INDEX(GenREZAmounts[],MATCH(1, (Table186[[#This Row],[REZ Name]]=GenREZAmounts[REZ Name]) * (Table186[[#This Row],[Technology]]=GenREZAmounts[Technology]), 0),27)</f>
        <v>0</v>
      </c>
      <c r="AD53" s="7" cm="1">
        <f t="array" ref="AD53">INDEX(Table1[], MATCH(1, (Table186[[#This Row],[REZ Name]]=Table1[REZ Name]) * (Table186[[#This Row],[Technology]]=Table1[Technology]), 0),29)-INDEX(GenREZAmounts[],MATCH(1, (Table186[[#This Row],[REZ Name]]=GenREZAmounts[REZ Name]) * (Table186[[#This Row],[Technology]]=GenREZAmounts[Technology]), 0),28)</f>
        <v>0</v>
      </c>
      <c r="AE53" s="7" cm="1">
        <f t="array" ref="AE53">INDEX(Table1[], MATCH(1, (Table186[[#This Row],[REZ Name]]=Table1[REZ Name]) * (Table186[[#This Row],[Technology]]=Table1[Technology]), 0),30)-INDEX(GenREZAmounts[],MATCH(1, (Table186[[#This Row],[REZ Name]]=GenREZAmounts[REZ Name]) * (Table186[[#This Row],[Technology]]=GenREZAmounts[Technology]), 0),29)</f>
        <v>0</v>
      </c>
      <c r="AF53" s="7" cm="1">
        <f t="array" ref="AF53">INDEX(Table1[], MATCH(1, (Table186[[#This Row],[REZ Name]]=Table1[REZ Name]) * (Table186[[#This Row],[Technology]]=Table1[Technology]), 0),31)-INDEX(GenREZAmounts[],MATCH(1, (Table186[[#This Row],[REZ Name]]=GenREZAmounts[REZ Name]) * (Table186[[#This Row],[Technology]]=GenREZAmounts[Technology]), 0),30)</f>
        <v>0</v>
      </c>
    </row>
    <row r="54" spans="2:32" x14ac:dyDescent="0.35">
      <c r="B54" s="7" t="s">
        <v>163</v>
      </c>
      <c r="C54" s="7" t="s">
        <v>164</v>
      </c>
      <c r="D54" s="7" t="s">
        <v>5</v>
      </c>
      <c r="E54" s="7" cm="1">
        <f t="array" ref="E54">INDEX(Table1[], MATCH(1, (Table186[[#This Row],[REZ Name]]=Table1[REZ Name]) * (Table186[[#This Row],[Technology]]=Table1[Technology]), 0),4)-INDEX(GenREZAmounts[],MATCH(1, (Table186[[#This Row],[REZ Name]]=GenREZAmounts[REZ Name]) * (Table186[[#This Row],[Technology]]=GenREZAmounts[Technology]), 0),3)</f>
        <v>0</v>
      </c>
      <c r="F54" s="7" cm="1">
        <f t="array" ref="F54">INDEX(Table1[], MATCH(1, (Table186[[#This Row],[REZ Name]]=Table1[REZ Name]) * (Table186[[#This Row],[Technology]]=Table1[Technology]), 0),5)-INDEX(GenREZAmounts[],MATCH(1, (Table186[[#This Row],[REZ Name]]=GenREZAmounts[REZ Name]) * (Table186[[#This Row],[Technology]]=GenREZAmounts[Technology]), 0),4)</f>
        <v>0</v>
      </c>
      <c r="G54" s="7" cm="1">
        <f t="array" ref="G54">INDEX(Table1[], MATCH(1, (Table186[[#This Row],[REZ Name]]=Table1[REZ Name]) * (Table186[[#This Row],[Technology]]=Table1[Technology]), 0),6)-INDEX(GenREZAmounts[],MATCH(1, (Table186[[#This Row],[REZ Name]]=GenREZAmounts[REZ Name]) * (Table186[[#This Row],[Technology]]=GenREZAmounts[Technology]), 0),5)</f>
        <v>0</v>
      </c>
      <c r="H54" s="7" cm="1">
        <f t="array" ref="H54">INDEX(Table1[], MATCH(1, (Table186[[#This Row],[REZ Name]]=Table1[REZ Name]) * (Table186[[#This Row],[Technology]]=Table1[Technology]), 0),7)-INDEX(GenREZAmounts[],MATCH(1, (Table186[[#This Row],[REZ Name]]=GenREZAmounts[REZ Name]) * (Table186[[#This Row],[Technology]]=GenREZAmounts[Technology]), 0),6)</f>
        <v>0</v>
      </c>
      <c r="I54" s="7" cm="1">
        <f t="array" ref="I54">INDEX(Table1[], MATCH(1, (Table186[[#This Row],[REZ Name]]=Table1[REZ Name]) * (Table186[[#This Row],[Technology]]=Table1[Technology]), 0),8)-INDEX(GenREZAmounts[],MATCH(1, (Table186[[#This Row],[REZ Name]]=GenREZAmounts[REZ Name]) * (Table186[[#This Row],[Technology]]=GenREZAmounts[Technology]), 0),7)</f>
        <v>0</v>
      </c>
      <c r="J54" s="7" cm="1">
        <f t="array" ref="J54">INDEX(Table1[], MATCH(1, (Table186[[#This Row],[REZ Name]]=Table1[REZ Name]) * (Table186[[#This Row],[Technology]]=Table1[Technology]), 0),9)-INDEX(GenREZAmounts[],MATCH(1, (Table186[[#This Row],[REZ Name]]=GenREZAmounts[REZ Name]) * (Table186[[#This Row],[Technology]]=GenREZAmounts[Technology]), 0),8)</f>
        <v>0</v>
      </c>
      <c r="K54" s="7" cm="1">
        <f t="array" ref="K54">INDEX(Table1[], MATCH(1, (Table186[[#This Row],[REZ Name]]=Table1[REZ Name]) * (Table186[[#This Row],[Technology]]=Table1[Technology]), 0),10)-INDEX(GenREZAmounts[],MATCH(1, (Table186[[#This Row],[REZ Name]]=GenREZAmounts[REZ Name]) * (Table186[[#This Row],[Technology]]=GenREZAmounts[Technology]), 0),9)</f>
        <v>0</v>
      </c>
      <c r="L54" s="7" cm="1">
        <f t="array" ref="L54">INDEX(Table1[], MATCH(1, (Table186[[#This Row],[REZ Name]]=Table1[REZ Name]) * (Table186[[#This Row],[Technology]]=Table1[Technology]), 0),11)-INDEX(GenREZAmounts[],MATCH(1, (Table186[[#This Row],[REZ Name]]=GenREZAmounts[REZ Name]) * (Table186[[#This Row],[Technology]]=GenREZAmounts[Technology]), 0),10)</f>
        <v>0</v>
      </c>
      <c r="M54" s="7" cm="1">
        <f t="array" ref="M54">INDEX(Table1[], MATCH(1, (Table186[[#This Row],[REZ Name]]=Table1[REZ Name]) * (Table186[[#This Row],[Technology]]=Table1[Technology]), 0),12)-INDEX(GenREZAmounts[],MATCH(1, (Table186[[#This Row],[REZ Name]]=GenREZAmounts[REZ Name]) * (Table186[[#This Row],[Technology]]=GenREZAmounts[Technology]), 0),11)</f>
        <v>0</v>
      </c>
      <c r="N54" s="7" cm="1">
        <f t="array" ref="N54">INDEX(Table1[], MATCH(1, (Table186[[#This Row],[REZ Name]]=Table1[REZ Name]) * (Table186[[#This Row],[Technology]]=Table1[Technology]), 0),13)-INDEX(GenREZAmounts[],MATCH(1, (Table186[[#This Row],[REZ Name]]=GenREZAmounts[REZ Name]) * (Table186[[#This Row],[Technology]]=GenREZAmounts[Technology]), 0),12)</f>
        <v>0</v>
      </c>
      <c r="O54" s="7" cm="1">
        <f t="array" ref="O54">INDEX(Table1[], MATCH(1, (Table186[[#This Row],[REZ Name]]=Table1[REZ Name]) * (Table186[[#This Row],[Technology]]=Table1[Technology]), 0),14)-INDEX(GenREZAmounts[],MATCH(1, (Table186[[#This Row],[REZ Name]]=GenREZAmounts[REZ Name]) * (Table186[[#This Row],[Technology]]=GenREZAmounts[Technology]), 0),13)</f>
        <v>0</v>
      </c>
      <c r="P54" s="7" cm="1">
        <f t="array" ref="P54">INDEX(Table1[], MATCH(1, (Table186[[#This Row],[REZ Name]]=Table1[REZ Name]) * (Table186[[#This Row],[Technology]]=Table1[Technology]), 0),15)-INDEX(GenREZAmounts[],MATCH(1, (Table186[[#This Row],[REZ Name]]=GenREZAmounts[REZ Name]) * (Table186[[#This Row],[Technology]]=GenREZAmounts[Technology]), 0),14)</f>
        <v>0</v>
      </c>
      <c r="Q54" s="7" cm="1">
        <f t="array" ref="Q54">INDEX(Table1[], MATCH(1, (Table186[[#This Row],[REZ Name]]=Table1[REZ Name]) * (Table186[[#This Row],[Technology]]=Table1[Technology]), 0),16)-INDEX(GenREZAmounts[],MATCH(1, (Table186[[#This Row],[REZ Name]]=GenREZAmounts[REZ Name]) * (Table186[[#This Row],[Technology]]=GenREZAmounts[Technology]), 0),15)</f>
        <v>0</v>
      </c>
      <c r="R54" s="7" cm="1">
        <f t="array" ref="R54">INDEX(Table1[], MATCH(1, (Table186[[#This Row],[REZ Name]]=Table1[REZ Name]) * (Table186[[#This Row],[Technology]]=Table1[Technology]), 0),17)-INDEX(GenREZAmounts[],MATCH(1, (Table186[[#This Row],[REZ Name]]=GenREZAmounts[REZ Name]) * (Table186[[#This Row],[Technology]]=GenREZAmounts[Technology]), 0),16)</f>
        <v>0</v>
      </c>
      <c r="S54" s="7" cm="1">
        <f t="array" ref="S54">INDEX(Table1[], MATCH(1, (Table186[[#This Row],[REZ Name]]=Table1[REZ Name]) * (Table186[[#This Row],[Technology]]=Table1[Technology]), 0),18)-INDEX(GenREZAmounts[],MATCH(1, (Table186[[#This Row],[REZ Name]]=GenREZAmounts[REZ Name]) * (Table186[[#This Row],[Technology]]=GenREZAmounts[Technology]), 0),17)</f>
        <v>0</v>
      </c>
      <c r="T54" s="7" cm="1">
        <f t="array" ref="T54">INDEX(Table1[], MATCH(1, (Table186[[#This Row],[REZ Name]]=Table1[REZ Name]) * (Table186[[#This Row],[Technology]]=Table1[Technology]), 0),19)-INDEX(GenREZAmounts[],MATCH(1, (Table186[[#This Row],[REZ Name]]=GenREZAmounts[REZ Name]) * (Table186[[#This Row],[Technology]]=GenREZAmounts[Technology]), 0),18)</f>
        <v>0</v>
      </c>
      <c r="U54" s="7" cm="1">
        <f t="array" ref="U54">INDEX(Table1[], MATCH(1, (Table186[[#This Row],[REZ Name]]=Table1[REZ Name]) * (Table186[[#This Row],[Technology]]=Table1[Technology]), 0),20)-INDEX(GenREZAmounts[],MATCH(1, (Table186[[#This Row],[REZ Name]]=GenREZAmounts[REZ Name]) * (Table186[[#This Row],[Technology]]=GenREZAmounts[Technology]), 0),19)</f>
        <v>0</v>
      </c>
      <c r="V54" s="7" cm="1">
        <f t="array" ref="V54">INDEX(Table1[], MATCH(1, (Table186[[#This Row],[REZ Name]]=Table1[REZ Name]) * (Table186[[#This Row],[Technology]]=Table1[Technology]), 0),21)-INDEX(GenREZAmounts[],MATCH(1, (Table186[[#This Row],[REZ Name]]=GenREZAmounts[REZ Name]) * (Table186[[#This Row],[Technology]]=GenREZAmounts[Technology]), 0),20)</f>
        <v>0</v>
      </c>
      <c r="W54" s="7" cm="1">
        <f t="array" ref="W54">INDEX(Table1[], MATCH(1, (Table186[[#This Row],[REZ Name]]=Table1[REZ Name]) * (Table186[[#This Row],[Technology]]=Table1[Technology]), 0),22)-INDEX(GenREZAmounts[],MATCH(1, (Table186[[#This Row],[REZ Name]]=GenREZAmounts[REZ Name]) * (Table186[[#This Row],[Technology]]=GenREZAmounts[Technology]), 0),21)</f>
        <v>0</v>
      </c>
      <c r="X54" s="7" cm="1">
        <f t="array" ref="X54">INDEX(Table1[], MATCH(1, (Table186[[#This Row],[REZ Name]]=Table1[REZ Name]) * (Table186[[#This Row],[Technology]]=Table1[Technology]), 0),23)-INDEX(GenREZAmounts[],MATCH(1, (Table186[[#This Row],[REZ Name]]=GenREZAmounts[REZ Name]) * (Table186[[#This Row],[Technology]]=GenREZAmounts[Technology]), 0),22)</f>
        <v>478.77152199</v>
      </c>
      <c r="Y54" s="7" cm="1">
        <f t="array" ref="Y54">INDEX(Table1[], MATCH(1, (Table186[[#This Row],[REZ Name]]=Table1[REZ Name]) * (Table186[[#This Row],[Technology]]=Table1[Technology]), 0),24)-INDEX(GenREZAmounts[],MATCH(1, (Table186[[#This Row],[REZ Name]]=GenREZAmounts[REZ Name]) * (Table186[[#This Row],[Technology]]=GenREZAmounts[Technology]), 0),23)</f>
        <v>508.00792293000001</v>
      </c>
      <c r="Z54" s="7" cm="1">
        <f t="array" ref="Z54">INDEX(Table1[], MATCH(1, (Table186[[#This Row],[REZ Name]]=Table1[REZ Name]) * (Table186[[#This Row],[Technology]]=Table1[Technology]), 0),25)-INDEX(GenREZAmounts[],MATCH(1, (Table186[[#This Row],[REZ Name]]=GenREZAmounts[REZ Name]) * (Table186[[#This Row],[Technology]]=GenREZAmounts[Technology]), 0),24)</f>
        <v>508.00792293000001</v>
      </c>
      <c r="AA54" s="7" cm="1">
        <f t="array" ref="AA54">INDEX(Table1[], MATCH(1, (Table186[[#This Row],[REZ Name]]=Table1[REZ Name]) * (Table186[[#This Row],[Technology]]=Table1[Technology]), 0),26)-INDEX(GenREZAmounts[],MATCH(1, (Table186[[#This Row],[REZ Name]]=GenREZAmounts[REZ Name]) * (Table186[[#This Row],[Technology]]=GenREZAmounts[Technology]), 0),25)</f>
        <v>508.00792293000001</v>
      </c>
      <c r="AB54" s="7" cm="1">
        <f t="array" ref="AB54">INDEX(Table1[], MATCH(1, (Table186[[#This Row],[REZ Name]]=Table1[REZ Name]) * (Table186[[#This Row],[Technology]]=Table1[Technology]), 0),27)-INDEX(GenREZAmounts[],MATCH(1, (Table186[[#This Row],[REZ Name]]=GenREZAmounts[REZ Name]) * (Table186[[#This Row],[Technology]]=GenREZAmounts[Technology]), 0),26)</f>
        <v>508.00792293000001</v>
      </c>
      <c r="AC54" s="7" cm="1">
        <f t="array" ref="AC54">INDEX(Table1[], MATCH(1, (Table186[[#This Row],[REZ Name]]=Table1[REZ Name]) * (Table186[[#This Row],[Technology]]=Table1[Technology]), 0),28)-INDEX(GenREZAmounts[],MATCH(1, (Table186[[#This Row],[REZ Name]]=GenREZAmounts[REZ Name]) * (Table186[[#This Row],[Technology]]=GenREZAmounts[Technology]), 0),27)</f>
        <v>589.23869797999998</v>
      </c>
      <c r="AD54" s="7" cm="1">
        <f t="array" ref="AD54">INDEX(Table1[], MATCH(1, (Table186[[#This Row],[REZ Name]]=Table1[REZ Name]) * (Table186[[#This Row],[Technology]]=Table1[Technology]), 0),29)-INDEX(GenREZAmounts[],MATCH(1, (Table186[[#This Row],[REZ Name]]=GenREZAmounts[REZ Name]) * (Table186[[#This Row],[Technology]]=GenREZAmounts[Technology]), 0),28)</f>
        <v>589.23869797999998</v>
      </c>
      <c r="AE54" s="7" cm="1">
        <f t="array" ref="AE54">INDEX(Table1[], MATCH(1, (Table186[[#This Row],[REZ Name]]=Table1[REZ Name]) * (Table186[[#This Row],[Technology]]=Table1[Technology]), 0),30)-INDEX(GenREZAmounts[],MATCH(1, (Table186[[#This Row],[REZ Name]]=GenREZAmounts[REZ Name]) * (Table186[[#This Row],[Technology]]=GenREZAmounts[Technology]), 0),29)</f>
        <v>589.23869797999998</v>
      </c>
      <c r="AF54" s="7" cm="1">
        <f t="array" ref="AF54">INDEX(Table1[], MATCH(1, (Table186[[#This Row],[REZ Name]]=Table1[REZ Name]) * (Table186[[#This Row],[Technology]]=Table1[Technology]), 0),31)-INDEX(GenREZAmounts[],MATCH(1, (Table186[[#This Row],[REZ Name]]=GenREZAmounts[REZ Name]) * (Table186[[#This Row],[Technology]]=GenREZAmounts[Technology]), 0),30)</f>
        <v>589.23869797999998</v>
      </c>
    </row>
    <row r="55" spans="2:32" x14ac:dyDescent="0.35">
      <c r="B55" s="7" t="s">
        <v>165</v>
      </c>
      <c r="C55" s="7" t="s">
        <v>125</v>
      </c>
      <c r="D55" s="7" t="s">
        <v>5</v>
      </c>
      <c r="E55" s="7" cm="1">
        <f t="array" ref="E55">INDEX(Table1[], MATCH(1, (Table186[[#This Row],[REZ Name]]=Table1[REZ Name]) * (Table186[[#This Row],[Technology]]=Table1[Technology]), 0),4)-INDEX(GenREZAmounts[],MATCH(1, (Table186[[#This Row],[REZ Name]]=GenREZAmounts[REZ Name]) * (Table186[[#This Row],[Technology]]=GenREZAmounts[Technology]), 0),3)</f>
        <v>0</v>
      </c>
      <c r="F55" s="7" cm="1">
        <f t="array" ref="F55">INDEX(Table1[], MATCH(1, (Table186[[#This Row],[REZ Name]]=Table1[REZ Name]) * (Table186[[#This Row],[Technology]]=Table1[Technology]), 0),5)-INDEX(GenREZAmounts[],MATCH(1, (Table186[[#This Row],[REZ Name]]=GenREZAmounts[REZ Name]) * (Table186[[#This Row],[Technology]]=GenREZAmounts[Technology]), 0),4)</f>
        <v>95.100000000000023</v>
      </c>
      <c r="G55" s="7" cm="1">
        <f t="array" ref="G55">INDEX(Table1[], MATCH(1, (Table186[[#This Row],[REZ Name]]=Table1[REZ Name]) * (Table186[[#This Row],[Technology]]=Table1[Technology]), 0),6)-INDEX(GenREZAmounts[],MATCH(1, (Table186[[#This Row],[REZ Name]]=GenREZAmounts[REZ Name]) * (Table186[[#This Row],[Technology]]=GenREZAmounts[Technology]), 0),5)</f>
        <v>245.14000146000001</v>
      </c>
      <c r="H55" s="7" cm="1">
        <f t="array" ref="H55">INDEX(Table1[], MATCH(1, (Table186[[#This Row],[REZ Name]]=Table1[REZ Name]) * (Table186[[#This Row],[Technology]]=Table1[Technology]), 0),7)-INDEX(GenREZAmounts[],MATCH(1, (Table186[[#This Row],[REZ Name]]=GenREZAmounts[REZ Name]) * (Table186[[#This Row],[Technology]]=GenREZAmounts[Technology]), 0),6)</f>
        <v>245.14000283999997</v>
      </c>
      <c r="I55" s="7" cm="1">
        <f t="array" ref="I55">INDEX(Table1[], MATCH(1, (Table186[[#This Row],[REZ Name]]=Table1[REZ Name]) * (Table186[[#This Row],[Technology]]=Table1[Technology]), 0),8)-INDEX(GenREZAmounts[],MATCH(1, (Table186[[#This Row],[REZ Name]]=GenREZAmounts[REZ Name]) * (Table186[[#This Row],[Technology]]=GenREZAmounts[Technology]), 0),7)</f>
        <v>245.14000521000003</v>
      </c>
      <c r="J55" s="7" cm="1">
        <f t="array" ref="J55">INDEX(Table1[], MATCH(1, (Table186[[#This Row],[REZ Name]]=Table1[REZ Name]) * (Table186[[#This Row],[Technology]]=Table1[Technology]), 0),9)-INDEX(GenREZAmounts[],MATCH(1, (Table186[[#This Row],[REZ Name]]=GenREZAmounts[REZ Name]) * (Table186[[#This Row],[Technology]]=GenREZAmounts[Technology]), 0),8)</f>
        <v>601.82723156999998</v>
      </c>
      <c r="K55" s="7" cm="1">
        <f t="array" ref="K55">INDEX(Table1[], MATCH(1, (Table186[[#This Row],[REZ Name]]=Table1[REZ Name]) * (Table186[[#This Row],[Technology]]=Table1[Technology]), 0),10)-INDEX(GenREZAmounts[],MATCH(1, (Table186[[#This Row],[REZ Name]]=GenREZAmounts[REZ Name]) * (Table186[[#This Row],[Technology]]=GenREZAmounts[Technology]), 0),9)</f>
        <v>601.82723156999998</v>
      </c>
      <c r="L55" s="7" cm="1">
        <f t="array" ref="L55">INDEX(Table1[], MATCH(1, (Table186[[#This Row],[REZ Name]]=Table1[REZ Name]) * (Table186[[#This Row],[Technology]]=Table1[Technology]), 0),11)-INDEX(GenREZAmounts[],MATCH(1, (Table186[[#This Row],[REZ Name]]=GenREZAmounts[REZ Name]) * (Table186[[#This Row],[Technology]]=GenREZAmounts[Technology]), 0),10)</f>
        <v>601.82723156999998</v>
      </c>
      <c r="M55" s="7" cm="1">
        <f t="array" ref="M55">INDEX(Table1[], MATCH(1, (Table186[[#This Row],[REZ Name]]=Table1[REZ Name]) * (Table186[[#This Row],[Technology]]=Table1[Technology]), 0),12)-INDEX(GenREZAmounts[],MATCH(1, (Table186[[#This Row],[REZ Name]]=GenREZAmounts[REZ Name]) * (Table186[[#This Row],[Technology]]=GenREZAmounts[Technology]), 0),11)</f>
        <v>601.82723156999998</v>
      </c>
      <c r="N55" s="7" cm="1">
        <f t="array" ref="N55">INDEX(Table1[], MATCH(1, (Table186[[#This Row],[REZ Name]]=Table1[REZ Name]) * (Table186[[#This Row],[Technology]]=Table1[Technology]), 0),13)-INDEX(GenREZAmounts[],MATCH(1, (Table186[[#This Row],[REZ Name]]=GenREZAmounts[REZ Name]) * (Table186[[#This Row],[Technology]]=GenREZAmounts[Technology]), 0),12)</f>
        <v>601.82723156999998</v>
      </c>
      <c r="O55" s="7" cm="1">
        <f t="array" ref="O55">INDEX(Table1[], MATCH(1, (Table186[[#This Row],[REZ Name]]=Table1[REZ Name]) * (Table186[[#This Row],[Technology]]=Table1[Technology]), 0),14)-INDEX(GenREZAmounts[],MATCH(1, (Table186[[#This Row],[REZ Name]]=GenREZAmounts[REZ Name]) * (Table186[[#This Row],[Technology]]=GenREZAmounts[Technology]), 0),13)</f>
        <v>1582.6456026000001</v>
      </c>
      <c r="P55" s="7" cm="1">
        <f t="array" ref="P55">INDEX(Table1[], MATCH(1, (Table186[[#This Row],[REZ Name]]=Table1[REZ Name]) * (Table186[[#This Row],[Technology]]=Table1[Technology]), 0),15)-INDEX(GenREZAmounts[],MATCH(1, (Table186[[#This Row],[REZ Name]]=GenREZAmounts[REZ Name]) * (Table186[[#This Row],[Technology]]=GenREZAmounts[Technology]), 0),14)</f>
        <v>1582.6456026000001</v>
      </c>
      <c r="Q55" s="7" cm="1">
        <f t="array" ref="Q55">INDEX(Table1[], MATCH(1, (Table186[[#This Row],[REZ Name]]=Table1[REZ Name]) * (Table186[[#This Row],[Technology]]=Table1[Technology]), 0),16)-INDEX(GenREZAmounts[],MATCH(1, (Table186[[#This Row],[REZ Name]]=GenREZAmounts[REZ Name]) * (Table186[[#This Row],[Technology]]=GenREZAmounts[Technology]), 0),15)</f>
        <v>1649.6671415200003</v>
      </c>
      <c r="R55" s="7" cm="1">
        <f t="array" ref="R55">INDEX(Table1[], MATCH(1, (Table186[[#This Row],[REZ Name]]=Table1[REZ Name]) * (Table186[[#This Row],[Technology]]=Table1[Technology]), 0),17)-INDEX(GenREZAmounts[],MATCH(1, (Table186[[#This Row],[REZ Name]]=GenREZAmounts[REZ Name]) * (Table186[[#This Row],[Technology]]=GenREZAmounts[Technology]), 0),16)</f>
        <v>1649.6671415200003</v>
      </c>
      <c r="S55" s="7" cm="1">
        <f t="array" ref="S55">INDEX(Table1[], MATCH(1, (Table186[[#This Row],[REZ Name]]=Table1[REZ Name]) * (Table186[[#This Row],[Technology]]=Table1[Technology]), 0),18)-INDEX(GenREZAmounts[],MATCH(1, (Table186[[#This Row],[REZ Name]]=GenREZAmounts[REZ Name]) * (Table186[[#This Row],[Technology]]=GenREZAmounts[Technology]), 0),17)</f>
        <v>1649.6671415200003</v>
      </c>
      <c r="T55" s="7" cm="1">
        <f t="array" ref="T55">INDEX(Table1[], MATCH(1, (Table186[[#This Row],[REZ Name]]=Table1[REZ Name]) * (Table186[[#This Row],[Technology]]=Table1[Technology]), 0),19)-INDEX(GenREZAmounts[],MATCH(1, (Table186[[#This Row],[REZ Name]]=GenREZAmounts[REZ Name]) * (Table186[[#This Row],[Technology]]=GenREZAmounts[Technology]), 0),18)</f>
        <v>1649.6671415200003</v>
      </c>
      <c r="U55" s="7" cm="1">
        <f t="array" ref="U55">INDEX(Table1[], MATCH(1, (Table186[[#This Row],[REZ Name]]=Table1[REZ Name]) * (Table186[[#This Row],[Technology]]=Table1[Technology]), 0),20)-INDEX(GenREZAmounts[],MATCH(1, (Table186[[#This Row],[REZ Name]]=GenREZAmounts[REZ Name]) * (Table186[[#This Row],[Technology]]=GenREZAmounts[Technology]), 0),19)</f>
        <v>1795.5536854900001</v>
      </c>
      <c r="V55" s="7" cm="1">
        <f t="array" ref="V55">INDEX(Table1[], MATCH(1, (Table186[[#This Row],[REZ Name]]=Table1[REZ Name]) * (Table186[[#This Row],[Technology]]=Table1[Technology]), 0),21)-INDEX(GenREZAmounts[],MATCH(1, (Table186[[#This Row],[REZ Name]]=GenREZAmounts[REZ Name]) * (Table186[[#This Row],[Technology]]=GenREZAmounts[Technology]), 0),20)</f>
        <v>1795.5536854900001</v>
      </c>
      <c r="W55" s="7" cm="1">
        <f t="array" ref="W55">INDEX(Table1[], MATCH(1, (Table186[[#This Row],[REZ Name]]=Table1[REZ Name]) * (Table186[[#This Row],[Technology]]=Table1[Technology]), 0),22)-INDEX(GenREZAmounts[],MATCH(1, (Table186[[#This Row],[REZ Name]]=GenREZAmounts[REZ Name]) * (Table186[[#This Row],[Technology]]=GenREZAmounts[Technology]), 0),21)</f>
        <v>2544.4145647600003</v>
      </c>
      <c r="X55" s="7" cm="1">
        <f t="array" ref="X55">INDEX(Table1[], MATCH(1, (Table186[[#This Row],[REZ Name]]=Table1[REZ Name]) * (Table186[[#This Row],[Technology]]=Table1[Technology]), 0),23)-INDEX(GenREZAmounts[],MATCH(1, (Table186[[#This Row],[REZ Name]]=GenREZAmounts[REZ Name]) * (Table186[[#This Row],[Technology]]=GenREZAmounts[Technology]), 0),22)</f>
        <v>3131.8394641999998</v>
      </c>
      <c r="Y55" s="7" cm="1">
        <f t="array" ref="Y55">INDEX(Table1[], MATCH(1, (Table186[[#This Row],[REZ Name]]=Table1[REZ Name]) * (Table186[[#This Row],[Technology]]=Table1[Technology]), 0),24)-INDEX(GenREZAmounts[],MATCH(1, (Table186[[#This Row],[REZ Name]]=GenREZAmounts[REZ Name]) * (Table186[[#This Row],[Technology]]=GenREZAmounts[Technology]), 0),23)</f>
        <v>3992.4764828799998</v>
      </c>
      <c r="Z55" s="7" cm="1">
        <f t="array" ref="Z55">INDEX(Table1[], MATCH(1, (Table186[[#This Row],[REZ Name]]=Table1[REZ Name]) * (Table186[[#This Row],[Technology]]=Table1[Technology]), 0),25)-INDEX(GenREZAmounts[],MATCH(1, (Table186[[#This Row],[REZ Name]]=GenREZAmounts[REZ Name]) * (Table186[[#This Row],[Technology]]=GenREZAmounts[Technology]), 0),24)</f>
        <v>3992.4764828799998</v>
      </c>
      <c r="AA55" s="7" cm="1">
        <f t="array" ref="AA55">INDEX(Table1[], MATCH(1, (Table186[[#This Row],[REZ Name]]=Table1[REZ Name]) * (Table186[[#This Row],[Technology]]=Table1[Technology]), 0),26)-INDEX(GenREZAmounts[],MATCH(1, (Table186[[#This Row],[REZ Name]]=GenREZAmounts[REZ Name]) * (Table186[[#This Row],[Technology]]=GenREZAmounts[Technology]), 0),25)</f>
        <v>3992.4764828799998</v>
      </c>
      <c r="AB55" s="7" cm="1">
        <f t="array" ref="AB55">INDEX(Table1[], MATCH(1, (Table186[[#This Row],[REZ Name]]=Table1[REZ Name]) * (Table186[[#This Row],[Technology]]=Table1[Technology]), 0),27)-INDEX(GenREZAmounts[],MATCH(1, (Table186[[#This Row],[REZ Name]]=GenREZAmounts[REZ Name]) * (Table186[[#This Row],[Technology]]=GenREZAmounts[Technology]), 0),26)</f>
        <v>3992.4764828799998</v>
      </c>
      <c r="AC55" s="7" cm="1">
        <f t="array" ref="AC55">INDEX(Table1[], MATCH(1, (Table186[[#This Row],[REZ Name]]=Table1[REZ Name]) * (Table186[[#This Row],[Technology]]=Table1[Technology]), 0),28)-INDEX(GenREZAmounts[],MATCH(1, (Table186[[#This Row],[REZ Name]]=GenREZAmounts[REZ Name]) * (Table186[[#This Row],[Technology]]=GenREZAmounts[Technology]), 0),27)</f>
        <v>4185.426744469999</v>
      </c>
      <c r="AD55" s="7" cm="1">
        <f t="array" ref="AD55">INDEX(Table1[], MATCH(1, (Table186[[#This Row],[REZ Name]]=Table1[REZ Name]) * (Table186[[#This Row],[Technology]]=Table1[Technology]), 0),29)-INDEX(GenREZAmounts[],MATCH(1, (Table186[[#This Row],[REZ Name]]=GenREZAmounts[REZ Name]) * (Table186[[#This Row],[Technology]]=GenREZAmounts[Technology]), 0),28)</f>
        <v>4185.4267444699999</v>
      </c>
      <c r="AE55" s="7" cm="1">
        <f t="array" ref="AE55">INDEX(Table1[], MATCH(1, (Table186[[#This Row],[REZ Name]]=Table1[REZ Name]) * (Table186[[#This Row],[Technology]]=Table1[Technology]), 0),30)-INDEX(GenREZAmounts[],MATCH(1, (Table186[[#This Row],[REZ Name]]=GenREZAmounts[REZ Name]) * (Table186[[#This Row],[Technology]]=GenREZAmounts[Technology]), 0),29)</f>
        <v>4474.60327891</v>
      </c>
      <c r="AF55" s="7" cm="1">
        <f t="array" ref="AF55">INDEX(Table1[], MATCH(1, (Table186[[#This Row],[REZ Name]]=Table1[REZ Name]) * (Table186[[#This Row],[Technology]]=Table1[Technology]), 0),31)-INDEX(GenREZAmounts[],MATCH(1, (Table186[[#This Row],[REZ Name]]=GenREZAmounts[REZ Name]) * (Table186[[#This Row],[Technology]]=GenREZAmounts[Technology]), 0),30)</f>
        <v>4474.60327891</v>
      </c>
    </row>
    <row r="56" spans="2:32" x14ac:dyDescent="0.35">
      <c r="B56" s="7" t="s">
        <v>166</v>
      </c>
      <c r="C56" s="7" t="s">
        <v>152</v>
      </c>
      <c r="D56" s="7" t="s">
        <v>5</v>
      </c>
      <c r="E56" s="7" cm="1">
        <f t="array" ref="E56">INDEX(Table1[], MATCH(1, (Table186[[#This Row],[REZ Name]]=Table1[REZ Name]) * (Table186[[#This Row],[Technology]]=Table1[Technology]), 0),4)-INDEX(GenREZAmounts[],MATCH(1, (Table186[[#This Row],[REZ Name]]=GenREZAmounts[REZ Name]) * (Table186[[#This Row],[Technology]]=GenREZAmounts[Technology]), 0),3)</f>
        <v>0</v>
      </c>
      <c r="F56" s="7" cm="1">
        <f t="array" ref="F56">INDEX(Table1[], MATCH(1, (Table186[[#This Row],[REZ Name]]=Table1[REZ Name]) * (Table186[[#This Row],[Technology]]=Table1[Technology]), 0),5)-INDEX(GenREZAmounts[],MATCH(1, (Table186[[#This Row],[REZ Name]]=GenREZAmounts[REZ Name]) * (Table186[[#This Row],[Technology]]=GenREZAmounts[Technology]), 0),4)</f>
        <v>0</v>
      </c>
      <c r="G56" s="7" cm="1">
        <f t="array" ref="G56">INDEX(Table1[], MATCH(1, (Table186[[#This Row],[REZ Name]]=Table1[REZ Name]) * (Table186[[#This Row],[Technology]]=Table1[Technology]), 0),6)-INDEX(GenREZAmounts[],MATCH(1, (Table186[[#This Row],[REZ Name]]=GenREZAmounts[REZ Name]) * (Table186[[#This Row],[Technology]]=GenREZAmounts[Technology]), 0),5)</f>
        <v>118.8</v>
      </c>
      <c r="H56" s="7" cm="1">
        <f t="array" ref="H56">INDEX(Table1[], MATCH(1, (Table186[[#This Row],[REZ Name]]=Table1[REZ Name]) * (Table186[[#This Row],[Technology]]=Table1[Technology]), 0),7)-INDEX(GenREZAmounts[],MATCH(1, (Table186[[#This Row],[REZ Name]]=GenREZAmounts[REZ Name]) * (Table186[[#This Row],[Technology]]=GenREZAmounts[Technology]), 0),6)</f>
        <v>118.8</v>
      </c>
      <c r="I56" s="7" cm="1">
        <f t="array" ref="I56">INDEX(Table1[], MATCH(1, (Table186[[#This Row],[REZ Name]]=Table1[REZ Name]) * (Table186[[#This Row],[Technology]]=Table1[Technology]), 0),8)-INDEX(GenREZAmounts[],MATCH(1, (Table186[[#This Row],[REZ Name]]=GenREZAmounts[REZ Name]) * (Table186[[#This Row],[Technology]]=GenREZAmounts[Technology]), 0),7)</f>
        <v>118.8</v>
      </c>
      <c r="J56" s="7" cm="1">
        <f t="array" ref="J56">INDEX(Table1[], MATCH(1, (Table186[[#This Row],[REZ Name]]=Table1[REZ Name]) * (Table186[[#This Row],[Technology]]=Table1[Technology]), 0),9)-INDEX(GenREZAmounts[],MATCH(1, (Table186[[#This Row],[REZ Name]]=GenREZAmounts[REZ Name]) * (Table186[[#This Row],[Technology]]=GenREZAmounts[Technology]), 0),8)</f>
        <v>118.8</v>
      </c>
      <c r="K56" s="7" cm="1">
        <f t="array" ref="K56">INDEX(Table1[], MATCH(1, (Table186[[#This Row],[REZ Name]]=Table1[REZ Name]) * (Table186[[#This Row],[Technology]]=Table1[Technology]), 0),10)-INDEX(GenREZAmounts[],MATCH(1, (Table186[[#This Row],[REZ Name]]=GenREZAmounts[REZ Name]) * (Table186[[#This Row],[Technology]]=GenREZAmounts[Technology]), 0),9)</f>
        <v>118.8</v>
      </c>
      <c r="L56" s="7" cm="1">
        <f t="array" ref="L56">INDEX(Table1[], MATCH(1, (Table186[[#This Row],[REZ Name]]=Table1[REZ Name]) * (Table186[[#This Row],[Technology]]=Table1[Technology]), 0),11)-INDEX(GenREZAmounts[],MATCH(1, (Table186[[#This Row],[REZ Name]]=GenREZAmounts[REZ Name]) * (Table186[[#This Row],[Technology]]=GenREZAmounts[Technology]), 0),10)</f>
        <v>118.8</v>
      </c>
      <c r="M56" s="7" cm="1">
        <f t="array" ref="M56">INDEX(Table1[], MATCH(1, (Table186[[#This Row],[REZ Name]]=Table1[REZ Name]) * (Table186[[#This Row],[Technology]]=Table1[Technology]), 0),12)-INDEX(GenREZAmounts[],MATCH(1, (Table186[[#This Row],[REZ Name]]=GenREZAmounts[REZ Name]) * (Table186[[#This Row],[Technology]]=GenREZAmounts[Technology]), 0),11)</f>
        <v>118.8</v>
      </c>
      <c r="N56" s="7" cm="1">
        <f t="array" ref="N56">INDEX(Table1[], MATCH(1, (Table186[[#This Row],[REZ Name]]=Table1[REZ Name]) * (Table186[[#This Row],[Technology]]=Table1[Technology]), 0),13)-INDEX(GenREZAmounts[],MATCH(1, (Table186[[#This Row],[REZ Name]]=GenREZAmounts[REZ Name]) * (Table186[[#This Row],[Technology]]=GenREZAmounts[Technology]), 0),12)</f>
        <v>118.8</v>
      </c>
      <c r="O56" s="7" cm="1">
        <f t="array" ref="O56">INDEX(Table1[], MATCH(1, (Table186[[#This Row],[REZ Name]]=Table1[REZ Name]) * (Table186[[#This Row],[Technology]]=Table1[Technology]), 0),14)-INDEX(GenREZAmounts[],MATCH(1, (Table186[[#This Row],[REZ Name]]=GenREZAmounts[REZ Name]) * (Table186[[#This Row],[Technology]]=GenREZAmounts[Technology]), 0),13)</f>
        <v>118.8</v>
      </c>
      <c r="P56" s="7" cm="1">
        <f t="array" ref="P56">INDEX(Table1[], MATCH(1, (Table186[[#This Row],[REZ Name]]=Table1[REZ Name]) * (Table186[[#This Row],[Technology]]=Table1[Technology]), 0),15)-INDEX(GenREZAmounts[],MATCH(1, (Table186[[#This Row],[REZ Name]]=GenREZAmounts[REZ Name]) * (Table186[[#This Row],[Technology]]=GenREZAmounts[Technology]), 0),14)</f>
        <v>118.8</v>
      </c>
      <c r="Q56" s="7" cm="1">
        <f t="array" ref="Q56">INDEX(Table1[], MATCH(1, (Table186[[#This Row],[REZ Name]]=Table1[REZ Name]) * (Table186[[#This Row],[Technology]]=Table1[Technology]), 0),16)-INDEX(GenREZAmounts[],MATCH(1, (Table186[[#This Row],[REZ Name]]=GenREZAmounts[REZ Name]) * (Table186[[#This Row],[Technology]]=GenREZAmounts[Technology]), 0),15)</f>
        <v>118.8</v>
      </c>
      <c r="R56" s="7" cm="1">
        <f t="array" ref="R56">INDEX(Table1[], MATCH(1, (Table186[[#This Row],[REZ Name]]=Table1[REZ Name]) * (Table186[[#This Row],[Technology]]=Table1[Technology]), 0),17)-INDEX(GenREZAmounts[],MATCH(1, (Table186[[#This Row],[REZ Name]]=GenREZAmounts[REZ Name]) * (Table186[[#This Row],[Technology]]=GenREZAmounts[Technology]), 0),16)</f>
        <v>118.8</v>
      </c>
      <c r="S56" s="7" cm="1">
        <f t="array" ref="S56">INDEX(Table1[], MATCH(1, (Table186[[#This Row],[REZ Name]]=Table1[REZ Name]) * (Table186[[#This Row],[Technology]]=Table1[Technology]), 0),18)-INDEX(GenREZAmounts[],MATCH(1, (Table186[[#This Row],[REZ Name]]=GenREZAmounts[REZ Name]) * (Table186[[#This Row],[Technology]]=GenREZAmounts[Technology]), 0),17)</f>
        <v>118.8</v>
      </c>
      <c r="T56" s="7" cm="1">
        <f t="array" ref="T56">INDEX(Table1[], MATCH(1, (Table186[[#This Row],[REZ Name]]=Table1[REZ Name]) * (Table186[[#This Row],[Technology]]=Table1[Technology]), 0),19)-INDEX(GenREZAmounts[],MATCH(1, (Table186[[#This Row],[REZ Name]]=GenREZAmounts[REZ Name]) * (Table186[[#This Row],[Technology]]=GenREZAmounts[Technology]), 0),18)</f>
        <v>118.8</v>
      </c>
      <c r="U56" s="7" cm="1">
        <f t="array" ref="U56">INDEX(Table1[], MATCH(1, (Table186[[#This Row],[REZ Name]]=Table1[REZ Name]) * (Table186[[#This Row],[Technology]]=Table1[Technology]), 0),20)-INDEX(GenREZAmounts[],MATCH(1, (Table186[[#This Row],[REZ Name]]=GenREZAmounts[REZ Name]) * (Table186[[#This Row],[Technology]]=GenREZAmounts[Technology]), 0),19)</f>
        <v>118.8</v>
      </c>
      <c r="V56" s="7" cm="1">
        <f t="array" ref="V56">INDEX(Table1[], MATCH(1, (Table186[[#This Row],[REZ Name]]=Table1[REZ Name]) * (Table186[[#This Row],[Technology]]=Table1[Technology]), 0),21)-INDEX(GenREZAmounts[],MATCH(1, (Table186[[#This Row],[REZ Name]]=GenREZAmounts[REZ Name]) * (Table186[[#This Row],[Technology]]=GenREZAmounts[Technology]), 0),20)</f>
        <v>118.8</v>
      </c>
      <c r="W56" s="7" cm="1">
        <f t="array" ref="W56">INDEX(Table1[], MATCH(1, (Table186[[#This Row],[REZ Name]]=Table1[REZ Name]) * (Table186[[#This Row],[Technology]]=Table1[Technology]), 0),22)-INDEX(GenREZAmounts[],MATCH(1, (Table186[[#This Row],[REZ Name]]=GenREZAmounts[REZ Name]) * (Table186[[#This Row],[Technology]]=GenREZAmounts[Technology]), 0),21)</f>
        <v>118.8</v>
      </c>
      <c r="X56" s="7" cm="1">
        <f t="array" ref="X56">INDEX(Table1[], MATCH(1, (Table186[[#This Row],[REZ Name]]=Table1[REZ Name]) * (Table186[[#This Row],[Technology]]=Table1[Technology]), 0),23)-INDEX(GenREZAmounts[],MATCH(1, (Table186[[#This Row],[REZ Name]]=GenREZAmounts[REZ Name]) * (Table186[[#This Row],[Technology]]=GenREZAmounts[Technology]), 0),22)</f>
        <v>118.8</v>
      </c>
      <c r="Y56" s="7" cm="1">
        <f t="array" ref="Y56">INDEX(Table1[], MATCH(1, (Table186[[#This Row],[REZ Name]]=Table1[REZ Name]) * (Table186[[#This Row],[Technology]]=Table1[Technology]), 0),24)-INDEX(GenREZAmounts[],MATCH(1, (Table186[[#This Row],[REZ Name]]=GenREZAmounts[REZ Name]) * (Table186[[#This Row],[Technology]]=GenREZAmounts[Technology]), 0),23)</f>
        <v>118.8</v>
      </c>
      <c r="Z56" s="7" cm="1">
        <f t="array" ref="Z56">INDEX(Table1[], MATCH(1, (Table186[[#This Row],[REZ Name]]=Table1[REZ Name]) * (Table186[[#This Row],[Technology]]=Table1[Technology]), 0),25)-INDEX(GenREZAmounts[],MATCH(1, (Table186[[#This Row],[REZ Name]]=GenREZAmounts[REZ Name]) * (Table186[[#This Row],[Technology]]=GenREZAmounts[Technology]), 0),24)</f>
        <v>118.8</v>
      </c>
      <c r="AA56" s="7" cm="1">
        <f t="array" ref="AA56">INDEX(Table1[], MATCH(1, (Table186[[#This Row],[REZ Name]]=Table1[REZ Name]) * (Table186[[#This Row],[Technology]]=Table1[Technology]), 0),26)-INDEX(GenREZAmounts[],MATCH(1, (Table186[[#This Row],[REZ Name]]=GenREZAmounts[REZ Name]) * (Table186[[#This Row],[Technology]]=GenREZAmounts[Technology]), 0),25)</f>
        <v>118.8</v>
      </c>
      <c r="AB56" s="7" cm="1">
        <f t="array" ref="AB56">INDEX(Table1[], MATCH(1, (Table186[[#This Row],[REZ Name]]=Table1[REZ Name]) * (Table186[[#This Row],[Technology]]=Table1[Technology]), 0),27)-INDEX(GenREZAmounts[],MATCH(1, (Table186[[#This Row],[REZ Name]]=GenREZAmounts[REZ Name]) * (Table186[[#This Row],[Technology]]=GenREZAmounts[Technology]), 0),26)</f>
        <v>118.8</v>
      </c>
      <c r="AC56" s="7" cm="1">
        <f t="array" ref="AC56">INDEX(Table1[], MATCH(1, (Table186[[#This Row],[REZ Name]]=Table1[REZ Name]) * (Table186[[#This Row],[Technology]]=Table1[Technology]), 0),28)-INDEX(GenREZAmounts[],MATCH(1, (Table186[[#This Row],[REZ Name]]=GenREZAmounts[REZ Name]) * (Table186[[#This Row],[Technology]]=GenREZAmounts[Technology]), 0),27)</f>
        <v>518.79999924000003</v>
      </c>
      <c r="AD56" s="7" cm="1">
        <f t="array" ref="AD56">INDEX(Table1[], MATCH(1, (Table186[[#This Row],[REZ Name]]=Table1[REZ Name]) * (Table186[[#This Row],[Technology]]=Table1[Technology]), 0),29)-INDEX(GenREZAmounts[],MATCH(1, (Table186[[#This Row],[REZ Name]]=GenREZAmounts[REZ Name]) * (Table186[[#This Row],[Technology]]=GenREZAmounts[Technology]), 0),28)</f>
        <v>518.79999924000003</v>
      </c>
      <c r="AE56" s="7" cm="1">
        <f t="array" ref="AE56">INDEX(Table1[], MATCH(1, (Table186[[#This Row],[REZ Name]]=Table1[REZ Name]) * (Table186[[#This Row],[Technology]]=Table1[Technology]), 0),30)-INDEX(GenREZAmounts[],MATCH(1, (Table186[[#This Row],[REZ Name]]=GenREZAmounts[REZ Name]) * (Table186[[#This Row],[Technology]]=GenREZAmounts[Technology]), 0),29)</f>
        <v>518.79999924000003</v>
      </c>
      <c r="AF56" s="7" cm="1">
        <f t="array" ref="AF56">INDEX(Table1[], MATCH(1, (Table186[[#This Row],[REZ Name]]=Table1[REZ Name]) * (Table186[[#This Row],[Technology]]=Table1[Technology]), 0),31)-INDEX(GenREZAmounts[],MATCH(1, (Table186[[#This Row],[REZ Name]]=GenREZAmounts[REZ Name]) * (Table186[[#This Row],[Technology]]=GenREZAmounts[Technology]), 0),30)</f>
        <v>518.79999924000003</v>
      </c>
    </row>
    <row r="57" spans="2:32" x14ac:dyDescent="0.35">
      <c r="B57" s="7" t="s">
        <v>167</v>
      </c>
      <c r="C57" s="7" t="s">
        <v>153</v>
      </c>
      <c r="D57" s="7" t="s">
        <v>5</v>
      </c>
      <c r="E57" s="7" cm="1">
        <f t="array" ref="E57">INDEX(Table1[], MATCH(1, (Table186[[#This Row],[REZ Name]]=Table1[REZ Name]) * (Table186[[#This Row],[Technology]]=Table1[Technology]), 0),4)-INDEX(GenREZAmounts[],MATCH(1, (Table186[[#This Row],[REZ Name]]=GenREZAmounts[REZ Name]) * (Table186[[#This Row],[Technology]]=GenREZAmounts[Technology]), 0),3)</f>
        <v>0</v>
      </c>
      <c r="F57" s="7" cm="1">
        <f t="array" ref="F57">INDEX(Table1[], MATCH(1, (Table186[[#This Row],[REZ Name]]=Table1[REZ Name]) * (Table186[[#This Row],[Technology]]=Table1[Technology]), 0),5)-INDEX(GenREZAmounts[],MATCH(1, (Table186[[#This Row],[REZ Name]]=GenREZAmounts[REZ Name]) * (Table186[[#This Row],[Technology]]=GenREZAmounts[Technology]), 0),4)</f>
        <v>0</v>
      </c>
      <c r="G57" s="7" cm="1">
        <f t="array" ref="G57">INDEX(Table1[], MATCH(1, (Table186[[#This Row],[REZ Name]]=Table1[REZ Name]) * (Table186[[#This Row],[Technology]]=Table1[Technology]), 0),6)-INDEX(GenREZAmounts[],MATCH(1, (Table186[[#This Row],[REZ Name]]=GenREZAmounts[REZ Name]) * (Table186[[#This Row],[Technology]]=GenREZAmounts[Technology]), 0),5)</f>
        <v>0</v>
      </c>
      <c r="H57" s="7" cm="1">
        <f t="array" ref="H57">INDEX(Table1[], MATCH(1, (Table186[[#This Row],[REZ Name]]=Table1[REZ Name]) * (Table186[[#This Row],[Technology]]=Table1[Technology]), 0),7)-INDEX(GenREZAmounts[],MATCH(1, (Table186[[#This Row],[REZ Name]]=GenREZAmounts[REZ Name]) * (Table186[[#This Row],[Technology]]=GenREZAmounts[Technology]), 0),6)</f>
        <v>0</v>
      </c>
      <c r="I57" s="7" cm="1">
        <f t="array" ref="I57">INDEX(Table1[], MATCH(1, (Table186[[#This Row],[REZ Name]]=Table1[REZ Name]) * (Table186[[#This Row],[Technology]]=Table1[Technology]), 0),8)-INDEX(GenREZAmounts[],MATCH(1, (Table186[[#This Row],[REZ Name]]=GenREZAmounts[REZ Name]) * (Table186[[#This Row],[Technology]]=GenREZAmounts[Technology]), 0),7)</f>
        <v>0</v>
      </c>
      <c r="J57" s="7" cm="1">
        <f t="array" ref="J57">INDEX(Table1[], MATCH(1, (Table186[[#This Row],[REZ Name]]=Table1[REZ Name]) * (Table186[[#This Row],[Technology]]=Table1[Technology]), 0),9)-INDEX(GenREZAmounts[],MATCH(1, (Table186[[#This Row],[REZ Name]]=GenREZAmounts[REZ Name]) * (Table186[[#This Row],[Technology]]=GenREZAmounts[Technology]), 0),8)</f>
        <v>0</v>
      </c>
      <c r="K57" s="7" cm="1">
        <f t="array" ref="K57">INDEX(Table1[], MATCH(1, (Table186[[#This Row],[REZ Name]]=Table1[REZ Name]) * (Table186[[#This Row],[Technology]]=Table1[Technology]), 0),10)-INDEX(GenREZAmounts[],MATCH(1, (Table186[[#This Row],[REZ Name]]=GenREZAmounts[REZ Name]) * (Table186[[#This Row],[Technology]]=GenREZAmounts[Technology]), 0),9)</f>
        <v>0</v>
      </c>
      <c r="L57" s="7" cm="1">
        <f t="array" ref="L57">INDEX(Table1[], MATCH(1, (Table186[[#This Row],[REZ Name]]=Table1[REZ Name]) * (Table186[[#This Row],[Technology]]=Table1[Technology]), 0),11)-INDEX(GenREZAmounts[],MATCH(1, (Table186[[#This Row],[REZ Name]]=GenREZAmounts[REZ Name]) * (Table186[[#This Row],[Technology]]=GenREZAmounts[Technology]), 0),10)</f>
        <v>0</v>
      </c>
      <c r="M57" s="7" cm="1">
        <f t="array" ref="M57">INDEX(Table1[], MATCH(1, (Table186[[#This Row],[REZ Name]]=Table1[REZ Name]) * (Table186[[#This Row],[Technology]]=Table1[Technology]), 0),12)-INDEX(GenREZAmounts[],MATCH(1, (Table186[[#This Row],[REZ Name]]=GenREZAmounts[REZ Name]) * (Table186[[#This Row],[Technology]]=GenREZAmounts[Technology]), 0),11)</f>
        <v>0</v>
      </c>
      <c r="N57" s="7" cm="1">
        <f t="array" ref="N57">INDEX(Table1[], MATCH(1, (Table186[[#This Row],[REZ Name]]=Table1[REZ Name]) * (Table186[[#This Row],[Technology]]=Table1[Technology]), 0),13)-INDEX(GenREZAmounts[],MATCH(1, (Table186[[#This Row],[REZ Name]]=GenREZAmounts[REZ Name]) * (Table186[[#This Row],[Technology]]=GenREZAmounts[Technology]), 0),12)</f>
        <v>0</v>
      </c>
      <c r="O57" s="7" cm="1">
        <f t="array" ref="O57">INDEX(Table1[], MATCH(1, (Table186[[#This Row],[REZ Name]]=Table1[REZ Name]) * (Table186[[#This Row],[Technology]]=Table1[Technology]), 0),14)-INDEX(GenREZAmounts[],MATCH(1, (Table186[[#This Row],[REZ Name]]=GenREZAmounts[REZ Name]) * (Table186[[#This Row],[Technology]]=GenREZAmounts[Technology]), 0),13)</f>
        <v>0</v>
      </c>
      <c r="P57" s="7" cm="1">
        <f t="array" ref="P57">INDEX(Table1[], MATCH(1, (Table186[[#This Row],[REZ Name]]=Table1[REZ Name]) * (Table186[[#This Row],[Technology]]=Table1[Technology]), 0),15)-INDEX(GenREZAmounts[],MATCH(1, (Table186[[#This Row],[REZ Name]]=GenREZAmounts[REZ Name]) * (Table186[[#This Row],[Technology]]=GenREZAmounts[Technology]), 0),14)</f>
        <v>0</v>
      </c>
      <c r="Q57" s="7" cm="1">
        <f t="array" ref="Q57">INDEX(Table1[], MATCH(1, (Table186[[#This Row],[REZ Name]]=Table1[REZ Name]) * (Table186[[#This Row],[Technology]]=Table1[Technology]), 0),16)-INDEX(GenREZAmounts[],MATCH(1, (Table186[[#This Row],[REZ Name]]=GenREZAmounts[REZ Name]) * (Table186[[#This Row],[Technology]]=GenREZAmounts[Technology]), 0),15)</f>
        <v>0</v>
      </c>
      <c r="R57" s="7" cm="1">
        <f t="array" ref="R57">INDEX(Table1[], MATCH(1, (Table186[[#This Row],[REZ Name]]=Table1[REZ Name]) * (Table186[[#This Row],[Technology]]=Table1[Technology]), 0),17)-INDEX(GenREZAmounts[],MATCH(1, (Table186[[#This Row],[REZ Name]]=GenREZAmounts[REZ Name]) * (Table186[[#This Row],[Technology]]=GenREZAmounts[Technology]), 0),16)</f>
        <v>0</v>
      </c>
      <c r="S57" s="7" cm="1">
        <f t="array" ref="S57">INDEX(Table1[], MATCH(1, (Table186[[#This Row],[REZ Name]]=Table1[REZ Name]) * (Table186[[#This Row],[Technology]]=Table1[Technology]), 0),18)-INDEX(GenREZAmounts[],MATCH(1, (Table186[[#This Row],[REZ Name]]=GenREZAmounts[REZ Name]) * (Table186[[#This Row],[Technology]]=GenREZAmounts[Technology]), 0),17)</f>
        <v>0</v>
      </c>
      <c r="T57" s="7" cm="1">
        <f t="array" ref="T57">INDEX(Table1[], MATCH(1, (Table186[[#This Row],[REZ Name]]=Table1[REZ Name]) * (Table186[[#This Row],[Technology]]=Table1[Technology]), 0),19)-INDEX(GenREZAmounts[],MATCH(1, (Table186[[#This Row],[REZ Name]]=GenREZAmounts[REZ Name]) * (Table186[[#This Row],[Technology]]=GenREZAmounts[Technology]), 0),18)</f>
        <v>0</v>
      </c>
      <c r="U57" s="7" cm="1">
        <f t="array" ref="U57">INDEX(Table1[], MATCH(1, (Table186[[#This Row],[REZ Name]]=Table1[REZ Name]) * (Table186[[#This Row],[Technology]]=Table1[Technology]), 0),20)-INDEX(GenREZAmounts[],MATCH(1, (Table186[[#This Row],[REZ Name]]=GenREZAmounts[REZ Name]) * (Table186[[#This Row],[Technology]]=GenREZAmounts[Technology]), 0),19)</f>
        <v>0</v>
      </c>
      <c r="V57" s="7" cm="1">
        <f t="array" ref="V57">INDEX(Table1[], MATCH(1, (Table186[[#This Row],[REZ Name]]=Table1[REZ Name]) * (Table186[[#This Row],[Technology]]=Table1[Technology]), 0),21)-INDEX(GenREZAmounts[],MATCH(1, (Table186[[#This Row],[REZ Name]]=GenREZAmounts[REZ Name]) * (Table186[[#This Row],[Technology]]=GenREZAmounts[Technology]), 0),20)</f>
        <v>0</v>
      </c>
      <c r="W57" s="7" cm="1">
        <f t="array" ref="W57">INDEX(Table1[], MATCH(1, (Table186[[#This Row],[REZ Name]]=Table1[REZ Name]) * (Table186[[#This Row],[Technology]]=Table1[Technology]), 0),22)-INDEX(GenREZAmounts[],MATCH(1, (Table186[[#This Row],[REZ Name]]=GenREZAmounts[REZ Name]) * (Table186[[#This Row],[Technology]]=GenREZAmounts[Technology]), 0),21)</f>
        <v>0</v>
      </c>
      <c r="X57" s="7" cm="1">
        <f t="array" ref="X57">INDEX(Table1[], MATCH(1, (Table186[[#This Row],[REZ Name]]=Table1[REZ Name]) * (Table186[[#This Row],[Technology]]=Table1[Technology]), 0),23)-INDEX(GenREZAmounts[],MATCH(1, (Table186[[#This Row],[REZ Name]]=GenREZAmounts[REZ Name]) * (Table186[[#This Row],[Technology]]=GenREZAmounts[Technology]), 0),22)</f>
        <v>0</v>
      </c>
      <c r="Y57" s="7" cm="1">
        <f t="array" ref="Y57">INDEX(Table1[], MATCH(1, (Table186[[#This Row],[REZ Name]]=Table1[REZ Name]) * (Table186[[#This Row],[Technology]]=Table1[Technology]), 0),24)-INDEX(GenREZAmounts[],MATCH(1, (Table186[[#This Row],[REZ Name]]=GenREZAmounts[REZ Name]) * (Table186[[#This Row],[Technology]]=GenREZAmounts[Technology]), 0),23)</f>
        <v>0</v>
      </c>
      <c r="Z57" s="7" cm="1">
        <f t="array" ref="Z57">INDEX(Table1[], MATCH(1, (Table186[[#This Row],[REZ Name]]=Table1[REZ Name]) * (Table186[[#This Row],[Technology]]=Table1[Technology]), 0),25)-INDEX(GenREZAmounts[],MATCH(1, (Table186[[#This Row],[REZ Name]]=GenREZAmounts[REZ Name]) * (Table186[[#This Row],[Technology]]=GenREZAmounts[Technology]), 0),24)</f>
        <v>0</v>
      </c>
      <c r="AA57" s="7" cm="1">
        <f t="array" ref="AA57">INDEX(Table1[], MATCH(1, (Table186[[#This Row],[REZ Name]]=Table1[REZ Name]) * (Table186[[#This Row],[Technology]]=Table1[Technology]), 0),26)-INDEX(GenREZAmounts[],MATCH(1, (Table186[[#This Row],[REZ Name]]=GenREZAmounts[REZ Name]) * (Table186[[#This Row],[Technology]]=GenREZAmounts[Technology]), 0),25)</f>
        <v>0</v>
      </c>
      <c r="AB57" s="7" cm="1">
        <f t="array" ref="AB57">INDEX(Table1[], MATCH(1, (Table186[[#This Row],[REZ Name]]=Table1[REZ Name]) * (Table186[[#This Row],[Technology]]=Table1[Technology]), 0),27)-INDEX(GenREZAmounts[],MATCH(1, (Table186[[#This Row],[REZ Name]]=GenREZAmounts[REZ Name]) * (Table186[[#This Row],[Technology]]=GenREZAmounts[Technology]), 0),26)</f>
        <v>0</v>
      </c>
      <c r="AC57" s="7" cm="1">
        <f t="array" ref="AC57">INDEX(Table1[], MATCH(1, (Table186[[#This Row],[REZ Name]]=Table1[REZ Name]) * (Table186[[#This Row],[Technology]]=Table1[Technology]), 0),28)-INDEX(GenREZAmounts[],MATCH(1, (Table186[[#This Row],[REZ Name]]=GenREZAmounts[REZ Name]) * (Table186[[#This Row],[Technology]]=GenREZAmounts[Technology]), 0),27)</f>
        <v>0</v>
      </c>
      <c r="AD57" s="7" cm="1">
        <f t="array" ref="AD57">INDEX(Table1[], MATCH(1, (Table186[[#This Row],[REZ Name]]=Table1[REZ Name]) * (Table186[[#This Row],[Technology]]=Table1[Technology]), 0),29)-INDEX(GenREZAmounts[],MATCH(1, (Table186[[#This Row],[REZ Name]]=GenREZAmounts[REZ Name]) * (Table186[[#This Row],[Technology]]=GenREZAmounts[Technology]), 0),28)</f>
        <v>0</v>
      </c>
      <c r="AE57" s="7" cm="1">
        <f t="array" ref="AE57">INDEX(Table1[], MATCH(1, (Table186[[#This Row],[REZ Name]]=Table1[REZ Name]) * (Table186[[#This Row],[Technology]]=Table1[Technology]), 0),30)-INDEX(GenREZAmounts[],MATCH(1, (Table186[[#This Row],[REZ Name]]=GenREZAmounts[REZ Name]) * (Table186[[#This Row],[Technology]]=GenREZAmounts[Technology]), 0),29)</f>
        <v>0</v>
      </c>
      <c r="AF57" s="7" cm="1">
        <f t="array" ref="AF57">INDEX(Table1[], MATCH(1, (Table186[[#This Row],[REZ Name]]=Table1[REZ Name]) * (Table186[[#This Row],[Technology]]=Table1[Technology]), 0),31)-INDEX(GenREZAmounts[],MATCH(1, (Table186[[#This Row],[REZ Name]]=GenREZAmounts[REZ Name]) * (Table186[[#This Row],[Technology]]=GenREZAmounts[Technology]), 0),30)</f>
        <v>0</v>
      </c>
    </row>
    <row r="58" spans="2:32" x14ac:dyDescent="0.35">
      <c r="B58" s="7" t="s">
        <v>168</v>
      </c>
      <c r="C58" s="7" t="s">
        <v>169</v>
      </c>
      <c r="D58" s="7" t="s">
        <v>5</v>
      </c>
      <c r="E58" s="7" cm="1">
        <f t="array" ref="E58">INDEX(Table1[], MATCH(1, (Table186[[#This Row],[REZ Name]]=Table1[REZ Name]) * (Table186[[#This Row],[Technology]]=Table1[Technology]), 0),4)-INDEX(GenREZAmounts[],MATCH(1, (Table186[[#This Row],[REZ Name]]=GenREZAmounts[REZ Name]) * (Table186[[#This Row],[Technology]]=GenREZAmounts[Technology]), 0),3)</f>
        <v>0</v>
      </c>
      <c r="F58" s="7" cm="1">
        <f t="array" ref="F58">INDEX(Table1[], MATCH(1, (Table186[[#This Row],[REZ Name]]=Table1[REZ Name]) * (Table186[[#This Row],[Technology]]=Table1[Technology]), 0),5)-INDEX(GenREZAmounts[],MATCH(1, (Table186[[#This Row],[REZ Name]]=GenREZAmounts[REZ Name]) * (Table186[[#This Row],[Technology]]=GenREZAmounts[Technology]), 0),4)</f>
        <v>0</v>
      </c>
      <c r="G58" s="7" cm="1">
        <f t="array" ref="G58">INDEX(Table1[], MATCH(1, (Table186[[#This Row],[REZ Name]]=Table1[REZ Name]) * (Table186[[#This Row],[Technology]]=Table1[Technology]), 0),6)-INDEX(GenREZAmounts[],MATCH(1, (Table186[[#This Row],[REZ Name]]=GenREZAmounts[REZ Name]) * (Table186[[#This Row],[Technology]]=GenREZAmounts[Technology]), 0),5)</f>
        <v>83.28</v>
      </c>
      <c r="H58" s="7" cm="1">
        <f t="array" ref="H58">INDEX(Table1[], MATCH(1, (Table186[[#This Row],[REZ Name]]=Table1[REZ Name]) * (Table186[[#This Row],[Technology]]=Table1[Technology]), 0),7)-INDEX(GenREZAmounts[],MATCH(1, (Table186[[#This Row],[REZ Name]]=GenREZAmounts[REZ Name]) * (Table186[[#This Row],[Technology]]=GenREZAmounts[Technology]), 0),6)</f>
        <v>83.28</v>
      </c>
      <c r="I58" s="7" cm="1">
        <f t="array" ref="I58">INDEX(Table1[], MATCH(1, (Table186[[#This Row],[REZ Name]]=Table1[REZ Name]) * (Table186[[#This Row],[Technology]]=Table1[Technology]), 0),8)-INDEX(GenREZAmounts[],MATCH(1, (Table186[[#This Row],[REZ Name]]=GenREZAmounts[REZ Name]) * (Table186[[#This Row],[Technology]]=GenREZAmounts[Technology]), 0),7)</f>
        <v>83.28</v>
      </c>
      <c r="J58" s="7" cm="1">
        <f t="array" ref="J58">INDEX(Table1[], MATCH(1, (Table186[[#This Row],[REZ Name]]=Table1[REZ Name]) * (Table186[[#This Row],[Technology]]=Table1[Technology]), 0),9)-INDEX(GenREZAmounts[],MATCH(1, (Table186[[#This Row],[REZ Name]]=GenREZAmounts[REZ Name]) * (Table186[[#This Row],[Technology]]=GenREZAmounts[Technology]), 0),8)</f>
        <v>83.28</v>
      </c>
      <c r="K58" s="7" cm="1">
        <f t="array" ref="K58">INDEX(Table1[], MATCH(1, (Table186[[#This Row],[REZ Name]]=Table1[REZ Name]) * (Table186[[#This Row],[Technology]]=Table1[Technology]), 0),10)-INDEX(GenREZAmounts[],MATCH(1, (Table186[[#This Row],[REZ Name]]=GenREZAmounts[REZ Name]) * (Table186[[#This Row],[Technology]]=GenREZAmounts[Technology]), 0),9)</f>
        <v>83.28</v>
      </c>
      <c r="L58" s="7" cm="1">
        <f t="array" ref="L58">INDEX(Table1[], MATCH(1, (Table186[[#This Row],[REZ Name]]=Table1[REZ Name]) * (Table186[[#This Row],[Technology]]=Table1[Technology]), 0),11)-INDEX(GenREZAmounts[],MATCH(1, (Table186[[#This Row],[REZ Name]]=GenREZAmounts[REZ Name]) * (Table186[[#This Row],[Technology]]=GenREZAmounts[Technology]), 0),10)</f>
        <v>83.28</v>
      </c>
      <c r="M58" s="7" cm="1">
        <f t="array" ref="M58">INDEX(Table1[], MATCH(1, (Table186[[#This Row],[REZ Name]]=Table1[REZ Name]) * (Table186[[#This Row],[Technology]]=Table1[Technology]), 0),12)-INDEX(GenREZAmounts[],MATCH(1, (Table186[[#This Row],[REZ Name]]=GenREZAmounts[REZ Name]) * (Table186[[#This Row],[Technology]]=GenREZAmounts[Technology]), 0),11)</f>
        <v>83.28</v>
      </c>
      <c r="N58" s="7" cm="1">
        <f t="array" ref="N58">INDEX(Table1[], MATCH(1, (Table186[[#This Row],[REZ Name]]=Table1[REZ Name]) * (Table186[[#This Row],[Technology]]=Table1[Technology]), 0),13)-INDEX(GenREZAmounts[],MATCH(1, (Table186[[#This Row],[REZ Name]]=GenREZAmounts[REZ Name]) * (Table186[[#This Row],[Technology]]=GenREZAmounts[Technology]), 0),12)</f>
        <v>83.28</v>
      </c>
      <c r="O58" s="7" cm="1">
        <f t="array" ref="O58">INDEX(Table1[], MATCH(1, (Table186[[#This Row],[REZ Name]]=Table1[REZ Name]) * (Table186[[#This Row],[Technology]]=Table1[Technology]), 0),14)-INDEX(GenREZAmounts[],MATCH(1, (Table186[[#This Row],[REZ Name]]=GenREZAmounts[REZ Name]) * (Table186[[#This Row],[Technology]]=GenREZAmounts[Technology]), 0),13)</f>
        <v>83.28</v>
      </c>
      <c r="P58" s="7" cm="1">
        <f t="array" ref="P58">INDEX(Table1[], MATCH(1, (Table186[[#This Row],[REZ Name]]=Table1[REZ Name]) * (Table186[[#This Row],[Technology]]=Table1[Technology]), 0),15)-INDEX(GenREZAmounts[],MATCH(1, (Table186[[#This Row],[REZ Name]]=GenREZAmounts[REZ Name]) * (Table186[[#This Row],[Technology]]=GenREZAmounts[Technology]), 0),14)</f>
        <v>83.28</v>
      </c>
      <c r="Q58" s="7" cm="1">
        <f t="array" ref="Q58">INDEX(Table1[], MATCH(1, (Table186[[#This Row],[REZ Name]]=Table1[REZ Name]) * (Table186[[#This Row],[Technology]]=Table1[Technology]), 0),16)-INDEX(GenREZAmounts[],MATCH(1, (Table186[[#This Row],[REZ Name]]=GenREZAmounts[REZ Name]) * (Table186[[#This Row],[Technology]]=GenREZAmounts[Technology]), 0),15)</f>
        <v>83.28</v>
      </c>
      <c r="R58" s="7" cm="1">
        <f t="array" ref="R58">INDEX(Table1[], MATCH(1, (Table186[[#This Row],[REZ Name]]=Table1[REZ Name]) * (Table186[[#This Row],[Technology]]=Table1[Technology]), 0),17)-INDEX(GenREZAmounts[],MATCH(1, (Table186[[#This Row],[REZ Name]]=GenREZAmounts[REZ Name]) * (Table186[[#This Row],[Technology]]=GenREZAmounts[Technology]), 0),16)</f>
        <v>83.28</v>
      </c>
      <c r="S58" s="7" cm="1">
        <f t="array" ref="S58">INDEX(Table1[], MATCH(1, (Table186[[#This Row],[REZ Name]]=Table1[REZ Name]) * (Table186[[#This Row],[Technology]]=Table1[Technology]), 0),18)-INDEX(GenREZAmounts[],MATCH(1, (Table186[[#This Row],[REZ Name]]=GenREZAmounts[REZ Name]) * (Table186[[#This Row],[Technology]]=GenREZAmounts[Technology]), 0),17)</f>
        <v>83.28</v>
      </c>
      <c r="T58" s="7" cm="1">
        <f t="array" ref="T58">INDEX(Table1[], MATCH(1, (Table186[[#This Row],[REZ Name]]=Table1[REZ Name]) * (Table186[[#This Row],[Technology]]=Table1[Technology]), 0),19)-INDEX(GenREZAmounts[],MATCH(1, (Table186[[#This Row],[REZ Name]]=GenREZAmounts[REZ Name]) * (Table186[[#This Row],[Technology]]=GenREZAmounts[Technology]), 0),18)</f>
        <v>83.28</v>
      </c>
      <c r="U58" s="7" cm="1">
        <f t="array" ref="U58">INDEX(Table1[], MATCH(1, (Table186[[#This Row],[REZ Name]]=Table1[REZ Name]) * (Table186[[#This Row],[Technology]]=Table1[Technology]), 0),20)-INDEX(GenREZAmounts[],MATCH(1, (Table186[[#This Row],[REZ Name]]=GenREZAmounts[REZ Name]) * (Table186[[#This Row],[Technology]]=GenREZAmounts[Technology]), 0),19)</f>
        <v>83.28</v>
      </c>
      <c r="V58" s="7" cm="1">
        <f t="array" ref="V58">INDEX(Table1[], MATCH(1, (Table186[[#This Row],[REZ Name]]=Table1[REZ Name]) * (Table186[[#This Row],[Technology]]=Table1[Technology]), 0),21)-INDEX(GenREZAmounts[],MATCH(1, (Table186[[#This Row],[REZ Name]]=GenREZAmounts[REZ Name]) * (Table186[[#This Row],[Technology]]=GenREZAmounts[Technology]), 0),20)</f>
        <v>83.28</v>
      </c>
      <c r="W58" s="7" cm="1">
        <f t="array" ref="W58">INDEX(Table1[], MATCH(1, (Table186[[#This Row],[REZ Name]]=Table1[REZ Name]) * (Table186[[#This Row],[Technology]]=Table1[Technology]), 0),22)-INDEX(GenREZAmounts[],MATCH(1, (Table186[[#This Row],[REZ Name]]=GenREZAmounts[REZ Name]) * (Table186[[#This Row],[Technology]]=GenREZAmounts[Technology]), 0),21)</f>
        <v>83.28</v>
      </c>
      <c r="X58" s="7" cm="1">
        <f t="array" ref="X58">INDEX(Table1[], MATCH(1, (Table186[[#This Row],[REZ Name]]=Table1[REZ Name]) * (Table186[[#This Row],[Technology]]=Table1[Technology]), 0),23)-INDEX(GenREZAmounts[],MATCH(1, (Table186[[#This Row],[REZ Name]]=GenREZAmounts[REZ Name]) * (Table186[[#This Row],[Technology]]=GenREZAmounts[Technology]), 0),22)</f>
        <v>422.99999594999997</v>
      </c>
      <c r="Y58" s="7" cm="1">
        <f t="array" ref="Y58">INDEX(Table1[], MATCH(1, (Table186[[#This Row],[REZ Name]]=Table1[REZ Name]) * (Table186[[#This Row],[Technology]]=Table1[Technology]), 0),24)-INDEX(GenREZAmounts[],MATCH(1, (Table186[[#This Row],[REZ Name]]=GenREZAmounts[REZ Name]) * (Table186[[#This Row],[Technology]]=GenREZAmounts[Technology]), 0),23)</f>
        <v>422.99999726999999</v>
      </c>
      <c r="Z58" s="7" cm="1">
        <f t="array" ref="Z58">INDEX(Table1[], MATCH(1, (Table186[[#This Row],[REZ Name]]=Table1[REZ Name]) * (Table186[[#This Row],[Technology]]=Table1[Technology]), 0),25)-INDEX(GenREZAmounts[],MATCH(1, (Table186[[#This Row],[REZ Name]]=GenREZAmounts[REZ Name]) * (Table186[[#This Row],[Technology]]=GenREZAmounts[Technology]), 0),24)</f>
        <v>422.99999726999999</v>
      </c>
      <c r="AA58" s="7" cm="1">
        <f t="array" ref="AA58">INDEX(Table1[], MATCH(1, (Table186[[#This Row],[REZ Name]]=Table1[REZ Name]) * (Table186[[#This Row],[Technology]]=Table1[Technology]), 0),26)-INDEX(GenREZAmounts[],MATCH(1, (Table186[[#This Row],[REZ Name]]=GenREZAmounts[REZ Name]) * (Table186[[#This Row],[Technology]]=GenREZAmounts[Technology]), 0),25)</f>
        <v>422.99999726999999</v>
      </c>
      <c r="AB58" s="7" cm="1">
        <f t="array" ref="AB58">INDEX(Table1[], MATCH(1, (Table186[[#This Row],[REZ Name]]=Table1[REZ Name]) * (Table186[[#This Row],[Technology]]=Table1[Technology]), 0),27)-INDEX(GenREZAmounts[],MATCH(1, (Table186[[#This Row],[REZ Name]]=GenREZAmounts[REZ Name]) * (Table186[[#This Row],[Technology]]=GenREZAmounts[Technology]), 0),26)</f>
        <v>422.99999726999999</v>
      </c>
      <c r="AC58" s="7" cm="1">
        <f t="array" ref="AC58">INDEX(Table1[], MATCH(1, (Table186[[#This Row],[REZ Name]]=Table1[REZ Name]) * (Table186[[#This Row],[Technology]]=Table1[Technology]), 0),28)-INDEX(GenREZAmounts[],MATCH(1, (Table186[[#This Row],[REZ Name]]=GenREZAmounts[REZ Name]) * (Table186[[#This Row],[Technology]]=GenREZAmounts[Technology]), 0),27)</f>
        <v>423.00000014</v>
      </c>
      <c r="AD58" s="7" cm="1">
        <f t="array" ref="AD58">INDEX(Table1[], MATCH(1, (Table186[[#This Row],[REZ Name]]=Table1[REZ Name]) * (Table186[[#This Row],[Technology]]=Table1[Technology]), 0),29)-INDEX(GenREZAmounts[],MATCH(1, (Table186[[#This Row],[REZ Name]]=GenREZAmounts[REZ Name]) * (Table186[[#This Row],[Technology]]=GenREZAmounts[Technology]), 0),28)</f>
        <v>423.00000014</v>
      </c>
      <c r="AE58" s="7" cm="1">
        <f t="array" ref="AE58">INDEX(Table1[], MATCH(1, (Table186[[#This Row],[REZ Name]]=Table1[REZ Name]) * (Table186[[#This Row],[Technology]]=Table1[Technology]), 0),30)-INDEX(GenREZAmounts[],MATCH(1, (Table186[[#This Row],[REZ Name]]=GenREZAmounts[REZ Name]) * (Table186[[#This Row],[Technology]]=GenREZAmounts[Technology]), 0),29)</f>
        <v>423.00000014</v>
      </c>
      <c r="AF58" s="7" cm="1">
        <f t="array" ref="AF58">INDEX(Table1[], MATCH(1, (Table186[[#This Row],[REZ Name]]=Table1[REZ Name]) * (Table186[[#This Row],[Technology]]=Table1[Technology]), 0),31)-INDEX(GenREZAmounts[],MATCH(1, (Table186[[#This Row],[REZ Name]]=GenREZAmounts[REZ Name]) * (Table186[[#This Row],[Technology]]=GenREZAmounts[Technology]), 0),30)</f>
        <v>423.00000014</v>
      </c>
    </row>
    <row r="59" spans="2:32" x14ac:dyDescent="0.35">
      <c r="B59" s="7" t="s">
        <v>170</v>
      </c>
      <c r="C59" s="7" t="s">
        <v>171</v>
      </c>
      <c r="D59" s="7" t="s">
        <v>5</v>
      </c>
      <c r="E59" s="12" cm="1">
        <f t="array" ref="E59">INDEX(Table1[], MATCH(1, (Table186[[#This Row],[REZ Name]]=Table1[REZ Name]) * (Table186[[#This Row],[Technology]]=Table1[Technology]), 0),4)-INDEX(GenREZAmounts[],MATCH(1, (Table186[[#This Row],[REZ Name]]=GenREZAmounts[REZ Name]) * (Table186[[#This Row],[Technology]]=GenREZAmounts[Technology]), 0),3)</f>
        <v>75.009999999999991</v>
      </c>
      <c r="F59" s="12" cm="1">
        <f t="array" ref="F59">INDEX(Table1[], MATCH(1, (Table186[[#This Row],[REZ Name]]=Table1[REZ Name]) * (Table186[[#This Row],[Technology]]=Table1[Technology]), 0),5)-INDEX(GenREZAmounts[],MATCH(1, (Table186[[#This Row],[REZ Name]]=GenREZAmounts[REZ Name]) * (Table186[[#This Row],[Technology]]=GenREZAmounts[Technology]), 0),4)</f>
        <v>75.009999999999991</v>
      </c>
      <c r="G59" s="12" cm="1">
        <f t="array" ref="G59">INDEX(Table1[], MATCH(1, (Table186[[#This Row],[REZ Name]]=Table1[REZ Name]) * (Table186[[#This Row],[Technology]]=Table1[Technology]), 0),6)-INDEX(GenREZAmounts[],MATCH(1, (Table186[[#This Row],[REZ Name]]=GenREZAmounts[REZ Name]) * (Table186[[#This Row],[Technology]]=GenREZAmounts[Technology]), 0),5)</f>
        <v>75.009999999999991</v>
      </c>
      <c r="H59" s="12" cm="1">
        <f t="array" ref="H59">INDEX(Table1[], MATCH(1, (Table186[[#This Row],[REZ Name]]=Table1[REZ Name]) * (Table186[[#This Row],[Technology]]=Table1[Technology]), 0),7)-INDEX(GenREZAmounts[],MATCH(1, (Table186[[#This Row],[REZ Name]]=GenREZAmounts[REZ Name]) * (Table186[[#This Row],[Technology]]=GenREZAmounts[Technology]), 0),6)</f>
        <v>75.009999999999991</v>
      </c>
      <c r="I59" s="12" cm="1">
        <f t="array" ref="I59">INDEX(Table1[], MATCH(1, (Table186[[#This Row],[REZ Name]]=Table1[REZ Name]) * (Table186[[#This Row],[Technology]]=Table1[Technology]), 0),8)-INDEX(GenREZAmounts[],MATCH(1, (Table186[[#This Row],[REZ Name]]=GenREZAmounts[REZ Name]) * (Table186[[#This Row],[Technology]]=GenREZAmounts[Technology]), 0),7)</f>
        <v>75.009999999999991</v>
      </c>
      <c r="J59" s="12" cm="1">
        <f t="array" ref="J59">INDEX(Table1[], MATCH(1, (Table186[[#This Row],[REZ Name]]=Table1[REZ Name]) * (Table186[[#This Row],[Technology]]=Table1[Technology]), 0),9)-INDEX(GenREZAmounts[],MATCH(1, (Table186[[#This Row],[REZ Name]]=GenREZAmounts[REZ Name]) * (Table186[[#This Row],[Technology]]=GenREZAmounts[Technology]), 0),8)</f>
        <v>75.009999999999991</v>
      </c>
      <c r="K59" s="12" cm="1">
        <f t="array" ref="K59">INDEX(Table1[], MATCH(1, (Table186[[#This Row],[REZ Name]]=Table1[REZ Name]) * (Table186[[#This Row],[Technology]]=Table1[Technology]), 0),10)-INDEX(GenREZAmounts[],MATCH(1, (Table186[[#This Row],[REZ Name]]=GenREZAmounts[REZ Name]) * (Table186[[#This Row],[Technology]]=GenREZAmounts[Technology]), 0),9)</f>
        <v>75.009999999999991</v>
      </c>
      <c r="L59" s="12" cm="1">
        <f t="array" ref="L59">INDEX(Table1[], MATCH(1, (Table186[[#This Row],[REZ Name]]=Table1[REZ Name]) * (Table186[[#This Row],[Technology]]=Table1[Technology]), 0),11)-INDEX(GenREZAmounts[],MATCH(1, (Table186[[#This Row],[REZ Name]]=GenREZAmounts[REZ Name]) * (Table186[[#This Row],[Technology]]=GenREZAmounts[Technology]), 0),10)</f>
        <v>75.009999999999991</v>
      </c>
      <c r="M59" s="12" cm="1">
        <f t="array" ref="M59">INDEX(Table1[], MATCH(1, (Table186[[#This Row],[REZ Name]]=Table1[REZ Name]) * (Table186[[#This Row],[Technology]]=Table1[Technology]), 0),12)-INDEX(GenREZAmounts[],MATCH(1, (Table186[[#This Row],[REZ Name]]=GenREZAmounts[REZ Name]) * (Table186[[#This Row],[Technology]]=GenREZAmounts[Technology]), 0),11)</f>
        <v>75.009999999999991</v>
      </c>
      <c r="N59" s="12" cm="1">
        <f t="array" ref="N59">INDEX(Table1[], MATCH(1, (Table186[[#This Row],[REZ Name]]=Table1[REZ Name]) * (Table186[[#This Row],[Technology]]=Table1[Technology]), 0),13)-INDEX(GenREZAmounts[],MATCH(1, (Table186[[#This Row],[REZ Name]]=GenREZAmounts[REZ Name]) * (Table186[[#This Row],[Technology]]=GenREZAmounts[Technology]), 0),12)</f>
        <v>75.009999999999991</v>
      </c>
      <c r="O59" s="12" cm="1">
        <f t="array" ref="O59">INDEX(Table1[], MATCH(1, (Table186[[#This Row],[REZ Name]]=Table1[REZ Name]) * (Table186[[#This Row],[Technology]]=Table1[Technology]), 0),14)-INDEX(GenREZAmounts[],MATCH(1, (Table186[[#This Row],[REZ Name]]=GenREZAmounts[REZ Name]) * (Table186[[#This Row],[Technology]]=GenREZAmounts[Technology]), 0),13)</f>
        <v>75.009999999999991</v>
      </c>
      <c r="P59" s="12" cm="1">
        <f t="array" ref="P59">INDEX(Table1[], MATCH(1, (Table186[[#This Row],[REZ Name]]=Table1[REZ Name]) * (Table186[[#This Row],[Technology]]=Table1[Technology]), 0),15)-INDEX(GenREZAmounts[],MATCH(1, (Table186[[#This Row],[REZ Name]]=GenREZAmounts[REZ Name]) * (Table186[[#This Row],[Technology]]=GenREZAmounts[Technology]), 0),14)</f>
        <v>75.009999999999991</v>
      </c>
      <c r="Q59" s="12" cm="1">
        <f t="array" ref="Q59">INDEX(Table1[], MATCH(1, (Table186[[#This Row],[REZ Name]]=Table1[REZ Name]) * (Table186[[#This Row],[Technology]]=Table1[Technology]), 0),16)-INDEX(GenREZAmounts[],MATCH(1, (Table186[[#This Row],[REZ Name]]=GenREZAmounts[REZ Name]) * (Table186[[#This Row],[Technology]]=GenREZAmounts[Technology]), 0),15)</f>
        <v>75.009999999999991</v>
      </c>
      <c r="R59" s="12" cm="1">
        <f t="array" ref="R59">INDEX(Table1[], MATCH(1, (Table186[[#This Row],[REZ Name]]=Table1[REZ Name]) * (Table186[[#This Row],[Technology]]=Table1[Technology]), 0),17)-INDEX(GenREZAmounts[],MATCH(1, (Table186[[#This Row],[REZ Name]]=GenREZAmounts[REZ Name]) * (Table186[[#This Row],[Technology]]=GenREZAmounts[Technology]), 0),16)</f>
        <v>75.009999999999991</v>
      </c>
      <c r="S59" s="12" cm="1">
        <f t="array" ref="S59">INDEX(Table1[], MATCH(1, (Table186[[#This Row],[REZ Name]]=Table1[REZ Name]) * (Table186[[#This Row],[Technology]]=Table1[Technology]), 0),18)-INDEX(GenREZAmounts[],MATCH(1, (Table186[[#This Row],[REZ Name]]=GenREZAmounts[REZ Name]) * (Table186[[#This Row],[Technology]]=GenREZAmounts[Technology]), 0),17)</f>
        <v>75.009999999999991</v>
      </c>
      <c r="T59" s="12" cm="1">
        <f t="array" ref="T59">INDEX(Table1[], MATCH(1, (Table186[[#This Row],[REZ Name]]=Table1[REZ Name]) * (Table186[[#This Row],[Technology]]=Table1[Technology]), 0),19)-INDEX(GenREZAmounts[],MATCH(1, (Table186[[#This Row],[REZ Name]]=GenREZAmounts[REZ Name]) * (Table186[[#This Row],[Technology]]=GenREZAmounts[Technology]), 0),18)</f>
        <v>75.009999999999991</v>
      </c>
      <c r="U59" s="12" cm="1">
        <f t="array" ref="U59">INDEX(Table1[], MATCH(1, (Table186[[#This Row],[REZ Name]]=Table1[REZ Name]) * (Table186[[#This Row],[Technology]]=Table1[Technology]), 0),20)-INDEX(GenREZAmounts[],MATCH(1, (Table186[[#This Row],[REZ Name]]=GenREZAmounts[REZ Name]) * (Table186[[#This Row],[Technology]]=GenREZAmounts[Technology]), 0),19)</f>
        <v>75.009999999999991</v>
      </c>
      <c r="V59" s="12" cm="1">
        <f t="array" ref="V59">INDEX(Table1[], MATCH(1, (Table186[[#This Row],[REZ Name]]=Table1[REZ Name]) * (Table186[[#This Row],[Technology]]=Table1[Technology]), 0),21)-INDEX(GenREZAmounts[],MATCH(1, (Table186[[#This Row],[REZ Name]]=GenREZAmounts[REZ Name]) * (Table186[[#This Row],[Technology]]=GenREZAmounts[Technology]), 0),20)</f>
        <v>75.009999999999991</v>
      </c>
      <c r="W59" s="12" cm="1">
        <f t="array" ref="W59">INDEX(Table1[], MATCH(1, (Table186[[#This Row],[REZ Name]]=Table1[REZ Name]) * (Table186[[#This Row],[Technology]]=Table1[Technology]), 0),22)-INDEX(GenREZAmounts[],MATCH(1, (Table186[[#This Row],[REZ Name]]=GenREZAmounts[REZ Name]) * (Table186[[#This Row],[Technology]]=GenREZAmounts[Technology]), 0),21)</f>
        <v>75.009999999999991</v>
      </c>
      <c r="X59" s="7" cm="1">
        <f t="array" ref="X59">INDEX(Table1[], MATCH(1, (Table186[[#This Row],[REZ Name]]=Table1[REZ Name]) * (Table186[[#This Row],[Technology]]=Table1[Technology]), 0),23)-INDEX(GenREZAmounts[],MATCH(1, (Table186[[#This Row],[REZ Name]]=GenREZAmounts[REZ Name]) * (Table186[[#This Row],[Technology]]=GenREZAmounts[Technology]), 0),22)</f>
        <v>444.68200072000002</v>
      </c>
      <c r="Y59" s="7" cm="1">
        <f t="array" ref="Y59">INDEX(Table1[], MATCH(1, (Table186[[#This Row],[REZ Name]]=Table1[REZ Name]) * (Table186[[#This Row],[Technology]]=Table1[Technology]), 0),24)-INDEX(GenREZAmounts[],MATCH(1, (Table186[[#This Row],[REZ Name]]=GenREZAmounts[REZ Name]) * (Table186[[#This Row],[Technology]]=GenREZAmounts[Technology]), 0),23)</f>
        <v>582.12269943999991</v>
      </c>
      <c r="Z59" s="7" cm="1">
        <f t="array" ref="Z59">INDEX(Table1[], MATCH(1, (Table186[[#This Row],[REZ Name]]=Table1[REZ Name]) * (Table186[[#This Row],[Technology]]=Table1[Technology]), 0),25)-INDEX(GenREZAmounts[],MATCH(1, (Table186[[#This Row],[REZ Name]]=GenREZAmounts[REZ Name]) * (Table186[[#This Row],[Technology]]=GenREZAmounts[Technology]), 0),24)</f>
        <v>582.12269943999991</v>
      </c>
      <c r="AA59" s="7" cm="1">
        <f t="array" ref="AA59">INDEX(Table1[], MATCH(1, (Table186[[#This Row],[REZ Name]]=Table1[REZ Name]) * (Table186[[#This Row],[Technology]]=Table1[Technology]), 0),26)-INDEX(GenREZAmounts[],MATCH(1, (Table186[[#This Row],[REZ Name]]=GenREZAmounts[REZ Name]) * (Table186[[#This Row],[Technology]]=GenREZAmounts[Technology]), 0),25)</f>
        <v>582.12269943999991</v>
      </c>
      <c r="AB59" s="7" cm="1">
        <f t="array" ref="AB59">INDEX(Table1[], MATCH(1, (Table186[[#This Row],[REZ Name]]=Table1[REZ Name]) * (Table186[[#This Row],[Technology]]=Table1[Technology]), 0),27)-INDEX(GenREZAmounts[],MATCH(1, (Table186[[#This Row],[REZ Name]]=GenREZAmounts[REZ Name]) * (Table186[[#This Row],[Technology]]=GenREZAmounts[Technology]), 0),26)</f>
        <v>582.12269943999991</v>
      </c>
      <c r="AC59" s="7" cm="1">
        <f t="array" ref="AC59">INDEX(Table1[], MATCH(1, (Table186[[#This Row],[REZ Name]]=Table1[REZ Name]) * (Table186[[#This Row],[Technology]]=Table1[Technology]), 0),28)-INDEX(GenREZAmounts[],MATCH(1, (Table186[[#This Row],[REZ Name]]=GenREZAmounts[REZ Name]) * (Table186[[#This Row],[Technology]]=GenREZAmounts[Technology]), 0),27)</f>
        <v>1494.37171764</v>
      </c>
      <c r="AD59" s="7" cm="1">
        <f t="array" ref="AD59">INDEX(Table1[], MATCH(1, (Table186[[#This Row],[REZ Name]]=Table1[REZ Name]) * (Table186[[#This Row],[Technology]]=Table1[Technology]), 0),29)-INDEX(GenREZAmounts[],MATCH(1, (Table186[[#This Row],[REZ Name]]=GenREZAmounts[REZ Name]) * (Table186[[#This Row],[Technology]]=GenREZAmounts[Technology]), 0),28)</f>
        <v>1494.37171764</v>
      </c>
      <c r="AE59" s="7" cm="1">
        <f t="array" ref="AE59">INDEX(Table1[], MATCH(1, (Table186[[#This Row],[REZ Name]]=Table1[REZ Name]) * (Table186[[#This Row],[Technology]]=Table1[Technology]), 0),30)-INDEX(GenREZAmounts[],MATCH(1, (Table186[[#This Row],[REZ Name]]=GenREZAmounts[REZ Name]) * (Table186[[#This Row],[Technology]]=GenREZAmounts[Technology]), 0),29)</f>
        <v>1548.5787046200001</v>
      </c>
      <c r="AF59" s="7" cm="1">
        <f t="array" ref="AF59">INDEX(Table1[], MATCH(1, (Table186[[#This Row],[REZ Name]]=Table1[REZ Name]) * (Table186[[#This Row],[Technology]]=Table1[Technology]), 0),31)-INDEX(GenREZAmounts[],MATCH(1, (Table186[[#This Row],[REZ Name]]=GenREZAmounts[REZ Name]) * (Table186[[#This Row],[Technology]]=GenREZAmounts[Technology]), 0),30)</f>
        <v>1548.5687046200001</v>
      </c>
    </row>
    <row r="60" spans="2:32" x14ac:dyDescent="0.35">
      <c r="B60" s="7" t="s">
        <v>161</v>
      </c>
      <c r="C60" s="7" t="s">
        <v>162</v>
      </c>
      <c r="D60" s="7" t="s">
        <v>2</v>
      </c>
      <c r="E60" s="7" cm="1">
        <f t="array" ref="E60">INDEX(Table1[], MATCH(1, (Table186[[#This Row],[REZ Name]]=Table1[REZ Name]) * (Table186[[#This Row],[Technology]]=Table1[Technology]), 0),4)-INDEX(GenREZAmounts[],MATCH(1, (Table186[[#This Row],[REZ Name]]=GenREZAmounts[REZ Name]) * (Table186[[#This Row],[Technology]]=GenREZAmounts[Technology]), 0),3)</f>
        <v>0</v>
      </c>
      <c r="F60" s="7" cm="1">
        <f t="array" ref="F60">INDEX(Table1[], MATCH(1, (Table186[[#This Row],[REZ Name]]=Table1[REZ Name]) * (Table186[[#This Row],[Technology]]=Table1[Technology]), 0),5)-INDEX(GenREZAmounts[],MATCH(1, (Table186[[#This Row],[REZ Name]]=GenREZAmounts[REZ Name]) * (Table186[[#This Row],[Technology]]=GenREZAmounts[Technology]), 0),4)</f>
        <v>0</v>
      </c>
      <c r="G60" s="7" cm="1">
        <f t="array" ref="G60">INDEX(Table1[], MATCH(1, (Table186[[#This Row],[REZ Name]]=Table1[REZ Name]) * (Table186[[#This Row],[Technology]]=Table1[Technology]), 0),6)-INDEX(GenREZAmounts[],MATCH(1, (Table186[[#This Row],[REZ Name]]=GenREZAmounts[REZ Name]) * (Table186[[#This Row],[Technology]]=GenREZAmounts[Technology]), 0),5)</f>
        <v>0</v>
      </c>
      <c r="H60" s="7" cm="1">
        <f t="array" ref="H60">INDEX(Table1[], MATCH(1, (Table186[[#This Row],[REZ Name]]=Table1[REZ Name]) * (Table186[[#This Row],[Technology]]=Table1[Technology]), 0),7)-INDEX(GenREZAmounts[],MATCH(1, (Table186[[#This Row],[REZ Name]]=GenREZAmounts[REZ Name]) * (Table186[[#This Row],[Technology]]=GenREZAmounts[Technology]), 0),6)</f>
        <v>0</v>
      </c>
      <c r="I60" s="7" cm="1">
        <f t="array" ref="I60">INDEX(Table1[], MATCH(1, (Table186[[#This Row],[REZ Name]]=Table1[REZ Name]) * (Table186[[#This Row],[Technology]]=Table1[Technology]), 0),8)-INDEX(GenREZAmounts[],MATCH(1, (Table186[[#This Row],[REZ Name]]=GenREZAmounts[REZ Name]) * (Table186[[#This Row],[Technology]]=GenREZAmounts[Technology]), 0),7)</f>
        <v>0</v>
      </c>
      <c r="J60" s="7" cm="1">
        <f t="array" ref="J60">INDEX(Table1[], MATCH(1, (Table186[[#This Row],[REZ Name]]=Table1[REZ Name]) * (Table186[[#This Row],[Technology]]=Table1[Technology]), 0),9)-INDEX(GenREZAmounts[],MATCH(1, (Table186[[#This Row],[REZ Name]]=GenREZAmounts[REZ Name]) * (Table186[[#This Row],[Technology]]=GenREZAmounts[Technology]), 0),8)</f>
        <v>0</v>
      </c>
      <c r="K60" s="7" cm="1">
        <f t="array" ref="K60">INDEX(Table1[], MATCH(1, (Table186[[#This Row],[REZ Name]]=Table1[REZ Name]) * (Table186[[#This Row],[Technology]]=Table1[Technology]), 0),10)-INDEX(GenREZAmounts[],MATCH(1, (Table186[[#This Row],[REZ Name]]=GenREZAmounts[REZ Name]) * (Table186[[#This Row],[Technology]]=GenREZAmounts[Technology]), 0),9)</f>
        <v>0</v>
      </c>
      <c r="L60" s="7" cm="1">
        <f t="array" ref="L60">INDEX(Table1[], MATCH(1, (Table186[[#This Row],[REZ Name]]=Table1[REZ Name]) * (Table186[[#This Row],[Technology]]=Table1[Technology]), 0),11)-INDEX(GenREZAmounts[],MATCH(1, (Table186[[#This Row],[REZ Name]]=GenREZAmounts[REZ Name]) * (Table186[[#This Row],[Technology]]=GenREZAmounts[Technology]), 0),10)</f>
        <v>0</v>
      </c>
      <c r="M60" s="7" cm="1">
        <f t="array" ref="M60">INDEX(Table1[], MATCH(1, (Table186[[#This Row],[REZ Name]]=Table1[REZ Name]) * (Table186[[#This Row],[Technology]]=Table1[Technology]), 0),12)-INDEX(GenREZAmounts[],MATCH(1, (Table186[[#This Row],[REZ Name]]=GenREZAmounts[REZ Name]) * (Table186[[#This Row],[Technology]]=GenREZAmounts[Technology]), 0),11)</f>
        <v>0</v>
      </c>
      <c r="N60" s="7" cm="1">
        <f t="array" ref="N60">INDEX(Table1[], MATCH(1, (Table186[[#This Row],[REZ Name]]=Table1[REZ Name]) * (Table186[[#This Row],[Technology]]=Table1[Technology]), 0),13)-INDEX(GenREZAmounts[],MATCH(1, (Table186[[#This Row],[REZ Name]]=GenREZAmounts[REZ Name]) * (Table186[[#This Row],[Technology]]=GenREZAmounts[Technology]), 0),12)</f>
        <v>0</v>
      </c>
      <c r="O60" s="7" cm="1">
        <f t="array" ref="O60">INDEX(Table1[], MATCH(1, (Table186[[#This Row],[REZ Name]]=Table1[REZ Name]) * (Table186[[#This Row],[Technology]]=Table1[Technology]), 0),14)-INDEX(GenREZAmounts[],MATCH(1, (Table186[[#This Row],[REZ Name]]=GenREZAmounts[REZ Name]) * (Table186[[#This Row],[Technology]]=GenREZAmounts[Technology]), 0),13)</f>
        <v>0</v>
      </c>
      <c r="P60" s="7" cm="1">
        <f t="array" ref="P60">INDEX(Table1[], MATCH(1, (Table186[[#This Row],[REZ Name]]=Table1[REZ Name]) * (Table186[[#This Row],[Technology]]=Table1[Technology]), 0),15)-INDEX(GenREZAmounts[],MATCH(1, (Table186[[#This Row],[REZ Name]]=GenREZAmounts[REZ Name]) * (Table186[[#This Row],[Technology]]=GenREZAmounts[Technology]), 0),14)</f>
        <v>0</v>
      </c>
      <c r="Q60" s="7" cm="1">
        <f t="array" ref="Q60">INDEX(Table1[], MATCH(1, (Table186[[#This Row],[REZ Name]]=Table1[REZ Name]) * (Table186[[#This Row],[Technology]]=Table1[Technology]), 0),16)-INDEX(GenREZAmounts[],MATCH(1, (Table186[[#This Row],[REZ Name]]=GenREZAmounts[REZ Name]) * (Table186[[#This Row],[Technology]]=GenREZAmounts[Technology]), 0),15)</f>
        <v>0</v>
      </c>
      <c r="R60" s="7" cm="1">
        <f t="array" ref="R60">INDEX(Table1[], MATCH(1, (Table186[[#This Row],[REZ Name]]=Table1[REZ Name]) * (Table186[[#This Row],[Technology]]=Table1[Technology]), 0),17)-INDEX(GenREZAmounts[],MATCH(1, (Table186[[#This Row],[REZ Name]]=GenREZAmounts[REZ Name]) * (Table186[[#This Row],[Technology]]=GenREZAmounts[Technology]), 0),16)</f>
        <v>0</v>
      </c>
      <c r="S60" s="7" cm="1">
        <f t="array" ref="S60">INDEX(Table1[], MATCH(1, (Table186[[#This Row],[REZ Name]]=Table1[REZ Name]) * (Table186[[#This Row],[Technology]]=Table1[Technology]), 0),18)-INDEX(GenREZAmounts[],MATCH(1, (Table186[[#This Row],[REZ Name]]=GenREZAmounts[REZ Name]) * (Table186[[#This Row],[Technology]]=GenREZAmounts[Technology]), 0),17)</f>
        <v>0</v>
      </c>
      <c r="T60" s="7" cm="1">
        <f t="array" ref="T60">INDEX(Table1[], MATCH(1, (Table186[[#This Row],[REZ Name]]=Table1[REZ Name]) * (Table186[[#This Row],[Technology]]=Table1[Technology]), 0),19)-INDEX(GenREZAmounts[],MATCH(1, (Table186[[#This Row],[REZ Name]]=GenREZAmounts[REZ Name]) * (Table186[[#This Row],[Technology]]=GenREZAmounts[Technology]), 0),18)</f>
        <v>0</v>
      </c>
      <c r="U60" s="7" cm="1">
        <f t="array" ref="U60">INDEX(Table1[], MATCH(1, (Table186[[#This Row],[REZ Name]]=Table1[REZ Name]) * (Table186[[#This Row],[Technology]]=Table1[Technology]), 0),20)-INDEX(GenREZAmounts[],MATCH(1, (Table186[[#This Row],[REZ Name]]=GenREZAmounts[REZ Name]) * (Table186[[#This Row],[Technology]]=GenREZAmounts[Technology]), 0),19)</f>
        <v>0</v>
      </c>
      <c r="V60" s="7" cm="1">
        <f t="array" ref="V60">INDEX(Table1[], MATCH(1, (Table186[[#This Row],[REZ Name]]=Table1[REZ Name]) * (Table186[[#This Row],[Technology]]=Table1[Technology]), 0),21)-INDEX(GenREZAmounts[],MATCH(1, (Table186[[#This Row],[REZ Name]]=GenREZAmounts[REZ Name]) * (Table186[[#This Row],[Technology]]=GenREZAmounts[Technology]), 0),20)</f>
        <v>0</v>
      </c>
      <c r="W60" s="7" cm="1">
        <f t="array" ref="W60">INDEX(Table1[], MATCH(1, (Table186[[#This Row],[REZ Name]]=Table1[REZ Name]) * (Table186[[#This Row],[Technology]]=Table1[Technology]), 0),22)-INDEX(GenREZAmounts[],MATCH(1, (Table186[[#This Row],[REZ Name]]=GenREZAmounts[REZ Name]) * (Table186[[#This Row],[Technology]]=GenREZAmounts[Technology]), 0),21)</f>
        <v>0</v>
      </c>
      <c r="X60" s="7" cm="1">
        <f t="array" ref="X60">INDEX(Table1[], MATCH(1, (Table186[[#This Row],[REZ Name]]=Table1[REZ Name]) * (Table186[[#This Row],[Technology]]=Table1[Technology]), 0),23)-INDEX(GenREZAmounts[],MATCH(1, (Table186[[#This Row],[REZ Name]]=GenREZAmounts[REZ Name]) * (Table186[[#This Row],[Technology]]=GenREZAmounts[Technology]), 0),22)</f>
        <v>0</v>
      </c>
      <c r="Y60" s="7" cm="1">
        <f t="array" ref="Y60">INDEX(Table1[], MATCH(1, (Table186[[#This Row],[REZ Name]]=Table1[REZ Name]) * (Table186[[#This Row],[Technology]]=Table1[Technology]), 0),24)-INDEX(GenREZAmounts[],MATCH(1, (Table186[[#This Row],[REZ Name]]=GenREZAmounts[REZ Name]) * (Table186[[#This Row],[Technology]]=GenREZAmounts[Technology]), 0),23)</f>
        <v>0</v>
      </c>
      <c r="Z60" s="7" cm="1">
        <f t="array" ref="Z60">INDEX(Table1[], MATCH(1, (Table186[[#This Row],[REZ Name]]=Table1[REZ Name]) * (Table186[[#This Row],[Technology]]=Table1[Technology]), 0),25)-INDEX(GenREZAmounts[],MATCH(1, (Table186[[#This Row],[REZ Name]]=GenREZAmounts[REZ Name]) * (Table186[[#This Row],[Technology]]=GenREZAmounts[Technology]), 0),24)</f>
        <v>0</v>
      </c>
      <c r="AA60" s="7" cm="1">
        <f t="array" ref="AA60">INDEX(Table1[], MATCH(1, (Table186[[#This Row],[REZ Name]]=Table1[REZ Name]) * (Table186[[#This Row],[Technology]]=Table1[Technology]), 0),26)-INDEX(GenREZAmounts[],MATCH(1, (Table186[[#This Row],[REZ Name]]=GenREZAmounts[REZ Name]) * (Table186[[#This Row],[Technology]]=GenREZAmounts[Technology]), 0),25)</f>
        <v>0</v>
      </c>
      <c r="AB60" s="7" cm="1">
        <f t="array" ref="AB60">INDEX(Table1[], MATCH(1, (Table186[[#This Row],[REZ Name]]=Table1[REZ Name]) * (Table186[[#This Row],[Technology]]=Table1[Technology]), 0),27)-INDEX(GenREZAmounts[],MATCH(1, (Table186[[#This Row],[REZ Name]]=GenREZAmounts[REZ Name]) * (Table186[[#This Row],[Technology]]=GenREZAmounts[Technology]), 0),26)</f>
        <v>0</v>
      </c>
      <c r="AC60" s="7" cm="1">
        <f t="array" ref="AC60">INDEX(Table1[], MATCH(1, (Table186[[#This Row],[REZ Name]]=Table1[REZ Name]) * (Table186[[#This Row],[Technology]]=Table1[Technology]), 0),28)-INDEX(GenREZAmounts[],MATCH(1, (Table186[[#This Row],[REZ Name]]=GenREZAmounts[REZ Name]) * (Table186[[#This Row],[Technology]]=GenREZAmounts[Technology]), 0),27)</f>
        <v>0</v>
      </c>
      <c r="AD60" s="7" cm="1">
        <f t="array" ref="AD60">INDEX(Table1[], MATCH(1, (Table186[[#This Row],[REZ Name]]=Table1[REZ Name]) * (Table186[[#This Row],[Technology]]=Table1[Technology]), 0),29)-INDEX(GenREZAmounts[],MATCH(1, (Table186[[#This Row],[REZ Name]]=GenREZAmounts[REZ Name]) * (Table186[[#This Row],[Technology]]=GenREZAmounts[Technology]), 0),28)</f>
        <v>0</v>
      </c>
      <c r="AE60" s="7" cm="1">
        <f t="array" ref="AE60">INDEX(Table1[], MATCH(1, (Table186[[#This Row],[REZ Name]]=Table1[REZ Name]) * (Table186[[#This Row],[Technology]]=Table1[Technology]), 0),30)-INDEX(GenREZAmounts[],MATCH(1, (Table186[[#This Row],[REZ Name]]=GenREZAmounts[REZ Name]) * (Table186[[#This Row],[Technology]]=GenREZAmounts[Technology]), 0),29)</f>
        <v>0</v>
      </c>
      <c r="AF60" s="7" cm="1">
        <f t="array" ref="AF60">INDEX(Table1[], MATCH(1, (Table186[[#This Row],[REZ Name]]=Table1[REZ Name]) * (Table186[[#This Row],[Technology]]=Table1[Technology]), 0),31)-INDEX(GenREZAmounts[],MATCH(1, (Table186[[#This Row],[REZ Name]]=GenREZAmounts[REZ Name]) * (Table186[[#This Row],[Technology]]=GenREZAmounts[Technology]), 0),30)</f>
        <v>0</v>
      </c>
    </row>
    <row r="61" spans="2:32" x14ac:dyDescent="0.35">
      <c r="B61" s="7" t="s">
        <v>163</v>
      </c>
      <c r="C61" s="7" t="s">
        <v>164</v>
      </c>
      <c r="D61" s="7" t="s">
        <v>2</v>
      </c>
      <c r="E61" s="7" cm="1">
        <f t="array" ref="E61">INDEX(Table1[], MATCH(1, (Table186[[#This Row],[REZ Name]]=Table1[REZ Name]) * (Table186[[#This Row],[Technology]]=Table1[Technology]), 0),4)-INDEX(GenREZAmounts[],MATCH(1, (Table186[[#This Row],[REZ Name]]=GenREZAmounts[REZ Name]) * (Table186[[#This Row],[Technology]]=GenREZAmounts[Technology]), 0),3)</f>
        <v>0</v>
      </c>
      <c r="F61" s="7" cm="1">
        <f t="array" ref="F61">INDEX(Table1[], MATCH(1, (Table186[[#This Row],[REZ Name]]=Table1[REZ Name]) * (Table186[[#This Row],[Technology]]=Table1[Technology]), 0),5)-INDEX(GenREZAmounts[],MATCH(1, (Table186[[#This Row],[REZ Name]]=GenREZAmounts[REZ Name]) * (Table186[[#This Row],[Technology]]=GenREZAmounts[Technology]), 0),4)</f>
        <v>0</v>
      </c>
      <c r="G61" s="7" cm="1">
        <f t="array" ref="G61">INDEX(Table1[], MATCH(1, (Table186[[#This Row],[REZ Name]]=Table1[REZ Name]) * (Table186[[#This Row],[Technology]]=Table1[Technology]), 0),6)-INDEX(GenREZAmounts[],MATCH(1, (Table186[[#This Row],[REZ Name]]=GenREZAmounts[REZ Name]) * (Table186[[#This Row],[Technology]]=GenREZAmounts[Technology]), 0),5)</f>
        <v>0</v>
      </c>
      <c r="H61" s="7" cm="1">
        <f t="array" ref="H61">INDEX(Table1[], MATCH(1, (Table186[[#This Row],[REZ Name]]=Table1[REZ Name]) * (Table186[[#This Row],[Technology]]=Table1[Technology]), 0),7)-INDEX(GenREZAmounts[],MATCH(1, (Table186[[#This Row],[REZ Name]]=GenREZAmounts[REZ Name]) * (Table186[[#This Row],[Technology]]=GenREZAmounts[Technology]), 0),6)</f>
        <v>0</v>
      </c>
      <c r="I61" s="7" cm="1">
        <f t="array" ref="I61">INDEX(Table1[], MATCH(1, (Table186[[#This Row],[REZ Name]]=Table1[REZ Name]) * (Table186[[#This Row],[Technology]]=Table1[Technology]), 0),8)-INDEX(GenREZAmounts[],MATCH(1, (Table186[[#This Row],[REZ Name]]=GenREZAmounts[REZ Name]) * (Table186[[#This Row],[Technology]]=GenREZAmounts[Technology]), 0),7)</f>
        <v>0</v>
      </c>
      <c r="J61" s="7" cm="1">
        <f t="array" ref="J61">INDEX(Table1[], MATCH(1, (Table186[[#This Row],[REZ Name]]=Table1[REZ Name]) * (Table186[[#This Row],[Technology]]=Table1[Technology]), 0),9)-INDEX(GenREZAmounts[],MATCH(1, (Table186[[#This Row],[REZ Name]]=GenREZAmounts[REZ Name]) * (Table186[[#This Row],[Technology]]=GenREZAmounts[Technology]), 0),8)</f>
        <v>0</v>
      </c>
      <c r="K61" s="7" cm="1">
        <f t="array" ref="K61">INDEX(Table1[], MATCH(1, (Table186[[#This Row],[REZ Name]]=Table1[REZ Name]) * (Table186[[#This Row],[Technology]]=Table1[Technology]), 0),10)-INDEX(GenREZAmounts[],MATCH(1, (Table186[[#This Row],[REZ Name]]=GenREZAmounts[REZ Name]) * (Table186[[#This Row],[Technology]]=GenREZAmounts[Technology]), 0),9)</f>
        <v>0</v>
      </c>
      <c r="L61" s="7" cm="1">
        <f t="array" ref="L61">INDEX(Table1[], MATCH(1, (Table186[[#This Row],[REZ Name]]=Table1[REZ Name]) * (Table186[[#This Row],[Technology]]=Table1[Technology]), 0),11)-INDEX(GenREZAmounts[],MATCH(1, (Table186[[#This Row],[REZ Name]]=GenREZAmounts[REZ Name]) * (Table186[[#This Row],[Technology]]=GenREZAmounts[Technology]), 0),10)</f>
        <v>0</v>
      </c>
      <c r="M61" s="7" cm="1">
        <f t="array" ref="M61">INDEX(Table1[], MATCH(1, (Table186[[#This Row],[REZ Name]]=Table1[REZ Name]) * (Table186[[#This Row],[Technology]]=Table1[Technology]), 0),12)-INDEX(GenREZAmounts[],MATCH(1, (Table186[[#This Row],[REZ Name]]=GenREZAmounts[REZ Name]) * (Table186[[#This Row],[Technology]]=GenREZAmounts[Technology]), 0),11)</f>
        <v>0</v>
      </c>
      <c r="N61" s="7" cm="1">
        <f t="array" ref="N61">INDEX(Table1[], MATCH(1, (Table186[[#This Row],[REZ Name]]=Table1[REZ Name]) * (Table186[[#This Row],[Technology]]=Table1[Technology]), 0),13)-INDEX(GenREZAmounts[],MATCH(1, (Table186[[#This Row],[REZ Name]]=GenREZAmounts[REZ Name]) * (Table186[[#This Row],[Technology]]=GenREZAmounts[Technology]), 0),12)</f>
        <v>0</v>
      </c>
      <c r="O61" s="7" cm="1">
        <f t="array" ref="O61">INDEX(Table1[], MATCH(1, (Table186[[#This Row],[REZ Name]]=Table1[REZ Name]) * (Table186[[#This Row],[Technology]]=Table1[Technology]), 0),14)-INDEX(GenREZAmounts[],MATCH(1, (Table186[[#This Row],[REZ Name]]=GenREZAmounts[REZ Name]) * (Table186[[#This Row],[Technology]]=GenREZAmounts[Technology]), 0),13)</f>
        <v>0</v>
      </c>
      <c r="P61" s="7" cm="1">
        <f t="array" ref="P61">INDEX(Table1[], MATCH(1, (Table186[[#This Row],[REZ Name]]=Table1[REZ Name]) * (Table186[[#This Row],[Technology]]=Table1[Technology]), 0),15)-INDEX(GenREZAmounts[],MATCH(1, (Table186[[#This Row],[REZ Name]]=GenREZAmounts[REZ Name]) * (Table186[[#This Row],[Technology]]=GenREZAmounts[Technology]), 0),14)</f>
        <v>0</v>
      </c>
      <c r="Q61" s="7" cm="1">
        <f t="array" ref="Q61">INDEX(Table1[], MATCH(1, (Table186[[#This Row],[REZ Name]]=Table1[REZ Name]) * (Table186[[#This Row],[Technology]]=Table1[Technology]), 0),16)-INDEX(GenREZAmounts[],MATCH(1, (Table186[[#This Row],[REZ Name]]=GenREZAmounts[REZ Name]) * (Table186[[#This Row],[Technology]]=GenREZAmounts[Technology]), 0),15)</f>
        <v>0</v>
      </c>
      <c r="R61" s="7" cm="1">
        <f t="array" ref="R61">INDEX(Table1[], MATCH(1, (Table186[[#This Row],[REZ Name]]=Table1[REZ Name]) * (Table186[[#This Row],[Technology]]=Table1[Technology]), 0),17)-INDEX(GenREZAmounts[],MATCH(1, (Table186[[#This Row],[REZ Name]]=GenREZAmounts[REZ Name]) * (Table186[[#This Row],[Technology]]=GenREZAmounts[Technology]), 0),16)</f>
        <v>0</v>
      </c>
      <c r="S61" s="7" cm="1">
        <f t="array" ref="S61">INDEX(Table1[], MATCH(1, (Table186[[#This Row],[REZ Name]]=Table1[REZ Name]) * (Table186[[#This Row],[Technology]]=Table1[Technology]), 0),18)-INDEX(GenREZAmounts[],MATCH(1, (Table186[[#This Row],[REZ Name]]=GenREZAmounts[REZ Name]) * (Table186[[#This Row],[Technology]]=GenREZAmounts[Technology]), 0),17)</f>
        <v>0</v>
      </c>
      <c r="T61" s="7" cm="1">
        <f t="array" ref="T61">INDEX(Table1[], MATCH(1, (Table186[[#This Row],[REZ Name]]=Table1[REZ Name]) * (Table186[[#This Row],[Technology]]=Table1[Technology]), 0),19)-INDEX(GenREZAmounts[],MATCH(1, (Table186[[#This Row],[REZ Name]]=GenREZAmounts[REZ Name]) * (Table186[[#This Row],[Technology]]=GenREZAmounts[Technology]), 0),18)</f>
        <v>0</v>
      </c>
      <c r="U61" s="7" cm="1">
        <f t="array" ref="U61">INDEX(Table1[], MATCH(1, (Table186[[#This Row],[REZ Name]]=Table1[REZ Name]) * (Table186[[#This Row],[Technology]]=Table1[Technology]), 0),20)-INDEX(GenREZAmounts[],MATCH(1, (Table186[[#This Row],[REZ Name]]=GenREZAmounts[REZ Name]) * (Table186[[#This Row],[Technology]]=GenREZAmounts[Technology]), 0),19)</f>
        <v>0</v>
      </c>
      <c r="V61" s="7" cm="1">
        <f t="array" ref="V61">INDEX(Table1[], MATCH(1, (Table186[[#This Row],[REZ Name]]=Table1[REZ Name]) * (Table186[[#This Row],[Technology]]=Table1[Technology]), 0),21)-INDEX(GenREZAmounts[],MATCH(1, (Table186[[#This Row],[REZ Name]]=GenREZAmounts[REZ Name]) * (Table186[[#This Row],[Technology]]=GenREZAmounts[Technology]), 0),20)</f>
        <v>0</v>
      </c>
      <c r="W61" s="7" cm="1">
        <f t="array" ref="W61">INDEX(Table1[], MATCH(1, (Table186[[#This Row],[REZ Name]]=Table1[REZ Name]) * (Table186[[#This Row],[Technology]]=Table1[Technology]), 0),22)-INDEX(GenREZAmounts[],MATCH(1, (Table186[[#This Row],[REZ Name]]=GenREZAmounts[REZ Name]) * (Table186[[#This Row],[Technology]]=GenREZAmounts[Technology]), 0),21)</f>
        <v>0</v>
      </c>
      <c r="X61" s="7" cm="1">
        <f t="array" ref="X61">INDEX(Table1[], MATCH(1, (Table186[[#This Row],[REZ Name]]=Table1[REZ Name]) * (Table186[[#This Row],[Technology]]=Table1[Technology]), 0),23)-INDEX(GenREZAmounts[],MATCH(1, (Table186[[#This Row],[REZ Name]]=GenREZAmounts[REZ Name]) * (Table186[[#This Row],[Technology]]=GenREZAmounts[Technology]), 0),22)</f>
        <v>0</v>
      </c>
      <c r="Y61" s="7" cm="1">
        <f t="array" ref="Y61">INDEX(Table1[], MATCH(1, (Table186[[#This Row],[REZ Name]]=Table1[REZ Name]) * (Table186[[#This Row],[Technology]]=Table1[Technology]), 0),24)-INDEX(GenREZAmounts[],MATCH(1, (Table186[[#This Row],[REZ Name]]=GenREZAmounts[REZ Name]) * (Table186[[#This Row],[Technology]]=GenREZAmounts[Technology]), 0),23)</f>
        <v>0</v>
      </c>
      <c r="Z61" s="7" cm="1">
        <f t="array" ref="Z61">INDEX(Table1[], MATCH(1, (Table186[[#This Row],[REZ Name]]=Table1[REZ Name]) * (Table186[[#This Row],[Technology]]=Table1[Technology]), 0),25)-INDEX(GenREZAmounts[],MATCH(1, (Table186[[#This Row],[REZ Name]]=GenREZAmounts[REZ Name]) * (Table186[[#This Row],[Technology]]=GenREZAmounts[Technology]), 0),24)</f>
        <v>0</v>
      </c>
      <c r="AA61" s="7" cm="1">
        <f t="array" ref="AA61">INDEX(Table1[], MATCH(1, (Table186[[#This Row],[REZ Name]]=Table1[REZ Name]) * (Table186[[#This Row],[Technology]]=Table1[Technology]), 0),26)-INDEX(GenREZAmounts[],MATCH(1, (Table186[[#This Row],[REZ Name]]=GenREZAmounts[REZ Name]) * (Table186[[#This Row],[Technology]]=GenREZAmounts[Technology]), 0),25)</f>
        <v>0</v>
      </c>
      <c r="AB61" s="7" cm="1">
        <f t="array" ref="AB61">INDEX(Table1[], MATCH(1, (Table186[[#This Row],[REZ Name]]=Table1[REZ Name]) * (Table186[[#This Row],[Technology]]=Table1[Technology]), 0),27)-INDEX(GenREZAmounts[],MATCH(1, (Table186[[#This Row],[REZ Name]]=GenREZAmounts[REZ Name]) * (Table186[[#This Row],[Technology]]=GenREZAmounts[Technology]), 0),26)</f>
        <v>0</v>
      </c>
      <c r="AC61" s="7" cm="1">
        <f t="array" ref="AC61">INDEX(Table1[], MATCH(1, (Table186[[#This Row],[REZ Name]]=Table1[REZ Name]) * (Table186[[#This Row],[Technology]]=Table1[Technology]), 0),28)-INDEX(GenREZAmounts[],MATCH(1, (Table186[[#This Row],[REZ Name]]=GenREZAmounts[REZ Name]) * (Table186[[#This Row],[Technology]]=GenREZAmounts[Technology]), 0),27)</f>
        <v>0</v>
      </c>
      <c r="AD61" s="7" cm="1">
        <f t="array" ref="AD61">INDEX(Table1[], MATCH(1, (Table186[[#This Row],[REZ Name]]=Table1[REZ Name]) * (Table186[[#This Row],[Technology]]=Table1[Technology]), 0),29)-INDEX(GenREZAmounts[],MATCH(1, (Table186[[#This Row],[REZ Name]]=GenREZAmounts[REZ Name]) * (Table186[[#This Row],[Technology]]=GenREZAmounts[Technology]), 0),28)</f>
        <v>0</v>
      </c>
      <c r="AE61" s="7" cm="1">
        <f t="array" ref="AE61">INDEX(Table1[], MATCH(1, (Table186[[#This Row],[REZ Name]]=Table1[REZ Name]) * (Table186[[#This Row],[Technology]]=Table1[Technology]), 0),30)-INDEX(GenREZAmounts[],MATCH(1, (Table186[[#This Row],[REZ Name]]=GenREZAmounts[REZ Name]) * (Table186[[#This Row],[Technology]]=GenREZAmounts[Technology]), 0),29)</f>
        <v>0</v>
      </c>
      <c r="AF61" s="7" cm="1">
        <f t="array" ref="AF61">INDEX(Table1[], MATCH(1, (Table186[[#This Row],[REZ Name]]=Table1[REZ Name]) * (Table186[[#This Row],[Technology]]=Table1[Technology]), 0),31)-INDEX(GenREZAmounts[],MATCH(1, (Table186[[#This Row],[REZ Name]]=GenREZAmounts[REZ Name]) * (Table186[[#This Row],[Technology]]=GenREZAmounts[Technology]), 0),30)</f>
        <v>0</v>
      </c>
    </row>
    <row r="62" spans="2:32" x14ac:dyDescent="0.35">
      <c r="B62" s="7" t="s">
        <v>165</v>
      </c>
      <c r="C62" s="7" t="s">
        <v>125</v>
      </c>
      <c r="D62" s="7" t="s">
        <v>2</v>
      </c>
      <c r="E62" s="7" cm="1">
        <f t="array" ref="E62">INDEX(Table1[], MATCH(1, (Table186[[#This Row],[REZ Name]]=Table1[REZ Name]) * (Table186[[#This Row],[Technology]]=Table1[Technology]), 0),4)-INDEX(GenREZAmounts[],MATCH(1, (Table186[[#This Row],[REZ Name]]=GenREZAmounts[REZ Name]) * (Table186[[#This Row],[Technology]]=GenREZAmounts[Technology]), 0),3)</f>
        <v>0</v>
      </c>
      <c r="F62" s="7" cm="1">
        <f t="array" ref="F62">INDEX(Table1[], MATCH(1, (Table186[[#This Row],[REZ Name]]=Table1[REZ Name]) * (Table186[[#This Row],[Technology]]=Table1[Technology]), 0),5)-INDEX(GenREZAmounts[],MATCH(1, (Table186[[#This Row],[REZ Name]]=GenREZAmounts[REZ Name]) * (Table186[[#This Row],[Technology]]=GenREZAmounts[Technology]), 0),4)</f>
        <v>0</v>
      </c>
      <c r="G62" s="7" cm="1">
        <f t="array" ref="G62">INDEX(Table1[], MATCH(1, (Table186[[#This Row],[REZ Name]]=Table1[REZ Name]) * (Table186[[#This Row],[Technology]]=Table1[Technology]), 0),6)-INDEX(GenREZAmounts[],MATCH(1, (Table186[[#This Row],[REZ Name]]=GenREZAmounts[REZ Name]) * (Table186[[#This Row],[Technology]]=GenREZAmounts[Technology]), 0),5)</f>
        <v>0</v>
      </c>
      <c r="H62" s="7" cm="1">
        <f t="array" ref="H62">INDEX(Table1[], MATCH(1, (Table186[[#This Row],[REZ Name]]=Table1[REZ Name]) * (Table186[[#This Row],[Technology]]=Table1[Technology]), 0),7)-INDEX(GenREZAmounts[],MATCH(1, (Table186[[#This Row],[REZ Name]]=GenREZAmounts[REZ Name]) * (Table186[[#This Row],[Technology]]=GenREZAmounts[Technology]), 0),6)</f>
        <v>0</v>
      </c>
      <c r="I62" s="7" cm="1">
        <f t="array" ref="I62">INDEX(Table1[], MATCH(1, (Table186[[#This Row],[REZ Name]]=Table1[REZ Name]) * (Table186[[#This Row],[Technology]]=Table1[Technology]), 0),8)-INDEX(GenREZAmounts[],MATCH(1, (Table186[[#This Row],[REZ Name]]=GenREZAmounts[REZ Name]) * (Table186[[#This Row],[Technology]]=GenREZAmounts[Technology]), 0),7)</f>
        <v>0</v>
      </c>
      <c r="J62" s="7" cm="1">
        <f t="array" ref="J62">INDEX(Table1[], MATCH(1, (Table186[[#This Row],[REZ Name]]=Table1[REZ Name]) * (Table186[[#This Row],[Technology]]=Table1[Technology]), 0),9)-INDEX(GenREZAmounts[],MATCH(1, (Table186[[#This Row],[REZ Name]]=GenREZAmounts[REZ Name]) * (Table186[[#This Row],[Technology]]=GenREZAmounts[Technology]), 0),8)</f>
        <v>0</v>
      </c>
      <c r="K62" s="7" cm="1">
        <f t="array" ref="K62">INDEX(Table1[], MATCH(1, (Table186[[#This Row],[REZ Name]]=Table1[REZ Name]) * (Table186[[#This Row],[Technology]]=Table1[Technology]), 0),10)-INDEX(GenREZAmounts[],MATCH(1, (Table186[[#This Row],[REZ Name]]=GenREZAmounts[REZ Name]) * (Table186[[#This Row],[Technology]]=GenREZAmounts[Technology]), 0),9)</f>
        <v>0</v>
      </c>
      <c r="L62" s="7" cm="1">
        <f t="array" ref="L62">INDEX(Table1[], MATCH(1, (Table186[[#This Row],[REZ Name]]=Table1[REZ Name]) * (Table186[[#This Row],[Technology]]=Table1[Technology]), 0),11)-INDEX(GenREZAmounts[],MATCH(1, (Table186[[#This Row],[REZ Name]]=GenREZAmounts[REZ Name]) * (Table186[[#This Row],[Technology]]=GenREZAmounts[Technology]), 0),10)</f>
        <v>0</v>
      </c>
      <c r="M62" s="7" cm="1">
        <f t="array" ref="M62">INDEX(Table1[], MATCH(1, (Table186[[#This Row],[REZ Name]]=Table1[REZ Name]) * (Table186[[#This Row],[Technology]]=Table1[Technology]), 0),12)-INDEX(GenREZAmounts[],MATCH(1, (Table186[[#This Row],[REZ Name]]=GenREZAmounts[REZ Name]) * (Table186[[#This Row],[Technology]]=GenREZAmounts[Technology]), 0),11)</f>
        <v>0</v>
      </c>
      <c r="N62" s="7" cm="1">
        <f t="array" ref="N62">INDEX(Table1[], MATCH(1, (Table186[[#This Row],[REZ Name]]=Table1[REZ Name]) * (Table186[[#This Row],[Technology]]=Table1[Technology]), 0),13)-INDEX(GenREZAmounts[],MATCH(1, (Table186[[#This Row],[REZ Name]]=GenREZAmounts[REZ Name]) * (Table186[[#This Row],[Technology]]=GenREZAmounts[Technology]), 0),12)</f>
        <v>0</v>
      </c>
      <c r="O62" s="7" cm="1">
        <f t="array" ref="O62">INDEX(Table1[], MATCH(1, (Table186[[#This Row],[REZ Name]]=Table1[REZ Name]) * (Table186[[#This Row],[Technology]]=Table1[Technology]), 0),14)-INDEX(GenREZAmounts[],MATCH(1, (Table186[[#This Row],[REZ Name]]=GenREZAmounts[REZ Name]) * (Table186[[#This Row],[Technology]]=GenREZAmounts[Technology]), 0),13)</f>
        <v>0</v>
      </c>
      <c r="P62" s="7" cm="1">
        <f t="array" ref="P62">INDEX(Table1[], MATCH(1, (Table186[[#This Row],[REZ Name]]=Table1[REZ Name]) * (Table186[[#This Row],[Technology]]=Table1[Technology]), 0),15)-INDEX(GenREZAmounts[],MATCH(1, (Table186[[#This Row],[REZ Name]]=GenREZAmounts[REZ Name]) * (Table186[[#This Row],[Technology]]=GenREZAmounts[Technology]), 0),14)</f>
        <v>0</v>
      </c>
      <c r="Q62" s="7" cm="1">
        <f t="array" ref="Q62">INDEX(Table1[], MATCH(1, (Table186[[#This Row],[REZ Name]]=Table1[REZ Name]) * (Table186[[#This Row],[Technology]]=Table1[Technology]), 0),16)-INDEX(GenREZAmounts[],MATCH(1, (Table186[[#This Row],[REZ Name]]=GenREZAmounts[REZ Name]) * (Table186[[#This Row],[Technology]]=GenREZAmounts[Technology]), 0),15)</f>
        <v>0</v>
      </c>
      <c r="R62" s="7" cm="1">
        <f t="array" ref="R62">INDEX(Table1[], MATCH(1, (Table186[[#This Row],[REZ Name]]=Table1[REZ Name]) * (Table186[[#This Row],[Technology]]=Table1[Technology]), 0),17)-INDEX(GenREZAmounts[],MATCH(1, (Table186[[#This Row],[REZ Name]]=GenREZAmounts[REZ Name]) * (Table186[[#This Row],[Technology]]=GenREZAmounts[Technology]), 0),16)</f>
        <v>0</v>
      </c>
      <c r="S62" s="7" cm="1">
        <f t="array" ref="S62">INDEX(Table1[], MATCH(1, (Table186[[#This Row],[REZ Name]]=Table1[REZ Name]) * (Table186[[#This Row],[Technology]]=Table1[Technology]), 0),18)-INDEX(GenREZAmounts[],MATCH(1, (Table186[[#This Row],[REZ Name]]=GenREZAmounts[REZ Name]) * (Table186[[#This Row],[Technology]]=GenREZAmounts[Technology]), 0),17)</f>
        <v>0</v>
      </c>
      <c r="T62" s="7" cm="1">
        <f t="array" ref="T62">INDEX(Table1[], MATCH(1, (Table186[[#This Row],[REZ Name]]=Table1[REZ Name]) * (Table186[[#This Row],[Technology]]=Table1[Technology]), 0),19)-INDEX(GenREZAmounts[],MATCH(1, (Table186[[#This Row],[REZ Name]]=GenREZAmounts[REZ Name]) * (Table186[[#This Row],[Technology]]=GenREZAmounts[Technology]), 0),18)</f>
        <v>0</v>
      </c>
      <c r="U62" s="7" cm="1">
        <f t="array" ref="U62">INDEX(Table1[], MATCH(1, (Table186[[#This Row],[REZ Name]]=Table1[REZ Name]) * (Table186[[#This Row],[Technology]]=Table1[Technology]), 0),20)-INDEX(GenREZAmounts[],MATCH(1, (Table186[[#This Row],[REZ Name]]=GenREZAmounts[REZ Name]) * (Table186[[#This Row],[Technology]]=GenREZAmounts[Technology]), 0),19)</f>
        <v>0</v>
      </c>
      <c r="V62" s="7" cm="1">
        <f t="array" ref="V62">INDEX(Table1[], MATCH(1, (Table186[[#This Row],[REZ Name]]=Table1[REZ Name]) * (Table186[[#This Row],[Technology]]=Table1[Technology]), 0),21)-INDEX(GenREZAmounts[],MATCH(1, (Table186[[#This Row],[REZ Name]]=GenREZAmounts[REZ Name]) * (Table186[[#This Row],[Technology]]=GenREZAmounts[Technology]), 0),20)</f>
        <v>0</v>
      </c>
      <c r="W62" s="7" cm="1">
        <f t="array" ref="W62">INDEX(Table1[], MATCH(1, (Table186[[#This Row],[REZ Name]]=Table1[REZ Name]) * (Table186[[#This Row],[Technology]]=Table1[Technology]), 0),22)-INDEX(GenREZAmounts[],MATCH(1, (Table186[[#This Row],[REZ Name]]=GenREZAmounts[REZ Name]) * (Table186[[#This Row],[Technology]]=GenREZAmounts[Technology]), 0),21)</f>
        <v>0</v>
      </c>
      <c r="X62" s="7" cm="1">
        <f t="array" ref="X62">INDEX(Table1[], MATCH(1, (Table186[[#This Row],[REZ Name]]=Table1[REZ Name]) * (Table186[[#This Row],[Technology]]=Table1[Technology]), 0),23)-INDEX(GenREZAmounts[],MATCH(1, (Table186[[#This Row],[REZ Name]]=GenREZAmounts[REZ Name]) * (Table186[[#This Row],[Technology]]=GenREZAmounts[Technology]), 0),22)</f>
        <v>0</v>
      </c>
      <c r="Y62" s="7" cm="1">
        <f t="array" ref="Y62">INDEX(Table1[], MATCH(1, (Table186[[#This Row],[REZ Name]]=Table1[REZ Name]) * (Table186[[#This Row],[Technology]]=Table1[Technology]), 0),24)-INDEX(GenREZAmounts[],MATCH(1, (Table186[[#This Row],[REZ Name]]=GenREZAmounts[REZ Name]) * (Table186[[#This Row],[Technology]]=GenREZAmounts[Technology]), 0),23)</f>
        <v>0</v>
      </c>
      <c r="Z62" s="7" cm="1">
        <f t="array" ref="Z62">INDEX(Table1[], MATCH(1, (Table186[[#This Row],[REZ Name]]=Table1[REZ Name]) * (Table186[[#This Row],[Technology]]=Table1[Technology]), 0),25)-INDEX(GenREZAmounts[],MATCH(1, (Table186[[#This Row],[REZ Name]]=GenREZAmounts[REZ Name]) * (Table186[[#This Row],[Technology]]=GenREZAmounts[Technology]), 0),24)</f>
        <v>0</v>
      </c>
      <c r="AA62" s="7" cm="1">
        <f t="array" ref="AA62">INDEX(Table1[], MATCH(1, (Table186[[#This Row],[REZ Name]]=Table1[REZ Name]) * (Table186[[#This Row],[Technology]]=Table1[Technology]), 0),26)-INDEX(GenREZAmounts[],MATCH(1, (Table186[[#This Row],[REZ Name]]=GenREZAmounts[REZ Name]) * (Table186[[#This Row],[Technology]]=GenREZAmounts[Technology]), 0),25)</f>
        <v>0</v>
      </c>
      <c r="AB62" s="7" cm="1">
        <f t="array" ref="AB62">INDEX(Table1[], MATCH(1, (Table186[[#This Row],[REZ Name]]=Table1[REZ Name]) * (Table186[[#This Row],[Technology]]=Table1[Technology]), 0),27)-INDEX(GenREZAmounts[],MATCH(1, (Table186[[#This Row],[REZ Name]]=GenREZAmounts[REZ Name]) * (Table186[[#This Row],[Technology]]=GenREZAmounts[Technology]), 0),26)</f>
        <v>0</v>
      </c>
      <c r="AC62" s="7" cm="1">
        <f t="array" ref="AC62">INDEX(Table1[], MATCH(1, (Table186[[#This Row],[REZ Name]]=Table1[REZ Name]) * (Table186[[#This Row],[Technology]]=Table1[Technology]), 0),28)-INDEX(GenREZAmounts[],MATCH(1, (Table186[[#This Row],[REZ Name]]=GenREZAmounts[REZ Name]) * (Table186[[#This Row],[Technology]]=GenREZAmounts[Technology]), 0),27)</f>
        <v>0</v>
      </c>
      <c r="AD62" s="7" cm="1">
        <f t="array" ref="AD62">INDEX(Table1[], MATCH(1, (Table186[[#This Row],[REZ Name]]=Table1[REZ Name]) * (Table186[[#This Row],[Technology]]=Table1[Technology]), 0),29)-INDEX(GenREZAmounts[],MATCH(1, (Table186[[#This Row],[REZ Name]]=GenREZAmounts[REZ Name]) * (Table186[[#This Row],[Technology]]=GenREZAmounts[Technology]), 0),28)</f>
        <v>0</v>
      </c>
      <c r="AE62" s="7" cm="1">
        <f t="array" ref="AE62">INDEX(Table1[], MATCH(1, (Table186[[#This Row],[REZ Name]]=Table1[REZ Name]) * (Table186[[#This Row],[Technology]]=Table1[Technology]), 0),30)-INDEX(GenREZAmounts[],MATCH(1, (Table186[[#This Row],[REZ Name]]=GenREZAmounts[REZ Name]) * (Table186[[#This Row],[Technology]]=GenREZAmounts[Technology]), 0),29)</f>
        <v>0</v>
      </c>
      <c r="AF62" s="7" cm="1">
        <f t="array" ref="AF62">INDEX(Table1[], MATCH(1, (Table186[[#This Row],[REZ Name]]=Table1[REZ Name]) * (Table186[[#This Row],[Technology]]=Table1[Technology]), 0),31)-INDEX(GenREZAmounts[],MATCH(1, (Table186[[#This Row],[REZ Name]]=GenREZAmounts[REZ Name]) * (Table186[[#This Row],[Technology]]=GenREZAmounts[Technology]), 0),30)</f>
        <v>0</v>
      </c>
    </row>
    <row r="63" spans="2:32" x14ac:dyDescent="0.35">
      <c r="B63" s="7" t="s">
        <v>166</v>
      </c>
      <c r="C63" s="7" t="s">
        <v>152</v>
      </c>
      <c r="D63" s="7" t="s">
        <v>2</v>
      </c>
      <c r="E63" s="7" cm="1">
        <f t="array" ref="E63">INDEX(Table1[], MATCH(1, (Table186[[#This Row],[REZ Name]]=Table1[REZ Name]) * (Table186[[#This Row],[Technology]]=Table1[Technology]), 0),4)-INDEX(GenREZAmounts[],MATCH(1, (Table186[[#This Row],[REZ Name]]=GenREZAmounts[REZ Name]) * (Table186[[#This Row],[Technology]]=GenREZAmounts[Technology]), 0),3)</f>
        <v>0</v>
      </c>
      <c r="F63" s="7" cm="1">
        <f t="array" ref="F63">INDEX(Table1[], MATCH(1, (Table186[[#This Row],[REZ Name]]=Table1[REZ Name]) * (Table186[[#This Row],[Technology]]=Table1[Technology]), 0),5)-INDEX(GenREZAmounts[],MATCH(1, (Table186[[#This Row],[REZ Name]]=GenREZAmounts[REZ Name]) * (Table186[[#This Row],[Technology]]=GenREZAmounts[Technology]), 0),4)</f>
        <v>0</v>
      </c>
      <c r="G63" s="7" cm="1">
        <f t="array" ref="G63">INDEX(Table1[], MATCH(1, (Table186[[#This Row],[REZ Name]]=Table1[REZ Name]) * (Table186[[#This Row],[Technology]]=Table1[Technology]), 0),6)-INDEX(GenREZAmounts[],MATCH(1, (Table186[[#This Row],[REZ Name]]=GenREZAmounts[REZ Name]) * (Table186[[#This Row],[Technology]]=GenREZAmounts[Technology]), 0),5)</f>
        <v>0</v>
      </c>
      <c r="H63" s="7" cm="1">
        <f t="array" ref="H63">INDEX(Table1[], MATCH(1, (Table186[[#This Row],[REZ Name]]=Table1[REZ Name]) * (Table186[[#This Row],[Technology]]=Table1[Technology]), 0),7)-INDEX(GenREZAmounts[],MATCH(1, (Table186[[#This Row],[REZ Name]]=GenREZAmounts[REZ Name]) * (Table186[[#This Row],[Technology]]=GenREZAmounts[Technology]), 0),6)</f>
        <v>700.00000635999936</v>
      </c>
      <c r="I63" s="7" cm="1">
        <f t="array" ref="I63">INDEX(Table1[], MATCH(1, (Table186[[#This Row],[REZ Name]]=Table1[REZ Name]) * (Table186[[#This Row],[Technology]]=Table1[Technology]), 0),8)-INDEX(GenREZAmounts[],MATCH(1, (Table186[[#This Row],[REZ Name]]=GenREZAmounts[REZ Name]) * (Table186[[#This Row],[Technology]]=GenREZAmounts[Technology]), 0),7)</f>
        <v>858.89697208999974</v>
      </c>
      <c r="J63" s="7" cm="1">
        <f t="array" ref="J63">INDEX(Table1[], MATCH(1, (Table186[[#This Row],[REZ Name]]=Table1[REZ Name]) * (Table186[[#This Row],[Technology]]=Table1[Technology]), 0),9)-INDEX(GenREZAmounts[],MATCH(1, (Table186[[#This Row],[REZ Name]]=GenREZAmounts[REZ Name]) * (Table186[[#This Row],[Technology]]=GenREZAmounts[Technology]), 0),8)</f>
        <v>858.89697208999974</v>
      </c>
      <c r="K63" s="7" cm="1">
        <f t="array" ref="K63">INDEX(Table1[], MATCH(1, (Table186[[#This Row],[REZ Name]]=Table1[REZ Name]) * (Table186[[#This Row],[Technology]]=Table1[Technology]), 0),10)-INDEX(GenREZAmounts[],MATCH(1, (Table186[[#This Row],[REZ Name]]=GenREZAmounts[REZ Name]) * (Table186[[#This Row],[Technology]]=GenREZAmounts[Technology]), 0),9)</f>
        <v>911.39697208999974</v>
      </c>
      <c r="L63" s="7" cm="1">
        <f t="array" ref="L63">INDEX(Table1[], MATCH(1, (Table186[[#This Row],[REZ Name]]=Table1[REZ Name]) * (Table186[[#This Row],[Technology]]=Table1[Technology]), 0),11)-INDEX(GenREZAmounts[],MATCH(1, (Table186[[#This Row],[REZ Name]]=GenREZAmounts[REZ Name]) * (Table186[[#This Row],[Technology]]=GenREZAmounts[Technology]), 0),10)</f>
        <v>911.39697208999974</v>
      </c>
      <c r="M63" s="7" cm="1">
        <f t="array" ref="M63">INDEX(Table1[], MATCH(1, (Table186[[#This Row],[REZ Name]]=Table1[REZ Name]) * (Table186[[#This Row],[Technology]]=Table1[Technology]), 0),12)-INDEX(GenREZAmounts[],MATCH(1, (Table186[[#This Row],[REZ Name]]=GenREZAmounts[REZ Name]) * (Table186[[#This Row],[Technology]]=GenREZAmounts[Technology]), 0),11)</f>
        <v>1360.1664032199994</v>
      </c>
      <c r="N63" s="7" cm="1">
        <f t="array" ref="N63">INDEX(Table1[], MATCH(1, (Table186[[#This Row],[REZ Name]]=Table1[REZ Name]) * (Table186[[#This Row],[Technology]]=Table1[Technology]), 0),13)-INDEX(GenREZAmounts[],MATCH(1, (Table186[[#This Row],[REZ Name]]=GenREZAmounts[REZ Name]) * (Table186[[#This Row],[Technology]]=GenREZAmounts[Technology]), 0),12)</f>
        <v>1489.7471030399995</v>
      </c>
      <c r="O63" s="7" cm="1">
        <f t="array" ref="O63">INDEX(Table1[], MATCH(1, (Table186[[#This Row],[REZ Name]]=Table1[REZ Name]) * (Table186[[#This Row],[Technology]]=Table1[Technology]), 0),14)-INDEX(GenREZAmounts[],MATCH(1, (Table186[[#This Row],[REZ Name]]=GenREZAmounts[REZ Name]) * (Table186[[#This Row],[Technology]]=GenREZAmounts[Technology]), 0),13)</f>
        <v>1450.9173089499993</v>
      </c>
      <c r="P63" s="7" cm="1">
        <f t="array" ref="P63">INDEX(Table1[], MATCH(1, (Table186[[#This Row],[REZ Name]]=Table1[REZ Name]) * (Table186[[#This Row],[Technology]]=Table1[Technology]), 0),15)-INDEX(GenREZAmounts[],MATCH(1, (Table186[[#This Row],[REZ Name]]=GenREZAmounts[REZ Name]) * (Table186[[#This Row],[Technology]]=GenREZAmounts[Technology]), 0),14)</f>
        <v>1450.9173089499993</v>
      </c>
      <c r="Q63" s="7" cm="1">
        <f t="array" ref="Q63">INDEX(Table1[], MATCH(1, (Table186[[#This Row],[REZ Name]]=Table1[REZ Name]) * (Table186[[#This Row],[Technology]]=Table1[Technology]), 0),16)-INDEX(GenREZAmounts[],MATCH(1, (Table186[[#This Row],[REZ Name]]=GenREZAmounts[REZ Name]) * (Table186[[#This Row],[Technology]]=GenREZAmounts[Technology]), 0),15)</f>
        <v>1450.9173089499993</v>
      </c>
      <c r="R63" s="7" cm="1">
        <f t="array" ref="R63">INDEX(Table1[], MATCH(1, (Table186[[#This Row],[REZ Name]]=Table1[REZ Name]) * (Table186[[#This Row],[Technology]]=Table1[Technology]), 0),17)-INDEX(GenREZAmounts[],MATCH(1, (Table186[[#This Row],[REZ Name]]=GenREZAmounts[REZ Name]) * (Table186[[#This Row],[Technology]]=GenREZAmounts[Technology]), 0),16)</f>
        <v>1450.9173089499993</v>
      </c>
      <c r="S63" s="7" cm="1">
        <f t="array" ref="S63">INDEX(Table1[], MATCH(1, (Table186[[#This Row],[REZ Name]]=Table1[REZ Name]) * (Table186[[#This Row],[Technology]]=Table1[Technology]), 0),18)-INDEX(GenREZAmounts[],MATCH(1, (Table186[[#This Row],[REZ Name]]=GenREZAmounts[REZ Name]) * (Table186[[#This Row],[Technology]]=GenREZAmounts[Technology]), 0),17)</f>
        <v>1450.9173089499993</v>
      </c>
      <c r="T63" s="7" cm="1">
        <f t="array" ref="T63">INDEX(Table1[], MATCH(1, (Table186[[#This Row],[REZ Name]]=Table1[REZ Name]) * (Table186[[#This Row],[Technology]]=Table1[Technology]), 0),19)-INDEX(GenREZAmounts[],MATCH(1, (Table186[[#This Row],[REZ Name]]=GenREZAmounts[REZ Name]) * (Table186[[#This Row],[Technology]]=GenREZAmounts[Technology]), 0),18)</f>
        <v>1450.9173089499993</v>
      </c>
      <c r="U63" s="7" cm="1">
        <f t="array" ref="U63">INDEX(Table1[], MATCH(1, (Table186[[#This Row],[REZ Name]]=Table1[REZ Name]) * (Table186[[#This Row],[Technology]]=Table1[Technology]), 0),20)-INDEX(GenREZAmounts[],MATCH(1, (Table186[[#This Row],[REZ Name]]=GenREZAmounts[REZ Name]) * (Table186[[#This Row],[Technology]]=GenREZAmounts[Technology]), 0),19)</f>
        <v>1450.9173099699995</v>
      </c>
      <c r="V63" s="7" cm="1">
        <f t="array" ref="V63">INDEX(Table1[], MATCH(1, (Table186[[#This Row],[REZ Name]]=Table1[REZ Name]) * (Table186[[#This Row],[Technology]]=Table1[Technology]), 0),21)-INDEX(GenREZAmounts[],MATCH(1, (Table186[[#This Row],[REZ Name]]=GenREZAmounts[REZ Name]) * (Table186[[#This Row],[Technology]]=GenREZAmounts[Technology]), 0),20)</f>
        <v>1450.9173099699995</v>
      </c>
      <c r="W63" s="7" cm="1">
        <f t="array" ref="W63">INDEX(Table1[], MATCH(1, (Table186[[#This Row],[REZ Name]]=Table1[REZ Name]) * (Table186[[#This Row],[Technology]]=Table1[Technology]), 0),22)-INDEX(GenREZAmounts[],MATCH(1, (Table186[[#This Row],[REZ Name]]=GenREZAmounts[REZ Name]) * (Table186[[#This Row],[Technology]]=GenREZAmounts[Technology]), 0),21)</f>
        <v>1450.9173099700001</v>
      </c>
      <c r="X63" s="7" cm="1">
        <f t="array" ref="X63">INDEX(Table1[], MATCH(1, (Table186[[#This Row],[REZ Name]]=Table1[REZ Name]) * (Table186[[#This Row],[Technology]]=Table1[Technology]), 0),23)-INDEX(GenREZAmounts[],MATCH(1, (Table186[[#This Row],[REZ Name]]=GenREZAmounts[REZ Name]) * (Table186[[#This Row],[Technology]]=GenREZAmounts[Technology]), 0),22)</f>
        <v>1450.9173099699995</v>
      </c>
      <c r="Y63" s="7" cm="1">
        <f t="array" ref="Y63">INDEX(Table1[], MATCH(1, (Table186[[#This Row],[REZ Name]]=Table1[REZ Name]) * (Table186[[#This Row],[Technology]]=Table1[Technology]), 0),24)-INDEX(GenREZAmounts[],MATCH(1, (Table186[[#This Row],[REZ Name]]=GenREZAmounts[REZ Name]) * (Table186[[#This Row],[Technology]]=GenREZAmounts[Technology]), 0),23)</f>
        <v>1530.8673099699995</v>
      </c>
      <c r="Z63" s="7" cm="1">
        <f t="array" ref="Z63">INDEX(Table1[], MATCH(1, (Table186[[#This Row],[REZ Name]]=Table1[REZ Name]) * (Table186[[#This Row],[Technology]]=Table1[Technology]), 0),25)-INDEX(GenREZAmounts[],MATCH(1, (Table186[[#This Row],[REZ Name]]=GenREZAmounts[REZ Name]) * (Table186[[#This Row],[Technology]]=GenREZAmounts[Technology]), 0),24)</f>
        <v>1818.1610893899997</v>
      </c>
      <c r="AA63" s="7" cm="1">
        <f t="array" ref="AA63">INDEX(Table1[], MATCH(1, (Table186[[#This Row],[REZ Name]]=Table1[REZ Name]) * (Table186[[#This Row],[Technology]]=Table1[Technology]), 0),26)-INDEX(GenREZAmounts[],MATCH(1, (Table186[[#This Row],[REZ Name]]=GenREZAmounts[REZ Name]) * (Table186[[#This Row],[Technology]]=GenREZAmounts[Technology]), 0),25)</f>
        <v>1832.2742761199997</v>
      </c>
      <c r="AB63" s="7" cm="1">
        <f t="array" ref="AB63">INDEX(Table1[], MATCH(1, (Table186[[#This Row],[REZ Name]]=Table1[REZ Name]) * (Table186[[#This Row],[Technology]]=Table1[Technology]), 0),27)-INDEX(GenREZAmounts[],MATCH(1, (Table186[[#This Row],[REZ Name]]=GenREZAmounts[REZ Name]) * (Table186[[#This Row],[Technology]]=GenREZAmounts[Technology]), 0),26)</f>
        <v>2024.2742761199997</v>
      </c>
      <c r="AC63" s="7" cm="1">
        <f t="array" ref="AC63">INDEX(Table1[], MATCH(1, (Table186[[#This Row],[REZ Name]]=Table1[REZ Name]) * (Table186[[#This Row],[Technology]]=Table1[Technology]), 0),28)-INDEX(GenREZAmounts[],MATCH(1, (Table186[[#This Row],[REZ Name]]=GenREZAmounts[REZ Name]) * (Table186[[#This Row],[Technology]]=GenREZAmounts[Technology]), 0),27)</f>
        <v>2201.3081958299999</v>
      </c>
      <c r="AD63" s="7" cm="1">
        <f t="array" ref="AD63">INDEX(Table1[], MATCH(1, (Table186[[#This Row],[REZ Name]]=Table1[REZ Name]) * (Table186[[#This Row],[Technology]]=Table1[Technology]), 0),29)-INDEX(GenREZAmounts[],MATCH(1, (Table186[[#This Row],[REZ Name]]=GenREZAmounts[REZ Name]) * (Table186[[#This Row],[Technology]]=GenREZAmounts[Technology]), 0),28)</f>
        <v>2521.9211163099999</v>
      </c>
      <c r="AE63" s="7" cm="1">
        <f t="array" ref="AE63">INDEX(Table1[], MATCH(1, (Table186[[#This Row],[REZ Name]]=Table1[REZ Name]) * (Table186[[#This Row],[Technology]]=Table1[Technology]), 0),30)-INDEX(GenREZAmounts[],MATCH(1, (Table186[[#This Row],[REZ Name]]=GenREZAmounts[REZ Name]) * (Table186[[#This Row],[Technology]]=GenREZAmounts[Technology]), 0),29)</f>
        <v>2441.9711163100001</v>
      </c>
      <c r="AF63" s="7" cm="1">
        <f t="array" ref="AF63">INDEX(Table1[], MATCH(1, (Table186[[#This Row],[REZ Name]]=Table1[REZ Name]) * (Table186[[#This Row],[Technology]]=Table1[Technology]), 0),31)-INDEX(GenREZAmounts[],MATCH(1, (Table186[[#This Row],[REZ Name]]=GenREZAmounts[REZ Name]) * (Table186[[#This Row],[Technology]]=GenREZAmounts[Technology]), 0),30)</f>
        <v>2441.9711163100001</v>
      </c>
    </row>
    <row r="64" spans="2:32" x14ac:dyDescent="0.35">
      <c r="B64" s="7" t="s">
        <v>167</v>
      </c>
      <c r="C64" s="7" t="s">
        <v>153</v>
      </c>
      <c r="D64" s="7" t="s">
        <v>2</v>
      </c>
      <c r="E64" s="7" cm="1">
        <f t="array" ref="E64">INDEX(Table1[], MATCH(1, (Table186[[#This Row],[REZ Name]]=Table1[REZ Name]) * (Table186[[#This Row],[Technology]]=Table1[Technology]), 0),4)-INDEX(GenREZAmounts[],MATCH(1, (Table186[[#This Row],[REZ Name]]=GenREZAmounts[REZ Name]) * (Table186[[#This Row],[Technology]]=GenREZAmounts[Technology]), 0),3)</f>
        <v>0</v>
      </c>
      <c r="F64" s="7" cm="1">
        <f t="array" ref="F64">INDEX(Table1[], MATCH(1, (Table186[[#This Row],[REZ Name]]=Table1[REZ Name]) * (Table186[[#This Row],[Technology]]=Table1[Technology]), 0),5)-INDEX(GenREZAmounts[],MATCH(1, (Table186[[#This Row],[REZ Name]]=GenREZAmounts[REZ Name]) * (Table186[[#This Row],[Technology]]=GenREZAmounts[Technology]), 0),4)</f>
        <v>88.159999999999854</v>
      </c>
      <c r="G64" s="7" cm="1">
        <f t="array" ref="G64">INDEX(Table1[], MATCH(1, (Table186[[#This Row],[REZ Name]]=Table1[REZ Name]) * (Table186[[#This Row],[Technology]]=Table1[Technology]), 0),6)-INDEX(GenREZAmounts[],MATCH(1, (Table186[[#This Row],[REZ Name]]=GenREZAmounts[REZ Name]) * (Table186[[#This Row],[Technology]]=GenREZAmounts[Technology]), 0),5)</f>
        <v>137.50610236999955</v>
      </c>
      <c r="H64" s="7" cm="1">
        <f t="array" ref="H64">INDEX(Table1[], MATCH(1, (Table186[[#This Row],[REZ Name]]=Table1[REZ Name]) * (Table186[[#This Row],[Technology]]=Table1[Technology]), 0),7)-INDEX(GenREZAmounts[],MATCH(1, (Table186[[#This Row],[REZ Name]]=GenREZAmounts[REZ Name]) * (Table186[[#This Row],[Technology]]=GenREZAmounts[Technology]), 0),6)</f>
        <v>790.74060229999986</v>
      </c>
      <c r="I64" s="7" cm="1">
        <f t="array" ref="I64">INDEX(Table1[], MATCH(1, (Table186[[#This Row],[REZ Name]]=Table1[REZ Name]) * (Table186[[#This Row],[Technology]]=Table1[Technology]), 0),8)-INDEX(GenREZAmounts[],MATCH(1, (Table186[[#This Row],[REZ Name]]=GenREZAmounts[REZ Name]) * (Table186[[#This Row],[Technology]]=GenREZAmounts[Technology]), 0),7)</f>
        <v>906.6176490099997</v>
      </c>
      <c r="J64" s="7" cm="1">
        <f t="array" ref="J64">INDEX(Table1[], MATCH(1, (Table186[[#This Row],[REZ Name]]=Table1[REZ Name]) * (Table186[[#This Row],[Technology]]=Table1[Technology]), 0),9)-INDEX(GenREZAmounts[],MATCH(1, (Table186[[#This Row],[REZ Name]]=GenREZAmounts[REZ Name]) * (Table186[[#This Row],[Technology]]=GenREZAmounts[Technology]), 0),8)</f>
        <v>906.6176490099997</v>
      </c>
      <c r="K64" s="7" cm="1">
        <f t="array" ref="K64">INDEX(Table1[], MATCH(1, (Table186[[#This Row],[REZ Name]]=Table1[REZ Name]) * (Table186[[#This Row],[Technology]]=Table1[Technology]), 0),10)-INDEX(GenREZAmounts[],MATCH(1, (Table186[[#This Row],[REZ Name]]=GenREZAmounts[REZ Name]) * (Table186[[#This Row],[Technology]]=GenREZAmounts[Technology]), 0),9)</f>
        <v>906.6176490099997</v>
      </c>
      <c r="L64" s="7" cm="1">
        <f t="array" ref="L64">INDEX(Table1[], MATCH(1, (Table186[[#This Row],[REZ Name]]=Table1[REZ Name]) * (Table186[[#This Row],[Technology]]=Table1[Technology]), 0),11)-INDEX(GenREZAmounts[],MATCH(1, (Table186[[#This Row],[REZ Name]]=GenREZAmounts[REZ Name]) * (Table186[[#This Row],[Technology]]=GenREZAmounts[Technology]), 0),10)</f>
        <v>906.61765629000001</v>
      </c>
      <c r="M64" s="7" cm="1">
        <f t="array" ref="M64">INDEX(Table1[], MATCH(1, (Table186[[#This Row],[REZ Name]]=Table1[REZ Name]) * (Table186[[#This Row],[Technology]]=Table1[Technology]), 0),12)-INDEX(GenREZAmounts[],MATCH(1, (Table186[[#This Row],[REZ Name]]=GenREZAmounts[REZ Name]) * (Table186[[#This Row],[Technology]]=GenREZAmounts[Technology]), 0),11)</f>
        <v>965.82021436000014</v>
      </c>
      <c r="N64" s="7" cm="1">
        <f t="array" ref="N64">INDEX(Table1[], MATCH(1, (Table186[[#This Row],[REZ Name]]=Table1[REZ Name]) * (Table186[[#This Row],[Technology]]=Table1[Technology]), 0),13)-INDEX(GenREZAmounts[],MATCH(1, (Table186[[#This Row],[REZ Name]]=GenREZAmounts[REZ Name]) * (Table186[[#This Row],[Technology]]=GenREZAmounts[Technology]), 0),12)</f>
        <v>965.82021436000014</v>
      </c>
      <c r="O64" s="7" cm="1">
        <f t="array" ref="O64">INDEX(Table1[], MATCH(1, (Table186[[#This Row],[REZ Name]]=Table1[REZ Name]) * (Table186[[#This Row],[Technology]]=Table1[Technology]), 0),14)-INDEX(GenREZAmounts[],MATCH(1, (Table186[[#This Row],[REZ Name]]=GenREZAmounts[REZ Name]) * (Table186[[#This Row],[Technology]]=GenREZAmounts[Technology]), 0),13)</f>
        <v>965.82021436000014</v>
      </c>
      <c r="P64" s="7" cm="1">
        <f t="array" ref="P64">INDEX(Table1[], MATCH(1, (Table186[[#This Row],[REZ Name]]=Table1[REZ Name]) * (Table186[[#This Row],[Technology]]=Table1[Technology]), 0),15)-INDEX(GenREZAmounts[],MATCH(1, (Table186[[#This Row],[REZ Name]]=GenREZAmounts[REZ Name]) * (Table186[[#This Row],[Technology]]=GenREZAmounts[Technology]), 0),14)</f>
        <v>965.82021436000014</v>
      </c>
      <c r="Q64" s="7" cm="1">
        <f t="array" ref="Q64">INDEX(Table1[], MATCH(1, (Table186[[#This Row],[REZ Name]]=Table1[REZ Name]) * (Table186[[#This Row],[Technology]]=Table1[Technology]), 0),16)-INDEX(GenREZAmounts[],MATCH(1, (Table186[[#This Row],[REZ Name]]=GenREZAmounts[REZ Name]) * (Table186[[#This Row],[Technology]]=GenREZAmounts[Technology]), 0),15)</f>
        <v>965.82021436000014</v>
      </c>
      <c r="R64" s="7" cm="1">
        <f t="array" ref="R64">INDEX(Table1[], MATCH(1, (Table186[[#This Row],[REZ Name]]=Table1[REZ Name]) * (Table186[[#This Row],[Technology]]=Table1[Technology]), 0),17)-INDEX(GenREZAmounts[],MATCH(1, (Table186[[#This Row],[REZ Name]]=GenREZAmounts[REZ Name]) * (Table186[[#This Row],[Technology]]=GenREZAmounts[Technology]), 0),16)</f>
        <v>965.82021435999923</v>
      </c>
      <c r="S64" s="7" cm="1">
        <f t="array" ref="S64">INDEX(Table1[], MATCH(1, (Table186[[#This Row],[REZ Name]]=Table1[REZ Name]) * (Table186[[#This Row],[Technology]]=Table1[Technology]), 0),18)-INDEX(GenREZAmounts[],MATCH(1, (Table186[[#This Row],[REZ Name]]=GenREZAmounts[REZ Name]) * (Table186[[#This Row],[Technology]]=GenREZAmounts[Technology]), 0),17)</f>
        <v>965.82021435999968</v>
      </c>
      <c r="T64" s="7" cm="1">
        <f t="array" ref="T64">INDEX(Table1[], MATCH(1, (Table186[[#This Row],[REZ Name]]=Table1[REZ Name]) * (Table186[[#This Row],[Technology]]=Table1[Technology]), 0),19)-INDEX(GenREZAmounts[],MATCH(1, (Table186[[#This Row],[REZ Name]]=GenREZAmounts[REZ Name]) * (Table186[[#This Row],[Technology]]=GenREZAmounts[Technology]), 0),18)</f>
        <v>995.82021983999948</v>
      </c>
      <c r="U64" s="7" cm="1">
        <f t="array" ref="U64">INDEX(Table1[], MATCH(1, (Table186[[#This Row],[REZ Name]]=Table1[REZ Name]) * (Table186[[#This Row],[Technology]]=Table1[Technology]), 0),20)-INDEX(GenREZAmounts[],MATCH(1, (Table186[[#This Row],[REZ Name]]=GenREZAmounts[REZ Name]) * (Table186[[#This Row],[Technology]]=GenREZAmounts[Technology]), 0),19)</f>
        <v>814.12023705999991</v>
      </c>
      <c r="V64" s="7" cm="1">
        <f t="array" ref="V64">INDEX(Table1[], MATCH(1, (Table186[[#This Row],[REZ Name]]=Table1[REZ Name]) * (Table186[[#This Row],[Technology]]=Table1[Technology]), 0),21)-INDEX(GenREZAmounts[],MATCH(1, (Table186[[#This Row],[REZ Name]]=GenREZAmounts[REZ Name]) * (Table186[[#This Row],[Technology]]=GenREZAmounts[Technology]), 0),20)</f>
        <v>985.32023705999973</v>
      </c>
      <c r="W64" s="7" cm="1">
        <f t="array" ref="W64">INDEX(Table1[], MATCH(1, (Table186[[#This Row],[REZ Name]]=Table1[REZ Name]) * (Table186[[#This Row],[Technology]]=Table1[Technology]), 0),22)-INDEX(GenREZAmounts[],MATCH(1, (Table186[[#This Row],[REZ Name]]=GenREZAmounts[REZ Name]) * (Table186[[#This Row],[Technology]]=GenREZAmounts[Technology]), 0),21)</f>
        <v>1260.8691419399997</v>
      </c>
      <c r="X64" s="7" cm="1">
        <f t="array" ref="X64">INDEX(Table1[], MATCH(1, (Table186[[#This Row],[REZ Name]]=Table1[REZ Name]) * (Table186[[#This Row],[Technology]]=Table1[Technology]), 0),23)-INDEX(GenREZAmounts[],MATCH(1, (Table186[[#This Row],[REZ Name]]=GenREZAmounts[REZ Name]) * (Table186[[#This Row],[Technology]]=GenREZAmounts[Technology]), 0),22)</f>
        <v>1285.9455051299997</v>
      </c>
      <c r="Y64" s="7" cm="1">
        <f t="array" ref="Y64">INDEX(Table1[], MATCH(1, (Table186[[#This Row],[REZ Name]]=Table1[REZ Name]) * (Table186[[#This Row],[Technology]]=Table1[Technology]), 0),24)-INDEX(GenREZAmounts[],MATCH(1, (Table186[[#This Row],[REZ Name]]=GenREZAmounts[REZ Name]) * (Table186[[#This Row],[Technology]]=GenREZAmounts[Technology]), 0),23)</f>
        <v>1318.0789410899997</v>
      </c>
      <c r="Z64" s="7" cm="1">
        <f t="array" ref="Z64">INDEX(Table1[], MATCH(1, (Table186[[#This Row],[REZ Name]]=Table1[REZ Name]) * (Table186[[#This Row],[Technology]]=Table1[Technology]), 0),25)-INDEX(GenREZAmounts[],MATCH(1, (Table186[[#This Row],[REZ Name]]=GenREZAmounts[REZ Name]) * (Table186[[#This Row],[Technology]]=GenREZAmounts[Technology]), 0),24)</f>
        <v>2107.9099987599993</v>
      </c>
      <c r="AA64" s="7" cm="1">
        <f t="array" ref="AA64">INDEX(Table1[], MATCH(1, (Table186[[#This Row],[REZ Name]]=Table1[REZ Name]) * (Table186[[#This Row],[Technology]]=Table1[Technology]), 0),26)-INDEX(GenREZAmounts[],MATCH(1, (Table186[[#This Row],[REZ Name]]=GenREZAmounts[REZ Name]) * (Table186[[#This Row],[Technology]]=GenREZAmounts[Technology]), 0),25)</f>
        <v>2265.4099985499997</v>
      </c>
      <c r="AB64" s="7" cm="1">
        <f t="array" ref="AB64">INDEX(Table1[], MATCH(1, (Table186[[#This Row],[REZ Name]]=Table1[REZ Name]) * (Table186[[#This Row],[Technology]]=Table1[Technology]), 0),27)-INDEX(GenREZAmounts[],MATCH(1, (Table186[[#This Row],[REZ Name]]=GenREZAmounts[REZ Name]) * (Table186[[#This Row],[Technology]]=GenREZAmounts[Technology]), 0),26)</f>
        <v>2265.4099985499997</v>
      </c>
      <c r="AC64" s="7" cm="1">
        <f t="array" ref="AC64">INDEX(Table1[], MATCH(1, (Table186[[#This Row],[REZ Name]]=Table1[REZ Name]) * (Table186[[#This Row],[Technology]]=Table1[Technology]), 0),28)-INDEX(GenREZAmounts[],MATCH(1, (Table186[[#This Row],[REZ Name]]=GenREZAmounts[REZ Name]) * (Table186[[#This Row],[Technology]]=GenREZAmounts[Technology]), 0),27)</f>
        <v>2532.7657142999997</v>
      </c>
      <c r="AD64" s="7" cm="1">
        <f t="array" ref="AD64">INDEX(Table1[], MATCH(1, (Table186[[#This Row],[REZ Name]]=Table1[REZ Name]) * (Table186[[#This Row],[Technology]]=Table1[Technology]), 0),29)-INDEX(GenREZAmounts[],MATCH(1, (Table186[[#This Row],[REZ Name]]=GenREZAmounts[REZ Name]) * (Table186[[#This Row],[Technology]]=GenREZAmounts[Technology]), 0),28)</f>
        <v>3130.5785137399998</v>
      </c>
      <c r="AE64" s="7" cm="1">
        <f t="array" ref="AE64">INDEX(Table1[], MATCH(1, (Table186[[#This Row],[REZ Name]]=Table1[REZ Name]) * (Table186[[#This Row],[Technology]]=Table1[Technology]), 0),30)-INDEX(GenREZAmounts[],MATCH(1, (Table186[[#This Row],[REZ Name]]=GenREZAmounts[REZ Name]) * (Table186[[#This Row],[Technology]]=GenREZAmounts[Technology]), 0),29)</f>
        <v>3235.7685137399999</v>
      </c>
      <c r="AF64" s="7" cm="1">
        <f t="array" ref="AF64">INDEX(Table1[], MATCH(1, (Table186[[#This Row],[REZ Name]]=Table1[REZ Name]) * (Table186[[#This Row],[Technology]]=Table1[Technology]), 0),31)-INDEX(GenREZAmounts[],MATCH(1, (Table186[[#This Row],[REZ Name]]=GenREZAmounts[REZ Name]) * (Table186[[#This Row],[Technology]]=GenREZAmounts[Technology]), 0),30)</f>
        <v>3235.7685137399999</v>
      </c>
    </row>
    <row r="65" spans="2:32" x14ac:dyDescent="0.35">
      <c r="B65" s="7" t="s">
        <v>168</v>
      </c>
      <c r="C65" s="7" t="s">
        <v>169</v>
      </c>
      <c r="D65" s="7" t="s">
        <v>2</v>
      </c>
      <c r="E65" s="7" cm="1">
        <f t="array" ref="E65">INDEX(Table1[], MATCH(1, (Table186[[#This Row],[REZ Name]]=Table1[REZ Name]) * (Table186[[#This Row],[Technology]]=Table1[Technology]), 0),4)-INDEX(GenREZAmounts[],MATCH(1, (Table186[[#This Row],[REZ Name]]=GenREZAmounts[REZ Name]) * (Table186[[#This Row],[Technology]]=GenREZAmounts[Technology]), 0),3)</f>
        <v>0</v>
      </c>
      <c r="F65" s="7" cm="1">
        <f t="array" ref="F65">INDEX(Table1[], MATCH(1, (Table186[[#This Row],[REZ Name]]=Table1[REZ Name]) * (Table186[[#This Row],[Technology]]=Table1[Technology]), 0),5)-INDEX(GenREZAmounts[],MATCH(1, (Table186[[#This Row],[REZ Name]]=GenREZAmounts[REZ Name]) * (Table186[[#This Row],[Technology]]=GenREZAmounts[Technology]), 0),4)</f>
        <v>0</v>
      </c>
      <c r="G65" s="7" cm="1">
        <f t="array" ref="G65">INDEX(Table1[], MATCH(1, (Table186[[#This Row],[REZ Name]]=Table1[REZ Name]) * (Table186[[#This Row],[Technology]]=Table1[Technology]), 0),6)-INDEX(GenREZAmounts[],MATCH(1, (Table186[[#This Row],[REZ Name]]=GenREZAmounts[REZ Name]) * (Table186[[#This Row],[Technology]]=GenREZAmounts[Technology]), 0),5)</f>
        <v>500</v>
      </c>
      <c r="H65" s="7" cm="1">
        <f t="array" ref="H65">INDEX(Table1[], MATCH(1, (Table186[[#This Row],[REZ Name]]=Table1[REZ Name]) * (Table186[[#This Row],[Technology]]=Table1[Technology]), 0),7)-INDEX(GenREZAmounts[],MATCH(1, (Table186[[#This Row],[REZ Name]]=GenREZAmounts[REZ Name]) * (Table186[[#This Row],[Technology]]=GenREZAmounts[Technology]), 0),6)</f>
        <v>500</v>
      </c>
      <c r="I65" s="7" cm="1">
        <f t="array" ref="I65">INDEX(Table1[], MATCH(1, (Table186[[#This Row],[REZ Name]]=Table1[REZ Name]) * (Table186[[#This Row],[Technology]]=Table1[Technology]), 0),8)-INDEX(GenREZAmounts[],MATCH(1, (Table186[[#This Row],[REZ Name]]=GenREZAmounts[REZ Name]) * (Table186[[#This Row],[Technology]]=GenREZAmounts[Technology]), 0),7)</f>
        <v>1350.32513268</v>
      </c>
      <c r="J65" s="7" cm="1">
        <f t="array" ref="J65">INDEX(Table1[], MATCH(1, (Table186[[#This Row],[REZ Name]]=Table1[REZ Name]) * (Table186[[#This Row],[Technology]]=Table1[Technology]), 0),9)-INDEX(GenREZAmounts[],MATCH(1, (Table186[[#This Row],[REZ Name]]=GenREZAmounts[REZ Name]) * (Table186[[#This Row],[Technology]]=GenREZAmounts[Technology]), 0),8)</f>
        <v>1999.99999815</v>
      </c>
      <c r="K65" s="7" cm="1">
        <f t="array" ref="K65">INDEX(Table1[], MATCH(1, (Table186[[#This Row],[REZ Name]]=Table1[REZ Name]) * (Table186[[#This Row],[Technology]]=Table1[Technology]), 0),10)-INDEX(GenREZAmounts[],MATCH(1, (Table186[[#This Row],[REZ Name]]=GenREZAmounts[REZ Name]) * (Table186[[#This Row],[Technology]]=GenREZAmounts[Technology]), 0),9)</f>
        <v>1999.99999815</v>
      </c>
      <c r="L65" s="7" cm="1">
        <f t="array" ref="L65">INDEX(Table1[], MATCH(1, (Table186[[#This Row],[REZ Name]]=Table1[REZ Name]) * (Table186[[#This Row],[Technology]]=Table1[Technology]), 0),11)-INDEX(GenREZAmounts[],MATCH(1, (Table186[[#This Row],[REZ Name]]=GenREZAmounts[REZ Name]) * (Table186[[#This Row],[Technology]]=GenREZAmounts[Technology]), 0),10)</f>
        <v>1999.99999815</v>
      </c>
      <c r="M65" s="7" cm="1">
        <f t="array" ref="M65">INDEX(Table1[], MATCH(1, (Table186[[#This Row],[REZ Name]]=Table1[REZ Name]) * (Table186[[#This Row],[Technology]]=Table1[Technology]), 0),12)-INDEX(GenREZAmounts[],MATCH(1, (Table186[[#This Row],[REZ Name]]=GenREZAmounts[REZ Name]) * (Table186[[#This Row],[Technology]]=GenREZAmounts[Technology]), 0),11)</f>
        <v>1999.99999815</v>
      </c>
      <c r="N65" s="7" cm="1">
        <f t="array" ref="N65">INDEX(Table1[], MATCH(1, (Table186[[#This Row],[REZ Name]]=Table1[REZ Name]) * (Table186[[#This Row],[Technology]]=Table1[Technology]), 0),13)-INDEX(GenREZAmounts[],MATCH(1, (Table186[[#This Row],[REZ Name]]=GenREZAmounts[REZ Name]) * (Table186[[#This Row],[Technology]]=GenREZAmounts[Technology]), 0),12)</f>
        <v>1999.99999815</v>
      </c>
      <c r="O65" s="7" cm="1">
        <f t="array" ref="O65">INDEX(Table1[], MATCH(1, (Table186[[#This Row],[REZ Name]]=Table1[REZ Name]) * (Table186[[#This Row],[Technology]]=Table1[Technology]), 0),14)-INDEX(GenREZAmounts[],MATCH(1, (Table186[[#This Row],[REZ Name]]=GenREZAmounts[REZ Name]) * (Table186[[#This Row],[Technology]]=GenREZAmounts[Technology]), 0),13)</f>
        <v>1999.99999815</v>
      </c>
      <c r="P65" s="7" cm="1">
        <f t="array" ref="P65">INDEX(Table1[], MATCH(1, (Table186[[#This Row],[REZ Name]]=Table1[REZ Name]) * (Table186[[#This Row],[Technology]]=Table1[Technology]), 0),15)-INDEX(GenREZAmounts[],MATCH(1, (Table186[[#This Row],[REZ Name]]=GenREZAmounts[REZ Name]) * (Table186[[#This Row],[Technology]]=GenREZAmounts[Technology]), 0),14)</f>
        <v>1999.99999815</v>
      </c>
      <c r="Q65" s="7" cm="1">
        <f t="array" ref="Q65">INDEX(Table1[], MATCH(1, (Table186[[#This Row],[REZ Name]]=Table1[REZ Name]) * (Table186[[#This Row],[Technology]]=Table1[Technology]), 0),16)-INDEX(GenREZAmounts[],MATCH(1, (Table186[[#This Row],[REZ Name]]=GenREZAmounts[REZ Name]) * (Table186[[#This Row],[Technology]]=GenREZAmounts[Technology]), 0),15)</f>
        <v>1999.99999815</v>
      </c>
      <c r="R65" s="7" cm="1">
        <f t="array" ref="R65">INDEX(Table1[], MATCH(1, (Table186[[#This Row],[REZ Name]]=Table1[REZ Name]) * (Table186[[#This Row],[Technology]]=Table1[Technology]), 0),17)-INDEX(GenREZAmounts[],MATCH(1, (Table186[[#This Row],[REZ Name]]=GenREZAmounts[REZ Name]) * (Table186[[#This Row],[Technology]]=GenREZAmounts[Technology]), 0),16)</f>
        <v>1999.99999815</v>
      </c>
      <c r="S65" s="7" cm="1">
        <f t="array" ref="S65">INDEX(Table1[], MATCH(1, (Table186[[#This Row],[REZ Name]]=Table1[REZ Name]) * (Table186[[#This Row],[Technology]]=Table1[Technology]), 0),18)-INDEX(GenREZAmounts[],MATCH(1, (Table186[[#This Row],[REZ Name]]=GenREZAmounts[REZ Name]) * (Table186[[#This Row],[Technology]]=GenREZAmounts[Technology]), 0),17)</f>
        <v>1999.99999815</v>
      </c>
      <c r="T65" s="7" cm="1">
        <f t="array" ref="T65">INDEX(Table1[], MATCH(1, (Table186[[#This Row],[REZ Name]]=Table1[REZ Name]) * (Table186[[#This Row],[Technology]]=Table1[Technology]), 0),19)-INDEX(GenREZAmounts[],MATCH(1, (Table186[[#This Row],[REZ Name]]=GenREZAmounts[REZ Name]) * (Table186[[#This Row],[Technology]]=GenREZAmounts[Technology]), 0),18)</f>
        <v>1999.99999815</v>
      </c>
      <c r="U65" s="7" cm="1">
        <f t="array" ref="U65">INDEX(Table1[], MATCH(1, (Table186[[#This Row],[REZ Name]]=Table1[REZ Name]) * (Table186[[#This Row],[Technology]]=Table1[Technology]), 0),20)-INDEX(GenREZAmounts[],MATCH(1, (Table186[[#This Row],[REZ Name]]=GenREZAmounts[REZ Name]) * (Table186[[#This Row],[Technology]]=GenREZAmounts[Technology]), 0),19)</f>
        <v>1999.99999815</v>
      </c>
      <c r="V65" s="7" cm="1">
        <f t="array" ref="V65">INDEX(Table1[], MATCH(1, (Table186[[#This Row],[REZ Name]]=Table1[REZ Name]) * (Table186[[#This Row],[Technology]]=Table1[Technology]), 0),21)-INDEX(GenREZAmounts[],MATCH(1, (Table186[[#This Row],[REZ Name]]=GenREZAmounts[REZ Name]) * (Table186[[#This Row],[Technology]]=GenREZAmounts[Technology]), 0),20)</f>
        <v>1999.99999815</v>
      </c>
      <c r="W65" s="7" cm="1">
        <f t="array" ref="W65">INDEX(Table1[], MATCH(1, (Table186[[#This Row],[REZ Name]]=Table1[REZ Name]) * (Table186[[#This Row],[Technology]]=Table1[Technology]), 0),22)-INDEX(GenREZAmounts[],MATCH(1, (Table186[[#This Row],[REZ Name]]=GenREZAmounts[REZ Name]) * (Table186[[#This Row],[Technology]]=GenREZAmounts[Technology]), 0),21)</f>
        <v>1999.99999815</v>
      </c>
      <c r="X65" s="7" cm="1">
        <f t="array" ref="X65">INDEX(Table1[], MATCH(1, (Table186[[#This Row],[REZ Name]]=Table1[REZ Name]) * (Table186[[#This Row],[Technology]]=Table1[Technology]), 0),23)-INDEX(GenREZAmounts[],MATCH(1, (Table186[[#This Row],[REZ Name]]=GenREZAmounts[REZ Name]) * (Table186[[#This Row],[Technology]]=GenREZAmounts[Technology]), 0),22)</f>
        <v>1999.99999815</v>
      </c>
      <c r="Y65" s="7" cm="1">
        <f t="array" ref="Y65">INDEX(Table1[], MATCH(1, (Table186[[#This Row],[REZ Name]]=Table1[REZ Name]) * (Table186[[#This Row],[Technology]]=Table1[Technology]), 0),24)-INDEX(GenREZAmounts[],MATCH(1, (Table186[[#This Row],[REZ Name]]=GenREZAmounts[REZ Name]) * (Table186[[#This Row],[Technology]]=GenREZAmounts[Technology]), 0),23)</f>
        <v>1999.99999815</v>
      </c>
      <c r="Z65" s="7" cm="1">
        <f t="array" ref="Z65">INDEX(Table1[], MATCH(1, (Table186[[#This Row],[REZ Name]]=Table1[REZ Name]) * (Table186[[#This Row],[Technology]]=Table1[Technology]), 0),25)-INDEX(GenREZAmounts[],MATCH(1, (Table186[[#This Row],[REZ Name]]=GenREZAmounts[REZ Name]) * (Table186[[#This Row],[Technology]]=GenREZAmounts[Technology]), 0),24)</f>
        <v>1999.99999815</v>
      </c>
      <c r="AA65" s="7" cm="1">
        <f t="array" ref="AA65">INDEX(Table1[], MATCH(1, (Table186[[#This Row],[REZ Name]]=Table1[REZ Name]) * (Table186[[#This Row],[Technology]]=Table1[Technology]), 0),26)-INDEX(GenREZAmounts[],MATCH(1, (Table186[[#This Row],[REZ Name]]=GenREZAmounts[REZ Name]) * (Table186[[#This Row],[Technology]]=GenREZAmounts[Technology]), 0),25)</f>
        <v>1999.99999815</v>
      </c>
      <c r="AB65" s="7" cm="1">
        <f t="array" ref="AB65">INDEX(Table1[], MATCH(1, (Table186[[#This Row],[REZ Name]]=Table1[REZ Name]) * (Table186[[#This Row],[Technology]]=Table1[Technology]), 0),27)-INDEX(GenREZAmounts[],MATCH(1, (Table186[[#This Row],[REZ Name]]=GenREZAmounts[REZ Name]) * (Table186[[#This Row],[Technology]]=GenREZAmounts[Technology]), 0),26)</f>
        <v>1999.99999815</v>
      </c>
      <c r="AC65" s="7" cm="1">
        <f t="array" ref="AC65">INDEX(Table1[], MATCH(1, (Table186[[#This Row],[REZ Name]]=Table1[REZ Name]) * (Table186[[#This Row],[Technology]]=Table1[Technology]), 0),28)-INDEX(GenREZAmounts[],MATCH(1, (Table186[[#This Row],[REZ Name]]=GenREZAmounts[REZ Name]) * (Table186[[#This Row],[Technology]]=GenREZAmounts[Technology]), 0),27)</f>
        <v>1999.99999996</v>
      </c>
      <c r="AD65" s="7" cm="1">
        <f t="array" ref="AD65">INDEX(Table1[], MATCH(1, (Table186[[#This Row],[REZ Name]]=Table1[REZ Name]) * (Table186[[#This Row],[Technology]]=Table1[Technology]), 0),29)-INDEX(GenREZAmounts[],MATCH(1, (Table186[[#This Row],[REZ Name]]=GenREZAmounts[REZ Name]) * (Table186[[#This Row],[Technology]]=GenREZAmounts[Technology]), 0),28)</f>
        <v>1999.99999996</v>
      </c>
      <c r="AE65" s="7" cm="1">
        <f t="array" ref="AE65">INDEX(Table1[], MATCH(1, (Table186[[#This Row],[REZ Name]]=Table1[REZ Name]) * (Table186[[#This Row],[Technology]]=Table1[Technology]), 0),30)-INDEX(GenREZAmounts[],MATCH(1, (Table186[[#This Row],[REZ Name]]=GenREZAmounts[REZ Name]) * (Table186[[#This Row],[Technology]]=GenREZAmounts[Technology]), 0),29)</f>
        <v>1999.99999996</v>
      </c>
      <c r="AF65" s="7" cm="1">
        <f t="array" ref="AF65">INDEX(Table1[], MATCH(1, (Table186[[#This Row],[REZ Name]]=Table1[REZ Name]) * (Table186[[#This Row],[Technology]]=Table1[Technology]), 0),31)-INDEX(GenREZAmounts[],MATCH(1, (Table186[[#This Row],[REZ Name]]=GenREZAmounts[REZ Name]) * (Table186[[#This Row],[Technology]]=GenREZAmounts[Technology]), 0),30)</f>
        <v>1999.99999996</v>
      </c>
    </row>
    <row r="66" spans="2:32" x14ac:dyDescent="0.35">
      <c r="B66" s="7" t="s">
        <v>170</v>
      </c>
      <c r="C66" s="7" t="s">
        <v>171</v>
      </c>
      <c r="D66" s="7" t="s">
        <v>2</v>
      </c>
      <c r="E66" s="7" cm="1">
        <f t="array" ref="E66">INDEX(Table1[], MATCH(1, (Table186[[#This Row],[REZ Name]]=Table1[REZ Name]) * (Table186[[#This Row],[Technology]]=Table1[Technology]), 0),4)-INDEX(GenREZAmounts[],MATCH(1, (Table186[[#This Row],[REZ Name]]=GenREZAmounts[REZ Name]) * (Table186[[#This Row],[Technology]]=GenREZAmounts[Technology]), 0),3)</f>
        <v>0</v>
      </c>
      <c r="F66" s="7" cm="1">
        <f t="array" ref="F66">INDEX(Table1[], MATCH(1, (Table186[[#This Row],[REZ Name]]=Table1[REZ Name]) * (Table186[[#This Row],[Technology]]=Table1[Technology]), 0),5)-INDEX(GenREZAmounts[],MATCH(1, (Table186[[#This Row],[REZ Name]]=GenREZAmounts[REZ Name]) * (Table186[[#This Row],[Technology]]=GenREZAmounts[Technology]), 0),4)</f>
        <v>0</v>
      </c>
      <c r="G66" s="7" cm="1">
        <f t="array" ref="G66">INDEX(Table1[], MATCH(1, (Table186[[#This Row],[REZ Name]]=Table1[REZ Name]) * (Table186[[#This Row],[Technology]]=Table1[Technology]), 0),6)-INDEX(GenREZAmounts[],MATCH(1, (Table186[[#This Row],[REZ Name]]=GenREZAmounts[REZ Name]) * (Table186[[#This Row],[Technology]]=GenREZAmounts[Technology]), 0),5)</f>
        <v>0</v>
      </c>
      <c r="H66" s="7" cm="1">
        <f t="array" ref="H66">INDEX(Table1[], MATCH(1, (Table186[[#This Row],[REZ Name]]=Table1[REZ Name]) * (Table186[[#This Row],[Technology]]=Table1[Technology]), 0),7)-INDEX(GenREZAmounts[],MATCH(1, (Table186[[#This Row],[REZ Name]]=GenREZAmounts[REZ Name]) * (Table186[[#This Row],[Technology]]=GenREZAmounts[Technology]), 0),6)</f>
        <v>0</v>
      </c>
      <c r="I66" s="7" cm="1">
        <f t="array" ref="I66">INDEX(Table1[], MATCH(1, (Table186[[#This Row],[REZ Name]]=Table1[REZ Name]) * (Table186[[#This Row],[Technology]]=Table1[Technology]), 0),8)-INDEX(GenREZAmounts[],MATCH(1, (Table186[[#This Row],[REZ Name]]=GenREZAmounts[REZ Name]) * (Table186[[#This Row],[Technology]]=GenREZAmounts[Technology]), 0),7)</f>
        <v>0</v>
      </c>
      <c r="J66" s="7" cm="1">
        <f t="array" ref="J66">INDEX(Table1[], MATCH(1, (Table186[[#This Row],[REZ Name]]=Table1[REZ Name]) * (Table186[[#This Row],[Technology]]=Table1[Technology]), 0),9)-INDEX(GenREZAmounts[],MATCH(1, (Table186[[#This Row],[REZ Name]]=GenREZAmounts[REZ Name]) * (Table186[[#This Row],[Technology]]=GenREZAmounts[Technology]), 0),8)</f>
        <v>0</v>
      </c>
      <c r="K66" s="7" cm="1">
        <f t="array" ref="K66">INDEX(Table1[], MATCH(1, (Table186[[#This Row],[REZ Name]]=Table1[REZ Name]) * (Table186[[#This Row],[Technology]]=Table1[Technology]), 0),10)-INDEX(GenREZAmounts[],MATCH(1, (Table186[[#This Row],[REZ Name]]=GenREZAmounts[REZ Name]) * (Table186[[#This Row],[Technology]]=GenREZAmounts[Technology]), 0),9)</f>
        <v>0</v>
      </c>
      <c r="L66" s="7" cm="1">
        <f t="array" ref="L66">INDEX(Table1[], MATCH(1, (Table186[[#This Row],[REZ Name]]=Table1[REZ Name]) * (Table186[[#This Row],[Technology]]=Table1[Technology]), 0),11)-INDEX(GenREZAmounts[],MATCH(1, (Table186[[#This Row],[REZ Name]]=GenREZAmounts[REZ Name]) * (Table186[[#This Row],[Technology]]=GenREZAmounts[Technology]), 0),10)</f>
        <v>0</v>
      </c>
      <c r="M66" s="7" cm="1">
        <f t="array" ref="M66">INDEX(Table1[], MATCH(1, (Table186[[#This Row],[REZ Name]]=Table1[REZ Name]) * (Table186[[#This Row],[Technology]]=Table1[Technology]), 0),12)-INDEX(GenREZAmounts[],MATCH(1, (Table186[[#This Row],[REZ Name]]=GenREZAmounts[REZ Name]) * (Table186[[#This Row],[Technology]]=GenREZAmounts[Technology]), 0),11)</f>
        <v>0</v>
      </c>
      <c r="N66" s="7" cm="1">
        <f t="array" ref="N66">INDEX(Table1[], MATCH(1, (Table186[[#This Row],[REZ Name]]=Table1[REZ Name]) * (Table186[[#This Row],[Technology]]=Table1[Technology]), 0),13)-INDEX(GenREZAmounts[],MATCH(1, (Table186[[#This Row],[REZ Name]]=GenREZAmounts[REZ Name]) * (Table186[[#This Row],[Technology]]=GenREZAmounts[Technology]), 0),12)</f>
        <v>0</v>
      </c>
      <c r="O66" s="7" cm="1">
        <f t="array" ref="O66">INDEX(Table1[], MATCH(1, (Table186[[#This Row],[REZ Name]]=Table1[REZ Name]) * (Table186[[#This Row],[Technology]]=Table1[Technology]), 0),14)-INDEX(GenREZAmounts[],MATCH(1, (Table186[[#This Row],[REZ Name]]=GenREZAmounts[REZ Name]) * (Table186[[#This Row],[Technology]]=GenREZAmounts[Technology]), 0),13)</f>
        <v>0</v>
      </c>
      <c r="P66" s="7" cm="1">
        <f t="array" ref="P66">INDEX(Table1[], MATCH(1, (Table186[[#This Row],[REZ Name]]=Table1[REZ Name]) * (Table186[[#This Row],[Technology]]=Table1[Technology]), 0),15)-INDEX(GenREZAmounts[],MATCH(1, (Table186[[#This Row],[REZ Name]]=GenREZAmounts[REZ Name]) * (Table186[[#This Row],[Technology]]=GenREZAmounts[Technology]), 0),14)</f>
        <v>0</v>
      </c>
      <c r="Q66" s="7" cm="1">
        <f t="array" ref="Q66">INDEX(Table1[], MATCH(1, (Table186[[#This Row],[REZ Name]]=Table1[REZ Name]) * (Table186[[#This Row],[Technology]]=Table1[Technology]), 0),16)-INDEX(GenREZAmounts[],MATCH(1, (Table186[[#This Row],[REZ Name]]=GenREZAmounts[REZ Name]) * (Table186[[#This Row],[Technology]]=GenREZAmounts[Technology]), 0),15)</f>
        <v>0</v>
      </c>
      <c r="R66" s="7" cm="1">
        <f t="array" ref="R66">INDEX(Table1[], MATCH(1, (Table186[[#This Row],[REZ Name]]=Table1[REZ Name]) * (Table186[[#This Row],[Technology]]=Table1[Technology]), 0),17)-INDEX(GenREZAmounts[],MATCH(1, (Table186[[#This Row],[REZ Name]]=GenREZAmounts[REZ Name]) * (Table186[[#This Row],[Technology]]=GenREZAmounts[Technology]), 0),16)</f>
        <v>0</v>
      </c>
      <c r="S66" s="7" cm="1">
        <f t="array" ref="S66">INDEX(Table1[], MATCH(1, (Table186[[#This Row],[REZ Name]]=Table1[REZ Name]) * (Table186[[#This Row],[Technology]]=Table1[Technology]), 0),18)-INDEX(GenREZAmounts[],MATCH(1, (Table186[[#This Row],[REZ Name]]=GenREZAmounts[REZ Name]) * (Table186[[#This Row],[Technology]]=GenREZAmounts[Technology]), 0),17)</f>
        <v>0</v>
      </c>
      <c r="T66" s="7" cm="1">
        <f t="array" ref="T66">INDEX(Table1[], MATCH(1, (Table186[[#This Row],[REZ Name]]=Table1[REZ Name]) * (Table186[[#This Row],[Technology]]=Table1[Technology]), 0),19)-INDEX(GenREZAmounts[],MATCH(1, (Table186[[#This Row],[REZ Name]]=GenREZAmounts[REZ Name]) * (Table186[[#This Row],[Technology]]=GenREZAmounts[Technology]), 0),18)</f>
        <v>0</v>
      </c>
      <c r="U66" s="7" cm="1">
        <f t="array" ref="U66">INDEX(Table1[], MATCH(1, (Table186[[#This Row],[REZ Name]]=Table1[REZ Name]) * (Table186[[#This Row],[Technology]]=Table1[Technology]), 0),20)-INDEX(GenREZAmounts[],MATCH(1, (Table186[[#This Row],[REZ Name]]=GenREZAmounts[REZ Name]) * (Table186[[#This Row],[Technology]]=GenREZAmounts[Technology]), 0),19)</f>
        <v>0</v>
      </c>
      <c r="V66" s="7" cm="1">
        <f t="array" ref="V66">INDEX(Table1[], MATCH(1, (Table186[[#This Row],[REZ Name]]=Table1[REZ Name]) * (Table186[[#This Row],[Technology]]=Table1[Technology]), 0),21)-INDEX(GenREZAmounts[],MATCH(1, (Table186[[#This Row],[REZ Name]]=GenREZAmounts[REZ Name]) * (Table186[[#This Row],[Technology]]=GenREZAmounts[Technology]), 0),20)</f>
        <v>0</v>
      </c>
      <c r="W66" s="7" cm="1">
        <f t="array" ref="W66">INDEX(Table1[], MATCH(1, (Table186[[#This Row],[REZ Name]]=Table1[REZ Name]) * (Table186[[#This Row],[Technology]]=Table1[Technology]), 0),22)-INDEX(GenREZAmounts[],MATCH(1, (Table186[[#This Row],[REZ Name]]=GenREZAmounts[REZ Name]) * (Table186[[#This Row],[Technology]]=GenREZAmounts[Technology]), 0),21)</f>
        <v>0</v>
      </c>
      <c r="X66" s="7" cm="1">
        <f t="array" ref="X66">INDEX(Table1[], MATCH(1, (Table186[[#This Row],[REZ Name]]=Table1[REZ Name]) * (Table186[[#This Row],[Technology]]=Table1[Technology]), 0),23)-INDEX(GenREZAmounts[],MATCH(1, (Table186[[#This Row],[REZ Name]]=GenREZAmounts[REZ Name]) * (Table186[[#This Row],[Technology]]=GenREZAmounts[Technology]), 0),22)</f>
        <v>0</v>
      </c>
      <c r="Y66" s="7" cm="1">
        <f t="array" ref="Y66">INDEX(Table1[], MATCH(1, (Table186[[#This Row],[REZ Name]]=Table1[REZ Name]) * (Table186[[#This Row],[Technology]]=Table1[Technology]), 0),24)-INDEX(GenREZAmounts[],MATCH(1, (Table186[[#This Row],[REZ Name]]=GenREZAmounts[REZ Name]) * (Table186[[#This Row],[Technology]]=GenREZAmounts[Technology]), 0),23)</f>
        <v>0</v>
      </c>
      <c r="Z66" s="7" cm="1">
        <f t="array" ref="Z66">INDEX(Table1[], MATCH(1, (Table186[[#This Row],[REZ Name]]=Table1[REZ Name]) * (Table186[[#This Row],[Technology]]=Table1[Technology]), 0),25)-INDEX(GenREZAmounts[],MATCH(1, (Table186[[#This Row],[REZ Name]]=GenREZAmounts[REZ Name]) * (Table186[[#This Row],[Technology]]=GenREZAmounts[Technology]), 0),24)</f>
        <v>0</v>
      </c>
      <c r="AA66" s="7" cm="1">
        <f t="array" ref="AA66">INDEX(Table1[], MATCH(1, (Table186[[#This Row],[REZ Name]]=Table1[REZ Name]) * (Table186[[#This Row],[Technology]]=Table1[Technology]), 0),26)-INDEX(GenREZAmounts[],MATCH(1, (Table186[[#This Row],[REZ Name]]=GenREZAmounts[REZ Name]) * (Table186[[#This Row],[Technology]]=GenREZAmounts[Technology]), 0),25)</f>
        <v>0</v>
      </c>
      <c r="AB66" s="7" cm="1">
        <f t="array" ref="AB66">INDEX(Table1[], MATCH(1, (Table186[[#This Row],[REZ Name]]=Table1[REZ Name]) * (Table186[[#This Row],[Technology]]=Table1[Technology]), 0),27)-INDEX(GenREZAmounts[],MATCH(1, (Table186[[#This Row],[REZ Name]]=GenREZAmounts[REZ Name]) * (Table186[[#This Row],[Technology]]=GenREZAmounts[Technology]), 0),26)</f>
        <v>0</v>
      </c>
      <c r="AC66" s="7" cm="1">
        <f t="array" ref="AC66">INDEX(Table1[], MATCH(1, (Table186[[#This Row],[REZ Name]]=Table1[REZ Name]) * (Table186[[#This Row],[Technology]]=Table1[Technology]), 0),28)-INDEX(GenREZAmounts[],MATCH(1, (Table186[[#This Row],[REZ Name]]=GenREZAmounts[REZ Name]) * (Table186[[#This Row],[Technology]]=GenREZAmounts[Technology]), 0),27)</f>
        <v>0</v>
      </c>
      <c r="AD66" s="7" cm="1">
        <f t="array" ref="AD66">INDEX(Table1[], MATCH(1, (Table186[[#This Row],[REZ Name]]=Table1[REZ Name]) * (Table186[[#This Row],[Technology]]=Table1[Technology]), 0),29)-INDEX(GenREZAmounts[],MATCH(1, (Table186[[#This Row],[REZ Name]]=GenREZAmounts[REZ Name]) * (Table186[[#This Row],[Technology]]=GenREZAmounts[Technology]), 0),28)</f>
        <v>0</v>
      </c>
      <c r="AE66" s="7" cm="1">
        <f t="array" ref="AE66">INDEX(Table1[], MATCH(1, (Table186[[#This Row],[REZ Name]]=Table1[REZ Name]) * (Table186[[#This Row],[Technology]]=Table1[Technology]), 0),30)-INDEX(GenREZAmounts[],MATCH(1, (Table186[[#This Row],[REZ Name]]=GenREZAmounts[REZ Name]) * (Table186[[#This Row],[Technology]]=GenREZAmounts[Technology]), 0),29)</f>
        <v>0</v>
      </c>
      <c r="AF66" s="7" cm="1">
        <f t="array" ref="AF66">INDEX(Table1[], MATCH(1, (Table186[[#This Row],[REZ Name]]=Table1[REZ Name]) * (Table186[[#This Row],[Technology]]=Table1[Technology]), 0),31)-INDEX(GenREZAmounts[],MATCH(1, (Table186[[#This Row],[REZ Name]]=GenREZAmounts[REZ Name]) * (Table186[[#This Row],[Technology]]=GenREZAmounts[Technology]), 0),30)</f>
        <v>0</v>
      </c>
    </row>
    <row r="67" spans="2:32" x14ac:dyDescent="0.35">
      <c r="B67" s="7" t="s">
        <v>172</v>
      </c>
      <c r="C67" s="7" t="s">
        <v>173</v>
      </c>
      <c r="D67" s="7" t="s">
        <v>1</v>
      </c>
      <c r="E67" s="7" cm="1">
        <f t="array" ref="E67">INDEX(Table1[], MATCH(1, (Table186[[#This Row],[REZ Name]]=Table1[REZ Name]) * (Table186[[#This Row],[Technology]]=Table1[Technology]), 0),4)-INDEX(GenREZAmounts[],MATCH(1, (Table186[[#This Row],[REZ Name]]=GenREZAmounts[REZ Name]) * (Table186[[#This Row],[Technology]]=GenREZAmounts[Technology]), 0),3)</f>
        <v>0</v>
      </c>
      <c r="F67" s="7" cm="1">
        <f t="array" ref="F67">INDEX(Table1[], MATCH(1, (Table186[[#This Row],[REZ Name]]=Table1[REZ Name]) * (Table186[[#This Row],[Technology]]=Table1[Technology]), 0),5)-INDEX(GenREZAmounts[],MATCH(1, (Table186[[#This Row],[REZ Name]]=GenREZAmounts[REZ Name]) * (Table186[[#This Row],[Technology]]=GenREZAmounts[Technology]), 0),4)</f>
        <v>0</v>
      </c>
      <c r="G67" s="7" cm="1">
        <f t="array" ref="G67">INDEX(Table1[], MATCH(1, (Table186[[#This Row],[REZ Name]]=Table1[REZ Name]) * (Table186[[#This Row],[Technology]]=Table1[Technology]), 0),6)-INDEX(GenREZAmounts[],MATCH(1, (Table186[[#This Row],[REZ Name]]=GenREZAmounts[REZ Name]) * (Table186[[#This Row],[Technology]]=GenREZAmounts[Technology]), 0),5)</f>
        <v>0</v>
      </c>
      <c r="H67" s="7" cm="1">
        <f t="array" ref="H67">INDEX(Table1[], MATCH(1, (Table186[[#This Row],[REZ Name]]=Table1[REZ Name]) * (Table186[[#This Row],[Technology]]=Table1[Technology]), 0),7)-INDEX(GenREZAmounts[],MATCH(1, (Table186[[#This Row],[REZ Name]]=GenREZAmounts[REZ Name]) * (Table186[[#This Row],[Technology]]=GenREZAmounts[Technology]), 0),6)</f>
        <v>0</v>
      </c>
      <c r="I67" s="7" cm="1">
        <f t="array" ref="I67">INDEX(Table1[], MATCH(1, (Table186[[#This Row],[REZ Name]]=Table1[REZ Name]) * (Table186[[#This Row],[Technology]]=Table1[Technology]), 0),8)-INDEX(GenREZAmounts[],MATCH(1, (Table186[[#This Row],[REZ Name]]=GenREZAmounts[REZ Name]) * (Table186[[#This Row],[Technology]]=GenREZAmounts[Technology]), 0),7)</f>
        <v>0</v>
      </c>
      <c r="J67" s="7" cm="1">
        <f t="array" ref="J67">INDEX(Table1[], MATCH(1, (Table186[[#This Row],[REZ Name]]=Table1[REZ Name]) * (Table186[[#This Row],[Technology]]=Table1[Technology]), 0),9)-INDEX(GenREZAmounts[],MATCH(1, (Table186[[#This Row],[REZ Name]]=GenREZAmounts[REZ Name]) * (Table186[[#This Row],[Technology]]=GenREZAmounts[Technology]), 0),8)</f>
        <v>0</v>
      </c>
      <c r="K67" s="7" cm="1">
        <f t="array" ref="K67">INDEX(Table1[], MATCH(1, (Table186[[#This Row],[REZ Name]]=Table1[REZ Name]) * (Table186[[#This Row],[Technology]]=Table1[Technology]), 0),10)-INDEX(GenREZAmounts[],MATCH(1, (Table186[[#This Row],[REZ Name]]=GenREZAmounts[REZ Name]) * (Table186[[#This Row],[Technology]]=GenREZAmounts[Technology]), 0),9)</f>
        <v>1000</v>
      </c>
      <c r="L67" s="7" cm="1">
        <f t="array" ref="L67">INDEX(Table1[], MATCH(1, (Table186[[#This Row],[REZ Name]]=Table1[REZ Name]) * (Table186[[#This Row],[Technology]]=Table1[Technology]), 0),11)-INDEX(GenREZAmounts[],MATCH(1, (Table186[[#This Row],[REZ Name]]=GenREZAmounts[REZ Name]) * (Table186[[#This Row],[Technology]]=GenREZAmounts[Technology]), 0),10)</f>
        <v>2000</v>
      </c>
      <c r="M67" s="7" cm="1">
        <f t="array" ref="M67">INDEX(Table1[], MATCH(1, (Table186[[#This Row],[REZ Name]]=Table1[REZ Name]) * (Table186[[#This Row],[Technology]]=Table1[Technology]), 0),12)-INDEX(GenREZAmounts[],MATCH(1, (Table186[[#This Row],[REZ Name]]=GenREZAmounts[REZ Name]) * (Table186[[#This Row],[Technology]]=GenREZAmounts[Technology]), 0),11)</f>
        <v>2666.6666587499999</v>
      </c>
      <c r="N67" s="7" cm="1">
        <f t="array" ref="N67">INDEX(Table1[], MATCH(1, (Table186[[#This Row],[REZ Name]]=Table1[REZ Name]) * (Table186[[#This Row],[Technology]]=Table1[Technology]), 0),13)-INDEX(GenREZAmounts[],MATCH(1, (Table186[[#This Row],[REZ Name]]=GenREZAmounts[REZ Name]) * (Table186[[#This Row],[Technology]]=GenREZAmounts[Technology]), 0),12)</f>
        <v>3333.3332487500002</v>
      </c>
      <c r="O67" s="7" cm="1">
        <f t="array" ref="O67">INDEX(Table1[], MATCH(1, (Table186[[#This Row],[REZ Name]]=Table1[REZ Name]) * (Table186[[#This Row],[Technology]]=Table1[Technology]), 0),14)-INDEX(GenREZAmounts[],MATCH(1, (Table186[[#This Row],[REZ Name]]=GenREZAmounts[REZ Name]) * (Table186[[#This Row],[Technology]]=GenREZAmounts[Technology]), 0),13)</f>
        <v>3420.5712445099998</v>
      </c>
      <c r="P67" s="7" cm="1">
        <f t="array" ref="P67">INDEX(Table1[], MATCH(1, (Table186[[#This Row],[REZ Name]]=Table1[REZ Name]) * (Table186[[#This Row],[Technology]]=Table1[Technology]), 0),15)-INDEX(GenREZAmounts[],MATCH(1, (Table186[[#This Row],[REZ Name]]=GenREZAmounts[REZ Name]) * (Table186[[#This Row],[Technology]]=GenREZAmounts[Technology]), 0),14)</f>
        <v>4420.57123271</v>
      </c>
      <c r="Q67" s="7" cm="1">
        <f t="array" ref="Q67">INDEX(Table1[], MATCH(1, (Table186[[#This Row],[REZ Name]]=Table1[REZ Name]) * (Table186[[#This Row],[Technology]]=Table1[Technology]), 0),16)-INDEX(GenREZAmounts[],MATCH(1, (Table186[[#This Row],[REZ Name]]=GenREZAmounts[REZ Name]) * (Table186[[#This Row],[Technology]]=GenREZAmounts[Technology]), 0),15)</f>
        <v>5325.0838921599998</v>
      </c>
      <c r="R67" s="7" cm="1">
        <f t="array" ref="R67">INDEX(Table1[], MATCH(1, (Table186[[#This Row],[REZ Name]]=Table1[REZ Name]) * (Table186[[#This Row],[Technology]]=Table1[Technology]), 0),17)-INDEX(GenREZAmounts[],MATCH(1, (Table186[[#This Row],[REZ Name]]=GenREZAmounts[REZ Name]) * (Table186[[#This Row],[Technology]]=GenREZAmounts[Technology]), 0),16)</f>
        <v>6325.0838801099999</v>
      </c>
      <c r="S67" s="7" cm="1">
        <f t="array" ref="S67">INDEX(Table1[], MATCH(1, (Table186[[#This Row],[REZ Name]]=Table1[REZ Name]) * (Table186[[#This Row],[Technology]]=Table1[Technology]), 0),18)-INDEX(GenREZAmounts[],MATCH(1, (Table186[[#This Row],[REZ Name]]=GenREZAmounts[REZ Name]) * (Table186[[#This Row],[Technology]]=GenREZAmounts[Technology]), 0),17)</f>
        <v>7219.9999828</v>
      </c>
      <c r="T67" s="7" cm="1">
        <f t="array" ref="T67">INDEX(Table1[], MATCH(1, (Table186[[#This Row],[REZ Name]]=Table1[REZ Name]) * (Table186[[#This Row],[Technology]]=Table1[Technology]), 0),19)-INDEX(GenREZAmounts[],MATCH(1, (Table186[[#This Row],[REZ Name]]=GenREZAmounts[REZ Name]) * (Table186[[#This Row],[Technology]]=GenREZAmounts[Technology]), 0),18)</f>
        <v>8219.9999639100006</v>
      </c>
      <c r="U67" s="7" cm="1">
        <f t="array" ref="U67">INDEX(Table1[], MATCH(1, (Table186[[#This Row],[REZ Name]]=Table1[REZ Name]) * (Table186[[#This Row],[Technology]]=Table1[Technology]), 0),20)-INDEX(GenREZAmounts[],MATCH(1, (Table186[[#This Row],[REZ Name]]=GenREZAmounts[REZ Name]) * (Table186[[#This Row],[Technology]]=GenREZAmounts[Technology]), 0),19)</f>
        <v>8219.9999639100006</v>
      </c>
      <c r="V67" s="7" cm="1">
        <f t="array" ref="V67">INDEX(Table1[], MATCH(1, (Table186[[#This Row],[REZ Name]]=Table1[REZ Name]) * (Table186[[#This Row],[Technology]]=Table1[Technology]), 0),21)-INDEX(GenREZAmounts[],MATCH(1, (Table186[[#This Row],[REZ Name]]=GenREZAmounts[REZ Name]) * (Table186[[#This Row],[Technology]]=GenREZAmounts[Technology]), 0),20)</f>
        <v>8219.9999639100006</v>
      </c>
      <c r="W67" s="7" cm="1">
        <f t="array" ref="W67">INDEX(Table1[], MATCH(1, (Table186[[#This Row],[REZ Name]]=Table1[REZ Name]) * (Table186[[#This Row],[Technology]]=Table1[Technology]), 0),22)-INDEX(GenREZAmounts[],MATCH(1, (Table186[[#This Row],[REZ Name]]=GenREZAmounts[REZ Name]) * (Table186[[#This Row],[Technology]]=GenREZAmounts[Technology]), 0),21)</f>
        <v>8219.9999639100006</v>
      </c>
      <c r="X67" s="7" cm="1">
        <f t="array" ref="X67">INDEX(Table1[], MATCH(1, (Table186[[#This Row],[REZ Name]]=Table1[REZ Name]) * (Table186[[#This Row],[Technology]]=Table1[Technology]), 0),23)-INDEX(GenREZAmounts[],MATCH(1, (Table186[[#This Row],[REZ Name]]=GenREZAmounts[REZ Name]) * (Table186[[#This Row],[Technology]]=GenREZAmounts[Technology]), 0),22)</f>
        <v>8219.9999639100006</v>
      </c>
      <c r="Y67" s="7" cm="1">
        <f t="array" ref="Y67">INDEX(Table1[], MATCH(1, (Table186[[#This Row],[REZ Name]]=Table1[REZ Name]) * (Table186[[#This Row],[Technology]]=Table1[Technology]), 0),24)-INDEX(GenREZAmounts[],MATCH(1, (Table186[[#This Row],[REZ Name]]=GenREZAmounts[REZ Name]) * (Table186[[#This Row],[Technology]]=GenREZAmounts[Technology]), 0),23)</f>
        <v>8219.9999639100006</v>
      </c>
      <c r="Z67" s="7" cm="1">
        <f t="array" ref="Z67">INDEX(Table1[], MATCH(1, (Table186[[#This Row],[REZ Name]]=Table1[REZ Name]) * (Table186[[#This Row],[Technology]]=Table1[Technology]), 0),25)-INDEX(GenREZAmounts[],MATCH(1, (Table186[[#This Row],[REZ Name]]=GenREZAmounts[REZ Name]) * (Table186[[#This Row],[Technology]]=GenREZAmounts[Technology]), 0),24)</f>
        <v>8219.9999639100006</v>
      </c>
      <c r="AA67" s="7" cm="1">
        <f t="array" ref="AA67">INDEX(Table1[], MATCH(1, (Table186[[#This Row],[REZ Name]]=Table1[REZ Name]) * (Table186[[#This Row],[Technology]]=Table1[Technology]), 0),26)-INDEX(GenREZAmounts[],MATCH(1, (Table186[[#This Row],[REZ Name]]=GenREZAmounts[REZ Name]) * (Table186[[#This Row],[Technology]]=GenREZAmounts[Technology]), 0),25)</f>
        <v>8219.9999639100006</v>
      </c>
      <c r="AB67" s="7" cm="1">
        <f t="array" ref="AB67">INDEX(Table1[], MATCH(1, (Table186[[#This Row],[REZ Name]]=Table1[REZ Name]) * (Table186[[#This Row],[Technology]]=Table1[Technology]), 0),27)-INDEX(GenREZAmounts[],MATCH(1, (Table186[[#This Row],[REZ Name]]=GenREZAmounts[REZ Name]) * (Table186[[#This Row],[Technology]]=GenREZAmounts[Technology]), 0),26)</f>
        <v>8219.9999639100006</v>
      </c>
      <c r="AC67" s="7" cm="1">
        <f t="array" ref="AC67">INDEX(Table1[], MATCH(1, (Table186[[#This Row],[REZ Name]]=Table1[REZ Name]) * (Table186[[#This Row],[Technology]]=Table1[Technology]), 0),28)-INDEX(GenREZAmounts[],MATCH(1, (Table186[[#This Row],[REZ Name]]=GenREZAmounts[REZ Name]) * (Table186[[#This Row],[Technology]]=GenREZAmounts[Technology]), 0),27)</f>
        <v>8219.9999639100006</v>
      </c>
      <c r="AD67" s="7" cm="1">
        <f t="array" ref="AD67">INDEX(Table1[], MATCH(1, (Table186[[#This Row],[REZ Name]]=Table1[REZ Name]) * (Table186[[#This Row],[Technology]]=Table1[Technology]), 0),29)-INDEX(GenREZAmounts[],MATCH(1, (Table186[[#This Row],[REZ Name]]=GenREZAmounts[REZ Name]) * (Table186[[#This Row],[Technology]]=GenREZAmounts[Technology]), 0),28)</f>
        <v>8219.9999639100006</v>
      </c>
      <c r="AE67" s="7" cm="1">
        <f t="array" ref="AE67">INDEX(Table1[], MATCH(1, (Table186[[#This Row],[REZ Name]]=Table1[REZ Name]) * (Table186[[#This Row],[Technology]]=Table1[Technology]), 0),30)-INDEX(GenREZAmounts[],MATCH(1, (Table186[[#This Row],[REZ Name]]=GenREZAmounts[REZ Name]) * (Table186[[#This Row],[Technology]]=GenREZAmounts[Technology]), 0),29)</f>
        <v>8219.9999639100006</v>
      </c>
      <c r="AF67" s="7" cm="1">
        <f t="array" ref="AF67">INDEX(Table1[], MATCH(1, (Table186[[#This Row],[REZ Name]]=Table1[REZ Name]) * (Table186[[#This Row],[Technology]]=Table1[Technology]), 0),31)-INDEX(GenREZAmounts[],MATCH(1, (Table186[[#This Row],[REZ Name]]=GenREZAmounts[REZ Name]) * (Table186[[#This Row],[Technology]]=GenREZAmounts[Technology]), 0),30)</f>
        <v>8219.9999639100006</v>
      </c>
    </row>
    <row r="68" spans="2:32" x14ac:dyDescent="0.35">
      <c r="B68" s="7" t="s">
        <v>174</v>
      </c>
      <c r="C68" s="7" t="s">
        <v>175</v>
      </c>
      <c r="D68" s="7" t="s">
        <v>1</v>
      </c>
      <c r="E68" s="7" cm="1">
        <f t="array" ref="E68">INDEX(Table1[], MATCH(1, (Table186[[#This Row],[REZ Name]]=Table1[REZ Name]) * (Table186[[#This Row],[Technology]]=Table1[Technology]), 0),4)-INDEX(GenREZAmounts[],MATCH(1, (Table186[[#This Row],[REZ Name]]=GenREZAmounts[REZ Name]) * (Table186[[#This Row],[Technology]]=GenREZAmounts[Technology]), 0),3)</f>
        <v>0</v>
      </c>
      <c r="F68" s="7" cm="1">
        <f t="array" ref="F68">INDEX(Table1[], MATCH(1, (Table186[[#This Row],[REZ Name]]=Table1[REZ Name]) * (Table186[[#This Row],[Technology]]=Table1[Technology]), 0),5)-INDEX(GenREZAmounts[],MATCH(1, (Table186[[#This Row],[REZ Name]]=GenREZAmounts[REZ Name]) * (Table186[[#This Row],[Technology]]=GenREZAmounts[Technology]), 0),4)</f>
        <v>0</v>
      </c>
      <c r="G68" s="7" cm="1">
        <f t="array" ref="G68">INDEX(Table1[], MATCH(1, (Table186[[#This Row],[REZ Name]]=Table1[REZ Name]) * (Table186[[#This Row],[Technology]]=Table1[Technology]), 0),6)-INDEX(GenREZAmounts[],MATCH(1, (Table186[[#This Row],[REZ Name]]=GenREZAmounts[REZ Name]) * (Table186[[#This Row],[Technology]]=GenREZAmounts[Technology]), 0),5)</f>
        <v>0</v>
      </c>
      <c r="H68" s="7" cm="1">
        <f t="array" ref="H68">INDEX(Table1[], MATCH(1, (Table186[[#This Row],[REZ Name]]=Table1[REZ Name]) * (Table186[[#This Row],[Technology]]=Table1[Technology]), 0),7)-INDEX(GenREZAmounts[],MATCH(1, (Table186[[#This Row],[REZ Name]]=GenREZAmounts[REZ Name]) * (Table186[[#This Row],[Technology]]=GenREZAmounts[Technology]), 0),6)</f>
        <v>0</v>
      </c>
      <c r="I68" s="7" cm="1">
        <f t="array" ref="I68">INDEX(Table1[], MATCH(1, (Table186[[#This Row],[REZ Name]]=Table1[REZ Name]) * (Table186[[#This Row],[Technology]]=Table1[Technology]), 0),8)-INDEX(GenREZAmounts[],MATCH(1, (Table186[[#This Row],[REZ Name]]=GenREZAmounts[REZ Name]) * (Table186[[#This Row],[Technology]]=GenREZAmounts[Technology]), 0),7)</f>
        <v>0</v>
      </c>
      <c r="J68" s="7" cm="1">
        <f t="array" ref="J68">INDEX(Table1[], MATCH(1, (Table186[[#This Row],[REZ Name]]=Table1[REZ Name]) * (Table186[[#This Row],[Technology]]=Table1[Technology]), 0),9)-INDEX(GenREZAmounts[],MATCH(1, (Table186[[#This Row],[REZ Name]]=GenREZAmounts[REZ Name]) * (Table186[[#This Row],[Technology]]=GenREZAmounts[Technology]), 0),8)</f>
        <v>0</v>
      </c>
      <c r="K68" s="7" cm="1">
        <f t="array" ref="K68">INDEX(Table1[], MATCH(1, (Table186[[#This Row],[REZ Name]]=Table1[REZ Name]) * (Table186[[#This Row],[Technology]]=Table1[Technology]), 0),10)-INDEX(GenREZAmounts[],MATCH(1, (Table186[[#This Row],[REZ Name]]=GenREZAmounts[REZ Name]) * (Table186[[#This Row],[Technology]]=GenREZAmounts[Technology]), 0),9)</f>
        <v>0</v>
      </c>
      <c r="L68" s="7" cm="1">
        <f t="array" ref="L68">INDEX(Table1[], MATCH(1, (Table186[[#This Row],[REZ Name]]=Table1[REZ Name]) * (Table186[[#This Row],[Technology]]=Table1[Technology]), 0),11)-INDEX(GenREZAmounts[],MATCH(1, (Table186[[#This Row],[REZ Name]]=GenREZAmounts[REZ Name]) * (Table186[[#This Row],[Technology]]=GenREZAmounts[Technology]), 0),10)</f>
        <v>0</v>
      </c>
      <c r="M68" s="7" cm="1">
        <f t="array" ref="M68">INDEX(Table1[], MATCH(1, (Table186[[#This Row],[REZ Name]]=Table1[REZ Name]) * (Table186[[#This Row],[Technology]]=Table1[Technology]), 0),12)-INDEX(GenREZAmounts[],MATCH(1, (Table186[[#This Row],[REZ Name]]=GenREZAmounts[REZ Name]) * (Table186[[#This Row],[Technology]]=GenREZAmounts[Technology]), 0),11)</f>
        <v>0</v>
      </c>
      <c r="N68" s="7" cm="1">
        <f t="array" ref="N68">INDEX(Table1[], MATCH(1, (Table186[[#This Row],[REZ Name]]=Table1[REZ Name]) * (Table186[[#This Row],[Technology]]=Table1[Technology]), 0),13)-INDEX(GenREZAmounts[],MATCH(1, (Table186[[#This Row],[REZ Name]]=GenREZAmounts[REZ Name]) * (Table186[[#This Row],[Technology]]=GenREZAmounts[Technology]), 0),12)</f>
        <v>0</v>
      </c>
      <c r="O68" s="7" cm="1">
        <f t="array" ref="O68">INDEX(Table1[], MATCH(1, (Table186[[#This Row],[REZ Name]]=Table1[REZ Name]) * (Table186[[#This Row],[Technology]]=Table1[Technology]), 0),14)-INDEX(GenREZAmounts[],MATCH(1, (Table186[[#This Row],[REZ Name]]=GenREZAmounts[REZ Name]) * (Table186[[#This Row],[Technology]]=GenREZAmounts[Technology]), 0),13)</f>
        <v>579.42873215999998</v>
      </c>
      <c r="P68" s="7" cm="1">
        <f t="array" ref="P68">INDEX(Table1[], MATCH(1, (Table186[[#This Row],[REZ Name]]=Table1[REZ Name]) * (Table186[[#This Row],[Technology]]=Table1[Technology]), 0),15)-INDEX(GenREZAmounts[],MATCH(1, (Table186[[#This Row],[REZ Name]]=GenREZAmounts[REZ Name]) * (Table186[[#This Row],[Technology]]=GenREZAmounts[Technology]), 0),14)</f>
        <v>579.42873215999998</v>
      </c>
      <c r="Q68" s="7" cm="1">
        <f t="array" ref="Q68">INDEX(Table1[], MATCH(1, (Table186[[#This Row],[REZ Name]]=Table1[REZ Name]) * (Table186[[#This Row],[Technology]]=Table1[Technology]), 0),16)-INDEX(GenREZAmounts[],MATCH(1, (Table186[[#This Row],[REZ Name]]=GenREZAmounts[REZ Name]) * (Table186[[#This Row],[Technology]]=GenREZAmounts[Technology]), 0),15)</f>
        <v>674.91606073000003</v>
      </c>
      <c r="R68" s="7" cm="1">
        <f t="array" ref="R68">INDEX(Table1[], MATCH(1, (Table186[[#This Row],[REZ Name]]=Table1[REZ Name]) * (Table186[[#This Row],[Technology]]=Table1[Technology]), 0),17)-INDEX(GenREZAmounts[],MATCH(1, (Table186[[#This Row],[REZ Name]]=GenREZAmounts[REZ Name]) * (Table186[[#This Row],[Technology]]=GenREZAmounts[Technology]), 0),16)</f>
        <v>674.91606073000003</v>
      </c>
      <c r="S68" s="7" cm="1">
        <f t="array" ref="S68">INDEX(Table1[], MATCH(1, (Table186[[#This Row],[REZ Name]]=Table1[REZ Name]) * (Table186[[#This Row],[Technology]]=Table1[Technology]), 0),18)-INDEX(GenREZAmounts[],MATCH(1, (Table186[[#This Row],[REZ Name]]=GenREZAmounts[REZ Name]) * (Table186[[#This Row],[Technology]]=GenREZAmounts[Technology]), 0),17)</f>
        <v>779.99999803000003</v>
      </c>
      <c r="T68" s="7" cm="1">
        <f t="array" ref="T68">INDEX(Table1[], MATCH(1, (Table186[[#This Row],[REZ Name]]=Table1[REZ Name]) * (Table186[[#This Row],[Technology]]=Table1[Technology]), 0),19)-INDEX(GenREZAmounts[],MATCH(1, (Table186[[#This Row],[REZ Name]]=GenREZAmounts[REZ Name]) * (Table186[[#This Row],[Technology]]=GenREZAmounts[Technology]), 0),18)</f>
        <v>779.99999803000003</v>
      </c>
      <c r="U68" s="7" cm="1">
        <f t="array" ref="U68">INDEX(Table1[], MATCH(1, (Table186[[#This Row],[REZ Name]]=Table1[REZ Name]) * (Table186[[#This Row],[Technology]]=Table1[Technology]), 0),20)-INDEX(GenREZAmounts[],MATCH(1, (Table186[[#This Row],[REZ Name]]=GenREZAmounts[REZ Name]) * (Table186[[#This Row],[Technology]]=GenREZAmounts[Technology]), 0),19)</f>
        <v>779.99999803000003</v>
      </c>
      <c r="V68" s="7" cm="1">
        <f t="array" ref="V68">INDEX(Table1[], MATCH(1, (Table186[[#This Row],[REZ Name]]=Table1[REZ Name]) * (Table186[[#This Row],[Technology]]=Table1[Technology]), 0),21)-INDEX(GenREZAmounts[],MATCH(1, (Table186[[#This Row],[REZ Name]]=GenREZAmounts[REZ Name]) * (Table186[[#This Row],[Technology]]=GenREZAmounts[Technology]), 0),20)</f>
        <v>779.99999803000003</v>
      </c>
      <c r="W68" s="7" cm="1">
        <f t="array" ref="W68">INDEX(Table1[], MATCH(1, (Table186[[#This Row],[REZ Name]]=Table1[REZ Name]) * (Table186[[#This Row],[Technology]]=Table1[Technology]), 0),22)-INDEX(GenREZAmounts[],MATCH(1, (Table186[[#This Row],[REZ Name]]=GenREZAmounts[REZ Name]) * (Table186[[#This Row],[Technology]]=GenREZAmounts[Technology]), 0),21)</f>
        <v>779.99999803000003</v>
      </c>
      <c r="X68" s="7" cm="1">
        <f t="array" ref="X68">INDEX(Table1[], MATCH(1, (Table186[[#This Row],[REZ Name]]=Table1[REZ Name]) * (Table186[[#This Row],[Technology]]=Table1[Technology]), 0),23)-INDEX(GenREZAmounts[],MATCH(1, (Table186[[#This Row],[REZ Name]]=GenREZAmounts[REZ Name]) * (Table186[[#This Row],[Technology]]=GenREZAmounts[Technology]), 0),22)</f>
        <v>779.99999803000003</v>
      </c>
      <c r="Y68" s="7" cm="1">
        <f t="array" ref="Y68">INDEX(Table1[], MATCH(1, (Table186[[#This Row],[REZ Name]]=Table1[REZ Name]) * (Table186[[#This Row],[Technology]]=Table1[Technology]), 0),24)-INDEX(GenREZAmounts[],MATCH(1, (Table186[[#This Row],[REZ Name]]=GenREZAmounts[REZ Name]) * (Table186[[#This Row],[Technology]]=GenREZAmounts[Technology]), 0),23)</f>
        <v>779.99999803000003</v>
      </c>
      <c r="Z68" s="7" cm="1">
        <f t="array" ref="Z68">INDEX(Table1[], MATCH(1, (Table186[[#This Row],[REZ Name]]=Table1[REZ Name]) * (Table186[[#This Row],[Technology]]=Table1[Technology]), 0),25)-INDEX(GenREZAmounts[],MATCH(1, (Table186[[#This Row],[REZ Name]]=GenREZAmounts[REZ Name]) * (Table186[[#This Row],[Technology]]=GenREZAmounts[Technology]), 0),24)</f>
        <v>779.99999803000003</v>
      </c>
      <c r="AA68" s="7" cm="1">
        <f t="array" ref="AA68">INDEX(Table1[], MATCH(1, (Table186[[#This Row],[REZ Name]]=Table1[REZ Name]) * (Table186[[#This Row],[Technology]]=Table1[Technology]), 0),26)-INDEX(GenREZAmounts[],MATCH(1, (Table186[[#This Row],[REZ Name]]=GenREZAmounts[REZ Name]) * (Table186[[#This Row],[Technology]]=GenREZAmounts[Technology]), 0),25)</f>
        <v>779.99999803000003</v>
      </c>
      <c r="AB68" s="7" cm="1">
        <f t="array" ref="AB68">INDEX(Table1[], MATCH(1, (Table186[[#This Row],[REZ Name]]=Table1[REZ Name]) * (Table186[[#This Row],[Technology]]=Table1[Technology]), 0),27)-INDEX(GenREZAmounts[],MATCH(1, (Table186[[#This Row],[REZ Name]]=GenREZAmounts[REZ Name]) * (Table186[[#This Row],[Technology]]=GenREZAmounts[Technology]), 0),26)</f>
        <v>779.99999803000003</v>
      </c>
      <c r="AC68" s="7" cm="1">
        <f t="array" ref="AC68">INDEX(Table1[], MATCH(1, (Table186[[#This Row],[REZ Name]]=Table1[REZ Name]) * (Table186[[#This Row],[Technology]]=Table1[Technology]), 0),28)-INDEX(GenREZAmounts[],MATCH(1, (Table186[[#This Row],[REZ Name]]=GenREZAmounts[REZ Name]) * (Table186[[#This Row],[Technology]]=GenREZAmounts[Technology]), 0),27)</f>
        <v>779.99999803000003</v>
      </c>
      <c r="AD68" s="7" cm="1">
        <f t="array" ref="AD68">INDEX(Table1[], MATCH(1, (Table186[[#This Row],[REZ Name]]=Table1[REZ Name]) * (Table186[[#This Row],[Technology]]=Table1[Technology]), 0),29)-INDEX(GenREZAmounts[],MATCH(1, (Table186[[#This Row],[REZ Name]]=GenREZAmounts[REZ Name]) * (Table186[[#This Row],[Technology]]=GenREZAmounts[Technology]), 0),28)</f>
        <v>779.99999803000003</v>
      </c>
      <c r="AE68" s="7" cm="1">
        <f t="array" ref="AE68">INDEX(Table1[], MATCH(1, (Table186[[#This Row],[REZ Name]]=Table1[REZ Name]) * (Table186[[#This Row],[Technology]]=Table1[Technology]), 0),30)-INDEX(GenREZAmounts[],MATCH(1, (Table186[[#This Row],[REZ Name]]=GenREZAmounts[REZ Name]) * (Table186[[#This Row],[Technology]]=GenREZAmounts[Technology]), 0),29)</f>
        <v>779.99999803000003</v>
      </c>
      <c r="AF68" s="7" cm="1">
        <f t="array" ref="AF68">INDEX(Table1[], MATCH(1, (Table186[[#This Row],[REZ Name]]=Table1[REZ Name]) * (Table186[[#This Row],[Technology]]=Table1[Technology]), 0),31)-INDEX(GenREZAmounts[],MATCH(1, (Table186[[#This Row],[REZ Name]]=GenREZAmounts[REZ Name]) * (Table186[[#This Row],[Technology]]=GenREZAmounts[Technology]), 0),30)</f>
        <v>779.99999803000003</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BF392-4F8D-46EF-ABAF-16E90591D22C}">
  <dimension ref="A2:AK65"/>
  <sheetViews>
    <sheetView zoomScale="88" workbookViewId="0">
      <selection activeCell="B48" sqref="B48"/>
    </sheetView>
  </sheetViews>
  <sheetFormatPr defaultRowHeight="14.6" x14ac:dyDescent="0.4"/>
  <cols>
    <col min="1" max="1" width="3.53515625" customWidth="1"/>
    <col min="2" max="2" width="63.69140625" customWidth="1"/>
    <col min="3" max="3" width="24.3046875" customWidth="1"/>
    <col min="4" max="4" width="14.3828125" customWidth="1"/>
    <col min="5" max="5" width="32" bestFit="1" customWidth="1"/>
    <col min="6" max="6" width="26.15234375" bestFit="1" customWidth="1"/>
    <col min="7" max="7" width="27.3828125" bestFit="1" customWidth="1"/>
    <col min="8" max="8" width="30.3828125" bestFit="1" customWidth="1"/>
    <col min="9" max="9" width="25.3828125" bestFit="1" customWidth="1"/>
    <col min="10" max="37" width="10" bestFit="1" customWidth="1"/>
  </cols>
  <sheetData>
    <row r="2" spans="2:37" x14ac:dyDescent="0.4">
      <c r="B2" s="1" t="s">
        <v>114</v>
      </c>
    </row>
    <row r="4" spans="2:37" x14ac:dyDescent="0.4">
      <c r="B4" t="s">
        <v>42</v>
      </c>
    </row>
    <row r="5" spans="2:37" x14ac:dyDescent="0.4">
      <c r="B5" t="s">
        <v>46</v>
      </c>
    </row>
    <row r="6" spans="2:37" x14ac:dyDescent="0.4">
      <c r="B6" t="s">
        <v>113</v>
      </c>
    </row>
    <row r="7" spans="2:37" x14ac:dyDescent="0.4">
      <c r="B7" t="s">
        <v>41</v>
      </c>
      <c r="C7" t="s">
        <v>35</v>
      </c>
      <c r="D7" t="s">
        <v>36</v>
      </c>
      <c r="E7" t="s">
        <v>47</v>
      </c>
      <c r="F7" t="s">
        <v>38</v>
      </c>
      <c r="G7" t="s">
        <v>48</v>
      </c>
      <c r="H7" t="s">
        <v>40</v>
      </c>
      <c r="I7" t="s">
        <v>37</v>
      </c>
      <c r="J7" t="s">
        <v>50</v>
      </c>
      <c r="K7" t="s">
        <v>51</v>
      </c>
      <c r="L7" t="s">
        <v>52</v>
      </c>
      <c r="M7" t="s">
        <v>53</v>
      </c>
      <c r="N7" t="s">
        <v>54</v>
      </c>
      <c r="O7" t="s">
        <v>55</v>
      </c>
      <c r="P7" t="s">
        <v>56</v>
      </c>
      <c r="Q7" t="s">
        <v>57</v>
      </c>
      <c r="R7" t="s">
        <v>58</v>
      </c>
      <c r="S7" t="s">
        <v>59</v>
      </c>
      <c r="T7" t="s">
        <v>60</v>
      </c>
      <c r="U7" t="s">
        <v>61</v>
      </c>
      <c r="V7" t="s">
        <v>62</v>
      </c>
      <c r="W7" t="s">
        <v>63</v>
      </c>
      <c r="X7" t="s">
        <v>64</v>
      </c>
      <c r="Y7" t="s">
        <v>65</v>
      </c>
      <c r="Z7" t="s">
        <v>66</v>
      </c>
      <c r="AA7" t="s">
        <v>67</v>
      </c>
      <c r="AB7" t="s">
        <v>68</v>
      </c>
      <c r="AC7" t="s">
        <v>69</v>
      </c>
      <c r="AD7" t="s">
        <v>70</v>
      </c>
      <c r="AE7" t="s">
        <v>71</v>
      </c>
      <c r="AF7" t="s">
        <v>72</v>
      </c>
      <c r="AG7" t="s">
        <v>73</v>
      </c>
      <c r="AH7" t="s">
        <v>74</v>
      </c>
      <c r="AI7" t="s">
        <v>75</v>
      </c>
      <c r="AJ7" t="s">
        <v>76</v>
      </c>
      <c r="AK7" t="s">
        <v>77</v>
      </c>
    </row>
    <row r="8" spans="2:37" x14ac:dyDescent="0.4">
      <c r="B8" t="s">
        <v>127</v>
      </c>
      <c r="C8" t="s">
        <v>152</v>
      </c>
      <c r="D8" t="s">
        <v>2</v>
      </c>
      <c r="F8">
        <v>240</v>
      </c>
      <c r="H8" t="s">
        <v>39</v>
      </c>
      <c r="I8">
        <v>2047</v>
      </c>
      <c r="J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240</v>
      </c>
      <c r="K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240</v>
      </c>
      <c r="L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240</v>
      </c>
      <c r="M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240</v>
      </c>
      <c r="N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240</v>
      </c>
      <c r="O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240</v>
      </c>
      <c r="P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240</v>
      </c>
      <c r="Q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240</v>
      </c>
      <c r="R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240</v>
      </c>
      <c r="S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240</v>
      </c>
      <c r="T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240</v>
      </c>
      <c r="U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240</v>
      </c>
      <c r="V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240</v>
      </c>
      <c r="W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240</v>
      </c>
      <c r="X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240</v>
      </c>
      <c r="Y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240</v>
      </c>
      <c r="Z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240</v>
      </c>
      <c r="AA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240</v>
      </c>
      <c r="AB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240</v>
      </c>
      <c r="AC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240</v>
      </c>
      <c r="AD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240</v>
      </c>
      <c r="AE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240</v>
      </c>
      <c r="AF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240</v>
      </c>
      <c r="AG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9" spans="2:37" x14ac:dyDescent="0.4">
      <c r="B9" t="s">
        <v>128</v>
      </c>
      <c r="C9" t="s">
        <v>34</v>
      </c>
      <c r="D9" t="s">
        <v>2</v>
      </c>
      <c r="F9">
        <v>106.6</v>
      </c>
      <c r="H9" t="s">
        <v>39</v>
      </c>
      <c r="I9">
        <v>2040</v>
      </c>
      <c r="J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106.6</v>
      </c>
      <c r="K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106.6</v>
      </c>
      <c r="L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106.6</v>
      </c>
      <c r="M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106.6</v>
      </c>
      <c r="N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106.6</v>
      </c>
      <c r="O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106.6</v>
      </c>
      <c r="P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106.6</v>
      </c>
      <c r="Q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106.6</v>
      </c>
      <c r="R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106.6</v>
      </c>
      <c r="S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106.6</v>
      </c>
      <c r="T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106.6</v>
      </c>
      <c r="U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106.6</v>
      </c>
      <c r="V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106.6</v>
      </c>
      <c r="W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106.6</v>
      </c>
      <c r="X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106.6</v>
      </c>
      <c r="Y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106.6</v>
      </c>
      <c r="Z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0" spans="2:37" x14ac:dyDescent="0.4">
      <c r="B10" t="s">
        <v>115</v>
      </c>
      <c r="C10" t="s">
        <v>125</v>
      </c>
      <c r="D10" t="s">
        <v>5</v>
      </c>
      <c r="F10">
        <v>88</v>
      </c>
      <c r="H10" t="s">
        <v>39</v>
      </c>
      <c r="I10">
        <v>2049</v>
      </c>
      <c r="J1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88</v>
      </c>
      <c r="K1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88</v>
      </c>
      <c r="L1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88</v>
      </c>
      <c r="M1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88</v>
      </c>
      <c r="N1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88</v>
      </c>
      <c r="O1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88</v>
      </c>
      <c r="P1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88</v>
      </c>
      <c r="Q1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88</v>
      </c>
      <c r="R1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88</v>
      </c>
      <c r="S1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88</v>
      </c>
      <c r="T1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88</v>
      </c>
      <c r="U1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88</v>
      </c>
      <c r="V1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88</v>
      </c>
      <c r="W1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88</v>
      </c>
      <c r="X1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88</v>
      </c>
      <c r="Y1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88</v>
      </c>
      <c r="Z1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88</v>
      </c>
      <c r="AA1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88</v>
      </c>
      <c r="AB1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88</v>
      </c>
      <c r="AC1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88</v>
      </c>
      <c r="AD1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88</v>
      </c>
      <c r="AE1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88</v>
      </c>
      <c r="AF1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88</v>
      </c>
      <c r="AG1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88</v>
      </c>
      <c r="AH1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88</v>
      </c>
      <c r="AI1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1" spans="2:37" x14ac:dyDescent="0.4">
      <c r="B11" t="s">
        <v>129</v>
      </c>
      <c r="C11" t="s">
        <v>153</v>
      </c>
      <c r="D11" t="s">
        <v>2</v>
      </c>
      <c r="F11">
        <v>281.10000000000002</v>
      </c>
      <c r="H11" t="s">
        <v>39</v>
      </c>
      <c r="I11">
        <v>2050</v>
      </c>
      <c r="J1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281.10000000000002</v>
      </c>
      <c r="K1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281.10000000000002</v>
      </c>
      <c r="L1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281.10000000000002</v>
      </c>
      <c r="M1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281.10000000000002</v>
      </c>
      <c r="N1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281.10000000000002</v>
      </c>
      <c r="O1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281.10000000000002</v>
      </c>
      <c r="P1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281.10000000000002</v>
      </c>
      <c r="Q1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281.10000000000002</v>
      </c>
      <c r="R1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281.10000000000002</v>
      </c>
      <c r="S1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281.10000000000002</v>
      </c>
      <c r="T1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281.10000000000002</v>
      </c>
      <c r="U1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281.10000000000002</v>
      </c>
      <c r="V1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281.10000000000002</v>
      </c>
      <c r="W1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281.10000000000002</v>
      </c>
      <c r="X1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281.10000000000002</v>
      </c>
      <c r="Y1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281.10000000000002</v>
      </c>
      <c r="Z1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281.10000000000002</v>
      </c>
      <c r="AA1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281.10000000000002</v>
      </c>
      <c r="AB1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281.10000000000002</v>
      </c>
      <c r="AC1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281.10000000000002</v>
      </c>
      <c r="AD1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281.10000000000002</v>
      </c>
      <c r="AE1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281.10000000000002</v>
      </c>
      <c r="AF1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281.10000000000002</v>
      </c>
      <c r="AG1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281.10000000000002</v>
      </c>
      <c r="AH1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281.10000000000002</v>
      </c>
      <c r="AI1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281.10000000000002</v>
      </c>
      <c r="AJ1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2" spans="2:37" x14ac:dyDescent="0.4">
      <c r="B12" t="s">
        <v>130</v>
      </c>
      <c r="C12" t="s">
        <v>152</v>
      </c>
      <c r="D12" t="s">
        <v>2</v>
      </c>
      <c r="F12">
        <v>204.4</v>
      </c>
      <c r="H12" t="s">
        <v>39</v>
      </c>
      <c r="I12">
        <v>2049</v>
      </c>
      <c r="J1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204.4</v>
      </c>
      <c r="K1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204.4</v>
      </c>
      <c r="L1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204.4</v>
      </c>
      <c r="M1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204.4</v>
      </c>
      <c r="N1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204.4</v>
      </c>
      <c r="O1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204.4</v>
      </c>
      <c r="P1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204.4</v>
      </c>
      <c r="Q1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204.4</v>
      </c>
      <c r="R1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204.4</v>
      </c>
      <c r="S1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204.4</v>
      </c>
      <c r="T1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204.4</v>
      </c>
      <c r="U1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204.4</v>
      </c>
      <c r="V1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204.4</v>
      </c>
      <c r="W1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204.4</v>
      </c>
      <c r="X1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204.4</v>
      </c>
      <c r="Y1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204.4</v>
      </c>
      <c r="Z1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204.4</v>
      </c>
      <c r="AA1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204.4</v>
      </c>
      <c r="AB1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204.4</v>
      </c>
      <c r="AC1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204.4</v>
      </c>
      <c r="AD1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204.4</v>
      </c>
      <c r="AE1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204.4</v>
      </c>
      <c r="AF1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204.4</v>
      </c>
      <c r="AG1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204.4</v>
      </c>
      <c r="AH1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204.4</v>
      </c>
      <c r="AI1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3" spans="2:37" x14ac:dyDescent="0.4">
      <c r="B13" t="s">
        <v>131</v>
      </c>
      <c r="C13" t="s">
        <v>152</v>
      </c>
      <c r="D13" t="s">
        <v>2</v>
      </c>
      <c r="F13">
        <v>52.5</v>
      </c>
      <c r="H13" t="s">
        <v>39</v>
      </c>
      <c r="I13">
        <v>2030</v>
      </c>
      <c r="J1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52.5</v>
      </c>
      <c r="K1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52.5</v>
      </c>
      <c r="L1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52.5</v>
      </c>
      <c r="M1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52.5</v>
      </c>
      <c r="N1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52.5</v>
      </c>
      <c r="O1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52.5</v>
      </c>
      <c r="P1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0</v>
      </c>
      <c r="Q1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0</v>
      </c>
      <c r="R1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0</v>
      </c>
      <c r="S1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0</v>
      </c>
      <c r="T1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0</v>
      </c>
      <c r="U1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0</v>
      </c>
      <c r="V1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0</v>
      </c>
      <c r="W1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1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1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1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1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1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1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1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1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4" spans="2:37" x14ac:dyDescent="0.4">
      <c r="B14" t="s">
        <v>132</v>
      </c>
      <c r="C14" t="s">
        <v>34</v>
      </c>
      <c r="D14" t="s">
        <v>2</v>
      </c>
      <c r="F14">
        <v>57.6</v>
      </c>
      <c r="H14" t="s">
        <v>39</v>
      </c>
      <c r="I14">
        <v>2050</v>
      </c>
      <c r="J1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57.6</v>
      </c>
      <c r="K1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57.6</v>
      </c>
      <c r="L1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57.6</v>
      </c>
      <c r="M1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57.6</v>
      </c>
      <c r="N1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57.6</v>
      </c>
      <c r="O1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57.6</v>
      </c>
      <c r="P1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57.6</v>
      </c>
      <c r="Q1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57.6</v>
      </c>
      <c r="R1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57.6</v>
      </c>
      <c r="S1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57.6</v>
      </c>
      <c r="T1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57.6</v>
      </c>
      <c r="U1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57.6</v>
      </c>
      <c r="V1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57.6</v>
      </c>
      <c r="W1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57.6</v>
      </c>
      <c r="X1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57.6</v>
      </c>
      <c r="Y1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57.6</v>
      </c>
      <c r="Z1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57.6</v>
      </c>
      <c r="AA1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57.6</v>
      </c>
      <c r="AB1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57.6</v>
      </c>
      <c r="AC1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57.6</v>
      </c>
      <c r="AD1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57.6</v>
      </c>
      <c r="AE1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57.6</v>
      </c>
      <c r="AF1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57.6</v>
      </c>
      <c r="AG1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57.6</v>
      </c>
      <c r="AH1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57.6</v>
      </c>
      <c r="AI1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57.6</v>
      </c>
      <c r="AJ1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5" spans="2:37" x14ac:dyDescent="0.4">
      <c r="B15" t="s">
        <v>116</v>
      </c>
      <c r="C15" t="s">
        <v>125</v>
      </c>
      <c r="D15" t="s">
        <v>5</v>
      </c>
      <c r="F15">
        <v>27.17</v>
      </c>
      <c r="H15" t="s">
        <v>39</v>
      </c>
      <c r="I15">
        <v>2045</v>
      </c>
      <c r="J1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27.17</v>
      </c>
      <c r="K1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27.17</v>
      </c>
      <c r="L1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27.17</v>
      </c>
      <c r="M1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27.17</v>
      </c>
      <c r="N1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27.17</v>
      </c>
      <c r="O1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27.17</v>
      </c>
      <c r="P1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27.17</v>
      </c>
      <c r="Q1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27.17</v>
      </c>
      <c r="R1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27.17</v>
      </c>
      <c r="S1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27.17</v>
      </c>
      <c r="T1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27.17</v>
      </c>
      <c r="U1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27.17</v>
      </c>
      <c r="V1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27.17</v>
      </c>
      <c r="W1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27.17</v>
      </c>
      <c r="X1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27.17</v>
      </c>
      <c r="Y1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27.17</v>
      </c>
      <c r="Z1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27.17</v>
      </c>
      <c r="AA1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27.17</v>
      </c>
      <c r="AB1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27.17</v>
      </c>
      <c r="AC1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27.17</v>
      </c>
      <c r="AD1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27.17</v>
      </c>
      <c r="AE1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6" spans="2:37" x14ac:dyDescent="0.4">
      <c r="B16" t="s">
        <v>133</v>
      </c>
      <c r="C16" t="s">
        <v>152</v>
      </c>
      <c r="D16" t="s">
        <v>2</v>
      </c>
      <c r="F16">
        <v>79.95</v>
      </c>
      <c r="H16" t="s">
        <v>39</v>
      </c>
      <c r="I16">
        <v>2044</v>
      </c>
      <c r="J1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79.95</v>
      </c>
      <c r="K1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79.95</v>
      </c>
      <c r="L1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79.95</v>
      </c>
      <c r="M1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79.95</v>
      </c>
      <c r="N1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79.95</v>
      </c>
      <c r="O1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79.95</v>
      </c>
      <c r="P1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79.95</v>
      </c>
      <c r="Q1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79.95</v>
      </c>
      <c r="R1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79.95</v>
      </c>
      <c r="S1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79.95</v>
      </c>
      <c r="T1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79.95</v>
      </c>
      <c r="U1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79.95</v>
      </c>
      <c r="V1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79.95</v>
      </c>
      <c r="W1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79.95</v>
      </c>
      <c r="X1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79.95</v>
      </c>
      <c r="Y1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79.95</v>
      </c>
      <c r="Z1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79.95</v>
      </c>
      <c r="AA1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79.95</v>
      </c>
      <c r="AB1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79.95</v>
      </c>
      <c r="AC1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79.95</v>
      </c>
      <c r="AD1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1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7" spans="2:37" x14ac:dyDescent="0.4">
      <c r="B17" t="s">
        <v>179</v>
      </c>
      <c r="C17" t="s">
        <v>153</v>
      </c>
      <c r="D17" t="s">
        <v>2</v>
      </c>
      <c r="F17">
        <v>168</v>
      </c>
      <c r="H17" t="s">
        <v>39</v>
      </c>
      <c r="I17">
        <v>2045</v>
      </c>
      <c r="J1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168</v>
      </c>
      <c r="K1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168</v>
      </c>
      <c r="L1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168</v>
      </c>
      <c r="M1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168</v>
      </c>
      <c r="N1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168</v>
      </c>
      <c r="O1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168</v>
      </c>
      <c r="P1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168</v>
      </c>
      <c r="Q1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168</v>
      </c>
      <c r="R1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168</v>
      </c>
      <c r="S1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168</v>
      </c>
      <c r="T1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168</v>
      </c>
      <c r="U1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168</v>
      </c>
      <c r="V1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168</v>
      </c>
      <c r="W1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168</v>
      </c>
      <c r="X1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168</v>
      </c>
      <c r="Y1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168</v>
      </c>
      <c r="Z1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168</v>
      </c>
      <c r="AA1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168</v>
      </c>
      <c r="AB1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168</v>
      </c>
      <c r="AC1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168</v>
      </c>
      <c r="AD1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168</v>
      </c>
      <c r="AE1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8" spans="2:37" x14ac:dyDescent="0.4">
      <c r="B18" t="s">
        <v>180</v>
      </c>
      <c r="C18" t="s">
        <v>153</v>
      </c>
      <c r="D18" t="s">
        <v>2</v>
      </c>
      <c r="F18">
        <v>121.8</v>
      </c>
      <c r="H18" t="s">
        <v>39</v>
      </c>
      <c r="I18">
        <v>2045</v>
      </c>
      <c r="J1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121.8</v>
      </c>
      <c r="K1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121.8</v>
      </c>
      <c r="L1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121.8</v>
      </c>
      <c r="M1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121.8</v>
      </c>
      <c r="N1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121.8</v>
      </c>
      <c r="O1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121.8</v>
      </c>
      <c r="P1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121.8</v>
      </c>
      <c r="Q1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121.8</v>
      </c>
      <c r="R1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121.8</v>
      </c>
      <c r="S1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121.8</v>
      </c>
      <c r="T1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121.8</v>
      </c>
      <c r="U1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121.8</v>
      </c>
      <c r="V1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121.8</v>
      </c>
      <c r="W1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121.8</v>
      </c>
      <c r="X1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121.8</v>
      </c>
      <c r="Y1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121.8</v>
      </c>
      <c r="Z1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121.8</v>
      </c>
      <c r="AA1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121.8</v>
      </c>
      <c r="AB1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121.8</v>
      </c>
      <c r="AC1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121.8</v>
      </c>
      <c r="AD1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121.8</v>
      </c>
      <c r="AE1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19" spans="2:37" x14ac:dyDescent="0.4">
      <c r="B19" t="s">
        <v>181</v>
      </c>
      <c r="C19" t="s">
        <v>153</v>
      </c>
      <c r="D19" t="s">
        <v>2</v>
      </c>
      <c r="F19">
        <v>46.2</v>
      </c>
      <c r="H19" t="s">
        <v>39</v>
      </c>
      <c r="I19">
        <v>2045</v>
      </c>
      <c r="J1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46.2</v>
      </c>
      <c r="K1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46.2</v>
      </c>
      <c r="L1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46.2</v>
      </c>
      <c r="M1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46.2</v>
      </c>
      <c r="N1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46.2</v>
      </c>
      <c r="O1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46.2</v>
      </c>
      <c r="P1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46.2</v>
      </c>
      <c r="Q1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46.2</v>
      </c>
      <c r="R1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46.2</v>
      </c>
      <c r="S1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46.2</v>
      </c>
      <c r="T1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46.2</v>
      </c>
      <c r="U1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46.2</v>
      </c>
      <c r="V1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46.2</v>
      </c>
      <c r="W1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46.2</v>
      </c>
      <c r="X1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46.2</v>
      </c>
      <c r="Y1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46.2</v>
      </c>
      <c r="Z1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46.2</v>
      </c>
      <c r="AA1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46.2</v>
      </c>
      <c r="AB1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46.2</v>
      </c>
      <c r="AC1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46.2</v>
      </c>
      <c r="AD1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46.2</v>
      </c>
      <c r="AE1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1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1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1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1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1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1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0" spans="2:37" x14ac:dyDescent="0.4">
      <c r="B20" t="s">
        <v>134</v>
      </c>
      <c r="C20" t="s">
        <v>152</v>
      </c>
      <c r="D20" t="s">
        <v>2</v>
      </c>
      <c r="F20">
        <v>83.6</v>
      </c>
      <c r="H20" t="s">
        <v>39</v>
      </c>
      <c r="I20">
        <v>2049</v>
      </c>
      <c r="J2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83.6</v>
      </c>
      <c r="K2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83.6</v>
      </c>
      <c r="L2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83.6</v>
      </c>
      <c r="M2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83.6</v>
      </c>
      <c r="N2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83.6</v>
      </c>
      <c r="O2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83.6</v>
      </c>
      <c r="P2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83.6</v>
      </c>
      <c r="Q2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83.6</v>
      </c>
      <c r="R2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83.6</v>
      </c>
      <c r="S2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83.6</v>
      </c>
      <c r="T2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83.6</v>
      </c>
      <c r="U2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83.6</v>
      </c>
      <c r="V2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83.6</v>
      </c>
      <c r="W2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83.6</v>
      </c>
      <c r="X2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83.6</v>
      </c>
      <c r="Y2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83.6</v>
      </c>
      <c r="Z2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83.6</v>
      </c>
      <c r="AA2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83.6</v>
      </c>
      <c r="AB2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83.6</v>
      </c>
      <c r="AC2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83.6</v>
      </c>
      <c r="AD2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83.6</v>
      </c>
      <c r="AE2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83.6</v>
      </c>
      <c r="AF2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83.6</v>
      </c>
      <c r="AG2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83.6</v>
      </c>
      <c r="AH2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83.6</v>
      </c>
      <c r="AI2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1" spans="2:37" x14ac:dyDescent="0.4">
      <c r="B21" t="s">
        <v>177</v>
      </c>
      <c r="C21" t="s">
        <v>169</v>
      </c>
      <c r="D21" t="s">
        <v>5</v>
      </c>
      <c r="E21">
        <v>0</v>
      </c>
      <c r="F21">
        <v>77</v>
      </c>
      <c r="G21">
        <v>2024</v>
      </c>
      <c r="H21">
        <v>2025</v>
      </c>
      <c r="I21">
        <v>2054</v>
      </c>
      <c r="J2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0</v>
      </c>
      <c r="K2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77</v>
      </c>
      <c r="L2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77</v>
      </c>
      <c r="M2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77</v>
      </c>
      <c r="N2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77</v>
      </c>
      <c r="O2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77</v>
      </c>
      <c r="P2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77</v>
      </c>
      <c r="Q2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77</v>
      </c>
      <c r="R2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77</v>
      </c>
      <c r="S2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77</v>
      </c>
      <c r="T2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77</v>
      </c>
      <c r="U2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77</v>
      </c>
      <c r="V2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77</v>
      </c>
      <c r="W2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77</v>
      </c>
      <c r="X2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77</v>
      </c>
      <c r="Y2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77</v>
      </c>
      <c r="Z2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77</v>
      </c>
      <c r="AA2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77</v>
      </c>
      <c r="AB2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77</v>
      </c>
      <c r="AC2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77</v>
      </c>
      <c r="AD2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77</v>
      </c>
      <c r="AE2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77</v>
      </c>
      <c r="AF2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77</v>
      </c>
      <c r="AG2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77</v>
      </c>
      <c r="AH2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77</v>
      </c>
      <c r="AI2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77</v>
      </c>
      <c r="AJ2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77</v>
      </c>
      <c r="AK2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77</v>
      </c>
    </row>
    <row r="22" spans="2:37" x14ac:dyDescent="0.4">
      <c r="B22" t="s">
        <v>117</v>
      </c>
      <c r="C22" t="s">
        <v>125</v>
      </c>
      <c r="D22" t="s">
        <v>5</v>
      </c>
      <c r="F22">
        <v>50</v>
      </c>
      <c r="H22" t="s">
        <v>39</v>
      </c>
      <c r="I22">
        <v>2048</v>
      </c>
      <c r="J2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50</v>
      </c>
      <c r="K2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50</v>
      </c>
      <c r="L2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50</v>
      </c>
      <c r="M2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50</v>
      </c>
      <c r="N2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50</v>
      </c>
      <c r="O2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50</v>
      </c>
      <c r="P2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50</v>
      </c>
      <c r="Q2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50</v>
      </c>
      <c r="R2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50</v>
      </c>
      <c r="S2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50</v>
      </c>
      <c r="T2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50</v>
      </c>
      <c r="U2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50</v>
      </c>
      <c r="V2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50</v>
      </c>
      <c r="W2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50</v>
      </c>
      <c r="X2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50</v>
      </c>
      <c r="Y2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50</v>
      </c>
      <c r="Z2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50</v>
      </c>
      <c r="AA2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50</v>
      </c>
      <c r="AB2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50</v>
      </c>
      <c r="AC2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50</v>
      </c>
      <c r="AD2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50</v>
      </c>
      <c r="AE2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50</v>
      </c>
      <c r="AF2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50</v>
      </c>
      <c r="AG2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50</v>
      </c>
      <c r="AH2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3" spans="2:37" x14ac:dyDescent="0.4">
      <c r="B23" t="s">
        <v>155</v>
      </c>
      <c r="C23" t="s">
        <v>126</v>
      </c>
      <c r="D23" t="s">
        <v>5</v>
      </c>
      <c r="F23">
        <v>75.81</v>
      </c>
      <c r="H23" t="s">
        <v>39</v>
      </c>
      <c r="I23">
        <v>2054</v>
      </c>
      <c r="J2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75.81</v>
      </c>
      <c r="K2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75.81</v>
      </c>
      <c r="L2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75.81</v>
      </c>
      <c r="M2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75.81</v>
      </c>
      <c r="N2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75.81</v>
      </c>
      <c r="O2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75.81</v>
      </c>
      <c r="P2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75.81</v>
      </c>
      <c r="Q2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75.81</v>
      </c>
      <c r="R2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75.81</v>
      </c>
      <c r="S2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75.81</v>
      </c>
      <c r="T2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75.81</v>
      </c>
      <c r="U2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75.81</v>
      </c>
      <c r="V2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75.81</v>
      </c>
      <c r="W2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75.81</v>
      </c>
      <c r="X2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75.81</v>
      </c>
      <c r="Y2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75.81</v>
      </c>
      <c r="Z2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75.81</v>
      </c>
      <c r="AA2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75.81</v>
      </c>
      <c r="AB2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75.81</v>
      </c>
      <c r="AC2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75.81</v>
      </c>
      <c r="AD2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75.81</v>
      </c>
      <c r="AE2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75.81</v>
      </c>
      <c r="AF2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75.81</v>
      </c>
      <c r="AG2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75.81</v>
      </c>
      <c r="AH2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75.81</v>
      </c>
      <c r="AI2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75.81</v>
      </c>
      <c r="AJ2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75.81</v>
      </c>
      <c r="AK2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75.81</v>
      </c>
    </row>
    <row r="24" spans="2:37" x14ac:dyDescent="0.4">
      <c r="B24" t="s">
        <v>156</v>
      </c>
      <c r="C24" t="s">
        <v>126</v>
      </c>
      <c r="D24" t="s">
        <v>5</v>
      </c>
      <c r="F24">
        <v>101.98</v>
      </c>
      <c r="H24" t="s">
        <v>39</v>
      </c>
      <c r="I24">
        <v>2053</v>
      </c>
      <c r="J2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101.98</v>
      </c>
      <c r="K2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101.98</v>
      </c>
      <c r="L2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101.98</v>
      </c>
      <c r="M2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101.98</v>
      </c>
      <c r="N2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101.98</v>
      </c>
      <c r="O2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101.98</v>
      </c>
      <c r="P2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101.98</v>
      </c>
      <c r="Q2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101.98</v>
      </c>
      <c r="R2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101.98</v>
      </c>
      <c r="S2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101.98</v>
      </c>
      <c r="T2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101.98</v>
      </c>
      <c r="U2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101.98</v>
      </c>
      <c r="V2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101.98</v>
      </c>
      <c r="W2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101.98</v>
      </c>
      <c r="X2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101.98</v>
      </c>
      <c r="Y2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101.98</v>
      </c>
      <c r="Z2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101.98</v>
      </c>
      <c r="AA2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101.98</v>
      </c>
      <c r="AB2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101.98</v>
      </c>
      <c r="AC2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101.98</v>
      </c>
      <c r="AD2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101.98</v>
      </c>
      <c r="AE2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101.98</v>
      </c>
      <c r="AF2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101.98</v>
      </c>
      <c r="AG2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101.98</v>
      </c>
      <c r="AH2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101.98</v>
      </c>
      <c r="AI2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101.98</v>
      </c>
      <c r="AJ2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101.98</v>
      </c>
      <c r="AK2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101.98</v>
      </c>
    </row>
    <row r="25" spans="2:37" x14ac:dyDescent="0.4">
      <c r="B25" t="s">
        <v>158</v>
      </c>
      <c r="C25" t="s">
        <v>153</v>
      </c>
      <c r="D25" t="s">
        <v>2</v>
      </c>
      <c r="E25">
        <v>0</v>
      </c>
      <c r="F25">
        <v>756.4</v>
      </c>
      <c r="G25">
        <v>2024</v>
      </c>
      <c r="H25">
        <v>2025</v>
      </c>
      <c r="I25">
        <v>2054</v>
      </c>
      <c r="J2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0</v>
      </c>
      <c r="K2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756.4</v>
      </c>
      <c r="L2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756.4</v>
      </c>
      <c r="M2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756.4</v>
      </c>
      <c r="N2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756.4</v>
      </c>
      <c r="O2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756.4</v>
      </c>
      <c r="P2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756.4</v>
      </c>
      <c r="Q2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756.4</v>
      </c>
      <c r="R2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756.4</v>
      </c>
      <c r="S2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756.4</v>
      </c>
      <c r="T2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756.4</v>
      </c>
      <c r="U2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756.4</v>
      </c>
      <c r="V2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756.4</v>
      </c>
      <c r="W2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756.4</v>
      </c>
      <c r="X2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756.4</v>
      </c>
      <c r="Y2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756.4</v>
      </c>
      <c r="Z2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756.4</v>
      </c>
      <c r="AA2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756.4</v>
      </c>
      <c r="AB2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756.4</v>
      </c>
      <c r="AC2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756.4</v>
      </c>
      <c r="AD2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756.4</v>
      </c>
      <c r="AE2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756.4</v>
      </c>
      <c r="AF2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756.4</v>
      </c>
      <c r="AG2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756.4</v>
      </c>
      <c r="AH2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756.4</v>
      </c>
      <c r="AI2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756.4</v>
      </c>
      <c r="AJ2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756.4</v>
      </c>
      <c r="AK2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756.4</v>
      </c>
    </row>
    <row r="26" spans="2:37" x14ac:dyDescent="0.4">
      <c r="B26" t="s">
        <v>159</v>
      </c>
      <c r="C26" t="s">
        <v>153</v>
      </c>
      <c r="D26" t="s">
        <v>2</v>
      </c>
      <c r="F26">
        <v>96.6</v>
      </c>
      <c r="H26" t="s">
        <v>39</v>
      </c>
      <c r="I26">
        <v>2054</v>
      </c>
      <c r="J2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96.6</v>
      </c>
      <c r="K2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96.6</v>
      </c>
      <c r="L2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96.6</v>
      </c>
      <c r="M2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96.6</v>
      </c>
      <c r="N2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96.6</v>
      </c>
      <c r="O2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96.6</v>
      </c>
      <c r="P2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96.6</v>
      </c>
      <c r="Q2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96.6</v>
      </c>
      <c r="R2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96.6</v>
      </c>
      <c r="S2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96.6</v>
      </c>
      <c r="T2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96.6</v>
      </c>
      <c r="U2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96.6</v>
      </c>
      <c r="V2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96.6</v>
      </c>
      <c r="W2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96.6</v>
      </c>
      <c r="X2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96.6</v>
      </c>
      <c r="Y2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96.6</v>
      </c>
      <c r="Z2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96.6</v>
      </c>
      <c r="AA2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96.6</v>
      </c>
      <c r="AB2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96.6</v>
      </c>
      <c r="AC2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96.6</v>
      </c>
      <c r="AD2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96.6</v>
      </c>
      <c r="AE2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96.6</v>
      </c>
      <c r="AF2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96.6</v>
      </c>
      <c r="AG2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96.6</v>
      </c>
      <c r="AH2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96.6</v>
      </c>
      <c r="AI2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96.6</v>
      </c>
      <c r="AJ2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96.6</v>
      </c>
      <c r="AK2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96.6</v>
      </c>
    </row>
    <row r="27" spans="2:37" x14ac:dyDescent="0.4">
      <c r="B27" t="s">
        <v>135</v>
      </c>
      <c r="C27" t="s">
        <v>152</v>
      </c>
      <c r="D27" t="s">
        <v>2</v>
      </c>
      <c r="F27">
        <v>31.05</v>
      </c>
      <c r="H27" t="s">
        <v>39</v>
      </c>
      <c r="I27">
        <v>2042</v>
      </c>
      <c r="J2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31.05</v>
      </c>
      <c r="K2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31.05</v>
      </c>
      <c r="L2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31.05</v>
      </c>
      <c r="M2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31.05</v>
      </c>
      <c r="N2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31.05</v>
      </c>
      <c r="O2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31.05</v>
      </c>
      <c r="P2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31.05</v>
      </c>
      <c r="Q2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31.05</v>
      </c>
      <c r="R2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31.05</v>
      </c>
      <c r="S2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31.05</v>
      </c>
      <c r="T2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31.05</v>
      </c>
      <c r="U2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31.05</v>
      </c>
      <c r="V2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31.05</v>
      </c>
      <c r="W2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31.05</v>
      </c>
      <c r="X2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31.05</v>
      </c>
      <c r="Y2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31.05</v>
      </c>
      <c r="Z2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31.05</v>
      </c>
      <c r="AA2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31.05</v>
      </c>
      <c r="AB2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2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2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2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2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2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2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8" spans="2:37" x14ac:dyDescent="0.4">
      <c r="B28" t="s">
        <v>118</v>
      </c>
      <c r="C28" t="s">
        <v>126</v>
      </c>
      <c r="D28" t="s">
        <v>5</v>
      </c>
      <c r="F28">
        <v>110</v>
      </c>
      <c r="H28" t="s">
        <v>39</v>
      </c>
      <c r="I28">
        <v>2051</v>
      </c>
      <c r="J2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110</v>
      </c>
      <c r="K2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110</v>
      </c>
      <c r="L2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110</v>
      </c>
      <c r="M2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110</v>
      </c>
      <c r="N2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110</v>
      </c>
      <c r="O2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110</v>
      </c>
      <c r="P2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110</v>
      </c>
      <c r="Q2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110</v>
      </c>
      <c r="R2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110</v>
      </c>
      <c r="S2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110</v>
      </c>
      <c r="T2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110</v>
      </c>
      <c r="U2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110</v>
      </c>
      <c r="V2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110</v>
      </c>
      <c r="W2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110</v>
      </c>
      <c r="X2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110</v>
      </c>
      <c r="Y2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110</v>
      </c>
      <c r="Z2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110</v>
      </c>
      <c r="AA2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110</v>
      </c>
      <c r="AB2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110</v>
      </c>
      <c r="AC2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110</v>
      </c>
      <c r="AD2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110</v>
      </c>
      <c r="AE2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110</v>
      </c>
      <c r="AF2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110</v>
      </c>
      <c r="AG2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110</v>
      </c>
      <c r="AH2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110</v>
      </c>
      <c r="AI2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110</v>
      </c>
      <c r="AJ2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110</v>
      </c>
      <c r="AK2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29" spans="2:37" x14ac:dyDescent="0.4">
      <c r="B29" t="s">
        <v>119</v>
      </c>
      <c r="C29" t="s">
        <v>125</v>
      </c>
      <c r="D29" t="s">
        <v>5</v>
      </c>
      <c r="F29">
        <v>90.02</v>
      </c>
      <c r="H29" t="s">
        <v>39</v>
      </c>
      <c r="I29">
        <v>2048</v>
      </c>
      <c r="J2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90.02</v>
      </c>
      <c r="K2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90.02</v>
      </c>
      <c r="L2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90.02</v>
      </c>
      <c r="M2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90.02</v>
      </c>
      <c r="N2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90.02</v>
      </c>
      <c r="O2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90.02</v>
      </c>
      <c r="P2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90.02</v>
      </c>
      <c r="Q2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90.02</v>
      </c>
      <c r="R2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90.02</v>
      </c>
      <c r="S2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90.02</v>
      </c>
      <c r="T2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90.02</v>
      </c>
      <c r="U2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90.02</v>
      </c>
      <c r="V2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90.02</v>
      </c>
      <c r="W2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90.02</v>
      </c>
      <c r="X2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90.02</v>
      </c>
      <c r="Y2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90.02</v>
      </c>
      <c r="Z2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90.02</v>
      </c>
      <c r="AA2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90.02</v>
      </c>
      <c r="AB2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90.02</v>
      </c>
      <c r="AC2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90.02</v>
      </c>
      <c r="AD2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90.02</v>
      </c>
      <c r="AE2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90.02</v>
      </c>
      <c r="AF2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90.02</v>
      </c>
      <c r="AG2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90.02</v>
      </c>
      <c r="AH2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2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2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2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0" spans="2:37" x14ac:dyDescent="0.4">
      <c r="B30" t="s">
        <v>120</v>
      </c>
      <c r="C30" t="s">
        <v>125</v>
      </c>
      <c r="D30" t="s">
        <v>5</v>
      </c>
      <c r="F30">
        <v>199.95</v>
      </c>
      <c r="H30" t="s">
        <v>39</v>
      </c>
      <c r="I30">
        <v>2049</v>
      </c>
      <c r="J3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199.95</v>
      </c>
      <c r="K3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199.95</v>
      </c>
      <c r="L3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199.95</v>
      </c>
      <c r="M3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199.95</v>
      </c>
      <c r="N3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199.95</v>
      </c>
      <c r="O3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199.95</v>
      </c>
      <c r="P3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199.95</v>
      </c>
      <c r="Q3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199.95</v>
      </c>
      <c r="R3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199.95</v>
      </c>
      <c r="S3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199.95</v>
      </c>
      <c r="T3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199.95</v>
      </c>
      <c r="U3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199.95</v>
      </c>
      <c r="V3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199.95</v>
      </c>
      <c r="W3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199.95</v>
      </c>
      <c r="X3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199.95</v>
      </c>
      <c r="Y3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199.95</v>
      </c>
      <c r="Z3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199.95</v>
      </c>
      <c r="AA3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199.95</v>
      </c>
      <c r="AB3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199.95</v>
      </c>
      <c r="AC3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199.95</v>
      </c>
      <c r="AD3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199.95</v>
      </c>
      <c r="AE3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199.95</v>
      </c>
      <c r="AF3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199.95</v>
      </c>
      <c r="AG3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199.95</v>
      </c>
      <c r="AH3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199.95</v>
      </c>
      <c r="AI3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1" spans="2:37" x14ac:dyDescent="0.4">
      <c r="B31" t="s">
        <v>121</v>
      </c>
      <c r="C31" t="s">
        <v>126</v>
      </c>
      <c r="D31" t="s">
        <v>5</v>
      </c>
      <c r="F31">
        <v>99.95</v>
      </c>
      <c r="H31" t="s">
        <v>39</v>
      </c>
      <c r="I31">
        <v>2044</v>
      </c>
      <c r="J3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99.95</v>
      </c>
      <c r="K3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99.95</v>
      </c>
      <c r="L3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99.95</v>
      </c>
      <c r="M3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99.95</v>
      </c>
      <c r="N3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99.95</v>
      </c>
      <c r="O3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99.95</v>
      </c>
      <c r="P3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99.95</v>
      </c>
      <c r="Q3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99.95</v>
      </c>
      <c r="R3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99.95</v>
      </c>
      <c r="S3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99.95</v>
      </c>
      <c r="T3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99.95</v>
      </c>
      <c r="U3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99.95</v>
      </c>
      <c r="V3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99.95</v>
      </c>
      <c r="W3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99.95</v>
      </c>
      <c r="X3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99.95</v>
      </c>
      <c r="Y3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99.95</v>
      </c>
      <c r="Z3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99.95</v>
      </c>
      <c r="AA3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99.95</v>
      </c>
      <c r="AB3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99.95</v>
      </c>
      <c r="AC3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99.95</v>
      </c>
      <c r="AD3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2" spans="2:37" x14ac:dyDescent="0.4">
      <c r="B32" t="s">
        <v>136</v>
      </c>
      <c r="C32" t="s">
        <v>153</v>
      </c>
      <c r="D32" t="s">
        <v>2</v>
      </c>
      <c r="F32">
        <v>420</v>
      </c>
      <c r="H32" t="s">
        <v>39</v>
      </c>
      <c r="I32">
        <v>2038</v>
      </c>
      <c r="J3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420</v>
      </c>
      <c r="K3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420</v>
      </c>
      <c r="L3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420</v>
      </c>
      <c r="M3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420</v>
      </c>
      <c r="N3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420</v>
      </c>
      <c r="O3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420</v>
      </c>
      <c r="P3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420</v>
      </c>
      <c r="Q3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420</v>
      </c>
      <c r="R3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420</v>
      </c>
      <c r="S3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420</v>
      </c>
      <c r="T3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420</v>
      </c>
      <c r="U3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420</v>
      </c>
      <c r="V3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420</v>
      </c>
      <c r="W3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420</v>
      </c>
      <c r="X3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3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3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3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3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3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3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3" spans="1:37" x14ac:dyDescent="0.4">
      <c r="A33" t="s">
        <v>154</v>
      </c>
      <c r="B33" t="s">
        <v>137</v>
      </c>
      <c r="C33" t="s">
        <v>152</v>
      </c>
      <c r="D33" t="s">
        <v>2</v>
      </c>
      <c r="F33">
        <v>312</v>
      </c>
      <c r="H33" t="s">
        <v>39</v>
      </c>
      <c r="I33">
        <v>2044</v>
      </c>
      <c r="J3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312</v>
      </c>
      <c r="K3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312</v>
      </c>
      <c r="L3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312</v>
      </c>
      <c r="M3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312</v>
      </c>
      <c r="N3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312</v>
      </c>
      <c r="O3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312</v>
      </c>
      <c r="P3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312</v>
      </c>
      <c r="Q3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312</v>
      </c>
      <c r="R3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312</v>
      </c>
      <c r="S3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312</v>
      </c>
      <c r="T3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312</v>
      </c>
      <c r="U3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312</v>
      </c>
      <c r="V3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312</v>
      </c>
      <c r="W3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312</v>
      </c>
      <c r="X3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312</v>
      </c>
      <c r="Y3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312</v>
      </c>
      <c r="Z3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312</v>
      </c>
      <c r="AA3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312</v>
      </c>
      <c r="AB3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312</v>
      </c>
      <c r="AC3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312</v>
      </c>
      <c r="AD3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4" spans="1:37" x14ac:dyDescent="0.4">
      <c r="B34" t="s">
        <v>138</v>
      </c>
      <c r="C34" t="s">
        <v>153</v>
      </c>
      <c r="D34" t="s">
        <v>2</v>
      </c>
      <c r="F34">
        <v>157.5</v>
      </c>
      <c r="H34" t="s">
        <v>39</v>
      </c>
      <c r="I34">
        <v>2047</v>
      </c>
      <c r="J3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157.5</v>
      </c>
      <c r="K3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157.5</v>
      </c>
      <c r="L3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157.5</v>
      </c>
      <c r="M3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157.5</v>
      </c>
      <c r="N3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157.5</v>
      </c>
      <c r="O3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157.5</v>
      </c>
      <c r="P3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157.5</v>
      </c>
      <c r="Q3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157.5</v>
      </c>
      <c r="R3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157.5</v>
      </c>
      <c r="S3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157.5</v>
      </c>
      <c r="T3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157.5</v>
      </c>
      <c r="U3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157.5</v>
      </c>
      <c r="V3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157.5</v>
      </c>
      <c r="W3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157.5</v>
      </c>
      <c r="X3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157.5</v>
      </c>
      <c r="Y3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157.5</v>
      </c>
      <c r="Z3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157.5</v>
      </c>
      <c r="AA3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157.5</v>
      </c>
      <c r="AB3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157.5</v>
      </c>
      <c r="AC3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157.5</v>
      </c>
      <c r="AD3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157.5</v>
      </c>
      <c r="AE3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157.5</v>
      </c>
      <c r="AF3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157.5</v>
      </c>
      <c r="AG3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5" spans="1:37" x14ac:dyDescent="0.4">
      <c r="B35" t="s">
        <v>139</v>
      </c>
      <c r="C35" t="s">
        <v>153</v>
      </c>
      <c r="D35" t="s">
        <v>2</v>
      </c>
      <c r="F35">
        <v>19.5</v>
      </c>
      <c r="H35" t="s">
        <v>39</v>
      </c>
      <c r="I35">
        <v>2041</v>
      </c>
      <c r="J3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19.5</v>
      </c>
      <c r="K3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19.5</v>
      </c>
      <c r="L3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19.5</v>
      </c>
      <c r="M3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19.5</v>
      </c>
      <c r="N3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19.5</v>
      </c>
      <c r="O3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19.5</v>
      </c>
      <c r="P3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19.5</v>
      </c>
      <c r="Q3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19.5</v>
      </c>
      <c r="R3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19.5</v>
      </c>
      <c r="S3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19.5</v>
      </c>
      <c r="T3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19.5</v>
      </c>
      <c r="U3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19.5</v>
      </c>
      <c r="V3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19.5</v>
      </c>
      <c r="W3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19.5</v>
      </c>
      <c r="X3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19.5</v>
      </c>
      <c r="Y3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19.5</v>
      </c>
      <c r="Z3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19.5</v>
      </c>
      <c r="AA3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3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3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3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6" spans="1:37" x14ac:dyDescent="0.4">
      <c r="B36" t="s">
        <v>140</v>
      </c>
      <c r="C36" t="s">
        <v>153</v>
      </c>
      <c r="D36" t="s">
        <v>2</v>
      </c>
      <c r="F36">
        <v>99.88</v>
      </c>
      <c r="H36" t="s">
        <v>39</v>
      </c>
      <c r="I36">
        <v>2043</v>
      </c>
      <c r="J3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99.88</v>
      </c>
      <c r="K3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99.88</v>
      </c>
      <c r="L3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99.88</v>
      </c>
      <c r="M3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99.88</v>
      </c>
      <c r="N3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99.88</v>
      </c>
      <c r="O3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99.88</v>
      </c>
      <c r="P3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99.88</v>
      </c>
      <c r="Q3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99.88</v>
      </c>
      <c r="R3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99.88</v>
      </c>
      <c r="S3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99.88</v>
      </c>
      <c r="T3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99.88</v>
      </c>
      <c r="U3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99.88</v>
      </c>
      <c r="V3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99.88</v>
      </c>
      <c r="W3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99.88</v>
      </c>
      <c r="X3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99.88</v>
      </c>
      <c r="Y3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99.88</v>
      </c>
      <c r="Z3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99.88</v>
      </c>
      <c r="AA3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99.88</v>
      </c>
      <c r="AB3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99.88</v>
      </c>
      <c r="AC3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3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7" spans="1:37" x14ac:dyDescent="0.4">
      <c r="B37" t="s">
        <v>141</v>
      </c>
      <c r="C37" t="s">
        <v>152</v>
      </c>
      <c r="D37" t="s">
        <v>2</v>
      </c>
      <c r="F37">
        <v>131.19999999999999</v>
      </c>
      <c r="H37" t="s">
        <v>39</v>
      </c>
      <c r="I37">
        <v>2043</v>
      </c>
      <c r="J3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131.19999999999999</v>
      </c>
      <c r="K3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131.19999999999999</v>
      </c>
      <c r="L3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131.19999999999999</v>
      </c>
      <c r="M3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131.19999999999999</v>
      </c>
      <c r="N3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131.19999999999999</v>
      </c>
      <c r="O3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131.19999999999999</v>
      </c>
      <c r="P3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131.19999999999999</v>
      </c>
      <c r="Q3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131.19999999999999</v>
      </c>
      <c r="R3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131.19999999999999</v>
      </c>
      <c r="S3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131.19999999999999</v>
      </c>
      <c r="T3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131.19999999999999</v>
      </c>
      <c r="U3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131.19999999999999</v>
      </c>
      <c r="V3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131.19999999999999</v>
      </c>
      <c r="W3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131.19999999999999</v>
      </c>
      <c r="X3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131.19999999999999</v>
      </c>
      <c r="Y3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131.19999999999999</v>
      </c>
      <c r="Z3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131.19999999999999</v>
      </c>
      <c r="AA3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131.19999999999999</v>
      </c>
      <c r="AB3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131.19999999999999</v>
      </c>
      <c r="AC3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3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3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3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3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3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3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8" spans="1:37" x14ac:dyDescent="0.4">
      <c r="B38" t="s">
        <v>142</v>
      </c>
      <c r="C38" t="s">
        <v>152</v>
      </c>
      <c r="D38" t="s">
        <v>2</v>
      </c>
      <c r="F38">
        <v>225.7</v>
      </c>
      <c r="H38" t="s">
        <v>39</v>
      </c>
      <c r="I38">
        <v>2049</v>
      </c>
      <c r="J3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225.7</v>
      </c>
      <c r="K3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225.7</v>
      </c>
      <c r="L3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225.7</v>
      </c>
      <c r="M3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225.7</v>
      </c>
      <c r="N3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225.7</v>
      </c>
      <c r="O3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225.7</v>
      </c>
      <c r="P3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225.7</v>
      </c>
      <c r="Q3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225.7</v>
      </c>
      <c r="R3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225.7</v>
      </c>
      <c r="S3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225.7</v>
      </c>
      <c r="T3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225.7</v>
      </c>
      <c r="U3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225.7</v>
      </c>
      <c r="V3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225.7</v>
      </c>
      <c r="W3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225.7</v>
      </c>
      <c r="X3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225.7</v>
      </c>
      <c r="Y3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225.7</v>
      </c>
      <c r="Z3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225.7</v>
      </c>
      <c r="AA3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225.7</v>
      </c>
      <c r="AB3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225.7</v>
      </c>
      <c r="AC3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225.7</v>
      </c>
      <c r="AD3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225.7</v>
      </c>
      <c r="AE3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225.7</v>
      </c>
      <c r="AF3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225.7</v>
      </c>
      <c r="AG3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225.7</v>
      </c>
      <c r="AH3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225.7</v>
      </c>
      <c r="AI3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3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3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39" spans="1:37" x14ac:dyDescent="0.4">
      <c r="B39" t="s">
        <v>143</v>
      </c>
      <c r="C39" t="s">
        <v>152</v>
      </c>
      <c r="D39" t="s">
        <v>2</v>
      </c>
      <c r="F39">
        <v>209</v>
      </c>
      <c r="H39" t="s">
        <v>39</v>
      </c>
      <c r="I39">
        <v>2052</v>
      </c>
      <c r="J3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209</v>
      </c>
      <c r="K3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209</v>
      </c>
      <c r="L3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209</v>
      </c>
      <c r="M3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209</v>
      </c>
      <c r="N3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209</v>
      </c>
      <c r="O3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209</v>
      </c>
      <c r="P3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209</v>
      </c>
      <c r="Q3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209</v>
      </c>
      <c r="R3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209</v>
      </c>
      <c r="S3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209</v>
      </c>
      <c r="T3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209</v>
      </c>
      <c r="U3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209</v>
      </c>
      <c r="V3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209</v>
      </c>
      <c r="W3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209</v>
      </c>
      <c r="X3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209</v>
      </c>
      <c r="Y3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209</v>
      </c>
      <c r="Z3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209</v>
      </c>
      <c r="AA3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209</v>
      </c>
      <c r="AB3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209</v>
      </c>
      <c r="AC3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209</v>
      </c>
      <c r="AD3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209</v>
      </c>
      <c r="AE3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209</v>
      </c>
      <c r="AF3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209</v>
      </c>
      <c r="AG3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209</v>
      </c>
      <c r="AH3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209</v>
      </c>
      <c r="AI3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209</v>
      </c>
      <c r="AJ3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209</v>
      </c>
      <c r="AK3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209</v>
      </c>
    </row>
    <row r="40" spans="1:37" x14ac:dyDescent="0.4">
      <c r="B40" t="s">
        <v>144</v>
      </c>
      <c r="C40" t="s">
        <v>153</v>
      </c>
      <c r="D40" t="s">
        <v>2</v>
      </c>
      <c r="F40">
        <v>63</v>
      </c>
      <c r="H40" t="s">
        <v>39</v>
      </c>
      <c r="I40">
        <v>2037</v>
      </c>
      <c r="J4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63</v>
      </c>
      <c r="K4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63</v>
      </c>
      <c r="L4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63</v>
      </c>
      <c r="M4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63</v>
      </c>
      <c r="N4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63</v>
      </c>
      <c r="O4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63</v>
      </c>
      <c r="P4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63</v>
      </c>
      <c r="Q4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63</v>
      </c>
      <c r="R4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63</v>
      </c>
      <c r="S4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63</v>
      </c>
      <c r="T4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63</v>
      </c>
      <c r="U4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63</v>
      </c>
      <c r="V4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63</v>
      </c>
      <c r="W4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0</v>
      </c>
      <c r="X4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0</v>
      </c>
      <c r="Y4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4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4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4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4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4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4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1" spans="1:37" x14ac:dyDescent="0.4">
      <c r="B41" t="s">
        <v>122</v>
      </c>
      <c r="C41" t="s">
        <v>125</v>
      </c>
      <c r="D41" t="s">
        <v>5</v>
      </c>
      <c r="F41">
        <v>87.98</v>
      </c>
      <c r="H41" t="s">
        <v>39</v>
      </c>
      <c r="I41">
        <v>2049</v>
      </c>
      <c r="J4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87.98</v>
      </c>
      <c r="K4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87.98</v>
      </c>
      <c r="L4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87.98</v>
      </c>
      <c r="M4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87.98</v>
      </c>
      <c r="N4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87.98</v>
      </c>
      <c r="O4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87.98</v>
      </c>
      <c r="P4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87.98</v>
      </c>
      <c r="Q4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87.98</v>
      </c>
      <c r="R4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87.98</v>
      </c>
      <c r="S4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87.98</v>
      </c>
      <c r="T4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87.98</v>
      </c>
      <c r="U4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87.98</v>
      </c>
      <c r="V4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87.98</v>
      </c>
      <c r="W4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87.98</v>
      </c>
      <c r="X4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87.98</v>
      </c>
      <c r="Y4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87.98</v>
      </c>
      <c r="Z4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87.98</v>
      </c>
      <c r="AA4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87.98</v>
      </c>
      <c r="AB4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87.98</v>
      </c>
      <c r="AC4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87.98</v>
      </c>
      <c r="AD4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87.98</v>
      </c>
      <c r="AE4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87.98</v>
      </c>
      <c r="AF4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87.98</v>
      </c>
      <c r="AG4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87.98</v>
      </c>
      <c r="AH4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87.98</v>
      </c>
      <c r="AI4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2" spans="1:37" x14ac:dyDescent="0.4">
      <c r="B42" t="s">
        <v>145</v>
      </c>
      <c r="C42" t="s">
        <v>153</v>
      </c>
      <c r="D42" t="s">
        <v>2</v>
      </c>
      <c r="F42">
        <v>151.69999999999999</v>
      </c>
      <c r="H42" t="s">
        <v>39</v>
      </c>
      <c r="I42">
        <v>2041</v>
      </c>
      <c r="J4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151.69999999999999</v>
      </c>
      <c r="K4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151.69999999999999</v>
      </c>
      <c r="L4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151.69999999999999</v>
      </c>
      <c r="M4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151.69999999999999</v>
      </c>
      <c r="N4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151.69999999999999</v>
      </c>
      <c r="O4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151.69999999999999</v>
      </c>
      <c r="P4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151.69999999999999</v>
      </c>
      <c r="Q4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151.69999999999999</v>
      </c>
      <c r="R4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151.69999999999999</v>
      </c>
      <c r="S4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151.69999999999999</v>
      </c>
      <c r="T4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151.69999999999999</v>
      </c>
      <c r="U4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151.69999999999999</v>
      </c>
      <c r="V4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151.69999999999999</v>
      </c>
      <c r="W4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151.69999999999999</v>
      </c>
      <c r="X4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151.69999999999999</v>
      </c>
      <c r="Y4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151.69999999999999</v>
      </c>
      <c r="Z4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151.69999999999999</v>
      </c>
      <c r="AA4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4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4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4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4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3" spans="1:37" x14ac:dyDescent="0.4">
      <c r="B43" t="s">
        <v>160</v>
      </c>
      <c r="C43" t="s">
        <v>153</v>
      </c>
      <c r="D43" t="s">
        <v>2</v>
      </c>
      <c r="F43">
        <v>218.4</v>
      </c>
      <c r="H43" t="s">
        <v>39</v>
      </c>
      <c r="I43">
        <v>2054</v>
      </c>
      <c r="J43">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218.4</v>
      </c>
      <c r="K43">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218.4</v>
      </c>
      <c r="L43">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218.4</v>
      </c>
      <c r="M43">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218.4</v>
      </c>
      <c r="N43">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218.4</v>
      </c>
      <c r="O43">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218.4</v>
      </c>
      <c r="P43">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218.4</v>
      </c>
      <c r="Q43">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218.4</v>
      </c>
      <c r="R43">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218.4</v>
      </c>
      <c r="S43">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218.4</v>
      </c>
      <c r="T43">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218.4</v>
      </c>
      <c r="U43">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218.4</v>
      </c>
      <c r="V43">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218.4</v>
      </c>
      <c r="W43">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218.4</v>
      </c>
      <c r="X43">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218.4</v>
      </c>
      <c r="Y43">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218.4</v>
      </c>
      <c r="Z43">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218.4</v>
      </c>
      <c r="AA43">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218.4</v>
      </c>
      <c r="AB43">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218.4</v>
      </c>
      <c r="AC43">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218.4</v>
      </c>
      <c r="AD43">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218.4</v>
      </c>
      <c r="AE43">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218.4</v>
      </c>
      <c r="AF43">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218.4</v>
      </c>
      <c r="AG43">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218.4</v>
      </c>
      <c r="AH43">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218.4</v>
      </c>
      <c r="AI43">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218.4</v>
      </c>
      <c r="AJ43">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218.4</v>
      </c>
      <c r="AK43">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218.4</v>
      </c>
    </row>
    <row r="44" spans="1:37" x14ac:dyDescent="0.4">
      <c r="B44" t="s">
        <v>146</v>
      </c>
      <c r="C44" t="s">
        <v>153</v>
      </c>
      <c r="D44" t="s">
        <v>2</v>
      </c>
      <c r="F44">
        <v>54</v>
      </c>
      <c r="H44" t="s">
        <v>39</v>
      </c>
      <c r="I44">
        <v>2043</v>
      </c>
      <c r="J44">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54</v>
      </c>
      <c r="K44">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54</v>
      </c>
      <c r="L44">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54</v>
      </c>
      <c r="M44">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54</v>
      </c>
      <c r="N44">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54</v>
      </c>
      <c r="O44">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54</v>
      </c>
      <c r="P44">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54</v>
      </c>
      <c r="Q44">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54</v>
      </c>
      <c r="R44">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54</v>
      </c>
      <c r="S44">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54</v>
      </c>
      <c r="T44">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54</v>
      </c>
      <c r="U44">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54</v>
      </c>
      <c r="V44">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54</v>
      </c>
      <c r="W44">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54</v>
      </c>
      <c r="X44">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54</v>
      </c>
      <c r="Y44">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54</v>
      </c>
      <c r="Z44">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54</v>
      </c>
      <c r="AA44">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54</v>
      </c>
      <c r="AB44">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54</v>
      </c>
      <c r="AC44">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44">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44">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4">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4">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4">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4">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4">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4">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5" spans="1:37" x14ac:dyDescent="0.4">
      <c r="B45" t="s">
        <v>147</v>
      </c>
      <c r="C45" t="s">
        <v>153</v>
      </c>
      <c r="D45" t="s">
        <v>2</v>
      </c>
      <c r="F45">
        <v>510.99</v>
      </c>
      <c r="H45" t="s">
        <v>39</v>
      </c>
      <c r="I45">
        <v>2045</v>
      </c>
      <c r="J45">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510.99</v>
      </c>
      <c r="K45">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510.99</v>
      </c>
      <c r="L45">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510.99</v>
      </c>
      <c r="M45">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510.99</v>
      </c>
      <c r="N45">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510.99</v>
      </c>
      <c r="O45">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510.99</v>
      </c>
      <c r="P45">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510.99</v>
      </c>
      <c r="Q45">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510.99</v>
      </c>
      <c r="R45">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510.99</v>
      </c>
      <c r="S45">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510.99</v>
      </c>
      <c r="T45">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510.99</v>
      </c>
      <c r="U45">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510.99</v>
      </c>
      <c r="V45">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510.99</v>
      </c>
      <c r="W45">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510.99</v>
      </c>
      <c r="X45">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510.99</v>
      </c>
      <c r="Y45">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510.99</v>
      </c>
      <c r="Z45">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510.99</v>
      </c>
      <c r="AA45">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510.99</v>
      </c>
      <c r="AB45">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510.99</v>
      </c>
      <c r="AC45">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510.99</v>
      </c>
      <c r="AD45">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510.99</v>
      </c>
      <c r="AE45">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5">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5">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5">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5">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5">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5">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6" spans="1:37" x14ac:dyDescent="0.4">
      <c r="B46" t="s">
        <v>148</v>
      </c>
      <c r="C46" t="s">
        <v>152</v>
      </c>
      <c r="D46" t="s">
        <v>2</v>
      </c>
      <c r="F46">
        <v>192</v>
      </c>
      <c r="H46" t="s">
        <v>39</v>
      </c>
      <c r="I46">
        <v>2047</v>
      </c>
      <c r="J46">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192</v>
      </c>
      <c r="K46">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192</v>
      </c>
      <c r="L46">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192</v>
      </c>
      <c r="M46">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192</v>
      </c>
      <c r="N46">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192</v>
      </c>
      <c r="O46">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192</v>
      </c>
      <c r="P46">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192</v>
      </c>
      <c r="Q46">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192</v>
      </c>
      <c r="R46">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192</v>
      </c>
      <c r="S46">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192</v>
      </c>
      <c r="T46">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192</v>
      </c>
      <c r="U46">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192</v>
      </c>
      <c r="V46">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192</v>
      </c>
      <c r="W46">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192</v>
      </c>
      <c r="X46">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192</v>
      </c>
      <c r="Y46">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192</v>
      </c>
      <c r="Z46">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192</v>
      </c>
      <c r="AA46">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192</v>
      </c>
      <c r="AB46">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192</v>
      </c>
      <c r="AC46">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192</v>
      </c>
      <c r="AD46">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192</v>
      </c>
      <c r="AE46">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192</v>
      </c>
      <c r="AF46">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192</v>
      </c>
      <c r="AG46">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6">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6">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6">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6">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7" spans="1:37" x14ac:dyDescent="0.4">
      <c r="B47" t="s">
        <v>123</v>
      </c>
      <c r="C47" t="s">
        <v>126</v>
      </c>
      <c r="D47" t="s">
        <v>5</v>
      </c>
      <c r="F47">
        <v>85</v>
      </c>
      <c r="H47" t="s">
        <v>39</v>
      </c>
      <c r="I47">
        <v>2051</v>
      </c>
      <c r="J47">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85</v>
      </c>
      <c r="K47">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85</v>
      </c>
      <c r="L47">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85</v>
      </c>
      <c r="M47">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85</v>
      </c>
      <c r="N47">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85</v>
      </c>
      <c r="O47">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85</v>
      </c>
      <c r="P47">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85</v>
      </c>
      <c r="Q47">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85</v>
      </c>
      <c r="R47">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85</v>
      </c>
      <c r="S47">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85</v>
      </c>
      <c r="T47">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85</v>
      </c>
      <c r="U47">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85</v>
      </c>
      <c r="V47">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85</v>
      </c>
      <c r="W47">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85</v>
      </c>
      <c r="X47">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85</v>
      </c>
      <c r="Y47">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85</v>
      </c>
      <c r="Z47">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85</v>
      </c>
      <c r="AA47">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85</v>
      </c>
      <c r="AB47">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85</v>
      </c>
      <c r="AC47">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85</v>
      </c>
      <c r="AD47">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85</v>
      </c>
      <c r="AE47">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85</v>
      </c>
      <c r="AF47">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85</v>
      </c>
      <c r="AG47">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85</v>
      </c>
      <c r="AH47">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85</v>
      </c>
      <c r="AI47">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85</v>
      </c>
      <c r="AJ47">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85</v>
      </c>
      <c r="AK47">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8" spans="1:37" x14ac:dyDescent="0.4">
      <c r="B48" t="s">
        <v>157</v>
      </c>
      <c r="C48" t="s">
        <v>34</v>
      </c>
      <c r="D48" t="s">
        <v>5</v>
      </c>
      <c r="F48">
        <v>75</v>
      </c>
      <c r="H48" t="s">
        <v>39</v>
      </c>
      <c r="I48">
        <v>2043</v>
      </c>
      <c r="J48">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75</v>
      </c>
      <c r="K48">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75</v>
      </c>
      <c r="L48">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75</v>
      </c>
      <c r="M48">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75</v>
      </c>
      <c r="N48">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75</v>
      </c>
      <c r="O48">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75</v>
      </c>
      <c r="P48">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75</v>
      </c>
      <c r="Q48">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75</v>
      </c>
      <c r="R48">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75</v>
      </c>
      <c r="S48">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75</v>
      </c>
      <c r="T48">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75</v>
      </c>
      <c r="U48">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75</v>
      </c>
      <c r="V48">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75</v>
      </c>
      <c r="W48">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75</v>
      </c>
      <c r="X48">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75</v>
      </c>
      <c r="Y48">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75</v>
      </c>
      <c r="Z48">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75</v>
      </c>
      <c r="AA48">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75</v>
      </c>
      <c r="AB48">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75</v>
      </c>
      <c r="AC48">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48">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48">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48">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48">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48">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48">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48">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48">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49" spans="2:37" x14ac:dyDescent="0.4">
      <c r="B49" t="s">
        <v>149</v>
      </c>
      <c r="C49" t="s">
        <v>152</v>
      </c>
      <c r="D49" t="s">
        <v>2</v>
      </c>
      <c r="F49">
        <v>28.7</v>
      </c>
      <c r="H49" t="s">
        <v>39</v>
      </c>
      <c r="I49">
        <v>2052</v>
      </c>
      <c r="J49">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28.7</v>
      </c>
      <c r="K49">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28.7</v>
      </c>
      <c r="L49">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28.7</v>
      </c>
      <c r="M49">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28.7</v>
      </c>
      <c r="N49">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28.7</v>
      </c>
      <c r="O49">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28.7</v>
      </c>
      <c r="P49">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28.7</v>
      </c>
      <c r="Q49">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28.7</v>
      </c>
      <c r="R49">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28.7</v>
      </c>
      <c r="S49">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28.7</v>
      </c>
      <c r="T49">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28.7</v>
      </c>
      <c r="U49">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28.7</v>
      </c>
      <c r="V49">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28.7</v>
      </c>
      <c r="W49">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28.7</v>
      </c>
      <c r="X49">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28.7</v>
      </c>
      <c r="Y49">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28.7</v>
      </c>
      <c r="Z49">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28.7</v>
      </c>
      <c r="AA49">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28.7</v>
      </c>
      <c r="AB49">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28.7</v>
      </c>
      <c r="AC49">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28.7</v>
      </c>
      <c r="AD49">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28.7</v>
      </c>
      <c r="AE49">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28.7</v>
      </c>
      <c r="AF49">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28.7</v>
      </c>
      <c r="AG49">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28.7</v>
      </c>
      <c r="AH49">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28.7</v>
      </c>
      <c r="AI49">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28.7</v>
      </c>
      <c r="AJ49">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28.7</v>
      </c>
      <c r="AK49">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28.7</v>
      </c>
    </row>
    <row r="50" spans="2:37" x14ac:dyDescent="0.4">
      <c r="B50" t="s">
        <v>150</v>
      </c>
      <c r="C50" t="s">
        <v>153</v>
      </c>
      <c r="D50" t="s">
        <v>2</v>
      </c>
      <c r="F50">
        <v>30</v>
      </c>
      <c r="H50" t="s">
        <v>39</v>
      </c>
      <c r="I50">
        <v>2039</v>
      </c>
      <c r="J50">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30</v>
      </c>
      <c r="K50">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30</v>
      </c>
      <c r="L50">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30</v>
      </c>
      <c r="M50">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30</v>
      </c>
      <c r="N50">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30</v>
      </c>
      <c r="O50">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30</v>
      </c>
      <c r="P50">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30</v>
      </c>
      <c r="Q50">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30</v>
      </c>
      <c r="R50">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30</v>
      </c>
      <c r="S50">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30</v>
      </c>
      <c r="T50">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30</v>
      </c>
      <c r="U50">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30</v>
      </c>
      <c r="V50">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30</v>
      </c>
      <c r="W50">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30</v>
      </c>
      <c r="X50">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30</v>
      </c>
      <c r="Y50">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0</v>
      </c>
      <c r="Z50">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0</v>
      </c>
      <c r="AA50">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0</v>
      </c>
      <c r="AB50">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0</v>
      </c>
      <c r="AC50">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0</v>
      </c>
      <c r="AD50">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0</v>
      </c>
      <c r="AE50">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0</v>
      </c>
      <c r="AF50">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0</v>
      </c>
      <c r="AG50">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0</v>
      </c>
      <c r="AH50">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0</v>
      </c>
      <c r="AI50">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50">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50">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1" spans="2:37" x14ac:dyDescent="0.4">
      <c r="B51" t="s">
        <v>124</v>
      </c>
      <c r="C51" t="s">
        <v>125</v>
      </c>
      <c r="D51" t="s">
        <v>5</v>
      </c>
      <c r="F51">
        <v>81</v>
      </c>
      <c r="H51" t="s">
        <v>39</v>
      </c>
      <c r="I51">
        <v>2050</v>
      </c>
      <c r="J51">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81</v>
      </c>
      <c r="K51">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81</v>
      </c>
      <c r="L51">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81</v>
      </c>
      <c r="M51">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81</v>
      </c>
      <c r="N51">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81</v>
      </c>
      <c r="O51">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81</v>
      </c>
      <c r="P51">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81</v>
      </c>
      <c r="Q51">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81</v>
      </c>
      <c r="R51">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81</v>
      </c>
      <c r="S51">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81</v>
      </c>
      <c r="T51">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81</v>
      </c>
      <c r="U51">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81</v>
      </c>
      <c r="V51">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81</v>
      </c>
      <c r="W51">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81</v>
      </c>
      <c r="X51">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81</v>
      </c>
      <c r="Y51">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81</v>
      </c>
      <c r="Z51">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81</v>
      </c>
      <c r="AA51">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81</v>
      </c>
      <c r="AB51">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81</v>
      </c>
      <c r="AC51">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81</v>
      </c>
      <c r="AD51">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81</v>
      </c>
      <c r="AE51">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81</v>
      </c>
      <c r="AF51">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81</v>
      </c>
      <c r="AG51">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81</v>
      </c>
      <c r="AH51">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81</v>
      </c>
      <c r="AI51">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81</v>
      </c>
      <c r="AJ51">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51">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2" spans="2:37" x14ac:dyDescent="0.4">
      <c r="B52" t="s">
        <v>151</v>
      </c>
      <c r="C52" t="s">
        <v>152</v>
      </c>
      <c r="D52" t="s">
        <v>2</v>
      </c>
      <c r="F52">
        <v>144.4</v>
      </c>
      <c r="H52" t="s">
        <v>39</v>
      </c>
      <c r="I52">
        <v>2049</v>
      </c>
      <c r="J52">
        <f>IF(GenCapByYear[[#This Row],[FY Expected Retirement]]&lt;=_xlfn.NUMBERVALUE(LEFT(GenCapByYear[[#Headers],[2024-25]],4)),0,IF(OR(GenCapByYear[[#This Row],[FY Expected Commencement]]="Commenced",GenCapByYear[[#This Row],[FY Expected Commencement]]&lt;=_xlfn.NUMBERVALUE(LEFT(GenCapByYear[[#Headers],[2024-25]],4))),GenCapByYear[[#This Row],[ISP Listed Capacity '[MW']]],IF(AND(GenCapByYear[[#This Row],[Initial ISP Listed Capacity '[MW']]]&lt;&gt;"",GenCapByYear[[#This Row],[FY Initial Capacity Release]]&lt;=_xlfn.NUMBERVALUE(LEFT(GenCapByYear[[#Headers],[2024-25]],4))),GenCapByYear[[#This Row],[Initial ISP Listed Capacity '[MW']]],0)))</f>
        <v>144.4</v>
      </c>
      <c r="K52">
        <f>IF(GenCapByYear[[#This Row],[FY Expected Retirement]]&lt;=_xlfn.NUMBERVALUE(LEFT(GenCapByYear[[#Headers],[2025-26]],4)),0,IF(OR(GenCapByYear[[#This Row],[FY Expected Commencement]]="Commenced",GenCapByYear[[#This Row],[FY Expected Commencement]]&lt;=_xlfn.NUMBERVALUE(LEFT(GenCapByYear[[#Headers],[2025-26]],4))),GenCapByYear[[#This Row],[ISP Listed Capacity '[MW']]],0))</f>
        <v>144.4</v>
      </c>
      <c r="L52">
        <f>IF(GenCapByYear[[#This Row],[FY Expected Retirement]]&lt;=_xlfn.NUMBERVALUE(LEFT(GenCapByYear[[#Headers],[2026-27]],4)),0,IF(OR(GenCapByYear[[#This Row],[FY Expected Commencement]]="Commenced",GenCapByYear[[#This Row],[FY Expected Commencement]]&lt;=_xlfn.NUMBERVALUE(LEFT(GenCapByYear[[#Headers],[2026-27]],4))),GenCapByYear[[#This Row],[ISP Listed Capacity '[MW']]],0))</f>
        <v>144.4</v>
      </c>
      <c r="M52">
        <f>IF(GenCapByYear[[#This Row],[FY Expected Retirement]]&lt;=_xlfn.NUMBERVALUE(LEFT(GenCapByYear[[#Headers],[2027-28]],4)),0,IF(OR(GenCapByYear[[#This Row],[FY Expected Commencement]]="Commenced",GenCapByYear[[#This Row],[FY Expected Commencement]]&lt;=_xlfn.NUMBERVALUE(LEFT(GenCapByYear[[#Headers],[2027-28]],4))),GenCapByYear[[#This Row],[ISP Listed Capacity '[MW']]],0))</f>
        <v>144.4</v>
      </c>
      <c r="N52">
        <f>IF(GenCapByYear[[#This Row],[FY Expected Retirement]]&lt;=_xlfn.NUMBERVALUE(LEFT(GenCapByYear[[#Headers],[2028-29]],4)),0,IF(OR(GenCapByYear[[#This Row],[FY Expected Commencement]]="Commenced",GenCapByYear[[#This Row],[FY Expected Commencement]]&lt;=_xlfn.NUMBERVALUE(LEFT(GenCapByYear[[#Headers],[2028-29]],4))),GenCapByYear[[#This Row],[ISP Listed Capacity '[MW']]],0))</f>
        <v>144.4</v>
      </c>
      <c r="O52">
        <f>IF(GenCapByYear[[#This Row],[FY Expected Retirement]]&lt;=_xlfn.NUMBERVALUE(LEFT(GenCapByYear[[#Headers],[2029-30]],4)),0,IF(OR(GenCapByYear[[#This Row],[FY Expected Commencement]]="Commenced",GenCapByYear[[#This Row],[FY Expected Commencement]]&lt;=_xlfn.NUMBERVALUE(LEFT(GenCapByYear[[#Headers],[2029-30]],4))),GenCapByYear[[#This Row],[ISP Listed Capacity '[MW']]],0))</f>
        <v>144.4</v>
      </c>
      <c r="P52">
        <f>IF(GenCapByYear[[#This Row],[FY Expected Retirement]]&lt;=_xlfn.NUMBERVALUE(LEFT(GenCapByYear[[#Headers],[2030-31]],4)),0,IF(OR(GenCapByYear[[#This Row],[FY Expected Commencement]]="Commenced",GenCapByYear[[#This Row],[FY Expected Commencement]]&lt;=_xlfn.NUMBERVALUE(LEFT(GenCapByYear[[#Headers],[2030-31]],4))),GenCapByYear[[#This Row],[ISP Listed Capacity '[MW']]],0))</f>
        <v>144.4</v>
      </c>
      <c r="Q52">
        <f>IF(GenCapByYear[[#This Row],[FY Expected Retirement]]&lt;=_xlfn.NUMBERVALUE(LEFT(GenCapByYear[[#Headers],[2031-32]],4)),0,IF(OR(GenCapByYear[[#This Row],[FY Expected Commencement]]="Commenced",GenCapByYear[[#This Row],[FY Expected Commencement]]&lt;=_xlfn.NUMBERVALUE(LEFT(GenCapByYear[[#Headers],[2031-32]],4))),GenCapByYear[[#This Row],[ISP Listed Capacity '[MW']]],0))</f>
        <v>144.4</v>
      </c>
      <c r="R52">
        <f>IF(GenCapByYear[[#This Row],[FY Expected Retirement]]&lt;=_xlfn.NUMBERVALUE(LEFT(GenCapByYear[[#Headers],[2032-33]],4)),0,IF(OR(GenCapByYear[[#This Row],[FY Expected Commencement]]="Commenced",GenCapByYear[[#This Row],[FY Expected Commencement]]&lt;=_xlfn.NUMBERVALUE(LEFT(GenCapByYear[[#Headers],[2032-33]],4))),GenCapByYear[[#This Row],[ISP Listed Capacity '[MW']]],0))</f>
        <v>144.4</v>
      </c>
      <c r="S52">
        <f>IF(GenCapByYear[[#This Row],[FY Expected Retirement]]&lt;=_xlfn.NUMBERVALUE(LEFT(GenCapByYear[[#Headers],[2033-34]],4)),0,IF(OR(GenCapByYear[[#This Row],[FY Expected Commencement]]="Commenced",GenCapByYear[[#This Row],[FY Expected Commencement]]&lt;=_xlfn.NUMBERVALUE(LEFT(GenCapByYear[[#Headers],[2033-34]],4))),GenCapByYear[[#This Row],[ISP Listed Capacity '[MW']]],0))</f>
        <v>144.4</v>
      </c>
      <c r="T52">
        <f>IF(GenCapByYear[[#This Row],[FY Expected Retirement]]&lt;=_xlfn.NUMBERVALUE(LEFT(GenCapByYear[[#Headers],[2034-35]],4)),0,IF(OR(GenCapByYear[[#This Row],[FY Expected Commencement]]="Commenced",GenCapByYear[[#This Row],[FY Expected Commencement]]&lt;=_xlfn.NUMBERVALUE(LEFT(GenCapByYear[[#Headers],[2034-35]],4))),GenCapByYear[[#This Row],[ISP Listed Capacity '[MW']]],0))</f>
        <v>144.4</v>
      </c>
      <c r="U52">
        <f>IF(GenCapByYear[[#This Row],[FY Expected Retirement]]&lt;=_xlfn.NUMBERVALUE(LEFT(GenCapByYear[[#Headers],[2035-36]],4)),0,IF(OR(GenCapByYear[[#This Row],[FY Expected Commencement]]="Commenced",GenCapByYear[[#This Row],[FY Expected Commencement]]&lt;=_xlfn.NUMBERVALUE(LEFT(GenCapByYear[[#Headers],[2035-36]],4))),GenCapByYear[[#This Row],[ISP Listed Capacity '[MW']]],0))</f>
        <v>144.4</v>
      </c>
      <c r="V52">
        <f>IF(GenCapByYear[[#This Row],[FY Expected Retirement]]&lt;=_xlfn.NUMBERVALUE(LEFT(GenCapByYear[[#Headers],[2036-37]],4)),0,IF(OR(GenCapByYear[[#This Row],[FY Expected Commencement]]="Commenced",GenCapByYear[[#This Row],[FY Expected Commencement]]&lt;=_xlfn.NUMBERVALUE(LEFT(GenCapByYear[[#Headers],[2036-37]],4))),GenCapByYear[[#This Row],[ISP Listed Capacity '[MW']]],0))</f>
        <v>144.4</v>
      </c>
      <c r="W52">
        <f>IF(GenCapByYear[[#This Row],[FY Expected Retirement]]&lt;=_xlfn.NUMBERVALUE(LEFT(GenCapByYear[[#Headers],[2037-38]],4)),0,IF(OR(GenCapByYear[[#This Row],[FY Expected Commencement]]="Commenced",GenCapByYear[[#This Row],[FY Expected Commencement]]&lt;=_xlfn.NUMBERVALUE(LEFT(GenCapByYear[[#Headers],[2037-38]],4))),GenCapByYear[[#This Row],[ISP Listed Capacity '[MW']]],0))</f>
        <v>144.4</v>
      </c>
      <c r="X52">
        <f>IF(GenCapByYear[[#This Row],[FY Expected Retirement]]&lt;=_xlfn.NUMBERVALUE(LEFT(GenCapByYear[[#Headers],[2038-39]],4)),0,IF(OR(GenCapByYear[[#This Row],[FY Expected Commencement]]="Commenced",GenCapByYear[[#This Row],[FY Expected Commencement]]&lt;=_xlfn.NUMBERVALUE(LEFT(GenCapByYear[[#Headers],[2038-39]],4))),GenCapByYear[[#This Row],[ISP Listed Capacity '[MW']]],0))</f>
        <v>144.4</v>
      </c>
      <c r="Y52">
        <f>IF(GenCapByYear[[#This Row],[FY Expected Retirement]]&lt;=_xlfn.NUMBERVALUE(LEFT(GenCapByYear[[#Headers],[2039-40]],4)),0,IF(OR(GenCapByYear[[#This Row],[FY Expected Commencement]]="Commenced",GenCapByYear[[#This Row],[FY Expected Commencement]]&lt;=_xlfn.NUMBERVALUE(LEFT(GenCapByYear[[#Headers],[2039-40]],4))),GenCapByYear[[#This Row],[ISP Listed Capacity '[MW']]],0))</f>
        <v>144.4</v>
      </c>
      <c r="Z52">
        <f>IF(GenCapByYear[[#This Row],[FY Expected Retirement]]&lt;=_xlfn.NUMBERVALUE(LEFT(GenCapByYear[[#Headers],[2040-41]],4)),0,IF(OR(GenCapByYear[[#This Row],[FY Expected Commencement]]="Commenced",GenCapByYear[[#This Row],[FY Expected Commencement]]&lt;=_xlfn.NUMBERVALUE(LEFT(GenCapByYear[[#Headers],[2040-41]],4))),GenCapByYear[[#This Row],[ISP Listed Capacity '[MW']]],0))</f>
        <v>144.4</v>
      </c>
      <c r="AA52">
        <f>IF(GenCapByYear[[#This Row],[FY Expected Retirement]]&lt;=_xlfn.NUMBERVALUE(LEFT(GenCapByYear[[#Headers],[2041-42]],4)),0,IF(OR(GenCapByYear[[#This Row],[FY Expected Commencement]]="Commenced",GenCapByYear[[#This Row],[FY Expected Commencement]]&lt;=_xlfn.NUMBERVALUE(LEFT(GenCapByYear[[#Headers],[2041-42]],4))),GenCapByYear[[#This Row],[ISP Listed Capacity '[MW']]],0))</f>
        <v>144.4</v>
      </c>
      <c r="AB52">
        <f>IF(GenCapByYear[[#This Row],[FY Expected Retirement]]&lt;=_xlfn.NUMBERVALUE(LEFT(GenCapByYear[[#Headers],[2042-43]],4)),0,IF(OR(GenCapByYear[[#This Row],[FY Expected Commencement]]="Commenced",GenCapByYear[[#This Row],[FY Expected Commencement]]&lt;=_xlfn.NUMBERVALUE(LEFT(GenCapByYear[[#Headers],[2042-43]],4))),GenCapByYear[[#This Row],[ISP Listed Capacity '[MW']]],0))</f>
        <v>144.4</v>
      </c>
      <c r="AC52">
        <f>IF(GenCapByYear[[#This Row],[FY Expected Retirement]]&lt;=_xlfn.NUMBERVALUE(LEFT(GenCapByYear[[#Headers],[2043-44]],4)),0,IF(OR(GenCapByYear[[#This Row],[FY Expected Commencement]]="Commenced",GenCapByYear[[#This Row],[FY Expected Commencement]]&lt;=_xlfn.NUMBERVALUE(LEFT(GenCapByYear[[#Headers],[2043-44]],4))),GenCapByYear[[#This Row],[ISP Listed Capacity '[MW']]],0))</f>
        <v>144.4</v>
      </c>
      <c r="AD52">
        <f>IF(GenCapByYear[[#This Row],[FY Expected Retirement]]&lt;=_xlfn.NUMBERVALUE(LEFT(GenCapByYear[[#Headers],[2044-45]],4)),0,IF(OR(GenCapByYear[[#This Row],[FY Expected Commencement]]="Commenced",GenCapByYear[[#This Row],[FY Expected Commencement]]&lt;=_xlfn.NUMBERVALUE(LEFT(GenCapByYear[[#Headers],[2044-45]],4))),GenCapByYear[[#This Row],[ISP Listed Capacity '[MW']]],0))</f>
        <v>144.4</v>
      </c>
      <c r="AE52">
        <f>IF(GenCapByYear[[#This Row],[FY Expected Retirement]]&lt;=_xlfn.NUMBERVALUE(LEFT(GenCapByYear[[#Headers],[2045-46]],4)),0,IF(OR(GenCapByYear[[#This Row],[FY Expected Commencement]]="Commenced",GenCapByYear[[#This Row],[FY Expected Commencement]]&lt;=_xlfn.NUMBERVALUE(LEFT(GenCapByYear[[#Headers],[2045-46]],4))),GenCapByYear[[#This Row],[ISP Listed Capacity '[MW']]],0))</f>
        <v>144.4</v>
      </c>
      <c r="AF52">
        <f>IF(GenCapByYear[[#This Row],[FY Expected Retirement]]&lt;=_xlfn.NUMBERVALUE(LEFT(GenCapByYear[[#Headers],[2046-47]],4)),0,IF(OR(GenCapByYear[[#This Row],[FY Expected Commencement]]="Commenced",GenCapByYear[[#This Row],[FY Expected Commencement]]&lt;=_xlfn.NUMBERVALUE(LEFT(GenCapByYear[[#Headers],[2046-47]],4))),GenCapByYear[[#This Row],[ISP Listed Capacity '[MW']]],0))</f>
        <v>144.4</v>
      </c>
      <c r="AG52">
        <f>IF(GenCapByYear[[#This Row],[FY Expected Retirement]]&lt;=_xlfn.NUMBERVALUE(LEFT(GenCapByYear[[#Headers],[2047-48]],4)),0,IF(OR(GenCapByYear[[#This Row],[FY Expected Commencement]]="Commenced",GenCapByYear[[#This Row],[FY Expected Commencement]]&lt;=_xlfn.NUMBERVALUE(LEFT(GenCapByYear[[#Headers],[2047-48]],4))),GenCapByYear[[#This Row],[ISP Listed Capacity '[MW']]],0))</f>
        <v>144.4</v>
      </c>
      <c r="AH52">
        <f>IF(GenCapByYear[[#This Row],[FY Expected Retirement]]&lt;=_xlfn.NUMBERVALUE(LEFT(GenCapByYear[[#Headers],[2048-49]],4)),0,IF(OR(GenCapByYear[[#This Row],[FY Expected Commencement]]="Commenced",GenCapByYear[[#This Row],[FY Expected Commencement]]&lt;=_xlfn.NUMBERVALUE(LEFT(GenCapByYear[[#Headers],[2048-49]],4))),GenCapByYear[[#This Row],[ISP Listed Capacity '[MW']]],0))</f>
        <v>144.4</v>
      </c>
      <c r="AI52">
        <f>IF(GenCapByYear[[#This Row],[FY Expected Retirement]]&lt;=_xlfn.NUMBERVALUE(LEFT(GenCapByYear[[#Headers],[2049-50]],4)),0,IF(OR(GenCapByYear[[#This Row],[FY Expected Commencement]]="Commenced",GenCapByYear[[#This Row],[FY Expected Commencement]]&lt;=_xlfn.NUMBERVALUE(LEFT(GenCapByYear[[#Headers],[2049-50]],4))),GenCapByYear[[#This Row],[ISP Listed Capacity '[MW']]],0))</f>
        <v>0</v>
      </c>
      <c r="AJ52">
        <f>IF(GenCapByYear[[#This Row],[FY Expected Retirement]]&lt;=_xlfn.NUMBERVALUE(LEFT(GenCapByYear[[#Headers],[2050-51]],4)),0,IF(OR(GenCapByYear[[#This Row],[FY Expected Commencement]]="Commenced",GenCapByYear[[#This Row],[FY Expected Commencement]]&lt;=_xlfn.NUMBERVALUE(LEFT(GenCapByYear[[#Headers],[2050-51]],4))),GenCapByYear[[#This Row],[ISP Listed Capacity '[MW']]],0))</f>
        <v>0</v>
      </c>
      <c r="AK52">
        <f>IF(GenCapByYear[[#This Row],[FY Expected Retirement]]&lt;=_xlfn.NUMBERVALUE(LEFT(GenCapByYear[[#Headers],[2051-52]],4)),0,IF(OR(GenCapByYear[[#This Row],[FY Expected Commencement]]="Commenced",GenCapByYear[[#This Row],[FY Expected Commencement]]&lt;=_xlfn.NUMBERVALUE(LEFT(GenCapByYear[[#Headers],[2051-52]],4))),GenCapByYear[[#This Row],[ISP Listed Capacity '[MW']]],0))</f>
        <v>0</v>
      </c>
    </row>
    <row r="55" spans="2:37" x14ac:dyDescent="0.4">
      <c r="B55" s="9">
        <v>547.75</v>
      </c>
    </row>
    <row r="56" spans="2:37" x14ac:dyDescent="0.4">
      <c r="B56" t="s">
        <v>176</v>
      </c>
    </row>
    <row r="57" spans="2:37" x14ac:dyDescent="0.4">
      <c r="B57" s="10" t="s">
        <v>155</v>
      </c>
      <c r="C57">
        <v>93.48</v>
      </c>
    </row>
    <row r="58" spans="2:37" x14ac:dyDescent="0.4">
      <c r="B58" t="s">
        <v>156</v>
      </c>
      <c r="C58">
        <v>127</v>
      </c>
    </row>
    <row r="59" spans="2:37" x14ac:dyDescent="0.4">
      <c r="B59" s="10" t="s">
        <v>118</v>
      </c>
      <c r="C59" s="7">
        <v>132</v>
      </c>
    </row>
    <row r="60" spans="2:37" x14ac:dyDescent="0.4">
      <c r="B60" t="s">
        <v>121</v>
      </c>
      <c r="C60">
        <v>101.09</v>
      </c>
    </row>
    <row r="61" spans="2:37" ht="15" thickBot="1" x14ac:dyDescent="0.45">
      <c r="B61" s="11" t="s">
        <v>123</v>
      </c>
      <c r="C61">
        <v>85</v>
      </c>
    </row>
    <row r="64" spans="2:37" x14ac:dyDescent="0.4">
      <c r="B64" t="s">
        <v>178</v>
      </c>
    </row>
    <row r="65" spans="2:2" x14ac:dyDescent="0.4">
      <c r="B65" s="7">
        <v>3283.2299999999996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0ABD-68D5-4D30-BF0C-F63AB0DCBE94}">
  <dimension ref="B2:AE46"/>
  <sheetViews>
    <sheetView topLeftCell="A21" workbookViewId="0">
      <selection activeCell="B6" sqref="B6"/>
    </sheetView>
  </sheetViews>
  <sheetFormatPr defaultRowHeight="14.6" x14ac:dyDescent="0.4"/>
  <cols>
    <col min="1" max="1" width="3.53515625" customWidth="1"/>
    <col min="2" max="2" width="19.15234375" bestFit="1" customWidth="1"/>
    <col min="3" max="30" width="13.69140625" bestFit="1" customWidth="1"/>
  </cols>
  <sheetData>
    <row r="2" spans="2:30" x14ac:dyDescent="0.4">
      <c r="B2" s="1" t="s">
        <v>45</v>
      </c>
    </row>
    <row r="4" spans="2:30" x14ac:dyDescent="0.4">
      <c r="B4" t="s">
        <v>107</v>
      </c>
    </row>
    <row r="6" spans="2:30" x14ac:dyDescent="0.4">
      <c r="B6" s="3" t="s">
        <v>43</v>
      </c>
      <c r="C6" t="s">
        <v>79</v>
      </c>
      <c r="D6" t="s">
        <v>80</v>
      </c>
      <c r="E6" t="s">
        <v>81</v>
      </c>
      <c r="F6" t="s">
        <v>82</v>
      </c>
      <c r="G6" t="s">
        <v>83</v>
      </c>
      <c r="H6" t="s">
        <v>84</v>
      </c>
      <c r="I6" t="s">
        <v>85</v>
      </c>
      <c r="J6" t="s">
        <v>86</v>
      </c>
      <c r="K6" t="s">
        <v>87</v>
      </c>
      <c r="L6" t="s">
        <v>88</v>
      </c>
      <c r="M6" t="s">
        <v>89</v>
      </c>
      <c r="N6" t="s">
        <v>90</v>
      </c>
      <c r="O6" t="s">
        <v>91</v>
      </c>
      <c r="P6" t="s">
        <v>92</v>
      </c>
      <c r="Q6" t="s">
        <v>93</v>
      </c>
      <c r="R6" t="s">
        <v>94</v>
      </c>
      <c r="S6" t="s">
        <v>95</v>
      </c>
      <c r="T6" t="s">
        <v>96</v>
      </c>
      <c r="U6" t="s">
        <v>97</v>
      </c>
      <c r="V6" t="s">
        <v>98</v>
      </c>
      <c r="W6" t="s">
        <v>99</v>
      </c>
      <c r="X6" t="s">
        <v>100</v>
      </c>
      <c r="Y6" t="s">
        <v>101</v>
      </c>
      <c r="Z6" t="s">
        <v>102</v>
      </c>
      <c r="AA6" t="s">
        <v>103</v>
      </c>
      <c r="AB6" t="s">
        <v>104</v>
      </c>
      <c r="AC6" t="s">
        <v>105</v>
      </c>
      <c r="AD6" t="s">
        <v>106</v>
      </c>
    </row>
    <row r="7" spans="2:30" x14ac:dyDescent="0.4">
      <c r="B7" s="2" t="s">
        <v>126</v>
      </c>
      <c r="C7">
        <v>472.74</v>
      </c>
      <c r="D7">
        <v>472.74</v>
      </c>
      <c r="E7">
        <v>472.74</v>
      </c>
      <c r="F7">
        <v>472.74</v>
      </c>
      <c r="G7">
        <v>472.74</v>
      </c>
      <c r="H7">
        <v>472.74</v>
      </c>
      <c r="I7">
        <v>472.74</v>
      </c>
      <c r="J7">
        <v>472.74</v>
      </c>
      <c r="K7">
        <v>472.74</v>
      </c>
      <c r="L7">
        <v>472.74</v>
      </c>
      <c r="M7">
        <v>472.74</v>
      </c>
      <c r="N7">
        <v>472.74</v>
      </c>
      <c r="O7">
        <v>472.74</v>
      </c>
      <c r="P7">
        <v>472.74</v>
      </c>
      <c r="Q7">
        <v>472.74</v>
      </c>
      <c r="R7">
        <v>472.74</v>
      </c>
      <c r="S7">
        <v>472.74</v>
      </c>
      <c r="T7">
        <v>472.74</v>
      </c>
      <c r="U7">
        <v>472.74</v>
      </c>
      <c r="V7">
        <v>472.74</v>
      </c>
      <c r="W7">
        <v>372.79</v>
      </c>
      <c r="X7">
        <v>372.79</v>
      </c>
      <c r="Y7">
        <v>372.79</v>
      </c>
      <c r="Z7">
        <v>372.79</v>
      </c>
      <c r="AA7">
        <v>372.79</v>
      </c>
      <c r="AB7">
        <v>372.79</v>
      </c>
      <c r="AC7">
        <v>372.79</v>
      </c>
      <c r="AD7">
        <v>177.79000000000002</v>
      </c>
    </row>
    <row r="8" spans="2:30" x14ac:dyDescent="0.4">
      <c r="B8" s="4" t="s">
        <v>5</v>
      </c>
      <c r="C8">
        <v>472.74</v>
      </c>
      <c r="D8">
        <v>472.74</v>
      </c>
      <c r="E8">
        <v>472.74</v>
      </c>
      <c r="F8">
        <v>472.74</v>
      </c>
      <c r="G8">
        <v>472.74</v>
      </c>
      <c r="H8">
        <v>472.74</v>
      </c>
      <c r="I8">
        <v>472.74</v>
      </c>
      <c r="J8">
        <v>472.74</v>
      </c>
      <c r="K8">
        <v>472.74</v>
      </c>
      <c r="L8">
        <v>472.74</v>
      </c>
      <c r="M8">
        <v>472.74</v>
      </c>
      <c r="N8">
        <v>472.74</v>
      </c>
      <c r="O8">
        <v>472.74</v>
      </c>
      <c r="P8">
        <v>472.74</v>
      </c>
      <c r="Q8">
        <v>472.74</v>
      </c>
      <c r="R8">
        <v>472.74</v>
      </c>
      <c r="S8">
        <v>472.74</v>
      </c>
      <c r="T8">
        <v>472.74</v>
      </c>
      <c r="U8">
        <v>472.74</v>
      </c>
      <c r="V8">
        <v>472.74</v>
      </c>
      <c r="W8">
        <v>372.79</v>
      </c>
      <c r="X8">
        <v>372.79</v>
      </c>
      <c r="Y8">
        <v>372.79</v>
      </c>
      <c r="Z8">
        <v>372.79</v>
      </c>
      <c r="AA8">
        <v>372.79</v>
      </c>
      <c r="AB8">
        <v>372.79</v>
      </c>
      <c r="AC8">
        <v>372.79</v>
      </c>
      <c r="AD8">
        <v>177.79000000000002</v>
      </c>
    </row>
    <row r="9" spans="2:30" x14ac:dyDescent="0.4">
      <c r="B9" s="2" t="s">
        <v>169</v>
      </c>
      <c r="C9">
        <v>0</v>
      </c>
      <c r="D9">
        <v>77</v>
      </c>
      <c r="E9">
        <v>77</v>
      </c>
      <c r="F9">
        <v>77</v>
      </c>
      <c r="G9">
        <v>77</v>
      </c>
      <c r="H9">
        <v>77</v>
      </c>
      <c r="I9">
        <v>77</v>
      </c>
      <c r="J9">
        <v>77</v>
      </c>
      <c r="K9">
        <v>77</v>
      </c>
      <c r="L9">
        <v>77</v>
      </c>
      <c r="M9">
        <v>77</v>
      </c>
      <c r="N9">
        <v>77</v>
      </c>
      <c r="O9">
        <v>77</v>
      </c>
      <c r="P9">
        <v>77</v>
      </c>
      <c r="Q9">
        <v>77</v>
      </c>
      <c r="R9">
        <v>77</v>
      </c>
      <c r="S9">
        <v>77</v>
      </c>
      <c r="T9">
        <v>77</v>
      </c>
      <c r="U9">
        <v>77</v>
      </c>
      <c r="V9">
        <v>77</v>
      </c>
      <c r="W9">
        <v>77</v>
      </c>
      <c r="X9">
        <v>77</v>
      </c>
      <c r="Y9">
        <v>77</v>
      </c>
      <c r="Z9">
        <v>77</v>
      </c>
      <c r="AA9">
        <v>77</v>
      </c>
      <c r="AB9">
        <v>77</v>
      </c>
      <c r="AC9">
        <v>77</v>
      </c>
      <c r="AD9">
        <v>77</v>
      </c>
    </row>
    <row r="10" spans="2:30" x14ac:dyDescent="0.4">
      <c r="B10" s="4" t="s">
        <v>5</v>
      </c>
      <c r="C10">
        <v>0</v>
      </c>
      <c r="D10">
        <v>77</v>
      </c>
      <c r="E10">
        <v>77</v>
      </c>
      <c r="F10">
        <v>77</v>
      </c>
      <c r="G10">
        <v>77</v>
      </c>
      <c r="H10">
        <v>77</v>
      </c>
      <c r="I10">
        <v>77</v>
      </c>
      <c r="J10">
        <v>77</v>
      </c>
      <c r="K10">
        <v>77</v>
      </c>
      <c r="L10">
        <v>77</v>
      </c>
      <c r="M10">
        <v>77</v>
      </c>
      <c r="N10">
        <v>77</v>
      </c>
      <c r="O10">
        <v>77</v>
      </c>
      <c r="P10">
        <v>77</v>
      </c>
      <c r="Q10">
        <v>77</v>
      </c>
      <c r="R10">
        <v>77</v>
      </c>
      <c r="S10">
        <v>77</v>
      </c>
      <c r="T10">
        <v>77</v>
      </c>
      <c r="U10">
        <v>77</v>
      </c>
      <c r="V10">
        <v>77</v>
      </c>
      <c r="W10">
        <v>77</v>
      </c>
      <c r="X10">
        <v>77</v>
      </c>
      <c r="Y10">
        <v>77</v>
      </c>
      <c r="Z10">
        <v>77</v>
      </c>
      <c r="AA10">
        <v>77</v>
      </c>
      <c r="AB10">
        <v>77</v>
      </c>
      <c r="AC10">
        <v>77</v>
      </c>
      <c r="AD10">
        <v>77</v>
      </c>
    </row>
    <row r="11" spans="2:30" x14ac:dyDescent="0.4">
      <c r="B11" s="2" t="s">
        <v>125</v>
      </c>
      <c r="C11">
        <v>624.12</v>
      </c>
      <c r="D11">
        <v>624.12</v>
      </c>
      <c r="E11">
        <v>624.12</v>
      </c>
      <c r="F11">
        <v>624.12</v>
      </c>
      <c r="G11">
        <v>624.12</v>
      </c>
      <c r="H11">
        <v>624.12</v>
      </c>
      <c r="I11">
        <v>624.12</v>
      </c>
      <c r="J11">
        <v>624.12</v>
      </c>
      <c r="K11">
        <v>624.12</v>
      </c>
      <c r="L11">
        <v>624.12</v>
      </c>
      <c r="M11">
        <v>624.12</v>
      </c>
      <c r="N11">
        <v>624.12</v>
      </c>
      <c r="O11">
        <v>624.12</v>
      </c>
      <c r="P11">
        <v>624.12</v>
      </c>
      <c r="Q11">
        <v>624.12</v>
      </c>
      <c r="R11">
        <v>624.12</v>
      </c>
      <c r="S11">
        <v>624.12</v>
      </c>
      <c r="T11">
        <v>624.12</v>
      </c>
      <c r="U11">
        <v>624.12</v>
      </c>
      <c r="V11">
        <v>624.12</v>
      </c>
      <c r="W11">
        <v>624.12</v>
      </c>
      <c r="X11">
        <v>596.94999999999993</v>
      </c>
      <c r="Y11">
        <v>596.94999999999993</v>
      </c>
      <c r="Z11">
        <v>596.94999999999993</v>
      </c>
      <c r="AA11">
        <v>456.93</v>
      </c>
      <c r="AB11">
        <v>81</v>
      </c>
      <c r="AC11">
        <v>0</v>
      </c>
      <c r="AD11">
        <v>0</v>
      </c>
    </row>
    <row r="12" spans="2:30" x14ac:dyDescent="0.4">
      <c r="B12" s="4" t="s">
        <v>5</v>
      </c>
      <c r="C12">
        <v>624.12</v>
      </c>
      <c r="D12">
        <v>624.12</v>
      </c>
      <c r="E12">
        <v>624.12</v>
      </c>
      <c r="F12">
        <v>624.12</v>
      </c>
      <c r="G12">
        <v>624.12</v>
      </c>
      <c r="H12">
        <v>624.12</v>
      </c>
      <c r="I12">
        <v>624.12</v>
      </c>
      <c r="J12">
        <v>624.12</v>
      </c>
      <c r="K12">
        <v>624.12</v>
      </c>
      <c r="L12">
        <v>624.12</v>
      </c>
      <c r="M12">
        <v>624.12</v>
      </c>
      <c r="N12">
        <v>624.12</v>
      </c>
      <c r="O12">
        <v>624.12</v>
      </c>
      <c r="P12">
        <v>624.12</v>
      </c>
      <c r="Q12">
        <v>624.12</v>
      </c>
      <c r="R12">
        <v>624.12</v>
      </c>
      <c r="S12">
        <v>624.12</v>
      </c>
      <c r="T12">
        <v>624.12</v>
      </c>
      <c r="U12">
        <v>624.12</v>
      </c>
      <c r="V12">
        <v>624.12</v>
      </c>
      <c r="W12">
        <v>624.12</v>
      </c>
      <c r="X12">
        <v>596.94999999999993</v>
      </c>
      <c r="Y12">
        <v>596.94999999999993</v>
      </c>
      <c r="Z12">
        <v>596.94999999999993</v>
      </c>
      <c r="AA12">
        <v>456.93</v>
      </c>
      <c r="AB12">
        <v>81</v>
      </c>
      <c r="AC12">
        <v>0</v>
      </c>
      <c r="AD12">
        <v>0</v>
      </c>
    </row>
    <row r="13" spans="2:30" x14ac:dyDescent="0.4">
      <c r="B13" s="2" t="s">
        <v>34</v>
      </c>
      <c r="C13">
        <v>239.2</v>
      </c>
      <c r="D13">
        <v>239.2</v>
      </c>
      <c r="E13">
        <v>239.2</v>
      </c>
      <c r="F13">
        <v>239.2</v>
      </c>
      <c r="G13">
        <v>239.2</v>
      </c>
      <c r="H13">
        <v>239.2</v>
      </c>
      <c r="I13">
        <v>239.2</v>
      </c>
      <c r="J13">
        <v>239.2</v>
      </c>
      <c r="K13">
        <v>239.2</v>
      </c>
      <c r="L13">
        <v>239.2</v>
      </c>
      <c r="M13">
        <v>239.2</v>
      </c>
      <c r="N13">
        <v>239.2</v>
      </c>
      <c r="O13">
        <v>239.2</v>
      </c>
      <c r="P13">
        <v>239.2</v>
      </c>
      <c r="Q13">
        <v>239.2</v>
      </c>
      <c r="R13">
        <v>239.2</v>
      </c>
      <c r="S13">
        <v>132.6</v>
      </c>
      <c r="T13">
        <v>132.6</v>
      </c>
      <c r="U13">
        <v>132.6</v>
      </c>
      <c r="V13">
        <v>132.6</v>
      </c>
      <c r="W13">
        <v>132.6</v>
      </c>
      <c r="X13">
        <v>132.6</v>
      </c>
      <c r="Y13">
        <v>132.6</v>
      </c>
      <c r="Z13">
        <v>132.6</v>
      </c>
      <c r="AA13">
        <v>132.6</v>
      </c>
      <c r="AB13">
        <v>132.6</v>
      </c>
      <c r="AC13">
        <v>75</v>
      </c>
      <c r="AD13">
        <v>75</v>
      </c>
    </row>
    <row r="14" spans="2:30" x14ac:dyDescent="0.4">
      <c r="B14" s="4" t="s">
        <v>5</v>
      </c>
      <c r="C14">
        <v>75</v>
      </c>
      <c r="D14">
        <v>75</v>
      </c>
      <c r="E14">
        <v>75</v>
      </c>
      <c r="F14">
        <v>75</v>
      </c>
      <c r="G14">
        <v>75</v>
      </c>
      <c r="H14">
        <v>75</v>
      </c>
      <c r="I14">
        <v>75</v>
      </c>
      <c r="J14">
        <v>75</v>
      </c>
      <c r="K14">
        <v>75</v>
      </c>
      <c r="L14">
        <v>75</v>
      </c>
      <c r="M14">
        <v>75</v>
      </c>
      <c r="N14">
        <v>75</v>
      </c>
      <c r="O14">
        <v>75</v>
      </c>
      <c r="P14">
        <v>75</v>
      </c>
      <c r="Q14">
        <v>75</v>
      </c>
      <c r="R14">
        <v>75</v>
      </c>
      <c r="S14">
        <v>75</v>
      </c>
      <c r="T14">
        <v>75</v>
      </c>
      <c r="U14">
        <v>75</v>
      </c>
      <c r="V14">
        <v>75</v>
      </c>
      <c r="W14">
        <v>75</v>
      </c>
      <c r="X14">
        <v>75</v>
      </c>
      <c r="Y14">
        <v>75</v>
      </c>
      <c r="Z14">
        <v>75</v>
      </c>
      <c r="AA14">
        <v>75</v>
      </c>
      <c r="AB14">
        <v>75</v>
      </c>
      <c r="AC14">
        <v>75</v>
      </c>
      <c r="AD14">
        <v>75</v>
      </c>
    </row>
    <row r="15" spans="2:30" x14ac:dyDescent="0.4">
      <c r="B15" s="4" t="s">
        <v>2</v>
      </c>
      <c r="C15">
        <v>164.2</v>
      </c>
      <c r="D15">
        <v>164.2</v>
      </c>
      <c r="E15">
        <v>164.2</v>
      </c>
      <c r="F15">
        <v>164.2</v>
      </c>
      <c r="G15">
        <v>164.2</v>
      </c>
      <c r="H15">
        <v>164.2</v>
      </c>
      <c r="I15">
        <v>164.2</v>
      </c>
      <c r="J15">
        <v>164.2</v>
      </c>
      <c r="K15">
        <v>164.2</v>
      </c>
      <c r="L15">
        <v>164.2</v>
      </c>
      <c r="M15">
        <v>164.2</v>
      </c>
      <c r="N15">
        <v>164.2</v>
      </c>
      <c r="O15">
        <v>164.2</v>
      </c>
      <c r="P15">
        <v>164.2</v>
      </c>
      <c r="Q15">
        <v>164.2</v>
      </c>
      <c r="R15">
        <v>164.2</v>
      </c>
      <c r="S15">
        <v>57.6</v>
      </c>
      <c r="T15">
        <v>57.6</v>
      </c>
      <c r="U15">
        <v>57.6</v>
      </c>
      <c r="V15">
        <v>57.6</v>
      </c>
      <c r="W15">
        <v>57.6</v>
      </c>
      <c r="X15">
        <v>57.6</v>
      </c>
      <c r="Y15">
        <v>57.6</v>
      </c>
      <c r="Z15">
        <v>57.6</v>
      </c>
      <c r="AA15">
        <v>57.6</v>
      </c>
      <c r="AB15">
        <v>57.6</v>
      </c>
      <c r="AC15">
        <v>0</v>
      </c>
      <c r="AD15">
        <v>0</v>
      </c>
    </row>
    <row r="16" spans="2:30" x14ac:dyDescent="0.4">
      <c r="B16" s="2" t="s">
        <v>153</v>
      </c>
      <c r="C16">
        <v>2438.67</v>
      </c>
      <c r="D16">
        <v>3195.0699999999997</v>
      </c>
      <c r="E16">
        <v>3195.0699999999997</v>
      </c>
      <c r="F16">
        <v>3195.0699999999997</v>
      </c>
      <c r="G16">
        <v>3195.0699999999997</v>
      </c>
      <c r="H16">
        <v>3195.0699999999997</v>
      </c>
      <c r="I16">
        <v>3195.0699999999997</v>
      </c>
      <c r="J16">
        <v>3195.0699999999997</v>
      </c>
      <c r="K16">
        <v>3195.0699999999997</v>
      </c>
      <c r="L16">
        <v>3195.0699999999997</v>
      </c>
      <c r="M16">
        <v>3195.0699999999997</v>
      </c>
      <c r="N16">
        <v>3195.0699999999997</v>
      </c>
      <c r="O16">
        <v>3195.0699999999997</v>
      </c>
      <c r="P16">
        <v>3132.0699999999997</v>
      </c>
      <c r="Q16">
        <v>2712.0699999999997</v>
      </c>
      <c r="R16">
        <v>2682.0699999999997</v>
      </c>
      <c r="S16">
        <v>2682.0699999999997</v>
      </c>
      <c r="T16">
        <v>2510.87</v>
      </c>
      <c r="U16">
        <v>2510.87</v>
      </c>
      <c r="V16">
        <v>2356.9899999999998</v>
      </c>
      <c r="W16">
        <v>2356.9899999999998</v>
      </c>
      <c r="X16">
        <v>1510</v>
      </c>
      <c r="Y16">
        <v>1510</v>
      </c>
      <c r="Z16">
        <v>1352.5</v>
      </c>
      <c r="AA16">
        <v>1352.5</v>
      </c>
      <c r="AB16">
        <v>1352.5</v>
      </c>
      <c r="AC16">
        <v>1071.4000000000001</v>
      </c>
      <c r="AD16">
        <v>1071.4000000000001</v>
      </c>
    </row>
    <row r="17" spans="2:31" x14ac:dyDescent="0.4">
      <c r="B17" s="4" t="s">
        <v>2</v>
      </c>
      <c r="C17">
        <v>2438.67</v>
      </c>
      <c r="D17">
        <v>3195.0699999999997</v>
      </c>
      <c r="E17">
        <v>3195.0699999999997</v>
      </c>
      <c r="F17">
        <v>3195.0699999999997</v>
      </c>
      <c r="G17">
        <v>3195.0699999999997</v>
      </c>
      <c r="H17">
        <v>3195.0699999999997</v>
      </c>
      <c r="I17">
        <v>3195.0699999999997</v>
      </c>
      <c r="J17">
        <v>3195.0699999999997</v>
      </c>
      <c r="K17">
        <v>3195.0699999999997</v>
      </c>
      <c r="L17">
        <v>3195.0699999999997</v>
      </c>
      <c r="M17">
        <v>3195.0699999999997</v>
      </c>
      <c r="N17">
        <v>3195.0699999999997</v>
      </c>
      <c r="O17">
        <v>3195.0699999999997</v>
      </c>
      <c r="P17">
        <v>3132.0699999999997</v>
      </c>
      <c r="Q17">
        <v>2712.0699999999997</v>
      </c>
      <c r="R17">
        <v>2682.0699999999997</v>
      </c>
      <c r="S17">
        <v>2682.0699999999997</v>
      </c>
      <c r="T17">
        <v>2510.87</v>
      </c>
      <c r="U17">
        <v>2510.87</v>
      </c>
      <c r="V17">
        <v>2356.9899999999998</v>
      </c>
      <c r="W17">
        <v>2356.9899999999998</v>
      </c>
      <c r="X17">
        <v>1510</v>
      </c>
      <c r="Y17">
        <v>1510</v>
      </c>
      <c r="Z17">
        <v>1352.5</v>
      </c>
      <c r="AA17">
        <v>1352.5</v>
      </c>
      <c r="AB17">
        <v>1352.5</v>
      </c>
      <c r="AC17">
        <v>1071.4000000000001</v>
      </c>
      <c r="AD17">
        <v>1071.4000000000001</v>
      </c>
    </row>
    <row r="18" spans="2:31" x14ac:dyDescent="0.4">
      <c r="B18" s="2" t="s">
        <v>152</v>
      </c>
      <c r="C18">
        <v>1934.5000000000002</v>
      </c>
      <c r="D18">
        <v>1934.5000000000002</v>
      </c>
      <c r="E18">
        <v>1934.5000000000002</v>
      </c>
      <c r="F18">
        <v>1934.5000000000002</v>
      </c>
      <c r="G18">
        <v>1934.5000000000002</v>
      </c>
      <c r="H18">
        <v>1934.5000000000002</v>
      </c>
      <c r="I18">
        <v>1882.0000000000002</v>
      </c>
      <c r="J18">
        <v>1882.0000000000002</v>
      </c>
      <c r="K18">
        <v>1882.0000000000002</v>
      </c>
      <c r="L18">
        <v>1882.0000000000002</v>
      </c>
      <c r="M18">
        <v>1882.0000000000002</v>
      </c>
      <c r="N18">
        <v>1882.0000000000002</v>
      </c>
      <c r="O18">
        <v>1882.0000000000002</v>
      </c>
      <c r="P18">
        <v>1882.0000000000002</v>
      </c>
      <c r="Q18">
        <v>1882.0000000000002</v>
      </c>
      <c r="R18">
        <v>1882.0000000000002</v>
      </c>
      <c r="S18">
        <v>1882.0000000000002</v>
      </c>
      <c r="T18">
        <v>1882.0000000000002</v>
      </c>
      <c r="U18">
        <v>1850.9500000000003</v>
      </c>
      <c r="V18">
        <v>1719.7500000000002</v>
      </c>
      <c r="W18">
        <v>1327.8000000000002</v>
      </c>
      <c r="X18">
        <v>1327.8000000000002</v>
      </c>
      <c r="Y18">
        <v>1327.8000000000002</v>
      </c>
      <c r="Z18">
        <v>895.80000000000007</v>
      </c>
      <c r="AA18">
        <v>895.80000000000007</v>
      </c>
      <c r="AB18">
        <v>237.7</v>
      </c>
      <c r="AC18">
        <v>237.7</v>
      </c>
      <c r="AD18">
        <v>237.7</v>
      </c>
    </row>
    <row r="19" spans="2:31" x14ac:dyDescent="0.4">
      <c r="B19" s="4" t="s">
        <v>2</v>
      </c>
      <c r="C19">
        <v>1934.5000000000002</v>
      </c>
      <c r="D19">
        <v>1934.5000000000002</v>
      </c>
      <c r="E19">
        <v>1934.5000000000002</v>
      </c>
      <c r="F19">
        <v>1934.5000000000002</v>
      </c>
      <c r="G19">
        <v>1934.5000000000002</v>
      </c>
      <c r="H19">
        <v>1934.5000000000002</v>
      </c>
      <c r="I19">
        <v>1882.0000000000002</v>
      </c>
      <c r="J19">
        <v>1882.0000000000002</v>
      </c>
      <c r="K19">
        <v>1882.0000000000002</v>
      </c>
      <c r="L19">
        <v>1882.0000000000002</v>
      </c>
      <c r="M19">
        <v>1882.0000000000002</v>
      </c>
      <c r="N19">
        <v>1882.0000000000002</v>
      </c>
      <c r="O19">
        <v>1882.0000000000002</v>
      </c>
      <c r="P19">
        <v>1882.0000000000002</v>
      </c>
      <c r="Q19">
        <v>1882.0000000000002</v>
      </c>
      <c r="R19">
        <v>1882.0000000000002</v>
      </c>
      <c r="S19">
        <v>1882.0000000000002</v>
      </c>
      <c r="T19">
        <v>1882.0000000000002</v>
      </c>
      <c r="U19">
        <v>1850.9500000000003</v>
      </c>
      <c r="V19">
        <v>1719.7500000000002</v>
      </c>
      <c r="W19">
        <v>1327.8000000000002</v>
      </c>
      <c r="X19">
        <v>1327.8000000000002</v>
      </c>
      <c r="Y19">
        <v>1327.8000000000002</v>
      </c>
      <c r="Z19">
        <v>895.80000000000007</v>
      </c>
      <c r="AA19">
        <v>895.80000000000007</v>
      </c>
      <c r="AB19">
        <v>237.7</v>
      </c>
      <c r="AC19">
        <v>237.7</v>
      </c>
      <c r="AD19">
        <v>237.7</v>
      </c>
    </row>
    <row r="20" spans="2:31" x14ac:dyDescent="0.4">
      <c r="B20" s="2" t="s">
        <v>44</v>
      </c>
      <c r="C20">
        <v>5709.2300000000005</v>
      </c>
      <c r="D20">
        <v>6542.63</v>
      </c>
      <c r="E20">
        <v>6542.63</v>
      </c>
      <c r="F20">
        <v>6542.63</v>
      </c>
      <c r="G20">
        <v>6542.63</v>
      </c>
      <c r="H20">
        <v>6542.63</v>
      </c>
      <c r="I20">
        <v>6490.13</v>
      </c>
      <c r="J20">
        <v>6490.13</v>
      </c>
      <c r="K20">
        <v>6490.13</v>
      </c>
      <c r="L20">
        <v>6490.13</v>
      </c>
      <c r="M20">
        <v>6490.13</v>
      </c>
      <c r="N20">
        <v>6490.13</v>
      </c>
      <c r="O20">
        <v>6490.13</v>
      </c>
      <c r="P20">
        <v>6427.13</v>
      </c>
      <c r="Q20">
        <v>6007.13</v>
      </c>
      <c r="R20">
        <v>5977.13</v>
      </c>
      <c r="S20">
        <v>5870.53</v>
      </c>
      <c r="T20">
        <v>5699.33</v>
      </c>
      <c r="U20">
        <v>5668.2800000000007</v>
      </c>
      <c r="V20">
        <v>5383.2</v>
      </c>
      <c r="W20">
        <v>4891.3</v>
      </c>
      <c r="X20">
        <v>4017.1400000000003</v>
      </c>
      <c r="Y20">
        <v>4017.1400000000003</v>
      </c>
      <c r="Z20">
        <v>3427.6400000000003</v>
      </c>
      <c r="AA20">
        <v>3287.62</v>
      </c>
      <c r="AB20">
        <v>2253.5899999999997</v>
      </c>
      <c r="AC20">
        <v>1833.89</v>
      </c>
      <c r="AD20">
        <v>1638.89</v>
      </c>
    </row>
    <row r="29" spans="2:31" x14ac:dyDescent="0.4">
      <c r="B29" t="s">
        <v>108</v>
      </c>
    </row>
    <row r="30" spans="2:31" ht="15" thickBot="1" x14ac:dyDescent="0.45">
      <c r="B30" s="5" t="s">
        <v>4</v>
      </c>
      <c r="C30" s="5" t="s">
        <v>0</v>
      </c>
      <c r="D30" s="5" t="s">
        <v>6</v>
      </c>
      <c r="E30" s="5" t="s">
        <v>7</v>
      </c>
      <c r="F30" s="5" t="s">
        <v>8</v>
      </c>
      <c r="G30" s="5" t="s">
        <v>9</v>
      </c>
      <c r="H30" s="5" t="s">
        <v>10</v>
      </c>
      <c r="I30" s="5" t="s">
        <v>11</v>
      </c>
      <c r="J30" s="5" t="s">
        <v>12</v>
      </c>
      <c r="K30" s="5" t="s">
        <v>13</v>
      </c>
      <c r="L30" s="5" t="s">
        <v>14</v>
      </c>
      <c r="M30" s="5" t="s">
        <v>15</v>
      </c>
      <c r="N30" s="5" t="s">
        <v>16</v>
      </c>
      <c r="O30" s="5" t="s">
        <v>17</v>
      </c>
      <c r="P30" s="5" t="s">
        <v>18</v>
      </c>
      <c r="Q30" s="5" t="s">
        <v>19</v>
      </c>
      <c r="R30" s="5" t="s">
        <v>20</v>
      </c>
      <c r="S30" s="5" t="s">
        <v>21</v>
      </c>
      <c r="T30" s="5" t="s">
        <v>22</v>
      </c>
      <c r="U30" s="5" t="s">
        <v>23</v>
      </c>
      <c r="V30" s="5" t="s">
        <v>24</v>
      </c>
      <c r="W30" s="5" t="s">
        <v>25</v>
      </c>
      <c r="X30" s="5" t="s">
        <v>26</v>
      </c>
      <c r="Y30" s="5" t="s">
        <v>27</v>
      </c>
      <c r="Z30" s="5" t="s">
        <v>28</v>
      </c>
      <c r="AA30" s="5" t="s">
        <v>29</v>
      </c>
      <c r="AB30" s="5" t="s">
        <v>30</v>
      </c>
      <c r="AC30" s="5" t="s">
        <v>31</v>
      </c>
      <c r="AD30" s="5" t="s">
        <v>32</v>
      </c>
      <c r="AE30" s="5" t="s">
        <v>33</v>
      </c>
    </row>
    <row r="31" spans="2:31" x14ac:dyDescent="0.4">
      <c r="B31" s="7" t="s">
        <v>162</v>
      </c>
      <c r="C31" s="7" t="s">
        <v>5</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row>
    <row r="32" spans="2:31" x14ac:dyDescent="0.4">
      <c r="B32" s="7" t="s">
        <v>164</v>
      </c>
      <c r="C32" s="7" t="s">
        <v>5</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row>
    <row r="33" spans="2:31" x14ac:dyDescent="0.4">
      <c r="B33" s="7" t="s">
        <v>125</v>
      </c>
      <c r="C33" s="7" t="s">
        <v>5</v>
      </c>
      <c r="D33">
        <v>624.12</v>
      </c>
      <c r="E33">
        <v>624.12</v>
      </c>
      <c r="F33">
        <v>624.12</v>
      </c>
      <c r="G33">
        <v>624.12</v>
      </c>
      <c r="H33">
        <v>624.12</v>
      </c>
      <c r="I33">
        <v>624.12</v>
      </c>
      <c r="J33">
        <v>624.12</v>
      </c>
      <c r="K33">
        <v>624.12</v>
      </c>
      <c r="L33">
        <v>624.12</v>
      </c>
      <c r="M33">
        <v>624.12</v>
      </c>
      <c r="N33">
        <v>624.12</v>
      </c>
      <c r="O33">
        <v>624.12</v>
      </c>
      <c r="P33">
        <v>624.12</v>
      </c>
      <c r="Q33">
        <v>624.12</v>
      </c>
      <c r="R33">
        <v>624.12</v>
      </c>
      <c r="S33">
        <v>624.12</v>
      </c>
      <c r="T33">
        <v>624.12</v>
      </c>
      <c r="U33">
        <v>624.12</v>
      </c>
      <c r="V33">
        <v>624.12</v>
      </c>
      <c r="W33">
        <v>624.12</v>
      </c>
      <c r="X33">
        <v>624.12</v>
      </c>
      <c r="Y33">
        <v>596.94999999999993</v>
      </c>
      <c r="Z33">
        <v>596.94999999999993</v>
      </c>
      <c r="AA33">
        <v>596.94999999999993</v>
      </c>
      <c r="AB33">
        <v>456.93</v>
      </c>
      <c r="AC33">
        <v>81</v>
      </c>
      <c r="AD33">
        <v>0</v>
      </c>
      <c r="AE33">
        <v>0</v>
      </c>
    </row>
    <row r="34" spans="2:31" x14ac:dyDescent="0.4">
      <c r="B34" s="7" t="s">
        <v>152</v>
      </c>
      <c r="C34" s="7" t="s">
        <v>5</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row>
    <row r="35" spans="2:31" x14ac:dyDescent="0.4">
      <c r="B35" s="7" t="s">
        <v>153</v>
      </c>
      <c r="C35" s="7" t="s">
        <v>5</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row>
    <row r="36" spans="2:31" x14ac:dyDescent="0.4">
      <c r="B36" s="7" t="s">
        <v>169</v>
      </c>
      <c r="C36" s="7" t="s">
        <v>5</v>
      </c>
      <c r="D36">
        <v>0</v>
      </c>
      <c r="E36">
        <v>77</v>
      </c>
      <c r="F36">
        <v>77</v>
      </c>
      <c r="G36">
        <v>77</v>
      </c>
      <c r="H36">
        <v>77</v>
      </c>
      <c r="I36">
        <v>77</v>
      </c>
      <c r="J36">
        <v>77</v>
      </c>
      <c r="K36">
        <v>77</v>
      </c>
      <c r="L36">
        <v>77</v>
      </c>
      <c r="M36">
        <v>77</v>
      </c>
      <c r="N36">
        <v>77</v>
      </c>
      <c r="O36">
        <v>77</v>
      </c>
      <c r="P36">
        <v>77</v>
      </c>
      <c r="Q36">
        <v>77</v>
      </c>
      <c r="R36">
        <v>77</v>
      </c>
      <c r="S36">
        <v>77</v>
      </c>
      <c r="T36">
        <v>77</v>
      </c>
      <c r="U36">
        <v>77</v>
      </c>
      <c r="V36">
        <v>77</v>
      </c>
      <c r="W36">
        <v>77</v>
      </c>
      <c r="X36">
        <v>77</v>
      </c>
      <c r="Y36">
        <v>77</v>
      </c>
      <c r="Z36">
        <v>77</v>
      </c>
      <c r="AA36">
        <v>77</v>
      </c>
      <c r="AB36">
        <v>77</v>
      </c>
      <c r="AC36">
        <v>77</v>
      </c>
      <c r="AD36">
        <v>77</v>
      </c>
      <c r="AE36">
        <v>77</v>
      </c>
    </row>
    <row r="37" spans="2:31" x14ac:dyDescent="0.4">
      <c r="B37" s="7" t="s">
        <v>171</v>
      </c>
      <c r="C37" s="7" t="s">
        <v>5</v>
      </c>
      <c r="D37">
        <v>472.74</v>
      </c>
      <c r="E37">
        <v>472.74</v>
      </c>
      <c r="F37">
        <v>472.74</v>
      </c>
      <c r="G37">
        <v>472.74</v>
      </c>
      <c r="H37">
        <v>472.74</v>
      </c>
      <c r="I37">
        <v>472.74</v>
      </c>
      <c r="J37">
        <v>472.74</v>
      </c>
      <c r="K37">
        <v>472.74</v>
      </c>
      <c r="L37">
        <v>472.74</v>
      </c>
      <c r="M37">
        <v>472.74</v>
      </c>
      <c r="N37">
        <v>472.74</v>
      </c>
      <c r="O37">
        <v>472.74</v>
      </c>
      <c r="P37">
        <v>472.74</v>
      </c>
      <c r="Q37">
        <v>472.74</v>
      </c>
      <c r="R37">
        <v>472.74</v>
      </c>
      <c r="S37">
        <v>472.74</v>
      </c>
      <c r="T37">
        <v>472.74</v>
      </c>
      <c r="U37">
        <v>472.74</v>
      </c>
      <c r="V37">
        <v>472.74</v>
      </c>
      <c r="W37">
        <v>472.74</v>
      </c>
      <c r="X37">
        <v>372.79</v>
      </c>
      <c r="Y37">
        <v>372.79</v>
      </c>
      <c r="Z37">
        <v>372.79</v>
      </c>
      <c r="AA37">
        <v>372.79</v>
      </c>
      <c r="AB37">
        <v>372.79</v>
      </c>
      <c r="AC37">
        <v>372.79</v>
      </c>
      <c r="AD37">
        <v>372.79</v>
      </c>
      <c r="AE37">
        <v>177.79000000000002</v>
      </c>
    </row>
    <row r="38" spans="2:31" x14ac:dyDescent="0.4">
      <c r="B38" s="7" t="s">
        <v>162</v>
      </c>
      <c r="C38" s="7" t="s">
        <v>2</v>
      </c>
      <c r="D38" s="7">
        <v>0</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row>
    <row r="39" spans="2:31" x14ac:dyDescent="0.4">
      <c r="B39" s="7" t="s">
        <v>164</v>
      </c>
      <c r="C39" s="7" t="s">
        <v>2</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row>
    <row r="40" spans="2:31" x14ac:dyDescent="0.4">
      <c r="B40" s="7" t="s">
        <v>125</v>
      </c>
      <c r="C40" s="7" t="s">
        <v>2</v>
      </c>
      <c r="D40" s="7">
        <v>0</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c r="W40" s="7">
        <v>0</v>
      </c>
      <c r="X40" s="7">
        <v>0</v>
      </c>
      <c r="Y40" s="7">
        <v>0</v>
      </c>
      <c r="Z40" s="7">
        <v>0</v>
      </c>
      <c r="AA40" s="7">
        <v>0</v>
      </c>
      <c r="AB40" s="7">
        <v>0</v>
      </c>
      <c r="AC40" s="7">
        <v>0</v>
      </c>
      <c r="AD40" s="7">
        <v>0</v>
      </c>
      <c r="AE40" s="7">
        <v>0</v>
      </c>
    </row>
    <row r="41" spans="2:31" x14ac:dyDescent="0.4">
      <c r="B41" s="7" t="s">
        <v>152</v>
      </c>
      <c r="C41" s="7" t="s">
        <v>2</v>
      </c>
      <c r="D41">
        <v>1934.5000000000002</v>
      </c>
      <c r="E41">
        <v>1934.5000000000002</v>
      </c>
      <c r="F41">
        <v>1934.5000000000002</v>
      </c>
      <c r="G41">
        <v>1934.5000000000002</v>
      </c>
      <c r="H41">
        <v>1934.5000000000002</v>
      </c>
      <c r="I41">
        <v>1934.5000000000002</v>
      </c>
      <c r="J41">
        <v>1882.0000000000002</v>
      </c>
      <c r="K41">
        <v>1882.0000000000002</v>
      </c>
      <c r="L41">
        <v>1882.0000000000002</v>
      </c>
      <c r="M41">
        <v>1882.0000000000002</v>
      </c>
      <c r="N41">
        <v>1882.0000000000002</v>
      </c>
      <c r="O41">
        <v>1882.0000000000002</v>
      </c>
      <c r="P41">
        <v>1882.0000000000002</v>
      </c>
      <c r="Q41">
        <v>1882.0000000000002</v>
      </c>
      <c r="R41">
        <v>1882.0000000000002</v>
      </c>
      <c r="S41">
        <v>1882.0000000000002</v>
      </c>
      <c r="T41">
        <v>1882.0000000000002</v>
      </c>
      <c r="U41">
        <v>1882.0000000000002</v>
      </c>
      <c r="V41">
        <v>1850.9500000000003</v>
      </c>
      <c r="W41">
        <v>1719.7500000000002</v>
      </c>
      <c r="X41">
        <v>1327.8000000000002</v>
      </c>
      <c r="Y41">
        <v>1327.8000000000002</v>
      </c>
      <c r="Z41">
        <v>1327.8000000000002</v>
      </c>
      <c r="AA41">
        <v>895.80000000000007</v>
      </c>
      <c r="AB41">
        <v>895.80000000000007</v>
      </c>
      <c r="AC41">
        <v>237.7</v>
      </c>
      <c r="AD41">
        <v>237.7</v>
      </c>
      <c r="AE41">
        <v>237.7</v>
      </c>
    </row>
    <row r="42" spans="2:31" x14ac:dyDescent="0.4">
      <c r="B42" s="7" t="s">
        <v>153</v>
      </c>
      <c r="C42" s="7" t="s">
        <v>2</v>
      </c>
      <c r="D42">
        <v>2438.67</v>
      </c>
      <c r="E42">
        <v>3195.0699999999997</v>
      </c>
      <c r="F42">
        <v>3195.0699999999997</v>
      </c>
      <c r="G42">
        <v>3195.0699999999997</v>
      </c>
      <c r="H42">
        <v>3195.0699999999997</v>
      </c>
      <c r="I42">
        <v>3195.0699999999997</v>
      </c>
      <c r="J42">
        <v>3195.0699999999997</v>
      </c>
      <c r="K42">
        <v>3195.0699999999997</v>
      </c>
      <c r="L42">
        <v>3195.0699999999997</v>
      </c>
      <c r="M42">
        <v>3195.0699999999997</v>
      </c>
      <c r="N42">
        <v>3195.0699999999997</v>
      </c>
      <c r="O42">
        <v>3195.0699999999997</v>
      </c>
      <c r="P42">
        <v>3195.0699999999997</v>
      </c>
      <c r="Q42">
        <v>3132.0699999999997</v>
      </c>
      <c r="R42">
        <v>2712.0699999999997</v>
      </c>
      <c r="S42">
        <v>2682.0699999999997</v>
      </c>
      <c r="T42">
        <v>2682.0699999999997</v>
      </c>
      <c r="U42">
        <v>2510.87</v>
      </c>
      <c r="V42">
        <v>2510.87</v>
      </c>
      <c r="W42">
        <v>2356.9899999999998</v>
      </c>
      <c r="X42">
        <v>2356.9899999999998</v>
      </c>
      <c r="Y42">
        <v>1510</v>
      </c>
      <c r="Z42">
        <v>1510</v>
      </c>
      <c r="AA42">
        <v>1352.5</v>
      </c>
      <c r="AB42">
        <v>1352.5</v>
      </c>
      <c r="AC42">
        <v>1352.5</v>
      </c>
      <c r="AD42">
        <v>1071.4000000000001</v>
      </c>
      <c r="AE42">
        <v>1071.4000000000001</v>
      </c>
    </row>
    <row r="43" spans="2:31" x14ac:dyDescent="0.4">
      <c r="B43" s="7" t="s">
        <v>169</v>
      </c>
      <c r="C43" s="7" t="s">
        <v>2</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c r="W43" s="7">
        <v>0</v>
      </c>
      <c r="X43" s="7">
        <v>0</v>
      </c>
      <c r="Y43" s="7">
        <v>0</v>
      </c>
      <c r="Z43" s="7">
        <v>0</v>
      </c>
      <c r="AA43" s="7">
        <v>0</v>
      </c>
      <c r="AB43" s="7">
        <v>0</v>
      </c>
      <c r="AC43" s="7">
        <v>0</v>
      </c>
      <c r="AD43" s="7">
        <v>0</v>
      </c>
      <c r="AE43" s="7">
        <v>0</v>
      </c>
    </row>
    <row r="44" spans="2:31" x14ac:dyDescent="0.4">
      <c r="B44" s="7" t="s">
        <v>171</v>
      </c>
      <c r="C44" s="7" t="s">
        <v>2</v>
      </c>
      <c r="D44" s="7">
        <v>0</v>
      </c>
      <c r="E44" s="7">
        <v>0</v>
      </c>
      <c r="F44" s="7">
        <v>0</v>
      </c>
      <c r="G44" s="7">
        <v>0</v>
      </c>
      <c r="H44" s="7">
        <v>0</v>
      </c>
      <c r="I44" s="7">
        <v>0</v>
      </c>
      <c r="J44" s="7">
        <v>0</v>
      </c>
      <c r="K44" s="7">
        <v>0</v>
      </c>
      <c r="L44" s="7">
        <v>0</v>
      </c>
      <c r="M44" s="7">
        <v>0</v>
      </c>
      <c r="N44" s="7">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row>
    <row r="45" spans="2:31" x14ac:dyDescent="0.4">
      <c r="B45" s="7" t="s">
        <v>173</v>
      </c>
      <c r="C45" s="7" t="s">
        <v>1</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row>
    <row r="46" spans="2:31" x14ac:dyDescent="0.4">
      <c r="B46" s="7" t="s">
        <v>175</v>
      </c>
      <c r="C46" s="7" t="s">
        <v>1</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REZ Forecasts Data</vt:lpstr>
      <vt:lpstr>Generation Capacity (Winter)</vt:lpstr>
      <vt:lpstr>Capacity by Year and REZ</vt:lpstr>
      <vt:lpstr>REZForecastISP</vt:lpstr>
      <vt:lpstr>TYest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Harrison</dc:creator>
  <cp:lastModifiedBy>Harrison Payne</cp:lastModifiedBy>
  <dcterms:created xsi:type="dcterms:W3CDTF">2024-04-10T09:32:13Z</dcterms:created>
  <dcterms:modified xsi:type="dcterms:W3CDTF">2025-08-27T23:38:55Z</dcterms:modified>
</cp:coreProperties>
</file>