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f0e1748dd8927555/Desktop/"/>
    </mc:Choice>
  </mc:AlternateContent>
  <xr:revisionPtr revIDLastSave="1" documentId="14_{1D9A13CD-6A58-437B-B913-6C4658F73EFF}" xr6:coauthVersionLast="47" xr6:coauthVersionMax="47" xr10:uidLastSave="{9B71107B-983F-42E1-AF3F-7F1EFA6A758D}"/>
  <bookViews>
    <workbookView xWindow="-120" yWindow="-120" windowWidth="20730" windowHeight="11160" firstSheet="5" activeTab="6"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Sheet1" sheetId="20" r:id="rId15"/>
    <sheet name="Waterfall" sheetId="19" r:id="rId16"/>
  </sheets>
  <definedNames>
    <definedName name="_xlchart.v1.0" hidden="1">Waterfall!$A$1:$E$1</definedName>
    <definedName name="_xlchart.v1.1" hidden="1">Waterfall!$A$2:$E$2</definedName>
    <definedName name="Slicer_Region">#N/A</definedName>
  </definedNames>
  <calcPr calcId="191029"/>
  <pivotCaches>
    <pivotCache cacheId="3" r:id="rId17"/>
    <pivotCache cacheId="4"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8" l="1"/>
  <c r="D2" i="19"/>
  <c r="C2" i="19"/>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2" i="15" l="1"/>
  <c r="J2" i="15" s="1"/>
  <c r="H4" i="15"/>
  <c r="J4" i="15" s="1"/>
  <c r="H3" i="15"/>
  <c r="J3" i="15" s="1"/>
  <c r="C3" i="11"/>
  <c r="C2" i="11"/>
  <c r="K12" i="12"/>
  <c r="L9" i="12"/>
  <c r="L12" i="12"/>
  <c r="K4" i="12"/>
  <c r="K6" i="12"/>
  <c r="K2" i="12"/>
  <c r="K10" i="12"/>
  <c r="K3" i="12"/>
  <c r="K11" i="12"/>
  <c r="K7" i="12"/>
  <c r="K11" i="8"/>
  <c r="L9" i="8"/>
  <c r="K8" i="8"/>
  <c r="K7" i="8"/>
  <c r="L6" i="8"/>
  <c r="K3" i="8"/>
  <c r="L5" i="8"/>
  <c r="L2" i="8"/>
  <c r="L10" i="8"/>
  <c r="K12" i="8"/>
  <c r="I12" i="8"/>
  <c r="M5" i="8" l="1"/>
  <c r="M9" i="8"/>
  <c r="M6" i="8"/>
  <c r="M10" i="8"/>
  <c r="M3" i="8"/>
  <c r="M7" i="8"/>
  <c r="M11" i="8"/>
  <c r="M4" i="8"/>
  <c r="M8" i="8"/>
  <c r="M2" i="8"/>
  <c r="F6" i="18"/>
  <c r="G6" i="18" s="1"/>
  <c r="L12" i="8"/>
  <c r="E2" i="11"/>
  <c r="H2" i="11"/>
  <c r="I2" i="11" s="1"/>
  <c r="E3" i="11"/>
  <c r="H3" i="11"/>
  <c r="F7" i="18" l="1"/>
  <c r="A2" i="19" s="1"/>
  <c r="F8" i="18"/>
  <c r="B2" i="19" s="1"/>
  <c r="I3" i="11"/>
  <c r="E2" i="19" l="1"/>
</calcChain>
</file>

<file path=xl/sharedStrings.xml><?xml version="1.0" encoding="utf-8"?>
<sst xmlns="http://schemas.openxmlformats.org/spreadsheetml/2006/main" count="22434" uniqueCount="127">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</sst>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71" fontId="0" fillId="0" borderId="0" xfId="3" applyNumberFormat="1" applyFont="1"/>
    <xf numFmtId="173" fontId="0" fillId="0" borderId="0" xfId="1" applyNumberFormat="1" applyFont="1"/>
    <xf numFmtId="172" fontId="0" fillId="0" borderId="0" xfId="0" applyNumberFormat="1"/>
  </cellXfs>
  <cellStyles count="4">
    <cellStyle name="Comma" xfId="2" builtinId="3"/>
    <cellStyle name="Currency" xfId="1" builtinId="4"/>
    <cellStyle name="Normal" xfId="0" builtinId="0"/>
    <cellStyle name="Percent" xfId="3" builtinId="5"/>
  </cellStyles>
  <dxfs count="71">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numFmt numFmtId="169" formatCode="_-[$$-409]* #,##0.00_ ;_-[$$-409]* \-#,##0.00\ ;_-[$$-409]* &quot;-&quot;??_ ;_-@_ "/>
    </dxf>
    <dxf>
      <numFmt numFmtId="166" formatCode="_-[$$-409]* #,##0_ ;_-[$$-409]* \-#,##0\ ;_-[$$-409]* &quot;-&quot;??_ ;_-@_ "/>
    </dxf>
    <dxf>
      <numFmt numFmtId="167" formatCode="_ * #,##0_ ;_ * \-#,##0_ ;_ * &quot;-&quot;??_ ;_ @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1" defaultTableStyle="TableStyleMedium2" defaultPivotStyle="PivotStyleLight16">
    <tableStyle name="Invisible" pivot="0" table="0" count="0" xr9:uid="{881C0B2E-9EDC-4B69-8494-C55D75DD62A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Solution project2.xlsx]Market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Solution project2.xlsx]Promotion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1</xdr:row>
      <xdr:rowOff>109537</xdr:rowOff>
    </xdr:from>
    <xdr:to>
      <xdr:col>14</xdr:col>
      <xdr:colOff>19050</xdr:colOff>
      <xdr:row>23</xdr:row>
      <xdr:rowOff>180975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904875</xdr:colOff>
      <xdr:row>11</xdr:row>
      <xdr:rowOff>166687</xdr:rowOff>
    </xdr:from>
    <xdr:to>
      <xdr:col>13</xdr:col>
      <xdr:colOff>466725</xdr:colOff>
      <xdr:row>27</xdr:row>
      <xdr:rowOff>52387</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600074</xdr:colOff>
      <xdr:row>4</xdr:row>
      <xdr:rowOff>14286</xdr:rowOff>
    </xdr:from>
    <xdr:to>
      <xdr:col>15</xdr:col>
      <xdr:colOff>66674</xdr:colOff>
      <xdr:row>30</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62174" y="776286"/>
              <a:ext cx="10372725" cy="50815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69">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7">
      <pivotArea outline="0" fieldPosition="0">
        <references count="1">
          <reference field="4294967294" count="1">
            <x v="0"/>
          </reference>
        </references>
      </pivotArea>
    </format>
    <format dxfId="46">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49">
      <pivotArea outline="0" collapsedLevelsAreSubtotals="1" fieldPosition="0">
        <references count="1">
          <reference field="5" count="1" selected="0">
            <x v="4"/>
          </reference>
        </references>
      </pivotArea>
    </format>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1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5">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68"/>
    <tableColumn id="2" xr3:uid="{E62B3F1F-9A15-44B4-B1DD-CAF27CF3C747}" name="Subcategory" dataDxfId="67"/>
    <tableColumn id="3" xr3:uid="{FA4BBA42-4CD5-4FEC-99C8-F3DEA363596F}" name="Supplier" dataDxfId="66"/>
    <tableColumn id="4" xr3:uid="{363950AD-92F1-4B62-BAD5-6C6ED9D314C8}" name="Brand" dataDxfId="65"/>
    <tableColumn id="5" xr3:uid="{278D3098-9E4F-422C-8E1A-9941BBC3EF43}" name="Region" dataDxfId="64"/>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3"/>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2"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1">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59"/>
    <tableColumn id="2" xr3:uid="{025C4312-31D3-409B-B984-DBF4AEFE2FA6}" name="Product" dataDxfId="58"/>
    <tableColumn id="3" xr3:uid="{D40B8F72-DA12-4584-B326-495AA00C251F}" name="Pack Size (ml)"/>
    <tableColumn id="4" xr3:uid="{E106DA15-1281-4518-AE4A-C358C1924FEA}" name="ProductID" dataDxfId="57"/>
    <tableColumn id="5" xr3:uid="{AE844CDE-AAF3-4312-96B5-E0534EF567F3}" name="Retail Price" dataDxfId="56" dataCellStyle="Currency"/>
    <tableColumn id="6" xr3:uid="{732BB0A7-0D20-404F-B2AF-EC6A28C2A71A}" name="Net Price" dataDxfId="55" dataCellStyle="Currency"/>
    <tableColumn id="7" xr3:uid="{BB7F7A5B-FAB9-4038-AD33-08EE0D4766AD}" name="COGS" dataDxfId="54" dataCellStyle="Currency"/>
    <tableColumn id="8" xr3:uid="{CCF364DE-01EF-4200-AB41-ED9058D076B5}" name="Volume 2022" totalsRowFunction="sum" dataDxfId="53" totalsRowDxfId="4" dataCellStyle="Comma"/>
    <tableColumn id="10" xr3:uid="{08E3A2F7-3C74-49D9-91B9-79AD4050A4A7}" name="Net Sales 2022" totalsRowFunction="sum" dataDxfId="52" totalsRowDxfId="3" dataCellStyle="Currency">
      <calculatedColumnFormula>internal_sales_data[[#This Row],[Volume 2022]]*internal_sales_data[[#This Row],[Net Price]]</calculatedColumnFormula>
    </tableColumn>
    <tableColumn id="9" xr3:uid="{3C283A83-C2B7-4006-B2BA-AFEDB11C31BE}" name="Gross Profit per unit" dataDxfId="51" totalsRowDxfId="2" dataCellStyle="Currency">
      <calculatedColumnFormula>internal_sales_data[[#This Row],[Net Price]]-internal_sales_data[[#This Row],[COGS]]</calculatedColumnFormula>
    </tableColumn>
    <tableColumn id="11" xr3:uid="{7C588C62-85DC-41E9-81C4-648DF71F5B17}" name="Gross Profit per product" totalsRowFunction="sum" dataDxfId="50" totalsRowDxfId="1" dataCellStyle="Currency">
      <calculatedColumnFormula>internal_sales_data[[#This Row],[Gross Profit per unit]]*internal_sales_data[[#This Row],[Volume 2022]]</calculatedColumnFormula>
    </tableColumn>
    <tableColumn id="12" xr3:uid="{2911D992-F8E1-40DE-AFC8-9AF339130FCA}" name="Gross Margin" totalsRowFunction="custom" totalsRowDxfId="0"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5"/>
    <tableColumn id="2" xr3:uid="{6AE352D5-6C16-4164-8AC0-45FA1FF286BF}" name="Estimated Unit Market Share" dataCellStyle="Percent"/>
    <tableColumn id="3" xr3:uid="{31AA58DE-DB16-4AD7-9EE2-3FBD593D8486}" name="Estimated units sold 2024" dataDxfId="44" dataCellStyle="Comma">
      <calculatedColumnFormula>new_product_launch[[#This Row],[Estimated Unit Market Share]]*'New Category Opportunity'!$B$18</calculatedColumnFormula>
    </tableColumn>
    <tableColumn id="4" xr3:uid="{983BA861-9FD5-40BD-BAD6-5572FA3B9563}" name="Net Price" dataDxfId="43"/>
    <tableColumn id="5" xr3:uid="{8197C623-3CF8-4E81-AD27-88ADB9A58EE4}" name="Net Sales" dataDxfId="42">
      <calculatedColumnFormula>new_product_launch[[#This Row],[Net Price]]*new_product_launch[[#This Row],[Estimated units sold 2024]]</calculatedColumnFormula>
    </tableColumn>
    <tableColumn id="6" xr3:uid="{0813BA88-04DC-44D1-BBDD-F8260333BD3F}" name="COGS" dataDxfId="41"/>
    <tableColumn id="7" xr3:uid="{0BDC181A-386D-45F3-8640-F0B86C17865D}" name="Gross Profit per unit" dataDxfId="40">
      <calculatedColumnFormula>new_product_launch[[#This Row],[Net Price]]-new_product_launch[[#This Row],[COGS]]</calculatedColumnFormula>
    </tableColumn>
    <tableColumn id="8" xr3:uid="{C9FE25C5-9CBC-4262-8F58-9FAD1AFE1F38}" name="Gross Profit per product" dataDxfId="39" dataCellStyle="Comma">
      <calculatedColumnFormula>new_product_launch[[#This Row],[Gross Profit per unit]]*new_product_launch[[#This Row],[Estimated units sold 2024]]</calculatedColumnFormula>
    </tableColumn>
    <tableColumn id="9" xr3:uid="{7B898487-076D-4DC9-AC86-FE42D0850365}" name="Gross Margin" dataDxfId="38">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7"/>
    <tableColumn id="2" xr3:uid="{FAE7BF1E-D3B2-4767-B266-2B8270F3696C}" name="Product" dataDxfId="36"/>
    <tableColumn id="3" xr3:uid="{5A2D09FD-4038-4B54-B533-EFDB32DD1546}" name="Pack Size (ml)"/>
    <tableColumn id="4" xr3:uid="{B6E0B462-3954-414F-96BC-4A9A1E45F237}" name="ProductID" dataDxfId="35"/>
    <tableColumn id="5" xr3:uid="{A6C19464-69C2-4CF6-86FD-2DFC3C8BE682}" name="Retail Price" dataDxfId="34" totalsRowDxfId="33" dataCellStyle="Currency"/>
    <tableColumn id="6" xr3:uid="{F8166C40-CCF9-4D5A-991F-14A3DDE3FC7F}" name="Net Price" dataDxfId="32" totalsRowDxfId="31" dataCellStyle="Currency"/>
    <tableColumn id="7" xr3:uid="{9860B665-293D-4A43-A98E-0AAA70D26C13}" name="COGS" dataDxfId="30" totalsRowDxfId="29" dataCellStyle="Currency"/>
    <tableColumn id="8" xr3:uid="{683E31B5-9570-4041-8F3B-F7C43CD93243}" name="Volume 2022" totalsRowFunction="sum" dataDxfId="28" totalsRowDxfId="27" dataCellStyle="Comma"/>
    <tableColumn id="10" xr3:uid="{17710796-45DE-498A-B84A-F197DA71F214}" name="Net Sales 2022" totalsRowFunction="sum" dataDxfId="26" totalsRowDxfId="25" dataCellStyle="Currency">
      <calculatedColumnFormula>internal_sales_data5[[#This Row],[Volume 2022]]*internal_sales_data5[[#This Row],[Net Price]]</calculatedColumnFormula>
    </tableColumn>
    <tableColumn id="9" xr3:uid="{5DE58021-15DC-4013-86B1-6FE9C31F7787}" name="Gross Profit per unit" dataDxfId="24" totalsRowDxfId="23" dataCellStyle="Currency">
      <calculatedColumnFormula>internal_sales_data5[[#This Row],[Net Price]]-internal_sales_data5[[#This Row],[COGS]]</calculatedColumnFormula>
    </tableColumn>
    <tableColumn id="11" xr3:uid="{6BF3B56E-CE08-4DFA-AE34-BC12278250B4}" name="Gross Profit per product" totalsRowFunction="sum" dataDxfId="22" totalsRowDxfId="21"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20"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19"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18"/>
    <tableColumn id="3" xr3:uid="{2A121CD1-C0E3-4918-8551-814ACE7E3314}" name="Brand" dataDxfId="17"/>
    <tableColumn id="4" xr3:uid="{7543C383-8A02-4E74-AF99-92F550588F68}" name="Year"/>
    <tableColumn id="5" xr3:uid="{9E3981BC-C16F-410F-81E4-31419BE928F1}" name="Month"/>
    <tableColumn id="6" xr3:uid="{C0D21506-6E1F-4EA8-BD50-1AFB904058ED}" name="Value sales" dataDxfId="16" dataCellStyle="Currency"/>
    <tableColumn id="7" xr3:uid="{2FEECA98-4730-450F-AF86-23140A025659}" name="Baseline sales " dataDxfId="15" dataCellStyle="Currency"/>
    <tableColumn id="8" xr3:uid="{9DF34B1D-A2FE-45E8-91E8-847DD06125C7}" name="Uplift" dataDxfId="14" dataCellStyle="Currency"/>
    <tableColumn id="11" xr3:uid="{A4B2B49D-215C-42E9-97A0-9B114D4F2383}" name="Cost" dataDxfId="13"/>
    <tableColumn id="12" xr3:uid="{B2A83D1D-83B3-4A1B-A801-1459D8F8AE06}" name="ROI"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11"/>
    <tableColumn id="3" xr3:uid="{A3753415-934C-4D1D-A65D-4F5A8F2AE664}" name="Forecast" dataDxfId="10"/>
    <tableColumn id="4" xr3:uid="{87AF29BB-3B9B-48E1-AF86-C6520DE1890C}" name="Lower Confidence Bound" dataDxfId="9"/>
    <tableColumn id="5" xr3:uid="{517108CD-F72A-4B89-A961-C1493DECB118}" name="Upper Confidence Bound" dataDxfId="8"/>
    <tableColumn id="6" xr3:uid="{56237CD3-AD63-4186-A266-A3B7AE3CF470}" name="Net Sales" dataDxfId="7"/>
    <tableColumn id="7" xr3:uid="{49BA4978-1D1E-40F2-BFD3-E9344BD49738}" name="Ratio" dataDxfId="6"/>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G7" sqref="G7"/>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tabSelected="1" workbookViewId="0">
      <selection activeCell="I2" sqref="I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8" t="s">
        <v>71</v>
      </c>
      <c r="F1" s="8" t="s">
        <v>72</v>
      </c>
      <c r="G1" s="8" t="s">
        <v>73</v>
      </c>
      <c r="H1" s="9" t="s">
        <v>74</v>
      </c>
      <c r="I1" t="s">
        <v>120</v>
      </c>
      <c r="J1" t="s">
        <v>94</v>
      </c>
      <c r="K1" t="s">
        <v>90</v>
      </c>
      <c r="L1" t="s">
        <v>91</v>
      </c>
      <c r="M1" t="s">
        <v>92</v>
      </c>
    </row>
    <row r="2" spans="1:13" x14ac:dyDescent="0.25">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25">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25">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25">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25">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25">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25">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25">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25">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25">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25">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25">
      <c r="I13" s="11"/>
    </row>
    <row r="23" spans="9:9" x14ac:dyDescent="0.25">
      <c r="I23"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13.140625" bestFit="1" customWidth="1"/>
    <col min="2" max="2" width="17"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10">
        <v>850749</v>
      </c>
    </row>
    <row r="18" spans="1:2" x14ac:dyDescent="0.25">
      <c r="A18" t="s">
        <v>96</v>
      </c>
      <c r="B18" s="9">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A2" sqref="A2:A3"/>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t="s">
        <v>124</v>
      </c>
      <c r="B2" s="14">
        <v>0.1</v>
      </c>
      <c r="C2" s="9">
        <f>new_product_launch[[#This Row],[Estimated Unit Market Share]]*'New Category Opportunity'!$B$18</f>
        <v>102089.88</v>
      </c>
      <c r="D2" s="13">
        <v>3.5</v>
      </c>
      <c r="E2" s="1">
        <f>new_product_launch[[#This Row],[Net Price]]*new_product_launch[[#This Row],[Estimated units sold 2024]]</f>
        <v>357314.58</v>
      </c>
      <c r="F2" s="13">
        <v>1.35</v>
      </c>
      <c r="G2" s="13">
        <f>new_product_launch[[#This Row],[Net Price]]-new_product_launch[[#This Row],[COGS]]</f>
        <v>2.15</v>
      </c>
      <c r="H2" s="9">
        <f>new_product_launch[[#This Row],[Gross Profit per unit]]*new_product_launch[[#This Row],[Estimated units sold 2024]]</f>
        <v>219493.242</v>
      </c>
      <c r="I2" s="14">
        <f>new_product_launch[[#This Row],[Gross Profit per product]]/new_product_launch[[#This Row],[Net Sales]]</f>
        <v>0.61428571428571421</v>
      </c>
    </row>
    <row r="3" spans="1:9" x14ac:dyDescent="0.25">
      <c r="A3" t="s">
        <v>125</v>
      </c>
      <c r="B3" s="14">
        <v>0.12</v>
      </c>
      <c r="C3" s="9">
        <f>new_product_launch[[#This Row],[Estimated Unit Market Share]]*'New Category Opportunity'!$B$18</f>
        <v>122507.85599999999</v>
      </c>
      <c r="D3" s="13">
        <v>2.75</v>
      </c>
      <c r="E3" s="1">
        <f>new_product_launch[[#This Row],[Net Price]]*new_product_launch[[#This Row],[Estimated units sold 2024]]</f>
        <v>336896.60399999993</v>
      </c>
      <c r="F3" s="13">
        <v>0.9</v>
      </c>
      <c r="G3" s="13">
        <f>new_product_launch[[#This Row],[Net Price]]-new_product_launch[[#This Row],[COGS]]</f>
        <v>1.85</v>
      </c>
      <c r="H3" s="9">
        <f>new_product_launch[[#This Row],[Gross Profit per unit]]*new_product_launch[[#This Row],[Estimated units sold 2024]]</f>
        <v>226639.5336</v>
      </c>
      <c r="I3" s="14">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workbookViewId="0">
      <selection activeCell="I1" sqref="I1"/>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8" t="s">
        <v>71</v>
      </c>
      <c r="F1" s="8" t="s">
        <v>72</v>
      </c>
      <c r="G1" s="8" t="s">
        <v>73</v>
      </c>
      <c r="H1" s="9" t="s">
        <v>74</v>
      </c>
      <c r="I1" t="s">
        <v>120</v>
      </c>
      <c r="J1" t="s">
        <v>94</v>
      </c>
      <c r="K1" t="s">
        <v>90</v>
      </c>
      <c r="L1" t="s">
        <v>91</v>
      </c>
      <c r="M1" t="s">
        <v>102</v>
      </c>
    </row>
    <row r="2" spans="1:13" x14ac:dyDescent="0.25">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18">
        <f>internal_sales_data5[[#This Row],[Retail Price]]/internal_sales_data5[[#This Row],[Pack Size (ml)]]</f>
        <v>0.05</v>
      </c>
    </row>
    <row r="3" spans="1:13" x14ac:dyDescent="0.25">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18">
        <f>internal_sales_data5[[#This Row],[Retail Price]]/internal_sales_data5[[#This Row],[Pack Size (ml)]]</f>
        <v>0.05</v>
      </c>
    </row>
    <row r="4" spans="1:13" x14ac:dyDescent="0.25">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18">
        <f>internal_sales_data5[[#This Row],[Retail Price]]/internal_sales_data5[[#This Row],[Pack Size (ml)]]</f>
        <v>0.05</v>
      </c>
    </row>
    <row r="5" spans="1:13" x14ac:dyDescent="0.25">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18">
        <f>internal_sales_data5[[#This Row],[Retail Price]]/internal_sales_data5[[#This Row],[Pack Size (ml)]]</f>
        <v>4.6666666666666669E-2</v>
      </c>
    </row>
    <row r="6" spans="1:13" x14ac:dyDescent="0.25">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18">
        <f>internal_sales_data5[[#This Row],[Retail Price]]/internal_sales_data5[[#This Row],[Pack Size (ml)]]</f>
        <v>4.8333333333333332E-2</v>
      </c>
    </row>
    <row r="7" spans="1:13" x14ac:dyDescent="0.25">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18">
        <f>internal_sales_data5[[#This Row],[Retail Price]]/internal_sales_data5[[#This Row],[Pack Size (ml)]]</f>
        <v>4.4999999999999998E-2</v>
      </c>
    </row>
    <row r="8" spans="1:13" x14ac:dyDescent="0.25">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18">
        <f>internal_sales_data5[[#This Row],[Retail Price]]/internal_sales_data5[[#This Row],[Pack Size (ml)]]</f>
        <v>0.06</v>
      </c>
    </row>
    <row r="9" spans="1:13" x14ac:dyDescent="0.25">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18">
        <f>internal_sales_data5[[#This Row],[Retail Price]]/internal_sales_data5[[#This Row],[Pack Size (ml)]]</f>
        <v>5.6000000000000001E-2</v>
      </c>
    </row>
    <row r="10" spans="1:13" x14ac:dyDescent="0.25">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18">
        <f>internal_sales_data5[[#This Row],[Retail Price]]/internal_sales_data5[[#This Row],[Pack Size (ml)]]</f>
        <v>5.3333333333333337E-2</v>
      </c>
    </row>
    <row r="11" spans="1:13" x14ac:dyDescent="0.25">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18">
        <f>internal_sales_data5[[#This Row],[Retail Price]]/internal_sales_data5[[#This Row],[Pack Size (ml)]]</f>
        <v>0.05</v>
      </c>
    </row>
    <row r="12" spans="1:13" x14ac:dyDescent="0.25">
      <c r="A12" t="s">
        <v>57</v>
      </c>
      <c r="B12" t="s">
        <v>75</v>
      </c>
      <c r="C12">
        <v>50</v>
      </c>
      <c r="D12" t="str">
        <f>internal_sales_data5[[#This Row],[Brand]]&amp;" "&amp;internal_sales_data5[[#This Row],[Product]]&amp;" "&amp;internal_sales_data5[[#This Row],[Pack Size (ml)]]&amp;"ml"</f>
        <v>Starbust Ultra Soft 50ml</v>
      </c>
      <c r="E12" s="12">
        <f>internal_sales_data5[[#This Row],[Pack Size (ml)]]*M2*(1+50%)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18">
        <f>internal_sales_data5[[#This Row],[Retail Price]]/internal_sales_data5[[#This Row],[Pack Size (ml)]]</f>
        <v>7.4999999999999997E-2</v>
      </c>
    </row>
    <row r="22" spans="9:9" x14ac:dyDescent="0.25">
      <c r="I22" s="1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F2" sqref="F2:H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4.28515625" bestFit="1" customWidth="1"/>
    <col min="7" max="7" width="16.42578125" bestFit="1" customWidth="1"/>
    <col min="8" max="8" width="12.42578125" bestFit="1" customWidth="1"/>
    <col min="9" max="9" width="12" bestFit="1" customWidth="1"/>
    <col min="10" max="10" width="6.42578125" bestFit="1" customWidth="1"/>
  </cols>
  <sheetData>
    <row r="1" spans="1:10" x14ac:dyDescent="0.25">
      <c r="A1" t="s">
        <v>103</v>
      </c>
      <c r="B1" t="s">
        <v>104</v>
      </c>
      <c r="C1" t="s">
        <v>2</v>
      </c>
      <c r="D1" t="s">
        <v>4</v>
      </c>
      <c r="E1" t="s">
        <v>5</v>
      </c>
      <c r="F1" t="s">
        <v>105</v>
      </c>
      <c r="G1" t="s">
        <v>106</v>
      </c>
      <c r="H1" t="s">
        <v>107</v>
      </c>
      <c r="I1" t="s">
        <v>123</v>
      </c>
      <c r="J1" t="s">
        <v>108</v>
      </c>
    </row>
    <row r="2" spans="1:10" x14ac:dyDescent="0.25">
      <c r="A2">
        <v>1</v>
      </c>
      <c r="B2" t="s">
        <v>109</v>
      </c>
      <c r="C2" t="s">
        <v>22</v>
      </c>
      <c r="D2">
        <v>2022</v>
      </c>
      <c r="E2">
        <v>4</v>
      </c>
      <c r="F2" s="19">
        <f>VLOOKUP(promotion_analysis[[#This Row],[Month]],'Promotion Graph'!$A$5:$B$16,2,FALSE)</f>
        <v>1445626</v>
      </c>
      <c r="G2" s="19">
        <f>AVERAGE('Promotion Graph'!$B$5:$B$7,'Promotion Graph'!$B$9:$B$11,'Promotion Graph'!$B$13:$B$14,'Promotion Graph'!$B$16)</f>
        <v>840835.5555555555</v>
      </c>
      <c r="H2" s="19">
        <f>promotion_analysis[[#This Row],[Value sales]]-promotion_analysis[[#This Row],[Baseline sales ]]</f>
        <v>604790.4444444445</v>
      </c>
      <c r="I2" s="1">
        <v>620000</v>
      </c>
      <c r="J2" s="14">
        <f>(promotion_analysis[[#This Row],[Uplift]]-promotion_analysis[[#This Row],[Cost]])/promotion_analysis[[#This Row],[Cost]]</f>
        <v>-2.453154121863791E-2</v>
      </c>
    </row>
    <row r="3" spans="1:10" x14ac:dyDescent="0.25">
      <c r="A3">
        <v>2</v>
      </c>
      <c r="B3" t="s">
        <v>110</v>
      </c>
      <c r="C3" t="s">
        <v>22</v>
      </c>
      <c r="D3">
        <v>2022</v>
      </c>
      <c r="E3">
        <v>8</v>
      </c>
      <c r="F3" s="19">
        <f>VLOOKUP(promotion_analysis[[#This Row],[Month]],'Promotion Graph'!$A$5:$B$16,2,FALSE)</f>
        <v>1198708</v>
      </c>
      <c r="G3" s="19">
        <f>AVERAGE('Promotion Graph'!$B$5:$B$7,'Promotion Graph'!$B$9:$B$11,'Promotion Graph'!$B$13:$B$14,'Promotion Graph'!$B$16)</f>
        <v>840835.5555555555</v>
      </c>
      <c r="H3" s="19">
        <f>promotion_analysis[[#This Row],[Value sales]]-promotion_analysis[[#This Row],[Baseline sales ]]</f>
        <v>357872.4444444445</v>
      </c>
      <c r="I3" s="1">
        <v>320000</v>
      </c>
      <c r="J3" s="14">
        <f>(promotion_analysis[[#This Row],[Uplift]]-promotion_analysis[[#This Row],[Cost]])/promotion_analysis[[#This Row],[Cost]]</f>
        <v>0.11835138888888905</v>
      </c>
    </row>
    <row r="4" spans="1:10" x14ac:dyDescent="0.25">
      <c r="A4">
        <v>3</v>
      </c>
      <c r="B4" t="s">
        <v>111</v>
      </c>
      <c r="C4" t="s">
        <v>22</v>
      </c>
      <c r="D4">
        <v>2022</v>
      </c>
      <c r="E4">
        <v>11</v>
      </c>
      <c r="F4" s="19">
        <f>VLOOKUP(promotion_analysis[[#This Row],[Month]],'Promotion Graph'!$A$5:$B$16,2,FALSE)</f>
        <v>1413646</v>
      </c>
      <c r="G4" s="19">
        <f>AVERAGE('Promotion Graph'!$B$5:$B$7,'Promotion Graph'!$B$9:$B$11,'Promotion Graph'!$B$13:$B$14,'Promotion Graph'!$B$16)</f>
        <v>840835.5555555555</v>
      </c>
      <c r="H4" s="19">
        <f>promotion_analysis[[#This Row],[Value sales]]-promotion_analysis[[#This Row],[Baseline sales ]]</f>
        <v>572810.4444444445</v>
      </c>
      <c r="I4" s="1">
        <v>540000</v>
      </c>
      <c r="J4" s="14">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B5" sqref="B5:B17"/>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20">
        <v>849590</v>
      </c>
    </row>
    <row r="6" spans="1:2" x14ac:dyDescent="0.25">
      <c r="A6" s="3">
        <v>2</v>
      </c>
      <c r="B6" s="20">
        <v>822290</v>
      </c>
    </row>
    <row r="7" spans="1:2" x14ac:dyDescent="0.25">
      <c r="A7" s="3">
        <v>3</v>
      </c>
      <c r="B7" s="20">
        <v>827649</v>
      </c>
    </row>
    <row r="8" spans="1:2" x14ac:dyDescent="0.25">
      <c r="A8" s="3">
        <v>4</v>
      </c>
      <c r="B8" s="20">
        <v>1445626</v>
      </c>
    </row>
    <row r="9" spans="1:2" x14ac:dyDescent="0.25">
      <c r="A9" s="3">
        <v>5</v>
      </c>
      <c r="B9" s="20">
        <v>874089</v>
      </c>
    </row>
    <row r="10" spans="1:2" x14ac:dyDescent="0.25">
      <c r="A10" s="3">
        <v>6</v>
      </c>
      <c r="B10" s="20">
        <v>876087</v>
      </c>
    </row>
    <row r="11" spans="1:2" x14ac:dyDescent="0.25">
      <c r="A11" s="3">
        <v>7</v>
      </c>
      <c r="B11" s="20">
        <v>842454</v>
      </c>
    </row>
    <row r="12" spans="1:2" x14ac:dyDescent="0.25">
      <c r="A12" s="3">
        <v>8</v>
      </c>
      <c r="B12" s="20">
        <v>1198708</v>
      </c>
    </row>
    <row r="13" spans="1:2" x14ac:dyDescent="0.25">
      <c r="A13" s="3">
        <v>9</v>
      </c>
      <c r="B13" s="20">
        <v>853650</v>
      </c>
    </row>
    <row r="14" spans="1:2" x14ac:dyDescent="0.25">
      <c r="A14" s="3">
        <v>10</v>
      </c>
      <c r="B14" s="20">
        <v>816480</v>
      </c>
    </row>
    <row r="15" spans="1:2" x14ac:dyDescent="0.25">
      <c r="A15" s="3">
        <v>11</v>
      </c>
      <c r="B15" s="20">
        <v>1413646</v>
      </c>
    </row>
    <row r="16" spans="1:2" x14ac:dyDescent="0.25">
      <c r="A16" s="3">
        <v>12</v>
      </c>
      <c r="B16" s="20">
        <v>805231</v>
      </c>
    </row>
    <row r="17" spans="1:2" x14ac:dyDescent="0.25">
      <c r="A17" s="3" t="s">
        <v>59</v>
      </c>
      <c r="B17" s="20">
        <v>11625500</v>
      </c>
    </row>
    <row r="20" spans="1:2" x14ac:dyDescent="0.25">
      <c r="B20" s="11"/>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workbookViewId="0">
      <selection activeCell="R5" sqref="R5:R6"/>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s>
  <sheetData>
    <row r="1" spans="1:7" x14ac:dyDescent="0.25">
      <c r="A1" t="s">
        <v>112</v>
      </c>
      <c r="B1" t="s">
        <v>113</v>
      </c>
      <c r="C1" t="s">
        <v>114</v>
      </c>
      <c r="D1" t="s">
        <v>115</v>
      </c>
      <c r="E1" t="s">
        <v>116</v>
      </c>
      <c r="F1" t="s">
        <v>101</v>
      </c>
      <c r="G1" t="s">
        <v>117</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14">
        <f>Table7[[#This Row],[Net Sales]]/Table7[[#This Row],[Values]]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R5" sqref="R5:R6"/>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7F34A-954C-4F9D-B5E4-0426089E1B43}">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workbookViewId="0">
      <selection activeCell="D3" sqref="D3"/>
    </sheetView>
  </sheetViews>
  <sheetFormatPr defaultRowHeight="15" x14ac:dyDescent="0.25"/>
  <cols>
    <col min="1" max="1" width="23.42578125" bestFit="1" customWidth="1"/>
    <col min="2" max="2" width="18" bestFit="1" customWidth="1"/>
    <col min="3" max="3" width="16.42578125" bestFit="1" customWidth="1"/>
    <col min="4" max="4" width="14.28515625" bestFit="1" customWidth="1"/>
    <col min="5" max="5" width="23.42578125" bestFit="1" customWidth="1"/>
  </cols>
  <sheetData>
    <row r="1" spans="1:5" x14ac:dyDescent="0.25">
      <c r="A1" t="s">
        <v>118</v>
      </c>
      <c r="B1" t="s">
        <v>122</v>
      </c>
      <c r="C1" t="s">
        <v>119</v>
      </c>
      <c r="D1" t="s">
        <v>126</v>
      </c>
      <c r="E1" t="s">
        <v>121</v>
      </c>
    </row>
    <row r="2" spans="1:5" x14ac:dyDescent="0.25">
      <c r="A2" s="13">
        <f>'Forecast 2024'!F7</f>
        <v>20606057.899500884</v>
      </c>
      <c r="B2" s="13">
        <f>'Forecast 2024'!F8-'Forecast 2024'!F7</f>
        <v>202654.24053605273</v>
      </c>
      <c r="C2" s="13">
        <f>'Organic Shampoo Launch'!E3</f>
        <v>336896.60399999993</v>
      </c>
      <c r="D2" s="13">
        <f>'50ml Shampoo 2024'!I12</f>
        <v>265960.03999999998</v>
      </c>
      <c r="E2" s="1">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5E50DA7425FE40ACD84704FD7B236D" ma:contentTypeVersion="11" ma:contentTypeDescription="Create a new document." ma:contentTypeScope="" ma:versionID="bf8b0a1cb0a2f84327f4c6d24a2ba7ac">
  <xsd:schema xmlns:xsd="http://www.w3.org/2001/XMLSchema" xmlns:xs="http://www.w3.org/2001/XMLSchema" xmlns:p="http://schemas.microsoft.com/office/2006/metadata/properties" xmlns:ns2="f3fdb05f-ec41-4bb4-861d-573173e7bf84" xmlns:ns3="dca0371a-fdd3-4cae-890d-dd2ca5a17d80" targetNamespace="http://schemas.microsoft.com/office/2006/metadata/properties" ma:root="true" ma:fieldsID="7e0610ecfb2ad9c2b132845c8c2c22fe" ns2:_="" ns3:_="">
    <xsd:import namespace="f3fdb05f-ec41-4bb4-861d-573173e7bf84"/>
    <xsd:import namespace="dca0371a-fdd3-4cae-890d-dd2ca5a17d80"/>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b05f-ec41-4bb4-861d-573173e7bf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6104bcc-5c37-49f8-9d42-150154dba52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0371a-fdd3-4cae-890d-dd2ca5a17d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98379e5-bc57-4da9-ae8b-bc208812e792}" ma:internalName="TaxCatchAll" ma:showField="CatchAllData" ma:web="dca0371a-fdd3-4cae-890d-dd2ca5a17d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dca0371a-fdd3-4cae-890d-dd2ca5a17d80" xsi:nil="true"/>
    <lcf76f155ced4ddcb4097134ff3c332f xmlns="f3fdb05f-ec41-4bb4-861d-573173e7bf84">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FD4523-67D8-4D99-9C3B-55FEFD1949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db05f-ec41-4bb4-861d-573173e7bf84"/>
    <ds:schemaRef ds:uri="dca0371a-fdd3-4cae-890d-dd2ca5a17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8D7BE8-6711-47A3-98D0-92DA01E67F15}">
  <ds:schemaRefs>
    <ds:schemaRef ds:uri="http://schemas.microsoft.com/DataMashup"/>
  </ds:schemaRefs>
</ds:datastoreItem>
</file>

<file path=customXml/itemProps3.xml><?xml version="1.0" encoding="utf-8"?>
<ds:datastoreItem xmlns:ds="http://schemas.openxmlformats.org/officeDocument/2006/customXml" ds:itemID="{6CCC06D9-D2B4-4936-8D88-171C846A3FA4}">
  <ds:schemaRefs>
    <ds:schemaRef ds:uri="http://schemas.microsoft.com/office/2006/metadata/properties"/>
    <ds:schemaRef ds:uri="http://schemas.microsoft.com/office/infopath/2007/PartnerControls"/>
    <ds:schemaRef ds:uri="dca0371a-fdd3-4cae-890d-dd2ca5a17d80"/>
    <ds:schemaRef ds:uri="f3fdb05f-ec41-4bb4-861d-573173e7bf84"/>
  </ds:schemaRefs>
</ds:datastoreItem>
</file>

<file path=customXml/itemProps4.xml><?xml version="1.0" encoding="utf-8"?>
<ds:datastoreItem xmlns:ds="http://schemas.openxmlformats.org/officeDocument/2006/customXml" ds:itemID="{FF394ACF-6130-4947-97FE-A560C7B6E737}">
  <ds:schemaRefs>
    <ds:schemaRef ds:uri="http://schemas.microsoft.com/sharepoint/v3/contenttype/forms"/>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Sheet1</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reham bderat</cp:lastModifiedBy>
  <dcterms:created xsi:type="dcterms:W3CDTF">2022-06-08T14:08:07Z</dcterms:created>
  <dcterms:modified xsi:type="dcterms:W3CDTF">2025-03-01T10:01:19Z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0x010100A85E50DA7425FE40ACD84704FD7B236D</vt:lpwstr>
  </property>
</Properties>
</file>