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58\Desktop\EOVS\Git\"/>
    </mc:Choice>
  </mc:AlternateContent>
  <xr:revisionPtr revIDLastSave="0" documentId="13_ncr:1_{FA0D86CE-ADFC-4D6A-ACD6-0FD5C8463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3" i="1" l="1"/>
  <c r="G216" i="1"/>
  <c r="G189" i="1"/>
  <c r="G162" i="1"/>
  <c r="G135" i="1"/>
  <c r="G108" i="1"/>
  <c r="G81" i="1"/>
  <c r="G54" i="1"/>
  <c r="D43" i="1"/>
  <c r="D41" i="1"/>
  <c r="L35" i="1"/>
  <c r="D47" i="1" l="1"/>
  <c r="G47" i="1"/>
  <c r="D48" i="1"/>
  <c r="G48" i="1"/>
  <c r="D49" i="1"/>
  <c r="G49" i="1"/>
  <c r="D50" i="1"/>
  <c r="G50" i="1"/>
  <c r="C52" i="1"/>
  <c r="D54" i="1"/>
  <c r="F54" i="1"/>
  <c r="L47" i="1"/>
  <c r="L74" i="1" s="1"/>
  <c r="L101" i="1" s="1"/>
  <c r="L128" i="1" s="1"/>
  <c r="L155" i="1" s="1"/>
  <c r="L182" i="1" s="1"/>
  <c r="L209" i="1" s="1"/>
  <c r="L236" i="1" s="1"/>
  <c r="D230" i="1"/>
  <c r="D232" i="1" s="1"/>
  <c r="D203" i="1"/>
  <c r="D205" i="1" s="1"/>
  <c r="D176" i="1"/>
  <c r="D178" i="1" s="1"/>
  <c r="D149" i="1"/>
  <c r="D151" i="1" s="1"/>
  <c r="D122" i="1"/>
  <c r="D124" i="1" s="1"/>
  <c r="D95" i="1"/>
  <c r="D97" i="1" s="1"/>
  <c r="D68" i="1"/>
  <c r="D70" i="1" s="1"/>
  <c r="D52" i="1" l="1"/>
  <c r="E54" i="1"/>
  <c r="G77" i="1" l="1"/>
  <c r="G76" i="1"/>
  <c r="F81" i="1"/>
  <c r="D81" i="1"/>
  <c r="C79" i="1"/>
  <c r="D77" i="1"/>
  <c r="D76" i="1"/>
  <c r="G75" i="1"/>
  <c r="D75" i="1"/>
  <c r="G74" i="1"/>
  <c r="D74" i="1"/>
  <c r="D79" i="1" l="1"/>
  <c r="E81" i="1"/>
  <c r="I237" i="1" l="1"/>
  <c r="I210" i="1"/>
  <c r="I183" i="1"/>
  <c r="I156" i="1"/>
  <c r="I129" i="1"/>
  <c r="I102" i="1"/>
  <c r="I75" i="1"/>
  <c r="I48" i="1"/>
  <c r="G61" i="1" l="1"/>
  <c r="G36" i="1"/>
  <c r="G38" i="1" s="1"/>
  <c r="B54" i="1" s="1"/>
  <c r="C54" i="1" s="1"/>
  <c r="G34" i="1"/>
  <c r="C241" i="1"/>
  <c r="D239" i="1"/>
  <c r="D238" i="1"/>
  <c r="D237" i="1"/>
  <c r="D241" i="1" s="1"/>
  <c r="D236" i="1"/>
  <c r="I234" i="1"/>
  <c r="L233" i="1"/>
  <c r="I233" i="1"/>
  <c r="I231" i="1"/>
  <c r="I230" i="1"/>
  <c r="I227" i="1"/>
  <c r="L226" i="1"/>
  <c r="L225" i="1"/>
  <c r="I225" i="1"/>
  <c r="L224" i="1"/>
  <c r="I224" i="1"/>
  <c r="L223" i="1"/>
  <c r="I222" i="1"/>
  <c r="I221" i="1"/>
  <c r="L220" i="1"/>
  <c r="I220" i="1"/>
  <c r="I219" i="1"/>
  <c r="G103" i="1"/>
  <c r="G130" i="1" s="1"/>
  <c r="G157" i="1" s="1"/>
  <c r="G184" i="1" s="1"/>
  <c r="G211" i="1" s="1"/>
  <c r="G238" i="1" s="1"/>
  <c r="I64" i="1"/>
  <c r="C214" i="1"/>
  <c r="D212" i="1"/>
  <c r="D211" i="1"/>
  <c r="D210" i="1"/>
  <c r="D209" i="1"/>
  <c r="D214" i="1" s="1"/>
  <c r="I207" i="1"/>
  <c r="L206" i="1"/>
  <c r="I206" i="1"/>
  <c r="I204" i="1"/>
  <c r="I203" i="1"/>
  <c r="I200" i="1"/>
  <c r="L199" i="1"/>
  <c r="L198" i="1"/>
  <c r="I198" i="1"/>
  <c r="L197" i="1"/>
  <c r="I197" i="1"/>
  <c r="L196" i="1"/>
  <c r="I195" i="1"/>
  <c r="I194" i="1"/>
  <c r="L193" i="1"/>
  <c r="I193" i="1"/>
  <c r="C187" i="1"/>
  <c r="D185" i="1"/>
  <c r="D184" i="1"/>
  <c r="D183" i="1"/>
  <c r="D182" i="1"/>
  <c r="I180" i="1"/>
  <c r="L179" i="1"/>
  <c r="I179" i="1"/>
  <c r="I177" i="1"/>
  <c r="I176" i="1"/>
  <c r="I173" i="1"/>
  <c r="L172" i="1"/>
  <c r="L171" i="1"/>
  <c r="I171" i="1"/>
  <c r="L170" i="1"/>
  <c r="I170" i="1"/>
  <c r="L169" i="1"/>
  <c r="I168" i="1"/>
  <c r="I167" i="1"/>
  <c r="L166" i="1"/>
  <c r="I166" i="1"/>
  <c r="C160" i="1"/>
  <c r="D158" i="1"/>
  <c r="D157" i="1"/>
  <c r="D156" i="1"/>
  <c r="D155" i="1"/>
  <c r="I153" i="1"/>
  <c r="L152" i="1"/>
  <c r="I152" i="1"/>
  <c r="I150" i="1"/>
  <c r="I149" i="1"/>
  <c r="I146" i="1"/>
  <c r="L145" i="1"/>
  <c r="L144" i="1"/>
  <c r="I144" i="1"/>
  <c r="L143" i="1"/>
  <c r="I143" i="1"/>
  <c r="L142" i="1"/>
  <c r="I141" i="1"/>
  <c r="I140" i="1"/>
  <c r="L139" i="1"/>
  <c r="I139" i="1"/>
  <c r="C133" i="1"/>
  <c r="D131" i="1"/>
  <c r="D130" i="1"/>
  <c r="D129" i="1"/>
  <c r="D128" i="1"/>
  <c r="I126" i="1"/>
  <c r="L125" i="1"/>
  <c r="I125" i="1"/>
  <c r="I123" i="1"/>
  <c r="I122" i="1"/>
  <c r="I119" i="1"/>
  <c r="L118" i="1"/>
  <c r="L117" i="1"/>
  <c r="I117" i="1"/>
  <c r="L116" i="1"/>
  <c r="I116" i="1"/>
  <c r="L115" i="1"/>
  <c r="I114" i="1"/>
  <c r="I113" i="1"/>
  <c r="L112" i="1"/>
  <c r="I112" i="1"/>
  <c r="C106" i="1"/>
  <c r="D104" i="1"/>
  <c r="D103" i="1"/>
  <c r="D102" i="1"/>
  <c r="D101" i="1"/>
  <c r="I99" i="1"/>
  <c r="L98" i="1"/>
  <c r="I98" i="1"/>
  <c r="I96" i="1"/>
  <c r="I95" i="1"/>
  <c r="I92" i="1"/>
  <c r="L91" i="1"/>
  <c r="L90" i="1"/>
  <c r="I90" i="1"/>
  <c r="L89" i="1"/>
  <c r="I89" i="1"/>
  <c r="L88" i="1"/>
  <c r="I87" i="1"/>
  <c r="I86" i="1"/>
  <c r="L85" i="1"/>
  <c r="I85" i="1"/>
  <c r="F108" i="1"/>
  <c r="F135" i="1" s="1"/>
  <c r="F162" i="1" s="1"/>
  <c r="F189" i="1" s="1"/>
  <c r="F216" i="1" s="1"/>
  <c r="F243" i="1" s="1"/>
  <c r="G104" i="1"/>
  <c r="G131" i="1" s="1"/>
  <c r="G158" i="1" s="1"/>
  <c r="G185" i="1" s="1"/>
  <c r="G212" i="1" s="1"/>
  <c r="G239" i="1" s="1"/>
  <c r="G102" i="1"/>
  <c r="G129" i="1" s="1"/>
  <c r="G156" i="1" s="1"/>
  <c r="G183" i="1" s="1"/>
  <c r="I57" i="1"/>
  <c r="I72" i="1"/>
  <c r="L71" i="1"/>
  <c r="I71" i="1"/>
  <c r="I69" i="1"/>
  <c r="I68" i="1"/>
  <c r="I65" i="1"/>
  <c r="L64" i="1"/>
  <c r="L63" i="1"/>
  <c r="I63" i="1"/>
  <c r="L62" i="1"/>
  <c r="I62" i="1"/>
  <c r="L61" i="1"/>
  <c r="I60" i="1"/>
  <c r="I59" i="1"/>
  <c r="L58" i="1"/>
  <c r="I58" i="1"/>
  <c r="I49" i="1"/>
  <c r="L20" i="1"/>
  <c r="L16" i="1"/>
  <c r="L22" i="1"/>
  <c r="L18" i="1"/>
  <c r="I39" i="1" s="1"/>
  <c r="L17" i="1"/>
  <c r="L10" i="1"/>
  <c r="L9" i="1"/>
  <c r="L8" i="1"/>
  <c r="L7" i="1"/>
  <c r="L4" i="1"/>
  <c r="L3" i="1"/>
  <c r="L5" i="1" s="1"/>
  <c r="I19" i="1"/>
  <c r="I8" i="1"/>
  <c r="I4" i="1"/>
  <c r="I31" i="1"/>
  <c r="I18" i="1"/>
  <c r="I17" i="1"/>
  <c r="I11" i="1"/>
  <c r="I9" i="1"/>
  <c r="I3" i="1"/>
  <c r="L44" i="1"/>
  <c r="L37" i="1"/>
  <c r="L36" i="1"/>
  <c r="L34" i="1"/>
  <c r="L31" i="1"/>
  <c r="I46" i="1"/>
  <c r="I45" i="1"/>
  <c r="I44" i="1"/>
  <c r="I42" i="1"/>
  <c r="I41" i="1"/>
  <c r="I38" i="1"/>
  <c r="I37" i="1"/>
  <c r="I36" i="1"/>
  <c r="I192" i="1" l="1"/>
  <c r="I212" i="1" s="1"/>
  <c r="D187" i="1"/>
  <c r="D160" i="1"/>
  <c r="D133" i="1"/>
  <c r="D106" i="1"/>
  <c r="L45" i="1"/>
  <c r="I66" i="1" s="1"/>
  <c r="G63" i="1"/>
  <c r="I239" i="1"/>
  <c r="L219" i="1"/>
  <c r="L221" i="1" s="1"/>
  <c r="I73" i="1"/>
  <c r="G210" i="1"/>
  <c r="G237" i="1" s="1"/>
  <c r="D108" i="1"/>
  <c r="G115" i="1" s="1"/>
  <c r="I100" i="1"/>
  <c r="G101" i="1"/>
  <c r="I165" i="1"/>
  <c r="I138" i="1"/>
  <c r="I111" i="1"/>
  <c r="I84" i="1"/>
  <c r="I77" i="1"/>
  <c r="L57" i="1"/>
  <c r="L59" i="1" s="1"/>
  <c r="I34" i="1"/>
  <c r="L43" i="1"/>
  <c r="I74" i="1" s="1"/>
  <c r="I47" i="1"/>
  <c r="I23" i="1"/>
  <c r="L192" i="1" l="1"/>
  <c r="L194" i="1" s="1"/>
  <c r="G65" i="1"/>
  <c r="B81" i="1" s="1"/>
  <c r="C81" i="1" s="1"/>
  <c r="G90" i="1" s="1"/>
  <c r="G92" i="1" s="1"/>
  <c r="I91" i="1"/>
  <c r="G88" i="1"/>
  <c r="I240" i="1"/>
  <c r="L70" i="1"/>
  <c r="L97" i="1" s="1"/>
  <c r="I128" i="1" s="1"/>
  <c r="G128" i="1"/>
  <c r="I61" i="1"/>
  <c r="D135" i="1"/>
  <c r="G142" i="1" s="1"/>
  <c r="I118" i="1"/>
  <c r="I213" i="1"/>
  <c r="L165" i="1"/>
  <c r="L167" i="1" s="1"/>
  <c r="I185" i="1"/>
  <c r="L138" i="1"/>
  <c r="L140" i="1" s="1"/>
  <c r="I158" i="1"/>
  <c r="L111" i="1"/>
  <c r="L113" i="1" s="1"/>
  <c r="I131" i="1"/>
  <c r="L84" i="1"/>
  <c r="L86" i="1" s="1"/>
  <c r="I104" i="1"/>
  <c r="I78" i="1"/>
  <c r="I24" i="1"/>
  <c r="I26" i="1" s="1"/>
  <c r="L72" i="1" l="1"/>
  <c r="I93" i="1" s="1"/>
  <c r="G40" i="1"/>
  <c r="I27" i="1"/>
  <c r="L6" i="1"/>
  <c r="L11" i="1" s="1"/>
  <c r="L12" i="1" s="1"/>
  <c r="B108" i="1"/>
  <c r="C108" i="1" s="1"/>
  <c r="L99" i="1" s="1"/>
  <c r="I120" i="1" s="1"/>
  <c r="I88" i="1"/>
  <c r="L124" i="1"/>
  <c r="I155" i="1" s="1"/>
  <c r="I115" i="1"/>
  <c r="I101" i="1"/>
  <c r="I127" i="1"/>
  <c r="E108" i="1"/>
  <c r="D162" i="1"/>
  <c r="G169" i="1" s="1"/>
  <c r="I145" i="1"/>
  <c r="G155" i="1"/>
  <c r="I186" i="1"/>
  <c r="I159" i="1"/>
  <c r="I132" i="1"/>
  <c r="I105" i="1"/>
  <c r="L13" i="1" l="1"/>
  <c r="L15" i="1" s="1"/>
  <c r="L19" i="1" s="1"/>
  <c r="L23" i="1" s="1"/>
  <c r="G117" i="1"/>
  <c r="G119" i="1" s="1"/>
  <c r="L151" i="1"/>
  <c r="I182" i="1" s="1"/>
  <c r="I142" i="1"/>
  <c r="I172" i="1"/>
  <c r="D189" i="1"/>
  <c r="G196" i="1" s="1"/>
  <c r="G182" i="1"/>
  <c r="I154" i="1"/>
  <c r="E135" i="1"/>
  <c r="B135" i="1" l="1"/>
  <c r="C135" i="1" s="1"/>
  <c r="L126" i="1" s="1"/>
  <c r="I147" i="1" s="1"/>
  <c r="I169" i="1"/>
  <c r="L178" i="1"/>
  <c r="I209" i="1" s="1"/>
  <c r="I199" i="1"/>
  <c r="D216" i="1"/>
  <c r="G209" i="1"/>
  <c r="G236" i="1" s="1"/>
  <c r="E162" i="1"/>
  <c r="I181" i="1"/>
  <c r="G144" i="1" l="1"/>
  <c r="G146" i="1" s="1"/>
  <c r="D243" i="1"/>
  <c r="G223" i="1"/>
  <c r="I226" i="1"/>
  <c r="I196" i="1"/>
  <c r="L205" i="1"/>
  <c r="E189" i="1"/>
  <c r="I208" i="1"/>
  <c r="I235" i="1"/>
  <c r="I35" i="1"/>
  <c r="I33" i="1"/>
  <c r="I32" i="1"/>
  <c r="I30" i="1"/>
  <c r="G94" i="1" l="1"/>
  <c r="B162" i="1"/>
  <c r="C162" i="1" s="1"/>
  <c r="L153" i="1" s="1"/>
  <c r="I174" i="1" s="1"/>
  <c r="E243" i="1"/>
  <c r="I236" i="1"/>
  <c r="L232" i="1"/>
  <c r="I223" i="1"/>
  <c r="E216" i="1"/>
  <c r="L30" i="1"/>
  <c r="L32" i="1" s="1"/>
  <c r="I50" i="1"/>
  <c r="G171" i="1" l="1"/>
  <c r="G173" i="1" s="1"/>
  <c r="I51" i="1"/>
  <c r="I52" i="1" s="1"/>
  <c r="B189" i="1" l="1"/>
  <c r="C189" i="1" s="1"/>
  <c r="L180" i="1" s="1"/>
  <c r="I201" i="1" s="1"/>
  <c r="G198" i="1" l="1"/>
  <c r="G200" i="1" s="1"/>
  <c r="B216" i="1" s="1"/>
  <c r="C216" i="1" s="1"/>
  <c r="G148" i="1" l="1"/>
  <c r="L207" i="1"/>
  <c r="I228" i="1" s="1"/>
  <c r="G225" i="1"/>
  <c r="G202" i="1" s="1"/>
  <c r="I53" i="1"/>
  <c r="I54" i="1" s="1"/>
  <c r="L50" i="1" s="1"/>
  <c r="G227" i="1" l="1"/>
  <c r="B243" i="1" s="1"/>
  <c r="C243" i="1" s="1"/>
  <c r="L234" i="1" s="1"/>
  <c r="L33" i="1"/>
  <c r="L38" i="1" s="1"/>
  <c r="L39" i="1" s="1"/>
  <c r="L48" i="1" s="1"/>
  <c r="L40" i="1" s="1"/>
  <c r="L42" i="1" l="1"/>
  <c r="L46" i="1" s="1"/>
  <c r="L49" i="1"/>
  <c r="I76" i="1"/>
  <c r="I79" i="1" s="1"/>
  <c r="I80" i="1" l="1"/>
  <c r="L60" i="1" l="1"/>
  <c r="L65" i="1" s="1"/>
  <c r="L66" i="1" s="1"/>
  <c r="I81" i="1"/>
  <c r="L77" i="1" s="1"/>
  <c r="L75" i="1" l="1"/>
  <c r="L67" i="1" s="1"/>
  <c r="L69" i="1" s="1"/>
  <c r="L73" i="1" s="1"/>
  <c r="I103" i="1" l="1"/>
  <c r="I106" i="1" s="1"/>
  <c r="L76" i="1"/>
  <c r="I107" i="1" l="1"/>
  <c r="L87" i="1" s="1"/>
  <c r="L92" i="1" s="1"/>
  <c r="L93" i="1" s="1"/>
  <c r="I108" i="1" l="1"/>
  <c r="L104" i="1" s="1"/>
  <c r="L102" i="1"/>
  <c r="L94" i="1" s="1"/>
  <c r="L96" i="1" s="1"/>
  <c r="L100" i="1" s="1"/>
  <c r="L103" i="1" l="1"/>
  <c r="I130" i="1"/>
  <c r="I133" i="1" s="1"/>
  <c r="I134" i="1" l="1"/>
  <c r="L114" i="1" l="1"/>
  <c r="L119" i="1" s="1"/>
  <c r="L120" i="1" s="1"/>
  <c r="I135" i="1"/>
  <c r="L131" i="1" s="1"/>
  <c r="L129" i="1" l="1"/>
  <c r="L121" i="1" s="1"/>
  <c r="L123" i="1" s="1"/>
  <c r="L127" i="1" s="1"/>
  <c r="I157" i="1" l="1"/>
  <c r="L130" i="1"/>
  <c r="I160" i="1" l="1"/>
  <c r="I161" i="1" s="1"/>
  <c r="I162" i="1" l="1"/>
  <c r="L158" i="1" s="1"/>
  <c r="L141" i="1"/>
  <c r="L146" i="1" s="1"/>
  <c r="L147" i="1" s="1"/>
  <c r="L156" i="1" s="1"/>
  <c r="L148" i="1" s="1"/>
  <c r="L150" i="1" l="1"/>
  <c r="L154" i="1" s="1"/>
  <c r="L157" i="1"/>
  <c r="I184" i="1"/>
  <c r="I187" i="1" s="1"/>
  <c r="I188" i="1" l="1"/>
  <c r="I189" i="1" l="1"/>
  <c r="L185" i="1" s="1"/>
  <c r="L168" i="1"/>
  <c r="L173" i="1" s="1"/>
  <c r="L174" i="1" s="1"/>
  <c r="L183" i="1" l="1"/>
  <c r="L175" i="1" s="1"/>
  <c r="L177" i="1" s="1"/>
  <c r="L181" i="1" s="1"/>
  <c r="L184" i="1" l="1"/>
  <c r="I211" i="1"/>
  <c r="I214" i="1" l="1"/>
  <c r="I215" i="1" s="1"/>
  <c r="L195" i="1" l="1"/>
  <c r="L200" i="1" s="1"/>
  <c r="L201" i="1" s="1"/>
  <c r="I216" i="1"/>
  <c r="L212" i="1" s="1"/>
  <c r="L210" i="1" l="1"/>
  <c r="L202" i="1" s="1"/>
  <c r="L204" i="1" s="1"/>
  <c r="L208" i="1" s="1"/>
  <c r="L211" i="1" l="1"/>
  <c r="I238" i="1"/>
  <c r="I241" i="1" l="1"/>
  <c r="I242" i="1" s="1"/>
  <c r="L222" i="1" l="1"/>
  <c r="L227" i="1" s="1"/>
  <c r="L228" i="1" s="1"/>
  <c r="I243" i="1"/>
  <c r="L239" i="1" s="1"/>
  <c r="L237" i="1" l="1"/>
  <c r="L238" i="1" l="1"/>
  <c r="L229" i="1"/>
  <c r="L231" i="1" s="1"/>
  <c r="L235" i="1" s="1"/>
</calcChain>
</file>

<file path=xl/sharedStrings.xml><?xml version="1.0" encoding="utf-8"?>
<sst xmlns="http://schemas.openxmlformats.org/spreadsheetml/2006/main" count="1058" uniqueCount="114">
  <si>
    <t>市场部</t>
    <phoneticPr fontId="1" type="noConversion"/>
  </si>
  <si>
    <t>价格</t>
    <phoneticPr fontId="1" type="noConversion"/>
  </si>
  <si>
    <t>营销</t>
    <phoneticPr fontId="1" type="noConversion"/>
  </si>
  <si>
    <t>市场</t>
    <phoneticPr fontId="1" type="noConversion"/>
  </si>
  <si>
    <t>华北</t>
    <phoneticPr fontId="1" type="noConversion"/>
  </si>
  <si>
    <t>华中</t>
    <phoneticPr fontId="1" type="noConversion"/>
  </si>
  <si>
    <t>华南</t>
    <phoneticPr fontId="1" type="noConversion"/>
  </si>
  <si>
    <t>华东</t>
    <phoneticPr fontId="1" type="noConversion"/>
  </si>
  <si>
    <t>生产部</t>
    <phoneticPr fontId="1" type="noConversion"/>
  </si>
  <si>
    <t>计划生产量</t>
    <phoneticPr fontId="1" type="noConversion"/>
  </si>
  <si>
    <t>研发投入</t>
    <phoneticPr fontId="1" type="noConversion"/>
  </si>
  <si>
    <t>物流部</t>
    <phoneticPr fontId="1" type="noConversion"/>
  </si>
  <si>
    <t>投放量</t>
    <phoneticPr fontId="1" type="noConversion"/>
  </si>
  <si>
    <t>人力部</t>
    <phoneticPr fontId="1" type="noConversion"/>
  </si>
  <si>
    <t>客服工人</t>
    <phoneticPr fontId="1" type="noConversion"/>
  </si>
  <si>
    <t>技术工人总数</t>
    <phoneticPr fontId="1" type="noConversion"/>
  </si>
  <si>
    <t>采购部</t>
    <phoneticPr fontId="1" type="noConversion"/>
  </si>
  <si>
    <t>原材料正常采购</t>
    <phoneticPr fontId="1" type="noConversion"/>
  </si>
  <si>
    <t>原材料非正常采购</t>
    <phoneticPr fontId="1" type="noConversion"/>
  </si>
  <si>
    <t>生产线</t>
    <phoneticPr fontId="1" type="noConversion"/>
  </si>
  <si>
    <t>财务部</t>
    <phoneticPr fontId="1" type="noConversion"/>
  </si>
  <si>
    <t>借款</t>
    <phoneticPr fontId="1" type="noConversion"/>
  </si>
  <si>
    <t>还款</t>
    <phoneticPr fontId="1" type="noConversion"/>
  </si>
  <si>
    <t>发放红利</t>
    <phoneticPr fontId="1" type="noConversion"/>
  </si>
  <si>
    <t>决策部门</t>
    <phoneticPr fontId="1" type="noConversion"/>
  </si>
  <si>
    <t>运营状况表</t>
    <phoneticPr fontId="1" type="noConversion"/>
  </si>
  <si>
    <t>市场需求量</t>
  </si>
  <si>
    <t>市场占有率（%）</t>
  </si>
  <si>
    <t>产成品库存</t>
  </si>
  <si>
    <t>客服人员</t>
  </si>
  <si>
    <t>华北市场</t>
  </si>
  <si>
    <t>华中市场</t>
  </si>
  <si>
    <t>华南市场</t>
  </si>
  <si>
    <t>华东市场</t>
  </si>
  <si>
    <t>本季市场需求量</t>
  </si>
  <si>
    <t>本季生产量</t>
  </si>
  <si>
    <t>本季销售量</t>
  </si>
  <si>
    <t>原材料库存</t>
  </si>
  <si>
    <t>总市场占有率（%）</t>
  </si>
  <si>
    <t>下季产能</t>
  </si>
  <si>
    <t>下季实际产能</t>
  </si>
  <si>
    <t>生产线数量</t>
  </si>
  <si>
    <t>员工总数</t>
  </si>
  <si>
    <t>技术工人</t>
  </si>
  <si>
    <t>零售渠道</t>
    <phoneticPr fontId="1" type="noConversion"/>
  </si>
  <si>
    <t>销售量</t>
    <phoneticPr fontId="1" type="noConversion"/>
  </si>
  <si>
    <t>利润表</t>
    <phoneticPr fontId="1" type="noConversion"/>
  </si>
  <si>
    <t>销售收入</t>
    <phoneticPr fontId="1" type="noConversion"/>
  </si>
  <si>
    <t>班次管理费用</t>
    <phoneticPr fontId="1" type="noConversion"/>
  </si>
  <si>
    <t>人工费用</t>
    <phoneticPr fontId="1" type="noConversion"/>
  </si>
  <si>
    <t>原材料耗用</t>
    <phoneticPr fontId="1" type="noConversion"/>
  </si>
  <si>
    <t>原材料订购成本</t>
    <phoneticPr fontId="1" type="noConversion"/>
  </si>
  <si>
    <t>原材料非正常采购费用</t>
    <phoneticPr fontId="1" type="noConversion"/>
  </si>
  <si>
    <t>生产线维护费用</t>
    <phoneticPr fontId="1" type="noConversion"/>
  </si>
  <si>
    <t>生产线订购成本</t>
    <phoneticPr fontId="1" type="noConversion"/>
  </si>
  <si>
    <t>生产线折旧</t>
    <phoneticPr fontId="1" type="noConversion"/>
  </si>
  <si>
    <t>营销费用</t>
    <phoneticPr fontId="1" type="noConversion"/>
  </si>
  <si>
    <t>运输费用</t>
    <phoneticPr fontId="1" type="noConversion"/>
  </si>
  <si>
    <t>紧急调拨费用</t>
    <phoneticPr fontId="1" type="noConversion"/>
  </si>
  <si>
    <t>招聘费</t>
    <phoneticPr fontId="1" type="noConversion"/>
  </si>
  <si>
    <t>培训费</t>
    <phoneticPr fontId="1" type="noConversion"/>
  </si>
  <si>
    <t>员工工资</t>
    <phoneticPr fontId="1" type="noConversion"/>
  </si>
  <si>
    <t>原材料仓储费用</t>
    <phoneticPr fontId="1" type="noConversion"/>
  </si>
  <si>
    <t>产成品仓储费用</t>
    <phoneticPr fontId="1" type="noConversion"/>
  </si>
  <si>
    <t>银行利息</t>
    <phoneticPr fontId="1" type="noConversion"/>
  </si>
  <si>
    <t>增值税</t>
    <phoneticPr fontId="1" type="noConversion"/>
  </si>
  <si>
    <t>附加税</t>
    <phoneticPr fontId="1" type="noConversion"/>
  </si>
  <si>
    <t>公司所得税</t>
    <phoneticPr fontId="1" type="noConversion"/>
  </si>
  <si>
    <t>费用合计</t>
    <phoneticPr fontId="1" type="noConversion"/>
  </si>
  <si>
    <t>净利润</t>
    <phoneticPr fontId="1" type="noConversion"/>
  </si>
  <si>
    <t>现金流量表</t>
    <phoneticPr fontId="1" type="noConversion"/>
  </si>
  <si>
    <t>研发费用</t>
    <phoneticPr fontId="1" type="noConversion"/>
  </si>
  <si>
    <t>产成品存货价值修正</t>
    <phoneticPr fontId="1" type="noConversion"/>
  </si>
  <si>
    <t>流入现金合计</t>
    <phoneticPr fontId="1" type="noConversion"/>
  </si>
  <si>
    <t>流入现金</t>
    <phoneticPr fontId="1" type="noConversion"/>
  </si>
  <si>
    <t>现金费用支出</t>
    <phoneticPr fontId="1" type="noConversion"/>
  </si>
  <si>
    <t>购料支出</t>
    <phoneticPr fontId="1" type="noConversion"/>
  </si>
  <si>
    <t>生产线投资支出</t>
    <phoneticPr fontId="1" type="noConversion"/>
  </si>
  <si>
    <t>流出现金合计</t>
    <phoneticPr fontId="1" type="noConversion"/>
  </si>
  <si>
    <t>流出现金</t>
    <phoneticPr fontId="1" type="noConversion"/>
  </si>
  <si>
    <t>本季现金流量</t>
    <phoneticPr fontId="1" type="noConversion"/>
  </si>
  <si>
    <t>季末现金余额</t>
    <phoneticPr fontId="1" type="noConversion"/>
  </si>
  <si>
    <t>资产负债表</t>
    <phoneticPr fontId="1" type="noConversion"/>
  </si>
  <si>
    <t>现金</t>
    <phoneticPr fontId="1" type="noConversion"/>
  </si>
  <si>
    <t>原材料存货价值</t>
    <phoneticPr fontId="1" type="noConversion"/>
  </si>
  <si>
    <t>产成品存货价值</t>
    <phoneticPr fontId="1" type="noConversion"/>
  </si>
  <si>
    <t>生产设备价值</t>
    <phoneticPr fontId="1" type="noConversion"/>
  </si>
  <si>
    <t>资产合计</t>
    <phoneticPr fontId="1" type="noConversion"/>
  </si>
  <si>
    <t>正常负债</t>
    <phoneticPr fontId="1" type="noConversion"/>
  </si>
  <si>
    <t>非正常负债</t>
    <phoneticPr fontId="1" type="noConversion"/>
  </si>
  <si>
    <t>负债合计</t>
    <phoneticPr fontId="1" type="noConversion"/>
  </si>
  <si>
    <t>负债</t>
    <phoneticPr fontId="1" type="noConversion"/>
  </si>
  <si>
    <t>资产</t>
    <phoneticPr fontId="1" type="noConversion"/>
  </si>
  <si>
    <t>所有者权益</t>
    <phoneticPr fontId="1" type="noConversion"/>
  </si>
  <si>
    <t>原材料价格</t>
    <phoneticPr fontId="1" type="noConversion"/>
  </si>
  <si>
    <t>第一季度</t>
    <phoneticPr fontId="1" type="noConversion"/>
  </si>
  <si>
    <t>筹建</t>
    <phoneticPr fontId="1" type="noConversion"/>
  </si>
  <si>
    <t>企业所得税</t>
    <phoneticPr fontId="1" type="noConversion"/>
  </si>
  <si>
    <t>贷款年利率</t>
    <phoneticPr fontId="1" type="noConversion"/>
  </si>
  <si>
    <t>折现率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</si>
  <si>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</si>
  <si>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</si>
  <si>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</si>
  <si>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第五季度</t>
    <phoneticPr fontId="1" type="noConversion"/>
  </si>
  <si>
    <t>第六季度</t>
    <phoneticPr fontId="1" type="noConversion"/>
  </si>
  <si>
    <t>第七季度</t>
    <phoneticPr fontId="1" type="noConversion"/>
  </si>
  <si>
    <t>当季生产线</t>
    <phoneticPr fontId="1" type="noConversion"/>
  </si>
  <si>
    <t>当季理论产能</t>
    <phoneticPr fontId="1" type="noConversion"/>
  </si>
  <si>
    <t>下季理论产能</t>
    <phoneticPr fontId="1" type="noConversion"/>
  </si>
  <si>
    <t>第八季度</t>
    <phoneticPr fontId="1" type="noConversion"/>
  </si>
  <si>
    <t>原材料应正常采购</t>
    <phoneticPr fontId="1" type="noConversion"/>
  </si>
  <si>
    <t>总和</t>
    <phoneticPr fontId="1" type="noConversion"/>
  </si>
  <si>
    <t>计划生产-投放</t>
    <phoneticPr fontId="1" type="noConversion"/>
  </si>
  <si>
    <t>作者：BeaCox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</si>
</sst>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5" xfId="0" applyBorder="1"/>
    <xf numFmtId="0" fontId="0" fillId="3" borderId="5" xfId="0" applyFill="1" applyBorder="1"/>
    <xf numFmtId="3" fontId="0" fillId="0" borderId="2" xfId="0" applyNumberFormat="1" applyBorder="1"/>
    <xf numFmtId="0" fontId="0" fillId="0" borderId="3" xfId="0" applyBorder="1"/>
    <xf numFmtId="0" fontId="0" fillId="0" borderId="2" xfId="0" applyFill="1" applyBorder="1"/>
    <xf numFmtId="0" fontId="0" fillId="9" borderId="2" xfId="0" applyFill="1" applyBorder="1"/>
    <xf numFmtId="0" fontId="0" fillId="2" borderId="2" xfId="0" applyFill="1" applyBorder="1"/>
    <xf numFmtId="0" fontId="0" fillId="10" borderId="0" xfId="0" applyFill="1"/>
    <xf numFmtId="0" fontId="0" fillId="0" borderId="0" xfId="0" applyAlignment="1">
      <alignment vertical="center"/>
    </xf>
    <xf numFmtId="9" fontId="0" fillId="3" borderId="2" xfId="0" applyNumberFormat="1" applyFill="1" applyBorder="1" applyAlignment="1">
      <alignment horizontal="center" vertical="center"/>
    </xf>
    <xf numFmtId="3" fontId="0" fillId="3" borderId="2" xfId="0" applyNumberFormat="1" applyFill="1" applyBorder="1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11" borderId="0" xfId="0" applyFill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aCox/EOVS-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3"/>
  <sheetViews>
    <sheetView tabSelected="1" zoomScaleNormal="100" workbookViewId="0">
      <selection activeCell="M7" sqref="M7"/>
    </sheetView>
  </sheetViews>
  <sheetFormatPr defaultRowHeight="13.8" x14ac:dyDescent="0.25"/>
  <cols>
    <col min="1" max="1" width="11.6640625" customWidth="1"/>
    <col min="2" max="2" width="16.33203125" customWidth="1"/>
    <col min="3" max="3" width="14.109375" customWidth="1"/>
    <col min="4" max="4" width="16" customWidth="1"/>
    <col min="5" max="5" width="17.21875" customWidth="1"/>
    <col min="6" max="6" width="11.6640625" customWidth="1"/>
    <col min="7" max="7" width="17.77734375" customWidth="1"/>
    <col min="8" max="8" width="21.109375" customWidth="1"/>
    <col min="9" max="9" width="20" customWidth="1"/>
    <col min="11" max="11" width="14.6640625" customWidth="1"/>
    <col min="12" max="12" width="12.33203125" customWidth="1"/>
    <col min="13" max="13" width="14" customWidth="1"/>
  </cols>
  <sheetData>
    <row r="1" spans="1:13" ht="34.799999999999997" customHeight="1" x14ac:dyDescent="0.25">
      <c r="A1" s="11" t="s">
        <v>65</v>
      </c>
      <c r="B1" s="12">
        <v>0.06</v>
      </c>
      <c r="C1" s="11" t="s">
        <v>66</v>
      </c>
      <c r="D1" s="12">
        <v>7.0000000000000007E-2</v>
      </c>
      <c r="E1" s="11" t="s">
        <v>97</v>
      </c>
      <c r="F1" s="12">
        <v>0.25</v>
      </c>
      <c r="G1" s="11" t="s">
        <v>98</v>
      </c>
      <c r="H1" s="12">
        <v>0.04</v>
      </c>
      <c r="I1" s="11" t="s">
        <v>99</v>
      </c>
      <c r="J1" s="12">
        <v>0.02</v>
      </c>
      <c r="M1" s="28" t="s">
        <v>113</v>
      </c>
    </row>
    <row r="2" spans="1:13" ht="13.8" customHeight="1" x14ac:dyDescent="0.3">
      <c r="A2" s="27" t="s">
        <v>96</v>
      </c>
      <c r="B2" s="21" t="s">
        <v>24</v>
      </c>
      <c r="C2" s="21"/>
      <c r="D2" s="21"/>
      <c r="E2" s="21"/>
      <c r="F2" s="21"/>
      <c r="H2" s="22" t="s">
        <v>46</v>
      </c>
      <c r="I2" s="22"/>
      <c r="J2" s="23" t="s">
        <v>70</v>
      </c>
      <c r="K2" s="24"/>
      <c r="L2" s="24"/>
    </row>
    <row r="3" spans="1:13" x14ac:dyDescent="0.25">
      <c r="A3" s="27"/>
      <c r="B3" s="17" t="s">
        <v>0</v>
      </c>
      <c r="C3" s="17"/>
      <c r="D3" s="17"/>
      <c r="E3" s="17" t="s">
        <v>13</v>
      </c>
      <c r="F3" s="17"/>
      <c r="H3" s="1" t="s">
        <v>47</v>
      </c>
      <c r="I3" s="1">
        <f>C5*D20+C6*D21+C7*D22+C8*D23</f>
        <v>0</v>
      </c>
      <c r="J3" s="15" t="s">
        <v>74</v>
      </c>
      <c r="K3" s="1" t="s">
        <v>47</v>
      </c>
      <c r="L3" s="1">
        <f>I3</f>
        <v>0</v>
      </c>
    </row>
    <row r="4" spans="1:13" x14ac:dyDescent="0.25">
      <c r="A4" s="27"/>
      <c r="B4" s="1" t="s">
        <v>3</v>
      </c>
      <c r="C4" s="1" t="s">
        <v>1</v>
      </c>
      <c r="D4" s="1" t="s">
        <v>2</v>
      </c>
      <c r="E4" s="1" t="s">
        <v>3</v>
      </c>
      <c r="F4" s="1" t="s">
        <v>14</v>
      </c>
      <c r="G4" s="10" t="s">
        <v>94</v>
      </c>
      <c r="H4" s="1" t="s">
        <v>71</v>
      </c>
      <c r="I4" s="1">
        <f>C11</f>
        <v>1502000</v>
      </c>
      <c r="J4" s="15"/>
      <c r="K4" s="1" t="s">
        <v>21</v>
      </c>
      <c r="L4" s="1">
        <f>F15</f>
        <v>0</v>
      </c>
    </row>
    <row r="5" spans="1:13" x14ac:dyDescent="0.25">
      <c r="A5" s="27"/>
      <c r="B5" s="1" t="s">
        <v>4</v>
      </c>
      <c r="C5" s="2"/>
      <c r="D5" s="2"/>
      <c r="E5" s="1" t="s">
        <v>4</v>
      </c>
      <c r="F5" s="2">
        <v>3</v>
      </c>
      <c r="G5" s="2">
        <v>1.5</v>
      </c>
      <c r="H5" s="1" t="s">
        <v>48</v>
      </c>
      <c r="I5" s="1">
        <v>0</v>
      </c>
      <c r="J5" s="15"/>
      <c r="K5" s="1" t="s">
        <v>73</v>
      </c>
      <c r="L5" s="1">
        <f>SUM(L3:L4)</f>
        <v>0</v>
      </c>
    </row>
    <row r="6" spans="1:13" x14ac:dyDescent="0.25">
      <c r="A6" s="27"/>
      <c r="B6" s="1" t="s">
        <v>5</v>
      </c>
      <c r="C6" s="2"/>
      <c r="D6" s="2"/>
      <c r="E6" s="1" t="s">
        <v>5</v>
      </c>
      <c r="F6" s="2">
        <v>3</v>
      </c>
      <c r="G6" s="8"/>
      <c r="H6" s="1" t="s">
        <v>49</v>
      </c>
      <c r="I6" s="1">
        <v>0</v>
      </c>
      <c r="J6" s="15" t="s">
        <v>79</v>
      </c>
      <c r="K6" s="1" t="s">
        <v>75</v>
      </c>
      <c r="L6" s="1">
        <f>I26-I7-I12-I13</f>
        <v>2500000</v>
      </c>
    </row>
    <row r="7" spans="1:13" x14ac:dyDescent="0.25">
      <c r="A7" s="27"/>
      <c r="B7" s="1" t="s">
        <v>6</v>
      </c>
      <c r="C7" s="2"/>
      <c r="D7" s="2"/>
      <c r="E7" s="1" t="s">
        <v>6</v>
      </c>
      <c r="F7" s="2">
        <v>3</v>
      </c>
      <c r="H7" s="1" t="s">
        <v>50</v>
      </c>
      <c r="I7" s="1">
        <v>0</v>
      </c>
      <c r="J7" s="15"/>
      <c r="K7" s="1" t="s">
        <v>76</v>
      </c>
      <c r="L7" s="1">
        <f>(F11+F12)*G5</f>
        <v>0</v>
      </c>
    </row>
    <row r="8" spans="1:13" x14ac:dyDescent="0.25">
      <c r="A8" s="27"/>
      <c r="B8" s="1" t="s">
        <v>7</v>
      </c>
      <c r="C8" s="2"/>
      <c r="D8" s="2"/>
      <c r="E8" s="1" t="s">
        <v>7</v>
      </c>
      <c r="F8" s="2">
        <v>3</v>
      </c>
      <c r="H8" s="1" t="s">
        <v>51</v>
      </c>
      <c r="I8" s="1">
        <f>IF(F11=0,0,IF(F11&lt;=500000,40000,IF(F11&lt;=1000000,80000,IF(F11&lt;=1500000,120000,IF(F11&lt;=2000000,160000,IF(F11&gt;2000000,200000))))))</f>
        <v>0</v>
      </c>
      <c r="J8" s="15"/>
      <c r="K8" s="1" t="s">
        <v>77</v>
      </c>
      <c r="L8" s="1">
        <f>F13*500000</f>
        <v>4000000</v>
      </c>
    </row>
    <row r="9" spans="1:13" x14ac:dyDescent="0.25">
      <c r="A9" s="27"/>
      <c r="B9" s="17" t="s">
        <v>8</v>
      </c>
      <c r="C9" s="17"/>
      <c r="D9" s="17"/>
      <c r="E9" s="1" t="s">
        <v>15</v>
      </c>
      <c r="F9" s="2">
        <v>24</v>
      </c>
      <c r="H9" s="1" t="s">
        <v>52</v>
      </c>
      <c r="I9" s="1">
        <f>F12</f>
        <v>0</v>
      </c>
      <c r="J9" s="15"/>
      <c r="K9" s="1" t="s">
        <v>22</v>
      </c>
      <c r="L9" s="1">
        <f>F16</f>
        <v>0</v>
      </c>
    </row>
    <row r="10" spans="1:13" x14ac:dyDescent="0.25">
      <c r="A10" s="27"/>
      <c r="B10" s="1" t="s">
        <v>9</v>
      </c>
      <c r="C10" s="2">
        <v>1200000</v>
      </c>
      <c r="D10" s="1"/>
      <c r="E10" s="18" t="s">
        <v>16</v>
      </c>
      <c r="F10" s="19"/>
      <c r="H10" s="1" t="s">
        <v>53</v>
      </c>
      <c r="I10" s="1">
        <v>0</v>
      </c>
      <c r="J10" s="15"/>
      <c r="K10" s="1" t="s">
        <v>23</v>
      </c>
      <c r="L10" s="1">
        <f>F17</f>
        <v>0</v>
      </c>
    </row>
    <row r="11" spans="1:13" x14ac:dyDescent="0.25">
      <c r="A11" s="27"/>
      <c r="B11" s="1" t="s">
        <v>10</v>
      </c>
      <c r="C11" s="2">
        <v>1502000</v>
      </c>
      <c r="D11" s="1"/>
      <c r="E11" s="1" t="s">
        <v>17</v>
      </c>
      <c r="F11" s="2"/>
      <c r="H11" s="1" t="s">
        <v>54</v>
      </c>
      <c r="I11" s="1">
        <f>100000*F13</f>
        <v>800000</v>
      </c>
      <c r="J11" s="15"/>
      <c r="K11" s="1" t="s">
        <v>78</v>
      </c>
      <c r="L11" s="1">
        <f>SUM(L6:L10)</f>
        <v>6500000</v>
      </c>
    </row>
    <row r="12" spans="1:13" x14ac:dyDescent="0.25">
      <c r="A12" s="27"/>
      <c r="B12" s="17" t="s">
        <v>11</v>
      </c>
      <c r="C12" s="17"/>
      <c r="D12" s="17"/>
      <c r="E12" s="1" t="s">
        <v>18</v>
      </c>
      <c r="F12" s="2"/>
      <c r="H12" s="1" t="s">
        <v>55</v>
      </c>
      <c r="I12" s="1">
        <v>0</v>
      </c>
      <c r="J12" s="16" t="s">
        <v>80</v>
      </c>
      <c r="K12" s="16"/>
      <c r="L12" s="1">
        <f>L5-L11</f>
        <v>-6500000</v>
      </c>
    </row>
    <row r="13" spans="1:13" x14ac:dyDescent="0.25">
      <c r="A13" s="27"/>
      <c r="B13" s="1" t="s">
        <v>3</v>
      </c>
      <c r="C13" s="1" t="s">
        <v>12</v>
      </c>
      <c r="D13" s="1"/>
      <c r="E13" s="1" t="s">
        <v>19</v>
      </c>
      <c r="F13" s="2">
        <v>8</v>
      </c>
      <c r="H13" s="1" t="s">
        <v>72</v>
      </c>
      <c r="I13" s="2">
        <v>0</v>
      </c>
      <c r="J13" s="16" t="s">
        <v>81</v>
      </c>
      <c r="K13" s="16"/>
      <c r="L13" s="2">
        <f>6500000+L12</f>
        <v>0</v>
      </c>
    </row>
    <row r="14" spans="1:13" x14ac:dyDescent="0.25">
      <c r="A14" s="27"/>
      <c r="B14" s="1" t="s">
        <v>4</v>
      </c>
      <c r="C14" s="2"/>
      <c r="D14" s="1"/>
      <c r="E14" s="18" t="s">
        <v>20</v>
      </c>
      <c r="F14" s="19"/>
      <c r="H14" s="1" t="s">
        <v>56</v>
      </c>
      <c r="I14" s="1">
        <v>0</v>
      </c>
      <c r="J14" s="20" t="s">
        <v>82</v>
      </c>
      <c r="K14" s="20"/>
      <c r="L14" s="20"/>
    </row>
    <row r="15" spans="1:13" x14ac:dyDescent="0.25">
      <c r="A15" s="27"/>
      <c r="B15" s="1" t="s">
        <v>5</v>
      </c>
      <c r="C15" s="2"/>
      <c r="D15" s="1"/>
      <c r="E15" s="1" t="s">
        <v>21</v>
      </c>
      <c r="F15" s="2"/>
      <c r="H15" s="1" t="s">
        <v>57</v>
      </c>
      <c r="I15" s="1">
        <v>0</v>
      </c>
      <c r="J15" s="15" t="s">
        <v>92</v>
      </c>
      <c r="K15" s="1" t="s">
        <v>83</v>
      </c>
      <c r="L15" s="1">
        <f>L13</f>
        <v>0</v>
      </c>
    </row>
    <row r="16" spans="1:13" x14ac:dyDescent="0.25">
      <c r="A16" s="27"/>
      <c r="B16" s="1" t="s">
        <v>6</v>
      </c>
      <c r="C16" s="2"/>
      <c r="D16" s="1"/>
      <c r="E16" s="1" t="s">
        <v>22</v>
      </c>
      <c r="F16" s="2"/>
      <c r="H16" s="1" t="s">
        <v>58</v>
      </c>
      <c r="I16" s="2">
        <v>0</v>
      </c>
      <c r="J16" s="15"/>
      <c r="K16" s="1" t="s">
        <v>84</v>
      </c>
      <c r="L16" s="1">
        <f>0</f>
        <v>0</v>
      </c>
    </row>
    <row r="17" spans="1:12" x14ac:dyDescent="0.25">
      <c r="A17" s="27"/>
      <c r="B17" s="3" t="s">
        <v>7</v>
      </c>
      <c r="C17" s="4"/>
      <c r="D17" s="3"/>
      <c r="E17" s="3" t="s">
        <v>23</v>
      </c>
      <c r="F17" s="2"/>
      <c r="H17" s="1" t="s">
        <v>59</v>
      </c>
      <c r="I17" s="1">
        <f>500*(F5+F6+F7+F8+F9)</f>
        <v>18000</v>
      </c>
      <c r="J17" s="15"/>
      <c r="K17" s="1" t="s">
        <v>85</v>
      </c>
      <c r="L17" s="1">
        <f>4*E25</f>
        <v>0</v>
      </c>
    </row>
    <row r="18" spans="1:12" ht="13.8" customHeight="1" x14ac:dyDescent="0.3">
      <c r="A18" s="27"/>
      <c r="B18" s="25" t="s">
        <v>25</v>
      </c>
      <c r="C18" s="25"/>
      <c r="D18" s="25"/>
      <c r="E18" s="25"/>
      <c r="F18" s="25"/>
      <c r="G18" s="26"/>
      <c r="H18" s="1" t="s">
        <v>60</v>
      </c>
      <c r="I18" s="1">
        <f>1000*(F5+F6+F7+F8+F9)</f>
        <v>36000</v>
      </c>
      <c r="J18" s="15"/>
      <c r="K18" s="1" t="s">
        <v>86</v>
      </c>
      <c r="L18" s="1">
        <f>C27*10</f>
        <v>4000000</v>
      </c>
    </row>
    <row r="19" spans="1:12" x14ac:dyDescent="0.25">
      <c r="A19" s="27"/>
      <c r="B19" s="1" t="s">
        <v>44</v>
      </c>
      <c r="C19" s="1" t="s">
        <v>26</v>
      </c>
      <c r="D19" s="1" t="s">
        <v>45</v>
      </c>
      <c r="E19" s="1" t="s">
        <v>27</v>
      </c>
      <c r="F19" s="1" t="s">
        <v>28</v>
      </c>
      <c r="G19" s="6" t="s">
        <v>29</v>
      </c>
      <c r="H19" s="7" t="s">
        <v>61</v>
      </c>
      <c r="I19" s="1">
        <f>4500*SUM(F5:F8)+3750*F9</f>
        <v>144000</v>
      </c>
      <c r="J19" s="15"/>
      <c r="K19" s="1" t="s">
        <v>87</v>
      </c>
      <c r="L19" s="1">
        <f>SUM(L15:L18)</f>
        <v>4000000</v>
      </c>
    </row>
    <row r="20" spans="1:12" x14ac:dyDescent="0.25">
      <c r="A20" s="27"/>
      <c r="B20" s="1" t="s">
        <v>30</v>
      </c>
      <c r="C20" s="5"/>
      <c r="D20" s="5"/>
      <c r="E20" s="1"/>
      <c r="F20" s="1"/>
      <c r="G20" s="6">
        <v>3</v>
      </c>
      <c r="H20" s="7" t="s">
        <v>62</v>
      </c>
      <c r="I20" s="1">
        <v>0</v>
      </c>
      <c r="J20" s="15" t="s">
        <v>91</v>
      </c>
      <c r="K20" s="1" t="s">
        <v>88</v>
      </c>
      <c r="L20" s="1">
        <f>F15</f>
        <v>0</v>
      </c>
    </row>
    <row r="21" spans="1:12" x14ac:dyDescent="0.25">
      <c r="A21" s="27"/>
      <c r="B21" s="1" t="s">
        <v>31</v>
      </c>
      <c r="C21" s="5"/>
      <c r="D21" s="5"/>
      <c r="E21" s="1"/>
      <c r="F21" s="5"/>
      <c r="G21" s="6">
        <v>3</v>
      </c>
      <c r="H21" s="7" t="s">
        <v>63</v>
      </c>
      <c r="I21" s="2">
        <v>0</v>
      </c>
      <c r="J21" s="15"/>
      <c r="K21" s="1" t="s">
        <v>89</v>
      </c>
      <c r="L21" s="1">
        <v>0</v>
      </c>
    </row>
    <row r="22" spans="1:12" x14ac:dyDescent="0.25">
      <c r="A22" s="27"/>
      <c r="B22" s="1" t="s">
        <v>32</v>
      </c>
      <c r="C22" s="5"/>
      <c r="D22" s="5"/>
      <c r="E22" s="1"/>
      <c r="F22" s="5"/>
      <c r="G22" s="6">
        <v>3</v>
      </c>
      <c r="H22" s="7" t="s">
        <v>64</v>
      </c>
      <c r="I22" s="1">
        <v>0</v>
      </c>
      <c r="J22" s="15"/>
      <c r="K22" s="1" t="s">
        <v>90</v>
      </c>
      <c r="L22" s="1">
        <f>SUM(L20:L21)</f>
        <v>0</v>
      </c>
    </row>
    <row r="23" spans="1:12" x14ac:dyDescent="0.25">
      <c r="A23" s="27"/>
      <c r="B23" s="1" t="s">
        <v>33</v>
      </c>
      <c r="C23" s="5"/>
      <c r="D23" s="5"/>
      <c r="E23" s="1"/>
      <c r="F23" s="5"/>
      <c r="G23" s="6">
        <v>3</v>
      </c>
      <c r="H23" s="7" t="s">
        <v>65</v>
      </c>
      <c r="I23" s="1">
        <f>(I3/(1+$B$1))*$B$1</f>
        <v>0</v>
      </c>
      <c r="J23" s="16" t="s">
        <v>93</v>
      </c>
      <c r="K23" s="16"/>
      <c r="L23" s="1">
        <f>L19-L22</f>
        <v>4000000</v>
      </c>
    </row>
    <row r="24" spans="1:12" x14ac:dyDescent="0.25">
      <c r="A24" s="27"/>
      <c r="B24" s="1" t="s">
        <v>34</v>
      </c>
      <c r="C24" s="1" t="s">
        <v>35</v>
      </c>
      <c r="D24" s="1" t="s">
        <v>36</v>
      </c>
      <c r="E24" s="1" t="s">
        <v>28</v>
      </c>
      <c r="F24" s="1" t="s">
        <v>37</v>
      </c>
      <c r="G24" s="6" t="s">
        <v>38</v>
      </c>
      <c r="H24" s="7" t="s">
        <v>66</v>
      </c>
      <c r="I24" s="1">
        <f>I23*$D$1</f>
        <v>0</v>
      </c>
    </row>
    <row r="25" spans="1:12" x14ac:dyDescent="0.25">
      <c r="A25" s="27"/>
      <c r="B25" s="5"/>
      <c r="C25" s="5"/>
      <c r="D25" s="5"/>
      <c r="E25" s="5"/>
      <c r="F25" s="1"/>
      <c r="G25" s="6"/>
      <c r="H25" s="8" t="s">
        <v>67</v>
      </c>
      <c r="I25" s="1">
        <v>0</v>
      </c>
    </row>
    <row r="26" spans="1:12" x14ac:dyDescent="0.25">
      <c r="A26" s="27"/>
      <c r="B26" s="1" t="s">
        <v>39</v>
      </c>
      <c r="C26" s="1" t="s">
        <v>40</v>
      </c>
      <c r="D26" s="1" t="s">
        <v>41</v>
      </c>
      <c r="E26" s="1" t="s">
        <v>42</v>
      </c>
      <c r="F26" s="1" t="s">
        <v>43</v>
      </c>
      <c r="G26" s="6" t="s">
        <v>29</v>
      </c>
      <c r="H26" s="9" t="s">
        <v>68</v>
      </c>
      <c r="I26" s="1">
        <f>SUM(I4:I25)</f>
        <v>2500000</v>
      </c>
    </row>
    <row r="27" spans="1:12" x14ac:dyDescent="0.25">
      <c r="A27" s="27"/>
      <c r="B27" s="5">
        <v>400000</v>
      </c>
      <c r="C27" s="5">
        <v>400000</v>
      </c>
      <c r="D27" s="1">
        <v>8</v>
      </c>
      <c r="E27" s="1">
        <v>36</v>
      </c>
      <c r="F27" s="1">
        <v>24</v>
      </c>
      <c r="G27" s="1">
        <v>12</v>
      </c>
      <c r="H27" s="9" t="s">
        <v>69</v>
      </c>
      <c r="I27" s="1">
        <f>I3-I26</f>
        <v>-2500000</v>
      </c>
    </row>
    <row r="29" spans="1:12" ht="15.6" x14ac:dyDescent="0.3">
      <c r="A29" s="27" t="s">
        <v>95</v>
      </c>
      <c r="B29" s="21" t="s">
        <v>24</v>
      </c>
      <c r="C29" s="21"/>
      <c r="D29" s="21"/>
      <c r="E29" s="21"/>
      <c r="F29" s="21"/>
      <c r="H29" s="22" t="s">
        <v>46</v>
      </c>
      <c r="I29" s="22"/>
      <c r="J29" s="23" t="s">
        <v>70</v>
      </c>
      <c r="K29" s="24"/>
      <c r="L29" s="24"/>
    </row>
    <row r="30" spans="1:12" x14ac:dyDescent="0.25">
      <c r="A30" s="27"/>
      <c r="B30" s="17" t="s">
        <v>0</v>
      </c>
      <c r="C30" s="17"/>
      <c r="D30" s="17"/>
      <c r="E30" s="17" t="s">
        <v>13</v>
      </c>
      <c r="F30" s="17"/>
      <c r="H30" s="1" t="s">
        <v>47</v>
      </c>
      <c r="I30" s="1">
        <f>C32*D47+C33*D48+C34*D49+C35*D50</f>
        <v>0</v>
      </c>
      <c r="J30" s="15" t="s">
        <v>74</v>
      </c>
      <c r="K30" s="1" t="s">
        <v>47</v>
      </c>
      <c r="L30" s="1">
        <f>I30</f>
        <v>0</v>
      </c>
    </row>
    <row r="31" spans="1:12" x14ac:dyDescent="0.25">
      <c r="A31" s="27"/>
      <c r="B31" s="1" t="s">
        <v>3</v>
      </c>
      <c r="C31" s="1" t="s">
        <v>1</v>
      </c>
      <c r="D31" s="1" t="s">
        <v>2</v>
      </c>
      <c r="E31" s="1" t="s">
        <v>3</v>
      </c>
      <c r="F31" s="1" t="s">
        <v>14</v>
      </c>
      <c r="G31" s="10" t="s">
        <v>94</v>
      </c>
      <c r="H31" s="1" t="s">
        <v>71</v>
      </c>
      <c r="I31" s="1">
        <f>C38</f>
        <v>0</v>
      </c>
      <c r="J31" s="15"/>
      <c r="K31" s="1" t="s">
        <v>21</v>
      </c>
      <c r="L31" s="1">
        <f>F42</f>
        <v>0</v>
      </c>
    </row>
    <row r="32" spans="1:12" x14ac:dyDescent="0.25">
      <c r="A32" s="27"/>
      <c r="B32" s="1" t="s">
        <v>4</v>
      </c>
      <c r="C32" s="2"/>
      <c r="D32" s="2"/>
      <c r="E32" s="1" t="s">
        <v>4</v>
      </c>
      <c r="F32" s="2"/>
      <c r="G32" s="2"/>
      <c r="H32" s="1" t="s">
        <v>48</v>
      </c>
      <c r="I32" s="1">
        <f>20000</f>
        <v>20000</v>
      </c>
      <c r="J32" s="15"/>
      <c r="K32" s="1" t="s">
        <v>73</v>
      </c>
      <c r="L32" s="1">
        <f>SUM(L30:L31)</f>
        <v>0</v>
      </c>
    </row>
    <row r="33" spans="1:12" x14ac:dyDescent="0.25">
      <c r="A33" s="27"/>
      <c r="B33" s="1" t="s">
        <v>5</v>
      </c>
      <c r="C33" s="2"/>
      <c r="D33" s="2"/>
      <c r="E33" s="1" t="s">
        <v>5</v>
      </c>
      <c r="F33" s="2"/>
      <c r="G33" s="8" t="s">
        <v>106</v>
      </c>
      <c r="H33" s="1" t="s">
        <v>49</v>
      </c>
      <c r="I33" s="1">
        <f>C37*1.4</f>
        <v>0</v>
      </c>
      <c r="J33" s="15" t="s">
        <v>79</v>
      </c>
      <c r="K33" s="1" t="s">
        <v>75</v>
      </c>
      <c r="L33" s="1" t="e">
        <f>I53-I34-I39-I40</f>
        <v>#DIV/0!</v>
      </c>
    </row>
    <row r="34" spans="1:12" x14ac:dyDescent="0.25">
      <c r="A34" s="27"/>
      <c r="B34" s="1" t="s">
        <v>6</v>
      </c>
      <c r="C34" s="2"/>
      <c r="D34" s="2"/>
      <c r="E34" s="1" t="s">
        <v>6</v>
      </c>
      <c r="F34" s="2"/>
      <c r="G34">
        <f>D27</f>
        <v>8</v>
      </c>
      <c r="H34" s="1" t="s">
        <v>50</v>
      </c>
      <c r="I34" s="1" t="e">
        <f>(L16+L34)/(F25+F38+F39)*C37*1.35</f>
        <v>#DIV/0!</v>
      </c>
      <c r="J34" s="15"/>
      <c r="K34" s="1" t="s">
        <v>76</v>
      </c>
      <c r="L34" s="1">
        <f>(F38+F39)*G32</f>
        <v>0</v>
      </c>
    </row>
    <row r="35" spans="1:12" x14ac:dyDescent="0.25">
      <c r="A35" s="27"/>
      <c r="B35" s="1" t="s">
        <v>7</v>
      </c>
      <c r="C35" s="2"/>
      <c r="D35" s="2"/>
      <c r="E35" s="1" t="s">
        <v>7</v>
      </c>
      <c r="F35" s="2"/>
      <c r="G35" t="s">
        <v>107</v>
      </c>
      <c r="H35" s="1" t="s">
        <v>51</v>
      </c>
      <c r="I35" s="1">
        <f>IF(F38=0,0,IF(F38&lt;=500000,40000,IF(F38&lt;=1000000,80000,IF(F38&lt;=1500000,120000,IF(F38&lt;=2000000,160000,IF(F38&gt;2000000,200000))))))</f>
        <v>0</v>
      </c>
      <c r="J35" s="15"/>
      <c r="K35" s="1" t="s">
        <v>77</v>
      </c>
      <c r="L35" s="1">
        <f>F40*500000</f>
        <v>0</v>
      </c>
    </row>
    <row r="36" spans="1:12" x14ac:dyDescent="0.25">
      <c r="A36" s="27"/>
      <c r="B36" s="17" t="s">
        <v>8</v>
      </c>
      <c r="C36" s="17"/>
      <c r="D36" s="17"/>
      <c r="E36" s="1" t="s">
        <v>15</v>
      </c>
      <c r="F36" s="2"/>
      <c r="G36">
        <f>C27*3</f>
        <v>1200000</v>
      </c>
      <c r="H36" s="1" t="s">
        <v>52</v>
      </c>
      <c r="I36" s="1">
        <f>F39</f>
        <v>0</v>
      </c>
      <c r="J36" s="15"/>
      <c r="K36" s="1" t="s">
        <v>22</v>
      </c>
      <c r="L36" s="1">
        <f>F43</f>
        <v>0</v>
      </c>
    </row>
    <row r="37" spans="1:12" x14ac:dyDescent="0.25">
      <c r="A37" s="27"/>
      <c r="B37" s="1" t="s">
        <v>9</v>
      </c>
      <c r="C37" s="2"/>
      <c r="D37" s="1"/>
      <c r="E37" s="18" t="s">
        <v>16</v>
      </c>
      <c r="F37" s="19"/>
      <c r="G37" t="s">
        <v>108</v>
      </c>
      <c r="H37" s="1" t="s">
        <v>53</v>
      </c>
      <c r="I37" s="1">
        <f>12000*D27</f>
        <v>96000</v>
      </c>
      <c r="J37" s="15"/>
      <c r="K37" s="1" t="s">
        <v>23</v>
      </c>
      <c r="L37" s="1">
        <f>F44</f>
        <v>0</v>
      </c>
    </row>
    <row r="38" spans="1:12" x14ac:dyDescent="0.25">
      <c r="A38" s="27"/>
      <c r="B38" s="1" t="s">
        <v>10</v>
      </c>
      <c r="C38" s="2"/>
      <c r="D38" s="1"/>
      <c r="E38" s="1" t="s">
        <v>17</v>
      </c>
      <c r="F38" s="13"/>
      <c r="G38">
        <f>ROUNDDOWN(G36*0.975+F40*150000,0)</f>
        <v>1170000</v>
      </c>
      <c r="H38" s="1" t="s">
        <v>54</v>
      </c>
      <c r="I38" s="1">
        <f>100000*F40</f>
        <v>0</v>
      </c>
      <c r="J38" s="15"/>
      <c r="K38" s="1" t="s">
        <v>78</v>
      </c>
      <c r="L38" s="1" t="e">
        <f>SUM(L33:L37)</f>
        <v>#DIV/0!</v>
      </c>
    </row>
    <row r="39" spans="1:12" x14ac:dyDescent="0.25">
      <c r="A39" s="27"/>
      <c r="B39" s="17" t="s">
        <v>11</v>
      </c>
      <c r="C39" s="17"/>
      <c r="D39" s="17"/>
      <c r="E39" s="1" t="s">
        <v>18</v>
      </c>
      <c r="F39" s="2"/>
      <c r="G39" s="14" t="s">
        <v>110</v>
      </c>
      <c r="H39" s="1" t="s">
        <v>55</v>
      </c>
      <c r="I39" s="1">
        <f>L18*2.5%</f>
        <v>100000</v>
      </c>
      <c r="J39" s="16" t="s">
        <v>80</v>
      </c>
      <c r="K39" s="16"/>
      <c r="L39" s="1" t="e">
        <f>L32-L38</f>
        <v>#DIV/0!</v>
      </c>
    </row>
    <row r="40" spans="1:12" x14ac:dyDescent="0.25">
      <c r="A40" s="27"/>
      <c r="B40" s="1" t="s">
        <v>3</v>
      </c>
      <c r="C40" s="1" t="s">
        <v>12</v>
      </c>
      <c r="D40" s="1" t="s">
        <v>111</v>
      </c>
      <c r="E40" s="1" t="s">
        <v>19</v>
      </c>
      <c r="F40" s="2"/>
      <c r="G40">
        <f>(G63+G90)*1.35</f>
        <v>3119512.5</v>
      </c>
      <c r="H40" s="1" t="s">
        <v>72</v>
      </c>
      <c r="I40" s="13">
        <v>0</v>
      </c>
      <c r="J40" s="16" t="s">
        <v>81</v>
      </c>
      <c r="K40" s="16"/>
      <c r="L40" s="2" t="e">
        <f>IF(L48=0,L13+L39,0.5*I30)</f>
        <v>#DIV/0!</v>
      </c>
    </row>
    <row r="41" spans="1:12" x14ac:dyDescent="0.25">
      <c r="A41" s="27"/>
      <c r="B41" s="1" t="s">
        <v>4</v>
      </c>
      <c r="C41" s="2"/>
      <c r="D41" s="1">
        <f>SUM(C41:C44)</f>
        <v>0</v>
      </c>
      <c r="E41" s="18" t="s">
        <v>20</v>
      </c>
      <c r="F41" s="19"/>
      <c r="H41" s="1" t="s">
        <v>56</v>
      </c>
      <c r="I41" s="1">
        <f>SUM(D32:D35)</f>
        <v>0</v>
      </c>
      <c r="J41" s="20" t="s">
        <v>82</v>
      </c>
      <c r="K41" s="20"/>
      <c r="L41" s="20"/>
    </row>
    <row r="42" spans="1:12" x14ac:dyDescent="0.25">
      <c r="A42" s="27"/>
      <c r="B42" s="1" t="s">
        <v>5</v>
      </c>
      <c r="C42" s="2"/>
      <c r="D42" s="1" t="s">
        <v>112</v>
      </c>
      <c r="E42" s="1" t="s">
        <v>21</v>
      </c>
      <c r="F42" s="2"/>
      <c r="H42" s="1" t="s">
        <v>57</v>
      </c>
      <c r="I42" s="1">
        <f>0.4*C41+0.1*C42+0.4*C43+0.5*C44</f>
        <v>0</v>
      </c>
      <c r="J42" s="15" t="s">
        <v>92</v>
      </c>
      <c r="K42" s="1" t="s">
        <v>83</v>
      </c>
      <c r="L42" s="1" t="e">
        <f>L40</f>
        <v>#DIV/0!</v>
      </c>
    </row>
    <row r="43" spans="1:12" x14ac:dyDescent="0.25">
      <c r="A43" s="27"/>
      <c r="B43" s="1" t="s">
        <v>6</v>
      </c>
      <c r="C43" s="2"/>
      <c r="D43" s="1">
        <f>C37-D41</f>
        <v>0</v>
      </c>
      <c r="E43" s="1" t="s">
        <v>22</v>
      </c>
      <c r="F43" s="2"/>
      <c r="H43" s="1" t="s">
        <v>58</v>
      </c>
      <c r="I43" s="2">
        <v>0</v>
      </c>
      <c r="J43" s="15"/>
      <c r="K43" s="1" t="s">
        <v>84</v>
      </c>
      <c r="L43" s="1" t="e">
        <f>(L16+L34)/(F25+F38+F39)*F52</f>
        <v>#DIV/0!</v>
      </c>
    </row>
    <row r="44" spans="1:12" x14ac:dyDescent="0.25">
      <c r="A44" s="27"/>
      <c r="B44" s="3" t="s">
        <v>7</v>
      </c>
      <c r="C44" s="2"/>
      <c r="D44" s="3"/>
      <c r="E44" s="3" t="s">
        <v>23</v>
      </c>
      <c r="F44" s="2"/>
      <c r="H44" s="1" t="s">
        <v>59</v>
      </c>
      <c r="I44" s="1">
        <f>500*(F32+F33+F34+F35+F36)</f>
        <v>0</v>
      </c>
      <c r="J44" s="15"/>
      <c r="K44" s="1" t="s">
        <v>85</v>
      </c>
      <c r="L44" s="1">
        <f>4*E52</f>
        <v>0</v>
      </c>
    </row>
    <row r="45" spans="1:12" ht="15.6" x14ac:dyDescent="0.3">
      <c r="A45" s="27"/>
      <c r="B45" s="25" t="s">
        <v>25</v>
      </c>
      <c r="C45" s="25"/>
      <c r="D45" s="25"/>
      <c r="E45" s="25"/>
      <c r="F45" s="25"/>
      <c r="G45" s="26"/>
      <c r="H45" s="1" t="s">
        <v>60</v>
      </c>
      <c r="I45" s="1">
        <f>1000*(F32+F33+F34+F35+F36)</f>
        <v>0</v>
      </c>
      <c r="J45" s="15"/>
      <c r="K45" s="1" t="s">
        <v>86</v>
      </c>
      <c r="L45" s="1">
        <f>C54*10</f>
        <v>3900000</v>
      </c>
    </row>
    <row r="46" spans="1:12" x14ac:dyDescent="0.25">
      <c r="A46" s="27"/>
      <c r="B46" s="1" t="s">
        <v>44</v>
      </c>
      <c r="C46" s="1" t="s">
        <v>26</v>
      </c>
      <c r="D46" s="1" t="s">
        <v>45</v>
      </c>
      <c r="E46" s="1" t="s">
        <v>27</v>
      </c>
      <c r="F46" s="1" t="s">
        <v>28</v>
      </c>
      <c r="G46" s="6" t="s">
        <v>29</v>
      </c>
      <c r="H46" s="7" t="s">
        <v>61</v>
      </c>
      <c r="I46" s="1">
        <f>9000*G27+7500*F27+4500*SUM(F32:F35)+3750*F36</f>
        <v>288000</v>
      </c>
      <c r="J46" s="15"/>
      <c r="K46" s="1" t="s">
        <v>87</v>
      </c>
      <c r="L46" s="1" t="e">
        <f>SUM(L42:L45)</f>
        <v>#DIV/0!</v>
      </c>
    </row>
    <row r="47" spans="1:12" x14ac:dyDescent="0.25">
      <c r="A47" s="27"/>
      <c r="B47" s="1" t="s">
        <v>30</v>
      </c>
      <c r="C47" s="5"/>
      <c r="D47" s="5">
        <f>C41</f>
        <v>0</v>
      </c>
      <c r="E47" s="1"/>
      <c r="F47" s="1"/>
      <c r="G47" s="6">
        <f>G20+F32</f>
        <v>3</v>
      </c>
      <c r="H47" s="7" t="s">
        <v>62</v>
      </c>
      <c r="I47" s="1">
        <f>L16*10%</f>
        <v>0</v>
      </c>
      <c r="J47" s="15" t="s">
        <v>91</v>
      </c>
      <c r="K47" s="1" t="s">
        <v>88</v>
      </c>
      <c r="L47" s="1">
        <f>L20+F42-F43</f>
        <v>0</v>
      </c>
    </row>
    <row r="48" spans="1:12" x14ac:dyDescent="0.25">
      <c r="A48" s="27"/>
      <c r="B48" s="1" t="s">
        <v>31</v>
      </c>
      <c r="C48" s="5"/>
      <c r="D48" s="5">
        <f>C42</f>
        <v>0</v>
      </c>
      <c r="E48" s="1"/>
      <c r="F48" s="5"/>
      <c r="G48" s="6">
        <f>G21+F33</f>
        <v>3</v>
      </c>
      <c r="H48" s="7" t="s">
        <v>63</v>
      </c>
      <c r="I48" s="8">
        <f>0.5*E52</f>
        <v>0</v>
      </c>
      <c r="J48" s="15"/>
      <c r="K48" s="1" t="s">
        <v>89</v>
      </c>
      <c r="L48" s="1" t="e">
        <f>IF(I30*0.5-L13-L39&lt;0,0,I30*0.5-L13-L39)</f>
        <v>#DIV/0!</v>
      </c>
    </row>
    <row r="49" spans="1:12" x14ac:dyDescent="0.25">
      <c r="A49" s="27"/>
      <c r="B49" s="1" t="s">
        <v>32</v>
      </c>
      <c r="C49" s="5"/>
      <c r="D49" s="5">
        <f>C43</f>
        <v>0</v>
      </c>
      <c r="E49" s="1"/>
      <c r="F49" s="5"/>
      <c r="G49" s="6">
        <f>G22+F34</f>
        <v>3</v>
      </c>
      <c r="H49" s="7" t="s">
        <v>64</v>
      </c>
      <c r="I49" s="1">
        <f>(L20+F42-F43)*$H$1/4+L21*$H$1</f>
        <v>0</v>
      </c>
      <c r="J49" s="15"/>
      <c r="K49" s="1" t="s">
        <v>90</v>
      </c>
      <c r="L49" s="1" t="e">
        <f>SUM(L47:L48)</f>
        <v>#DIV/0!</v>
      </c>
    </row>
    <row r="50" spans="1:12" x14ac:dyDescent="0.25">
      <c r="A50" s="27"/>
      <c r="B50" s="1" t="s">
        <v>33</v>
      </c>
      <c r="C50" s="5"/>
      <c r="D50" s="5">
        <f>C44</f>
        <v>0</v>
      </c>
      <c r="E50" s="1"/>
      <c r="F50" s="5"/>
      <c r="G50" s="6">
        <f>G23+F35</f>
        <v>3</v>
      </c>
      <c r="H50" s="7" t="s">
        <v>65</v>
      </c>
      <c r="I50" s="1">
        <f>(I30/(1+$B$1))*$B$1</f>
        <v>0</v>
      </c>
      <c r="J50" s="16" t="s">
        <v>93</v>
      </c>
      <c r="K50" s="16"/>
      <c r="L50" s="1" t="e">
        <f>L23+I54</f>
        <v>#DIV/0!</v>
      </c>
    </row>
    <row r="51" spans="1:12" x14ac:dyDescent="0.25">
      <c r="A51" s="27"/>
      <c r="B51" s="1" t="s">
        <v>34</v>
      </c>
      <c r="C51" s="1" t="s">
        <v>35</v>
      </c>
      <c r="D51" s="1" t="s">
        <v>36</v>
      </c>
      <c r="E51" s="1" t="s">
        <v>28</v>
      </c>
      <c r="F51" s="1" t="s">
        <v>37</v>
      </c>
      <c r="G51" s="6" t="s">
        <v>38</v>
      </c>
      <c r="H51" s="7" t="s">
        <v>66</v>
      </c>
      <c r="I51" s="1">
        <f>I50*$D$1</f>
        <v>0</v>
      </c>
    </row>
    <row r="52" spans="1:12" x14ac:dyDescent="0.25">
      <c r="A52" s="27"/>
      <c r="B52" s="5"/>
      <c r="C52" s="5">
        <f>C37</f>
        <v>0</v>
      </c>
      <c r="D52" s="5">
        <f>SUM(D47:D50)</f>
        <v>0</v>
      </c>
      <c r="E52" s="5">
        <v>0</v>
      </c>
      <c r="F52" s="1"/>
      <c r="G52" s="6"/>
      <c r="H52" s="8" t="s">
        <v>67</v>
      </c>
      <c r="I52" s="1" t="e">
        <f>IF((I50/$B$1-SUM(I31:I49)-I51)*$F$1&gt;0,(I50/$B$1-SUM(I31:I49)-I51)*$F$1,0)</f>
        <v>#DIV/0!</v>
      </c>
    </row>
    <row r="53" spans="1:12" x14ac:dyDescent="0.25">
      <c r="A53" s="27"/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6" t="s">
        <v>29</v>
      </c>
      <c r="H53" s="9" t="s">
        <v>68</v>
      </c>
      <c r="I53" s="1" t="e">
        <f>SUM(I31:I52)</f>
        <v>#DIV/0!</v>
      </c>
    </row>
    <row r="54" spans="1:12" x14ac:dyDescent="0.25">
      <c r="A54" s="27"/>
      <c r="B54" s="5">
        <f>G38/3</f>
        <v>390000</v>
      </c>
      <c r="C54" s="5">
        <f>B54</f>
        <v>390000</v>
      </c>
      <c r="D54" s="1">
        <f>D27+F40</f>
        <v>8</v>
      </c>
      <c r="E54" s="1">
        <f>SUM(F54:G54)</f>
        <v>36</v>
      </c>
      <c r="F54" s="1">
        <f>F36+F27</f>
        <v>24</v>
      </c>
      <c r="G54" s="1">
        <f>SUM(G47:G50)</f>
        <v>12</v>
      </c>
      <c r="H54" s="9" t="s">
        <v>69</v>
      </c>
      <c r="I54" s="1" t="e">
        <f>I30-I53</f>
        <v>#DIV/0!</v>
      </c>
    </row>
    <row r="56" spans="1:12" ht="15.6" x14ac:dyDescent="0.3">
      <c r="A56" s="27" t="s">
        <v>100</v>
      </c>
      <c r="B56" s="21" t="s">
        <v>24</v>
      </c>
      <c r="C56" s="21"/>
      <c r="D56" s="21"/>
      <c r="E56" s="21"/>
      <c r="F56" s="21"/>
      <c r="H56" s="22" t="s">
        <v>46</v>
      </c>
      <c r="I56" s="22"/>
      <c r="J56" s="23" t="s">
        <v>70</v>
      </c>
      <c r="K56" s="24"/>
      <c r="L56" s="24"/>
    </row>
    <row r="57" spans="1:12" x14ac:dyDescent="0.25">
      <c r="A57" s="27"/>
      <c r="B57" s="17" t="s">
        <v>0</v>
      </c>
      <c r="C57" s="17"/>
      <c r="D57" s="17"/>
      <c r="E57" s="17" t="s">
        <v>13</v>
      </c>
      <c r="F57" s="17"/>
      <c r="H57" s="1" t="s">
        <v>47</v>
      </c>
      <c r="I57" s="1">
        <f>C59*D74+C60*D75+C61*D76+C62*D77</f>
        <v>0</v>
      </c>
      <c r="J57" s="15" t="s">
        <v>74</v>
      </c>
      <c r="K57" s="1" t="s">
        <v>47</v>
      </c>
      <c r="L57" s="1">
        <f>I57</f>
        <v>0</v>
      </c>
    </row>
    <row r="58" spans="1:12" x14ac:dyDescent="0.25">
      <c r="A58" s="27"/>
      <c r="B58" s="1" t="s">
        <v>3</v>
      </c>
      <c r="C58" s="1" t="s">
        <v>1</v>
      </c>
      <c r="D58" s="1" t="s">
        <v>2</v>
      </c>
      <c r="E58" s="1" t="s">
        <v>3</v>
      </c>
      <c r="F58" s="1" t="s">
        <v>14</v>
      </c>
      <c r="G58" s="10" t="s">
        <v>94</v>
      </c>
      <c r="H58" s="1" t="s">
        <v>71</v>
      </c>
      <c r="I58" s="1">
        <f>C65</f>
        <v>0</v>
      </c>
      <c r="J58" s="15"/>
      <c r="K58" s="1" t="s">
        <v>21</v>
      </c>
      <c r="L58" s="1">
        <f>F69</f>
        <v>0</v>
      </c>
    </row>
    <row r="59" spans="1:12" x14ac:dyDescent="0.25">
      <c r="A59" s="27"/>
      <c r="B59" s="1" t="s">
        <v>4</v>
      </c>
      <c r="C59" s="2"/>
      <c r="D59" s="2"/>
      <c r="E59" s="1" t="s">
        <v>4</v>
      </c>
      <c r="F59" s="2"/>
      <c r="G59" s="2"/>
      <c r="H59" s="1" t="s">
        <v>48</v>
      </c>
      <c r="I59" s="1">
        <f>20000</f>
        <v>20000</v>
      </c>
      <c r="J59" s="15"/>
      <c r="K59" s="1" t="s">
        <v>73</v>
      </c>
      <c r="L59" s="1">
        <f>SUM(L57:L58)</f>
        <v>0</v>
      </c>
    </row>
    <row r="60" spans="1:12" x14ac:dyDescent="0.25">
      <c r="A60" s="27"/>
      <c r="B60" s="1" t="s">
        <v>5</v>
      </c>
      <c r="C60" s="2"/>
      <c r="D60" s="2"/>
      <c r="E60" s="1" t="s">
        <v>5</v>
      </c>
      <c r="F60" s="2"/>
      <c r="G60" s="8" t="s">
        <v>106</v>
      </c>
      <c r="H60" s="1" t="s">
        <v>49</v>
      </c>
      <c r="I60" s="1">
        <f>C64*1.4</f>
        <v>0</v>
      </c>
      <c r="J60" s="15" t="s">
        <v>79</v>
      </c>
      <c r="K60" s="1" t="s">
        <v>75</v>
      </c>
      <c r="L60" s="1" t="e">
        <f>I80-I61-I66-I67</f>
        <v>#DIV/0!</v>
      </c>
    </row>
    <row r="61" spans="1:12" x14ac:dyDescent="0.25">
      <c r="A61" s="27"/>
      <c r="B61" s="1" t="s">
        <v>6</v>
      </c>
      <c r="C61" s="2"/>
      <c r="D61" s="2"/>
      <c r="E61" s="1" t="s">
        <v>6</v>
      </c>
      <c r="F61" s="2"/>
      <c r="G61">
        <f>D54</f>
        <v>8</v>
      </c>
      <c r="H61" s="1" t="s">
        <v>50</v>
      </c>
      <c r="I61" s="1" t="e">
        <f>(L43+L61)/(F52+F65+F66)*C64*1.35</f>
        <v>#DIV/0!</v>
      </c>
      <c r="J61" s="15"/>
      <c r="K61" s="1" t="s">
        <v>76</v>
      </c>
      <c r="L61" s="1">
        <f>(F65+F66)*G59</f>
        <v>0</v>
      </c>
    </row>
    <row r="62" spans="1:12" x14ac:dyDescent="0.25">
      <c r="A62" s="27"/>
      <c r="B62" s="1" t="s">
        <v>7</v>
      </c>
      <c r="C62" s="2"/>
      <c r="D62" s="2"/>
      <c r="E62" s="1" t="s">
        <v>7</v>
      </c>
      <c r="F62" s="2"/>
      <c r="G62" t="s">
        <v>107</v>
      </c>
      <c r="H62" s="1" t="s">
        <v>51</v>
      </c>
      <c r="I62" s="1">
        <f>IF(F65=0,0,IF(F65&lt;=500000,40000,IF(F65&lt;=1000000,80000,IF(F65&lt;=1500000,120000,IF(F65&lt;=2000000,160000,IF(F65&gt;2000000,200000))))))</f>
        <v>0</v>
      </c>
      <c r="J62" s="15"/>
      <c r="K62" s="1" t="s">
        <v>77</v>
      </c>
      <c r="L62" s="1">
        <f>F67*500000</f>
        <v>0</v>
      </c>
    </row>
    <row r="63" spans="1:12" x14ac:dyDescent="0.25">
      <c r="A63" s="27"/>
      <c r="B63" s="17" t="s">
        <v>8</v>
      </c>
      <c r="C63" s="17"/>
      <c r="D63" s="17"/>
      <c r="E63" s="1" t="s">
        <v>15</v>
      </c>
      <c r="F63" s="2"/>
      <c r="G63">
        <f>C54*3</f>
        <v>1170000</v>
      </c>
      <c r="H63" s="1" t="s">
        <v>52</v>
      </c>
      <c r="I63" s="1">
        <f>F66</f>
        <v>0</v>
      </c>
      <c r="J63" s="15"/>
      <c r="K63" s="1" t="s">
        <v>22</v>
      </c>
      <c r="L63" s="1">
        <f>F70</f>
        <v>0</v>
      </c>
    </row>
    <row r="64" spans="1:12" x14ac:dyDescent="0.25">
      <c r="A64" s="27"/>
      <c r="B64" s="1" t="s">
        <v>9</v>
      </c>
      <c r="C64" s="13"/>
      <c r="D64" s="1"/>
      <c r="E64" s="18" t="s">
        <v>16</v>
      </c>
      <c r="F64" s="19"/>
      <c r="G64" t="s">
        <v>108</v>
      </c>
      <c r="H64" s="1" t="s">
        <v>53</v>
      </c>
      <c r="I64" s="1">
        <f>12000*D54</f>
        <v>96000</v>
      </c>
      <c r="J64" s="15"/>
      <c r="K64" s="1" t="s">
        <v>23</v>
      </c>
      <c r="L64" s="1">
        <f>F71</f>
        <v>0</v>
      </c>
    </row>
    <row r="65" spans="1:12" x14ac:dyDescent="0.25">
      <c r="A65" s="27"/>
      <c r="B65" s="1" t="s">
        <v>10</v>
      </c>
      <c r="C65" s="2"/>
      <c r="D65" s="1"/>
      <c r="E65" s="1" t="s">
        <v>17</v>
      </c>
      <c r="F65" s="13"/>
      <c r="G65">
        <f>ROUNDDOWN(G63*0.975+F67*150000,0)</f>
        <v>1140750</v>
      </c>
      <c r="H65" s="1" t="s">
        <v>54</v>
      </c>
      <c r="I65" s="1">
        <f>100000*F67</f>
        <v>0</v>
      </c>
      <c r="J65" s="15"/>
      <c r="K65" s="1" t="s">
        <v>78</v>
      </c>
      <c r="L65" s="1" t="e">
        <f>SUM(L60:L64)</f>
        <v>#DIV/0!</v>
      </c>
    </row>
    <row r="66" spans="1:12" x14ac:dyDescent="0.25">
      <c r="A66" s="27"/>
      <c r="B66" s="17" t="s">
        <v>11</v>
      </c>
      <c r="C66" s="17"/>
      <c r="D66" s="17"/>
      <c r="E66" s="1" t="s">
        <v>18</v>
      </c>
      <c r="F66" s="2">
        <v>0</v>
      </c>
      <c r="H66" s="1" t="s">
        <v>55</v>
      </c>
      <c r="I66" s="1">
        <f>L45*2.5%</f>
        <v>97500</v>
      </c>
      <c r="J66" s="16" t="s">
        <v>80</v>
      </c>
      <c r="K66" s="16"/>
      <c r="L66" s="1" t="e">
        <f>L59-L65</f>
        <v>#DIV/0!</v>
      </c>
    </row>
    <row r="67" spans="1:12" x14ac:dyDescent="0.25">
      <c r="A67" s="27"/>
      <c r="B67" s="1" t="s">
        <v>3</v>
      </c>
      <c r="C67" s="1" t="s">
        <v>12</v>
      </c>
      <c r="D67" s="1" t="s">
        <v>111</v>
      </c>
      <c r="E67" s="1" t="s">
        <v>19</v>
      </c>
      <c r="F67" s="2"/>
      <c r="H67" s="1" t="s">
        <v>72</v>
      </c>
      <c r="I67" s="13">
        <v>0</v>
      </c>
      <c r="J67" s="16" t="s">
        <v>81</v>
      </c>
      <c r="K67" s="16"/>
      <c r="L67" s="2" t="e">
        <f>IF(L75=0,L40+L66,0.5*I57)</f>
        <v>#DIV/0!</v>
      </c>
    </row>
    <row r="68" spans="1:12" x14ac:dyDescent="0.25">
      <c r="A68" s="27"/>
      <c r="B68" s="1" t="s">
        <v>4</v>
      </c>
      <c r="C68" s="2"/>
      <c r="D68" s="1">
        <f>SUM(C68:C71)</f>
        <v>0</v>
      </c>
      <c r="E68" s="18" t="s">
        <v>20</v>
      </c>
      <c r="F68" s="19"/>
      <c r="H68" s="1" t="s">
        <v>56</v>
      </c>
      <c r="I68" s="1">
        <f>SUM(D59:D62)</f>
        <v>0</v>
      </c>
      <c r="J68" s="20" t="s">
        <v>82</v>
      </c>
      <c r="K68" s="20"/>
      <c r="L68" s="20"/>
    </row>
    <row r="69" spans="1:12" x14ac:dyDescent="0.25">
      <c r="A69" s="27"/>
      <c r="B69" s="1" t="s">
        <v>5</v>
      </c>
      <c r="C69" s="2"/>
      <c r="D69" s="1" t="s">
        <v>112</v>
      </c>
      <c r="E69" s="1" t="s">
        <v>21</v>
      </c>
      <c r="F69" s="13"/>
      <c r="H69" s="1" t="s">
        <v>57</v>
      </c>
      <c r="I69" s="1">
        <f>0.4*C68+0.1*C69+0.4*C70+0.5*C71</f>
        <v>0</v>
      </c>
      <c r="J69" s="15" t="s">
        <v>92</v>
      </c>
      <c r="K69" s="1" t="s">
        <v>83</v>
      </c>
      <c r="L69" s="1" t="e">
        <f>L67</f>
        <v>#DIV/0!</v>
      </c>
    </row>
    <row r="70" spans="1:12" x14ac:dyDescent="0.25">
      <c r="A70" s="27"/>
      <c r="B70" s="1" t="s">
        <v>6</v>
      </c>
      <c r="C70" s="2"/>
      <c r="D70" s="1">
        <f>C64-D68</f>
        <v>0</v>
      </c>
      <c r="E70" s="1" t="s">
        <v>22</v>
      </c>
      <c r="F70" s="2"/>
      <c r="H70" s="1" t="s">
        <v>58</v>
      </c>
      <c r="I70" s="2">
        <v>0</v>
      </c>
      <c r="J70" s="15"/>
      <c r="K70" s="1" t="s">
        <v>84</v>
      </c>
      <c r="L70" s="1" t="e">
        <f>(L43+L61)/(F52+F65+F66)*F79</f>
        <v>#DIV/0!</v>
      </c>
    </row>
    <row r="71" spans="1:12" x14ac:dyDescent="0.25">
      <c r="A71" s="27"/>
      <c r="B71" s="3" t="s">
        <v>7</v>
      </c>
      <c r="C71" s="2"/>
      <c r="D71" s="3"/>
      <c r="E71" s="3" t="s">
        <v>23</v>
      </c>
      <c r="F71" s="2"/>
      <c r="H71" s="1" t="s">
        <v>59</v>
      </c>
      <c r="I71" s="1">
        <f>500*(F59+F60+F61+F62+F63)</f>
        <v>0</v>
      </c>
      <c r="J71" s="15"/>
      <c r="K71" s="1" t="s">
        <v>85</v>
      </c>
      <c r="L71" s="1">
        <f>4*E79</f>
        <v>0</v>
      </c>
    </row>
    <row r="72" spans="1:12" ht="15.6" x14ac:dyDescent="0.3">
      <c r="A72" s="27"/>
      <c r="B72" s="25" t="s">
        <v>25</v>
      </c>
      <c r="C72" s="25"/>
      <c r="D72" s="25"/>
      <c r="E72" s="25"/>
      <c r="F72" s="25"/>
      <c r="G72" s="26"/>
      <c r="H72" s="1" t="s">
        <v>60</v>
      </c>
      <c r="I72" s="1">
        <f>1000*(F59+F60+F61+F62+F63)</f>
        <v>0</v>
      </c>
      <c r="J72" s="15"/>
      <c r="K72" s="1" t="s">
        <v>86</v>
      </c>
      <c r="L72" s="1">
        <f>C81*10</f>
        <v>3802500</v>
      </c>
    </row>
    <row r="73" spans="1:12" x14ac:dyDescent="0.25">
      <c r="A73" s="27"/>
      <c r="B73" s="1" t="s">
        <v>44</v>
      </c>
      <c r="C73" s="1" t="s">
        <v>26</v>
      </c>
      <c r="D73" s="1" t="s">
        <v>45</v>
      </c>
      <c r="E73" s="1" t="s">
        <v>27</v>
      </c>
      <c r="F73" s="1" t="s">
        <v>28</v>
      </c>
      <c r="G73" s="6" t="s">
        <v>29</v>
      </c>
      <c r="H73" s="7" t="s">
        <v>61</v>
      </c>
      <c r="I73" s="1">
        <f>9000*G54+7500*F54+4500*SUM(F59:F62)+3750*F63</f>
        <v>288000</v>
      </c>
      <c r="J73" s="15"/>
      <c r="K73" s="1" t="s">
        <v>87</v>
      </c>
      <c r="L73" s="1" t="e">
        <f>SUM(L69:L72)</f>
        <v>#DIV/0!</v>
      </c>
    </row>
    <row r="74" spans="1:12" x14ac:dyDescent="0.25">
      <c r="A74" s="27"/>
      <c r="B74" s="1" t="s">
        <v>30</v>
      </c>
      <c r="C74" s="5"/>
      <c r="D74" s="5">
        <f>C68</f>
        <v>0</v>
      </c>
      <c r="E74" s="1"/>
      <c r="F74" s="1"/>
      <c r="G74" s="6">
        <f>G47+F59</f>
        <v>3</v>
      </c>
      <c r="H74" s="7" t="s">
        <v>62</v>
      </c>
      <c r="I74" s="1" t="e">
        <f>L43*10%</f>
        <v>#DIV/0!</v>
      </c>
      <c r="J74" s="15" t="s">
        <v>91</v>
      </c>
      <c r="K74" s="1" t="s">
        <v>88</v>
      </c>
      <c r="L74" s="1">
        <f>L47+F69-F70</f>
        <v>0</v>
      </c>
    </row>
    <row r="75" spans="1:12" x14ac:dyDescent="0.25">
      <c r="A75" s="27"/>
      <c r="B75" s="1" t="s">
        <v>31</v>
      </c>
      <c r="C75" s="5"/>
      <c r="D75" s="5">
        <f>C69</f>
        <v>0</v>
      </c>
      <c r="E75" s="1"/>
      <c r="F75" s="5"/>
      <c r="G75" s="6">
        <f>G48+F60</f>
        <v>3</v>
      </c>
      <c r="H75" s="7" t="s">
        <v>63</v>
      </c>
      <c r="I75" s="8">
        <f>0.5*E79</f>
        <v>0</v>
      </c>
      <c r="J75" s="15"/>
      <c r="K75" s="1" t="s">
        <v>89</v>
      </c>
      <c r="L75" s="1" t="e">
        <f>IF(I57*0.5-L40-L66&lt;0,0,I57*0.5-L40-L66)</f>
        <v>#DIV/0!</v>
      </c>
    </row>
    <row r="76" spans="1:12" x14ac:dyDescent="0.25">
      <c r="A76" s="27"/>
      <c r="B76" s="1" t="s">
        <v>32</v>
      </c>
      <c r="C76" s="5"/>
      <c r="D76" s="5">
        <f>C70</f>
        <v>0</v>
      </c>
      <c r="E76" s="1"/>
      <c r="F76" s="5"/>
      <c r="G76" s="6">
        <f>G49+F61</f>
        <v>3</v>
      </c>
      <c r="H76" s="7" t="s">
        <v>64</v>
      </c>
      <c r="I76" s="1" t="e">
        <f>(L47+F69-F70)*$H$1/4+L48*$H$1</f>
        <v>#DIV/0!</v>
      </c>
      <c r="J76" s="15"/>
      <c r="K76" s="1" t="s">
        <v>90</v>
      </c>
      <c r="L76" s="1" t="e">
        <f>SUM(L74:L75)</f>
        <v>#DIV/0!</v>
      </c>
    </row>
    <row r="77" spans="1:12" x14ac:dyDescent="0.25">
      <c r="A77" s="27"/>
      <c r="B77" s="1" t="s">
        <v>33</v>
      </c>
      <c r="C77" s="5"/>
      <c r="D77" s="5">
        <f>C71</f>
        <v>0</v>
      </c>
      <c r="E77" s="1"/>
      <c r="F77" s="5"/>
      <c r="G77" s="6">
        <f>G50+F62</f>
        <v>3</v>
      </c>
      <c r="H77" s="7" t="s">
        <v>65</v>
      </c>
      <c r="I77" s="1">
        <f>(I57/(1+$B$1))*$B$1</f>
        <v>0</v>
      </c>
      <c r="J77" s="16" t="s">
        <v>93</v>
      </c>
      <c r="K77" s="16"/>
      <c r="L77" s="1" t="e">
        <f>L50+I81</f>
        <v>#DIV/0!</v>
      </c>
    </row>
    <row r="78" spans="1:12" x14ac:dyDescent="0.25">
      <c r="A78" s="27"/>
      <c r="B78" s="1" t="s">
        <v>34</v>
      </c>
      <c r="C78" s="1" t="s">
        <v>35</v>
      </c>
      <c r="D78" s="1" t="s">
        <v>36</v>
      </c>
      <c r="E78" s="1" t="s">
        <v>28</v>
      </c>
      <c r="F78" s="1" t="s">
        <v>37</v>
      </c>
      <c r="G78" s="6" t="s">
        <v>38</v>
      </c>
      <c r="H78" s="7" t="s">
        <v>66</v>
      </c>
      <c r="I78" s="1">
        <f>I77*$D$1</f>
        <v>0</v>
      </c>
    </row>
    <row r="79" spans="1:12" x14ac:dyDescent="0.25">
      <c r="A79" s="27"/>
      <c r="B79" s="5"/>
      <c r="C79" s="5">
        <f>C64</f>
        <v>0</v>
      </c>
      <c r="D79" s="5">
        <f>SUM(D74:D77)</f>
        <v>0</v>
      </c>
      <c r="E79" s="5">
        <v>0</v>
      </c>
      <c r="F79" s="1"/>
      <c r="G79" s="6"/>
      <c r="H79" s="8" t="s">
        <v>67</v>
      </c>
      <c r="I79" s="1" t="e">
        <f>IF((I77/$B$1-SUM(I58:I76)-I78)*$F$1&gt;0,(I77/$B$1-SUM(I58:I76)-I78)*$F$1,0)</f>
        <v>#DIV/0!</v>
      </c>
    </row>
    <row r="80" spans="1:12" x14ac:dyDescent="0.25">
      <c r="A80" s="27"/>
      <c r="B80" s="1" t="s">
        <v>39</v>
      </c>
      <c r="C80" s="1" t="s">
        <v>40</v>
      </c>
      <c r="D80" s="1" t="s">
        <v>41</v>
      </c>
      <c r="E80" s="1" t="s">
        <v>42</v>
      </c>
      <c r="F80" s="1" t="s">
        <v>43</v>
      </c>
      <c r="G80" s="6" t="s">
        <v>29</v>
      </c>
      <c r="H80" s="9" t="s">
        <v>68</v>
      </c>
      <c r="I80" s="1" t="e">
        <f>SUM(I58:I79)</f>
        <v>#DIV/0!</v>
      </c>
    </row>
    <row r="81" spans="1:12" x14ac:dyDescent="0.25">
      <c r="A81" s="27"/>
      <c r="B81" s="5">
        <f>G65/3</f>
        <v>380250</v>
      </c>
      <c r="C81" s="5">
        <f>B81</f>
        <v>380250</v>
      </c>
      <c r="D81" s="1">
        <f>D54+F67</f>
        <v>8</v>
      </c>
      <c r="E81" s="1">
        <f>SUM(F81:G81)</f>
        <v>36</v>
      </c>
      <c r="F81" s="1">
        <f>F63+F54</f>
        <v>24</v>
      </c>
      <c r="G81" s="1">
        <f>SUM(G74:G77)</f>
        <v>12</v>
      </c>
      <c r="H81" s="9" t="s">
        <v>69</v>
      </c>
      <c r="I81" s="1" t="e">
        <f>I57-I80</f>
        <v>#DIV/0!</v>
      </c>
    </row>
    <row r="83" spans="1:12" ht="15.6" x14ac:dyDescent="0.3">
      <c r="A83" s="27" t="s">
        <v>101</v>
      </c>
      <c r="B83" s="21" t="s">
        <v>24</v>
      </c>
      <c r="C83" s="21"/>
      <c r="D83" s="21"/>
      <c r="E83" s="21"/>
      <c r="F83" s="21"/>
      <c r="H83" s="22" t="s">
        <v>46</v>
      </c>
      <c r="I83" s="22"/>
      <c r="J83" s="23" t="s">
        <v>70</v>
      </c>
      <c r="K83" s="24"/>
      <c r="L83" s="24"/>
    </row>
    <row r="84" spans="1:12" x14ac:dyDescent="0.25">
      <c r="A84" s="27"/>
      <c r="B84" s="17" t="s">
        <v>0</v>
      </c>
      <c r="C84" s="17"/>
      <c r="D84" s="17"/>
      <c r="E84" s="17" t="s">
        <v>13</v>
      </c>
      <c r="F84" s="17"/>
      <c r="H84" s="1" t="s">
        <v>47</v>
      </c>
      <c r="I84" s="1">
        <f>C86*D101+C87*D102+C88*D103+C89*D104</f>
        <v>0</v>
      </c>
      <c r="J84" s="15" t="s">
        <v>74</v>
      </c>
      <c r="K84" s="1" t="s">
        <v>47</v>
      </c>
      <c r="L84" s="1">
        <f>I84</f>
        <v>0</v>
      </c>
    </row>
    <row r="85" spans="1:12" x14ac:dyDescent="0.25">
      <c r="A85" s="27"/>
      <c r="B85" s="1" t="s">
        <v>3</v>
      </c>
      <c r="C85" s="1" t="s">
        <v>1</v>
      </c>
      <c r="D85" s="1" t="s">
        <v>2</v>
      </c>
      <c r="E85" s="1" t="s">
        <v>3</v>
      </c>
      <c r="F85" s="1" t="s">
        <v>14</v>
      </c>
      <c r="G85" s="10" t="s">
        <v>94</v>
      </c>
      <c r="H85" s="1" t="s">
        <v>71</v>
      </c>
      <c r="I85" s="1">
        <f>C92</f>
        <v>0</v>
      </c>
      <c r="J85" s="15"/>
      <c r="K85" s="1" t="s">
        <v>21</v>
      </c>
      <c r="L85" s="1">
        <f>F96</f>
        <v>0</v>
      </c>
    </row>
    <row r="86" spans="1:12" x14ac:dyDescent="0.25">
      <c r="A86" s="27"/>
      <c r="B86" s="1" t="s">
        <v>4</v>
      </c>
      <c r="C86" s="2"/>
      <c r="D86" s="2"/>
      <c r="E86" s="1" t="s">
        <v>4</v>
      </c>
      <c r="F86" s="2"/>
      <c r="G86" s="2"/>
      <c r="H86" s="1" t="s">
        <v>48</v>
      </c>
      <c r="I86" s="1">
        <f>20000</f>
        <v>20000</v>
      </c>
      <c r="J86" s="15"/>
      <c r="K86" s="1" t="s">
        <v>73</v>
      </c>
      <c r="L86" s="1">
        <f>SUM(L84:L85)</f>
        <v>0</v>
      </c>
    </row>
    <row r="87" spans="1:12" x14ac:dyDescent="0.25">
      <c r="A87" s="27"/>
      <c r="B87" s="1" t="s">
        <v>5</v>
      </c>
      <c r="C87" s="2"/>
      <c r="D87" s="2"/>
      <c r="E87" s="1" t="s">
        <v>5</v>
      </c>
      <c r="F87" s="2"/>
      <c r="G87" s="8" t="s">
        <v>106</v>
      </c>
      <c r="H87" s="1" t="s">
        <v>49</v>
      </c>
      <c r="I87" s="1">
        <f>C91*1.4</f>
        <v>0</v>
      </c>
      <c r="J87" s="15" t="s">
        <v>79</v>
      </c>
      <c r="K87" s="1" t="s">
        <v>75</v>
      </c>
      <c r="L87" s="1" t="e">
        <f>I107-I88-I93-I94</f>
        <v>#DIV/0!</v>
      </c>
    </row>
    <row r="88" spans="1:12" x14ac:dyDescent="0.25">
      <c r="A88" s="27"/>
      <c r="B88" s="1" t="s">
        <v>6</v>
      </c>
      <c r="C88" s="2"/>
      <c r="D88" s="2"/>
      <c r="E88" s="1" t="s">
        <v>6</v>
      </c>
      <c r="F88" s="2"/>
      <c r="G88">
        <f>D81</f>
        <v>8</v>
      </c>
      <c r="H88" s="1" t="s">
        <v>50</v>
      </c>
      <c r="I88" s="1" t="e">
        <f>(L70+L88)/(F79+F92+F93)*C91*1.35</f>
        <v>#DIV/0!</v>
      </c>
      <c r="J88" s="15"/>
      <c r="K88" s="1" t="s">
        <v>76</v>
      </c>
      <c r="L88" s="1">
        <f>(F92+F93)*G86</f>
        <v>0</v>
      </c>
    </row>
    <row r="89" spans="1:12" x14ac:dyDescent="0.25">
      <c r="A89" s="27"/>
      <c r="B89" s="1" t="s">
        <v>7</v>
      </c>
      <c r="C89" s="2"/>
      <c r="D89" s="2"/>
      <c r="E89" s="1" t="s">
        <v>7</v>
      </c>
      <c r="F89" s="2"/>
      <c r="G89" t="s">
        <v>107</v>
      </c>
      <c r="H89" s="1" t="s">
        <v>51</v>
      </c>
      <c r="I89" s="1">
        <f>IF(F92=0,0,IF(F92&lt;=500000,40000,IF(F92&lt;=1000000,80000,IF(F92&lt;=1500000,120000,IF(F92&lt;=2000000,160000,IF(F92&gt;2000000,200000))))))</f>
        <v>0</v>
      </c>
      <c r="J89" s="15"/>
      <c r="K89" s="1" t="s">
        <v>77</v>
      </c>
      <c r="L89" s="1">
        <f>F94*500000</f>
        <v>0</v>
      </c>
    </row>
    <row r="90" spans="1:12" x14ac:dyDescent="0.25">
      <c r="A90" s="27"/>
      <c r="B90" s="17" t="s">
        <v>8</v>
      </c>
      <c r="C90" s="17"/>
      <c r="D90" s="17"/>
      <c r="E90" s="1" t="s">
        <v>15</v>
      </c>
      <c r="F90" s="2"/>
      <c r="G90">
        <f>C81*3</f>
        <v>1140750</v>
      </c>
      <c r="H90" s="1" t="s">
        <v>52</v>
      </c>
      <c r="I90" s="1">
        <f>F93</f>
        <v>0</v>
      </c>
      <c r="J90" s="15"/>
      <c r="K90" s="1" t="s">
        <v>22</v>
      </c>
      <c r="L90" s="1">
        <f>F97</f>
        <v>0</v>
      </c>
    </row>
    <row r="91" spans="1:12" x14ac:dyDescent="0.25">
      <c r="A91" s="27"/>
      <c r="B91" s="1" t="s">
        <v>9</v>
      </c>
      <c r="C91" s="2"/>
      <c r="D91" s="1"/>
      <c r="E91" s="18" t="s">
        <v>16</v>
      </c>
      <c r="F91" s="19"/>
      <c r="G91" t="s">
        <v>108</v>
      </c>
      <c r="H91" s="1" t="s">
        <v>53</v>
      </c>
      <c r="I91" s="1">
        <f>12000*D81</f>
        <v>96000</v>
      </c>
      <c r="J91" s="15"/>
      <c r="K91" s="1" t="s">
        <v>23</v>
      </c>
      <c r="L91" s="1">
        <f>F98</f>
        <v>0</v>
      </c>
    </row>
    <row r="92" spans="1:12" x14ac:dyDescent="0.25">
      <c r="A92" s="27"/>
      <c r="B92" s="1" t="s">
        <v>10</v>
      </c>
      <c r="C92" s="2"/>
      <c r="D92" s="1"/>
      <c r="E92" s="1" t="s">
        <v>17</v>
      </c>
      <c r="F92" s="2"/>
      <c r="G92">
        <f>ROUNDDOWN(G90*0.975+F94*150000,0)</f>
        <v>1112231</v>
      </c>
      <c r="H92" s="1" t="s">
        <v>54</v>
      </c>
      <c r="I92" s="1">
        <f>100000*F94</f>
        <v>0</v>
      </c>
      <c r="J92" s="15"/>
      <c r="K92" s="1" t="s">
        <v>78</v>
      </c>
      <c r="L92" s="1" t="e">
        <f>SUM(L87:L91)</f>
        <v>#DIV/0!</v>
      </c>
    </row>
    <row r="93" spans="1:12" x14ac:dyDescent="0.25">
      <c r="A93" s="27"/>
      <c r="B93" s="17" t="s">
        <v>11</v>
      </c>
      <c r="C93" s="17"/>
      <c r="D93" s="17"/>
      <c r="E93" s="1" t="s">
        <v>18</v>
      </c>
      <c r="F93" s="2"/>
      <c r="G93" s="14" t="s">
        <v>110</v>
      </c>
      <c r="H93" s="1" t="s">
        <v>55</v>
      </c>
      <c r="I93" s="1">
        <f>L72*2.5%</f>
        <v>95062.5</v>
      </c>
      <c r="J93" s="16" t="s">
        <v>80</v>
      </c>
      <c r="K93" s="16"/>
      <c r="L93" s="1" t="e">
        <f>L86-L92</f>
        <v>#DIV/0!</v>
      </c>
    </row>
    <row r="94" spans="1:12" x14ac:dyDescent="0.25">
      <c r="A94" s="27"/>
      <c r="B94" s="1" t="s">
        <v>3</v>
      </c>
      <c r="C94" s="1" t="s">
        <v>12</v>
      </c>
      <c r="D94" s="1" t="s">
        <v>111</v>
      </c>
      <c r="E94" s="1" t="s">
        <v>19</v>
      </c>
      <c r="F94" s="2"/>
      <c r="G94">
        <f>(G117+G144)*1.35</f>
        <v>2965485.6</v>
      </c>
      <c r="H94" s="1" t="s">
        <v>72</v>
      </c>
      <c r="I94" s="2">
        <v>0</v>
      </c>
      <c r="J94" s="16" t="s">
        <v>81</v>
      </c>
      <c r="K94" s="16"/>
      <c r="L94" s="2" t="e">
        <f>IF(L102=0,L67+L93,0.5*I84)</f>
        <v>#DIV/0!</v>
      </c>
    </row>
    <row r="95" spans="1:12" x14ac:dyDescent="0.25">
      <c r="A95" s="27"/>
      <c r="B95" s="1" t="s">
        <v>4</v>
      </c>
      <c r="C95" s="2"/>
      <c r="D95" s="1">
        <f>SUM(C95:C98)</f>
        <v>0</v>
      </c>
      <c r="E95" s="18" t="s">
        <v>20</v>
      </c>
      <c r="F95" s="19"/>
      <c r="H95" s="1" t="s">
        <v>56</v>
      </c>
      <c r="I95" s="1">
        <f>SUM(D86:D89)</f>
        <v>0</v>
      </c>
      <c r="J95" s="20" t="s">
        <v>82</v>
      </c>
      <c r="K95" s="20"/>
      <c r="L95" s="20"/>
    </row>
    <row r="96" spans="1:12" x14ac:dyDescent="0.25">
      <c r="A96" s="27"/>
      <c r="B96" s="1" t="s">
        <v>5</v>
      </c>
      <c r="C96" s="2"/>
      <c r="D96" s="1" t="s">
        <v>112</v>
      </c>
      <c r="E96" s="1" t="s">
        <v>21</v>
      </c>
      <c r="F96" s="2"/>
      <c r="H96" s="1" t="s">
        <v>57</v>
      </c>
      <c r="I96" s="1">
        <f>0.4*C95+0.1*C96+0.4*C97+0.5*C98</f>
        <v>0</v>
      </c>
      <c r="J96" s="15" t="s">
        <v>92</v>
      </c>
      <c r="K96" s="1" t="s">
        <v>83</v>
      </c>
      <c r="L96" s="1" t="e">
        <f>L94</f>
        <v>#DIV/0!</v>
      </c>
    </row>
    <row r="97" spans="1:12" x14ac:dyDescent="0.25">
      <c r="A97" s="27"/>
      <c r="B97" s="1" t="s">
        <v>6</v>
      </c>
      <c r="C97" s="2"/>
      <c r="D97" s="1">
        <f>C91-D95</f>
        <v>0</v>
      </c>
      <c r="E97" s="1" t="s">
        <v>22</v>
      </c>
      <c r="F97" s="2"/>
      <c r="H97" s="1" t="s">
        <v>58</v>
      </c>
      <c r="I97" s="2">
        <v>0</v>
      </c>
      <c r="J97" s="15"/>
      <c r="K97" s="1" t="s">
        <v>84</v>
      </c>
      <c r="L97" s="1" t="e">
        <f>(L70+L88)/(F79+F92+F93)*F106</f>
        <v>#DIV/0!</v>
      </c>
    </row>
    <row r="98" spans="1:12" x14ac:dyDescent="0.25">
      <c r="A98" s="27"/>
      <c r="B98" s="3" t="s">
        <v>7</v>
      </c>
      <c r="C98" s="2"/>
      <c r="D98" s="3"/>
      <c r="E98" s="3" t="s">
        <v>23</v>
      </c>
      <c r="F98" s="2"/>
      <c r="H98" s="1" t="s">
        <v>59</v>
      </c>
      <c r="I98" s="1">
        <f>500*(F86+F87+F88+F89+F90)</f>
        <v>0</v>
      </c>
      <c r="J98" s="15"/>
      <c r="K98" s="1" t="s">
        <v>85</v>
      </c>
      <c r="L98" s="1">
        <f>4*E106</f>
        <v>0</v>
      </c>
    </row>
    <row r="99" spans="1:12" ht="15.6" x14ac:dyDescent="0.3">
      <c r="A99" s="27"/>
      <c r="B99" s="25" t="s">
        <v>25</v>
      </c>
      <c r="C99" s="25"/>
      <c r="D99" s="25"/>
      <c r="E99" s="25"/>
      <c r="F99" s="25"/>
      <c r="G99" s="26"/>
      <c r="H99" s="1" t="s">
        <v>60</v>
      </c>
      <c r="I99" s="1">
        <f>1000*(F86+F87+F88+F89+F90)</f>
        <v>0</v>
      </c>
      <c r="J99" s="15"/>
      <c r="K99" s="1" t="s">
        <v>86</v>
      </c>
      <c r="L99" s="1">
        <f>C108*10</f>
        <v>3707436.666666667</v>
      </c>
    </row>
    <row r="100" spans="1:12" x14ac:dyDescent="0.25">
      <c r="A100" s="27"/>
      <c r="B100" s="1" t="s">
        <v>44</v>
      </c>
      <c r="C100" s="1" t="s">
        <v>26</v>
      </c>
      <c r="D100" s="1" t="s">
        <v>45</v>
      </c>
      <c r="E100" s="1" t="s">
        <v>27</v>
      </c>
      <c r="F100" s="1" t="s">
        <v>28</v>
      </c>
      <c r="G100" s="6" t="s">
        <v>29</v>
      </c>
      <c r="H100" s="7" t="s">
        <v>61</v>
      </c>
      <c r="I100" s="1">
        <f>9000*G81+7500*F81+4500*SUM(F86:F89)+3750*F90</f>
        <v>288000</v>
      </c>
      <c r="J100" s="15"/>
      <c r="K100" s="1" t="s">
        <v>87</v>
      </c>
      <c r="L100" s="1" t="e">
        <f>SUM(L96:L99)</f>
        <v>#DIV/0!</v>
      </c>
    </row>
    <row r="101" spans="1:12" x14ac:dyDescent="0.25">
      <c r="A101" s="27"/>
      <c r="B101" s="1" t="s">
        <v>30</v>
      </c>
      <c r="C101" s="5"/>
      <c r="D101" s="5">
        <f>C95</f>
        <v>0</v>
      </c>
      <c r="E101" s="1"/>
      <c r="F101" s="1"/>
      <c r="G101" s="6">
        <f>G74+F86</f>
        <v>3</v>
      </c>
      <c r="H101" s="7" t="s">
        <v>62</v>
      </c>
      <c r="I101" s="1" t="e">
        <f>L70*10%</f>
        <v>#DIV/0!</v>
      </c>
      <c r="J101" s="15" t="s">
        <v>91</v>
      </c>
      <c r="K101" s="1" t="s">
        <v>88</v>
      </c>
      <c r="L101" s="1">
        <f>L74+F96-F97</f>
        <v>0</v>
      </c>
    </row>
    <row r="102" spans="1:12" x14ac:dyDescent="0.25">
      <c r="A102" s="27"/>
      <c r="B102" s="1" t="s">
        <v>31</v>
      </c>
      <c r="C102" s="5"/>
      <c r="D102" s="5">
        <f>C96</f>
        <v>0</v>
      </c>
      <c r="E102" s="1"/>
      <c r="F102" s="5"/>
      <c r="G102" s="6">
        <f>G75+F87</f>
        <v>3</v>
      </c>
      <c r="H102" s="7" t="s">
        <v>63</v>
      </c>
      <c r="I102" s="8">
        <f>0.5*E106</f>
        <v>0</v>
      </c>
      <c r="J102" s="15"/>
      <c r="K102" s="1" t="s">
        <v>89</v>
      </c>
      <c r="L102" s="1" t="e">
        <f>IF(I84*0.5-L67-L93&lt;0,0,I84*0.5-L67-L93)</f>
        <v>#DIV/0!</v>
      </c>
    </row>
    <row r="103" spans="1:12" x14ac:dyDescent="0.25">
      <c r="A103" s="27"/>
      <c r="B103" s="1" t="s">
        <v>32</v>
      </c>
      <c r="C103" s="5"/>
      <c r="D103" s="5">
        <f>C97</f>
        <v>0</v>
      </c>
      <c r="E103" s="1"/>
      <c r="F103" s="5"/>
      <c r="G103" s="6">
        <f>G76+F88</f>
        <v>3</v>
      </c>
      <c r="H103" s="7" t="s">
        <v>64</v>
      </c>
      <c r="I103" s="1" t="e">
        <f>(L74+F96-F97)*$H$1/4+L75*$H$1</f>
        <v>#DIV/0!</v>
      </c>
      <c r="J103" s="15"/>
      <c r="K103" s="1" t="s">
        <v>90</v>
      </c>
      <c r="L103" s="1" t="e">
        <f>SUM(L101:L102)</f>
        <v>#DIV/0!</v>
      </c>
    </row>
    <row r="104" spans="1:12" x14ac:dyDescent="0.25">
      <c r="A104" s="27"/>
      <c r="B104" s="1" t="s">
        <v>33</v>
      </c>
      <c r="C104" s="5"/>
      <c r="D104" s="5">
        <f>C98</f>
        <v>0</v>
      </c>
      <c r="E104" s="1"/>
      <c r="F104" s="5"/>
      <c r="G104" s="6">
        <f>G77+F89</f>
        <v>3</v>
      </c>
      <c r="H104" s="7" t="s">
        <v>65</v>
      </c>
      <c r="I104" s="1">
        <f>(I84/(1+$B$1))*$B$1</f>
        <v>0</v>
      </c>
      <c r="J104" s="16" t="s">
        <v>93</v>
      </c>
      <c r="K104" s="16"/>
      <c r="L104" s="1" t="e">
        <f>L77+I108</f>
        <v>#DIV/0!</v>
      </c>
    </row>
    <row r="105" spans="1:12" x14ac:dyDescent="0.25">
      <c r="A105" s="27"/>
      <c r="B105" s="1" t="s">
        <v>34</v>
      </c>
      <c r="C105" s="1" t="s">
        <v>35</v>
      </c>
      <c r="D105" s="1" t="s">
        <v>36</v>
      </c>
      <c r="E105" s="1" t="s">
        <v>28</v>
      </c>
      <c r="F105" s="1" t="s">
        <v>37</v>
      </c>
      <c r="G105" s="6" t="s">
        <v>38</v>
      </c>
      <c r="H105" s="7" t="s">
        <v>66</v>
      </c>
      <c r="I105" s="1">
        <f>I104*$D$1</f>
        <v>0</v>
      </c>
    </row>
    <row r="106" spans="1:12" x14ac:dyDescent="0.25">
      <c r="A106" s="27"/>
      <c r="B106" s="5"/>
      <c r="C106" s="5">
        <f>C91</f>
        <v>0</v>
      </c>
      <c r="D106" s="5">
        <f>SUM(D101:D104)</f>
        <v>0</v>
      </c>
      <c r="E106" s="5">
        <v>0</v>
      </c>
      <c r="F106" s="1"/>
      <c r="G106" s="6"/>
      <c r="H106" s="8" t="s">
        <v>67</v>
      </c>
      <c r="I106" s="1" t="e">
        <f>IF((I104/$B$1-SUM(I85:I103)-I105)*$F$1&gt;0,(I104/$B$1-SUM(I85:I103)-I105)*$F$1,0)</f>
        <v>#DIV/0!</v>
      </c>
    </row>
    <row r="107" spans="1:12" x14ac:dyDescent="0.25">
      <c r="A107" s="27"/>
      <c r="B107" s="1" t="s">
        <v>39</v>
      </c>
      <c r="C107" s="1" t="s">
        <v>40</v>
      </c>
      <c r="D107" s="1" t="s">
        <v>41</v>
      </c>
      <c r="E107" s="1" t="s">
        <v>42</v>
      </c>
      <c r="F107" s="1" t="s">
        <v>43</v>
      </c>
      <c r="G107" s="6" t="s">
        <v>29</v>
      </c>
      <c r="H107" s="9" t="s">
        <v>68</v>
      </c>
      <c r="I107" s="1" t="e">
        <f>SUM(I85:I106)</f>
        <v>#DIV/0!</v>
      </c>
    </row>
    <row r="108" spans="1:12" x14ac:dyDescent="0.25">
      <c r="A108" s="27"/>
      <c r="B108" s="5">
        <f>G92/3</f>
        <v>370743.66666666669</v>
      </c>
      <c r="C108" s="5">
        <f>B108</f>
        <v>370743.66666666669</v>
      </c>
      <c r="D108" s="1">
        <f>D81+F94</f>
        <v>8</v>
      </c>
      <c r="E108" s="1">
        <f>SUM(F108:G108)</f>
        <v>36</v>
      </c>
      <c r="F108" s="1">
        <f>F90+F81</f>
        <v>24</v>
      </c>
      <c r="G108" s="1">
        <f>SUM(G101:G104)</f>
        <v>12</v>
      </c>
      <c r="H108" s="9" t="s">
        <v>69</v>
      </c>
      <c r="I108" s="1" t="e">
        <f>I84-I107</f>
        <v>#DIV/0!</v>
      </c>
    </row>
    <row r="110" spans="1:12" ht="15.6" x14ac:dyDescent="0.3">
      <c r="A110" s="27" t="s">
        <v>102</v>
      </c>
      <c r="B110" s="21" t="s">
        <v>24</v>
      </c>
      <c r="C110" s="21"/>
      <c r="D110" s="21"/>
      <c r="E110" s="21"/>
      <c r="F110" s="21"/>
      <c r="H110" s="22" t="s">
        <v>46</v>
      </c>
      <c r="I110" s="22"/>
      <c r="J110" s="23" t="s">
        <v>70</v>
      </c>
      <c r="K110" s="24"/>
      <c r="L110" s="24"/>
    </row>
    <row r="111" spans="1:12" x14ac:dyDescent="0.25">
      <c r="A111" s="27"/>
      <c r="B111" s="17" t="s">
        <v>0</v>
      </c>
      <c r="C111" s="17"/>
      <c r="D111" s="17"/>
      <c r="E111" s="17" t="s">
        <v>13</v>
      </c>
      <c r="F111" s="17"/>
      <c r="H111" s="1" t="s">
        <v>47</v>
      </c>
      <c r="I111" s="1">
        <f>C113*D128+C114*D129+C115*D130+C116*D131</f>
        <v>0</v>
      </c>
      <c r="J111" s="15" t="s">
        <v>74</v>
      </c>
      <c r="K111" s="1" t="s">
        <v>47</v>
      </c>
      <c r="L111" s="1">
        <f>I111</f>
        <v>0</v>
      </c>
    </row>
    <row r="112" spans="1:12" x14ac:dyDescent="0.25">
      <c r="A112" s="27"/>
      <c r="B112" s="1" t="s">
        <v>3</v>
      </c>
      <c r="C112" s="1" t="s">
        <v>1</v>
      </c>
      <c r="D112" s="1" t="s">
        <v>2</v>
      </c>
      <c r="E112" s="1" t="s">
        <v>3</v>
      </c>
      <c r="F112" s="1" t="s">
        <v>14</v>
      </c>
      <c r="G112" s="10" t="s">
        <v>94</v>
      </c>
      <c r="H112" s="1" t="s">
        <v>71</v>
      </c>
      <c r="I112" s="1">
        <f>C119</f>
        <v>0</v>
      </c>
      <c r="J112" s="15"/>
      <c r="K112" s="1" t="s">
        <v>21</v>
      </c>
      <c r="L112" s="1">
        <f>F123</f>
        <v>0</v>
      </c>
    </row>
    <row r="113" spans="1:12" x14ac:dyDescent="0.25">
      <c r="A113" s="27"/>
      <c r="B113" s="1" t="s">
        <v>4</v>
      </c>
      <c r="C113" s="2"/>
      <c r="D113" s="2"/>
      <c r="E113" s="1" t="s">
        <v>4</v>
      </c>
      <c r="F113" s="2"/>
      <c r="G113" s="2"/>
      <c r="H113" s="1" t="s">
        <v>48</v>
      </c>
      <c r="I113" s="1">
        <f>20000</f>
        <v>20000</v>
      </c>
      <c r="J113" s="15"/>
      <c r="K113" s="1" t="s">
        <v>73</v>
      </c>
      <c r="L113" s="1">
        <f>SUM(L111:L112)</f>
        <v>0</v>
      </c>
    </row>
    <row r="114" spans="1:12" x14ac:dyDescent="0.25">
      <c r="A114" s="27"/>
      <c r="B114" s="1" t="s">
        <v>5</v>
      </c>
      <c r="C114" s="2"/>
      <c r="D114" s="2"/>
      <c r="E114" s="1" t="s">
        <v>5</v>
      </c>
      <c r="F114" s="2"/>
      <c r="G114" s="8" t="s">
        <v>106</v>
      </c>
      <c r="H114" s="1" t="s">
        <v>49</v>
      </c>
      <c r="I114" s="1">
        <f>C118*1.4</f>
        <v>0</v>
      </c>
      <c r="J114" s="15" t="s">
        <v>79</v>
      </c>
      <c r="K114" s="1" t="s">
        <v>75</v>
      </c>
      <c r="L114" s="1" t="e">
        <f>I134-I115-I120-I121</f>
        <v>#DIV/0!</v>
      </c>
    </row>
    <row r="115" spans="1:12" x14ac:dyDescent="0.25">
      <c r="A115" s="27"/>
      <c r="B115" s="1" t="s">
        <v>6</v>
      </c>
      <c r="C115" s="2"/>
      <c r="D115" s="2"/>
      <c r="E115" s="1" t="s">
        <v>6</v>
      </c>
      <c r="F115" s="2"/>
      <c r="G115">
        <f>D108</f>
        <v>8</v>
      </c>
      <c r="H115" s="1" t="s">
        <v>50</v>
      </c>
      <c r="I115" s="1" t="e">
        <f>(L97+L115)/(F106+F119+F120)*C118*1.35</f>
        <v>#DIV/0!</v>
      </c>
      <c r="J115" s="15"/>
      <c r="K115" s="1" t="s">
        <v>76</v>
      </c>
      <c r="L115" s="1">
        <f>(F119+F120)*G113</f>
        <v>0</v>
      </c>
    </row>
    <row r="116" spans="1:12" x14ac:dyDescent="0.25">
      <c r="A116" s="27"/>
      <c r="B116" s="1" t="s">
        <v>7</v>
      </c>
      <c r="C116" s="2"/>
      <c r="D116" s="2"/>
      <c r="E116" s="1" t="s">
        <v>7</v>
      </c>
      <c r="F116" s="2"/>
      <c r="G116" t="s">
        <v>107</v>
      </c>
      <c r="H116" s="1" t="s">
        <v>51</v>
      </c>
      <c r="I116" s="1">
        <f>IF(F119=0,0,IF(F119&lt;=500000,40000,IF(F119&lt;=1000000,80000,IF(F119&lt;=1500000,120000,IF(F119&lt;=2000000,160000,IF(F119&gt;2000000,200000))))))</f>
        <v>0</v>
      </c>
      <c r="J116" s="15"/>
      <c r="K116" s="1" t="s">
        <v>77</v>
      </c>
      <c r="L116" s="1">
        <f>F121*500000</f>
        <v>0</v>
      </c>
    </row>
    <row r="117" spans="1:12" x14ac:dyDescent="0.25">
      <c r="A117" s="27"/>
      <c r="B117" s="17" t="s">
        <v>8</v>
      </c>
      <c r="C117" s="17"/>
      <c r="D117" s="17"/>
      <c r="E117" s="1" t="s">
        <v>15</v>
      </c>
      <c r="F117" s="2"/>
      <c r="G117">
        <f>C108*3</f>
        <v>1112231</v>
      </c>
      <c r="H117" s="1" t="s">
        <v>52</v>
      </c>
      <c r="I117" s="1">
        <f>F120</f>
        <v>0</v>
      </c>
      <c r="J117" s="15"/>
      <c r="K117" s="1" t="s">
        <v>22</v>
      </c>
      <c r="L117" s="1">
        <f>F124</f>
        <v>0</v>
      </c>
    </row>
    <row r="118" spans="1:12" x14ac:dyDescent="0.25">
      <c r="A118" s="27"/>
      <c r="B118" s="1" t="s">
        <v>9</v>
      </c>
      <c r="C118" s="2"/>
      <c r="D118" s="1"/>
      <c r="E118" s="18" t="s">
        <v>16</v>
      </c>
      <c r="F118" s="19"/>
      <c r="G118" t="s">
        <v>108</v>
      </c>
      <c r="H118" s="1" t="s">
        <v>53</v>
      </c>
      <c r="I118" s="1">
        <f>12000*D108</f>
        <v>96000</v>
      </c>
      <c r="J118" s="15"/>
      <c r="K118" s="1" t="s">
        <v>23</v>
      </c>
      <c r="L118" s="1">
        <f>F125</f>
        <v>0</v>
      </c>
    </row>
    <row r="119" spans="1:12" x14ac:dyDescent="0.25">
      <c r="A119" s="27"/>
      <c r="B119" s="1" t="s">
        <v>10</v>
      </c>
      <c r="C119" s="2"/>
      <c r="D119" s="1"/>
      <c r="E119" s="1" t="s">
        <v>17</v>
      </c>
      <c r="F119" s="2"/>
      <c r="G119">
        <f>ROUNDDOWN(G117*0.975+F121*150000,0)</f>
        <v>1084425</v>
      </c>
      <c r="H119" s="1" t="s">
        <v>54</v>
      </c>
      <c r="I119" s="1">
        <f>100000*F121</f>
        <v>0</v>
      </c>
      <c r="J119" s="15"/>
      <c r="K119" s="1" t="s">
        <v>78</v>
      </c>
      <c r="L119" s="1" t="e">
        <f>SUM(L114:L118)</f>
        <v>#DIV/0!</v>
      </c>
    </row>
    <row r="120" spans="1:12" x14ac:dyDescent="0.25">
      <c r="A120" s="27"/>
      <c r="B120" s="17" t="s">
        <v>11</v>
      </c>
      <c r="C120" s="17"/>
      <c r="D120" s="17"/>
      <c r="E120" s="1" t="s">
        <v>18</v>
      </c>
      <c r="F120" s="2"/>
      <c r="H120" s="1" t="s">
        <v>55</v>
      </c>
      <c r="I120" s="1">
        <f>L99*2.5%</f>
        <v>92685.916666666686</v>
      </c>
      <c r="J120" s="16" t="s">
        <v>80</v>
      </c>
      <c r="K120" s="16"/>
      <c r="L120" s="1" t="e">
        <f>L113-L119</f>
        <v>#DIV/0!</v>
      </c>
    </row>
    <row r="121" spans="1:12" x14ac:dyDescent="0.25">
      <c r="A121" s="27"/>
      <c r="B121" s="1" t="s">
        <v>3</v>
      </c>
      <c r="C121" s="1" t="s">
        <v>12</v>
      </c>
      <c r="D121" s="1" t="s">
        <v>111</v>
      </c>
      <c r="E121" s="1" t="s">
        <v>19</v>
      </c>
      <c r="F121" s="2"/>
      <c r="H121" s="1" t="s">
        <v>72</v>
      </c>
      <c r="I121" s="2">
        <v>0</v>
      </c>
      <c r="J121" s="16" t="s">
        <v>81</v>
      </c>
      <c r="K121" s="16"/>
      <c r="L121" s="2" t="e">
        <f>IF(L129=0,L94+L120,0.5*I111)</f>
        <v>#DIV/0!</v>
      </c>
    </row>
    <row r="122" spans="1:12" x14ac:dyDescent="0.25">
      <c r="A122" s="27"/>
      <c r="B122" s="1" t="s">
        <v>4</v>
      </c>
      <c r="C122" s="2"/>
      <c r="D122" s="1">
        <f>SUM(C122:C125)</f>
        <v>0</v>
      </c>
      <c r="E122" s="18" t="s">
        <v>20</v>
      </c>
      <c r="F122" s="19"/>
      <c r="H122" s="1" t="s">
        <v>56</v>
      </c>
      <c r="I122" s="1">
        <f>SUM(D113:D116)</f>
        <v>0</v>
      </c>
      <c r="J122" s="20" t="s">
        <v>82</v>
      </c>
      <c r="K122" s="20"/>
      <c r="L122" s="20"/>
    </row>
    <row r="123" spans="1:12" x14ac:dyDescent="0.25">
      <c r="A123" s="27"/>
      <c r="B123" s="1" t="s">
        <v>5</v>
      </c>
      <c r="C123" s="2"/>
      <c r="D123" s="1" t="s">
        <v>112</v>
      </c>
      <c r="E123" s="1" t="s">
        <v>21</v>
      </c>
      <c r="F123" s="2"/>
      <c r="H123" s="1" t="s">
        <v>57</v>
      </c>
      <c r="I123" s="1">
        <f>0.4*C122+0.1*C123+0.4*C124+0.5*C125</f>
        <v>0</v>
      </c>
      <c r="J123" s="15" t="s">
        <v>92</v>
      </c>
      <c r="K123" s="1" t="s">
        <v>83</v>
      </c>
      <c r="L123" s="1" t="e">
        <f>L121</f>
        <v>#DIV/0!</v>
      </c>
    </row>
    <row r="124" spans="1:12" x14ac:dyDescent="0.25">
      <c r="A124" s="27"/>
      <c r="B124" s="1" t="s">
        <v>6</v>
      </c>
      <c r="C124" s="2"/>
      <c r="D124" s="1">
        <f>C118-D122</f>
        <v>0</v>
      </c>
      <c r="E124" s="1" t="s">
        <v>22</v>
      </c>
      <c r="F124" s="2"/>
      <c r="H124" s="1" t="s">
        <v>58</v>
      </c>
      <c r="I124" s="2">
        <v>0</v>
      </c>
      <c r="J124" s="15"/>
      <c r="K124" s="1" t="s">
        <v>84</v>
      </c>
      <c r="L124" s="1" t="e">
        <f>(L97+L115)/(F106+F119+F120)*F133</f>
        <v>#DIV/0!</v>
      </c>
    </row>
    <row r="125" spans="1:12" x14ac:dyDescent="0.25">
      <c r="A125" s="27"/>
      <c r="B125" s="3" t="s">
        <v>7</v>
      </c>
      <c r="C125" s="2"/>
      <c r="D125" s="3"/>
      <c r="E125" s="3" t="s">
        <v>23</v>
      </c>
      <c r="F125" s="2"/>
      <c r="H125" s="1" t="s">
        <v>59</v>
      </c>
      <c r="I125" s="1">
        <f>500*(F113+F114+F115+F116+F117)</f>
        <v>0</v>
      </c>
      <c r="J125" s="15"/>
      <c r="K125" s="1" t="s">
        <v>85</v>
      </c>
      <c r="L125" s="1">
        <f>4*E133</f>
        <v>0</v>
      </c>
    </row>
    <row r="126" spans="1:12" ht="15.6" x14ac:dyDescent="0.3">
      <c r="A126" s="27"/>
      <c r="B126" s="25" t="s">
        <v>25</v>
      </c>
      <c r="C126" s="25"/>
      <c r="D126" s="25"/>
      <c r="E126" s="25"/>
      <c r="F126" s="25"/>
      <c r="G126" s="26"/>
      <c r="H126" s="1" t="s">
        <v>60</v>
      </c>
      <c r="I126" s="1">
        <f>1000*(F113+F114+F115+F116+F117)</f>
        <v>0</v>
      </c>
      <c r="J126" s="15"/>
      <c r="K126" s="1" t="s">
        <v>86</v>
      </c>
      <c r="L126" s="1">
        <f>C135*10</f>
        <v>3614750</v>
      </c>
    </row>
    <row r="127" spans="1:12" x14ac:dyDescent="0.25">
      <c r="A127" s="27"/>
      <c r="B127" s="1" t="s">
        <v>44</v>
      </c>
      <c r="C127" s="1" t="s">
        <v>26</v>
      </c>
      <c r="D127" s="1" t="s">
        <v>45</v>
      </c>
      <c r="E127" s="1" t="s">
        <v>27</v>
      </c>
      <c r="F127" s="1" t="s">
        <v>28</v>
      </c>
      <c r="G127" s="6" t="s">
        <v>29</v>
      </c>
      <c r="H127" s="7" t="s">
        <v>61</v>
      </c>
      <c r="I127" s="1">
        <f>9000*G108+7500*F108+4500*SUM(F113:F116)+3750*F117</f>
        <v>288000</v>
      </c>
      <c r="J127" s="15"/>
      <c r="K127" s="1" t="s">
        <v>87</v>
      </c>
      <c r="L127" s="1" t="e">
        <f>SUM(L123:L126)</f>
        <v>#DIV/0!</v>
      </c>
    </row>
    <row r="128" spans="1:12" x14ac:dyDescent="0.25">
      <c r="A128" s="27"/>
      <c r="B128" s="1" t="s">
        <v>30</v>
      </c>
      <c r="C128" s="5"/>
      <c r="D128" s="5">
        <f>C122</f>
        <v>0</v>
      </c>
      <c r="E128" s="1"/>
      <c r="F128" s="1"/>
      <c r="G128" s="6">
        <f>G101+F113</f>
        <v>3</v>
      </c>
      <c r="H128" s="7" t="s">
        <v>62</v>
      </c>
      <c r="I128" s="1" t="e">
        <f>L97*10%</f>
        <v>#DIV/0!</v>
      </c>
      <c r="J128" s="15" t="s">
        <v>91</v>
      </c>
      <c r="K128" s="1" t="s">
        <v>88</v>
      </c>
      <c r="L128" s="1">
        <f>L101+F123-F124</f>
        <v>0</v>
      </c>
    </row>
    <row r="129" spans="1:12" x14ac:dyDescent="0.25">
      <c r="A129" s="27"/>
      <c r="B129" s="1" t="s">
        <v>31</v>
      </c>
      <c r="C129" s="5"/>
      <c r="D129" s="5">
        <f>C123</f>
        <v>0</v>
      </c>
      <c r="E129" s="1"/>
      <c r="F129" s="5"/>
      <c r="G129" s="6">
        <f>G102+F114</f>
        <v>3</v>
      </c>
      <c r="H129" s="7" t="s">
        <v>63</v>
      </c>
      <c r="I129" s="8">
        <f>0.5*E133</f>
        <v>0</v>
      </c>
      <c r="J129" s="15"/>
      <c r="K129" s="1" t="s">
        <v>89</v>
      </c>
      <c r="L129" s="1" t="e">
        <f>IF(I111*0.5-L94-L120&lt;0,0,I111*0.5-L94-L120)</f>
        <v>#DIV/0!</v>
      </c>
    </row>
    <row r="130" spans="1:12" x14ac:dyDescent="0.25">
      <c r="A130" s="27"/>
      <c r="B130" s="1" t="s">
        <v>32</v>
      </c>
      <c r="C130" s="5"/>
      <c r="D130" s="5">
        <f>C124</f>
        <v>0</v>
      </c>
      <c r="E130" s="1"/>
      <c r="F130" s="5"/>
      <c r="G130" s="6">
        <f>G103+F115</f>
        <v>3</v>
      </c>
      <c r="H130" s="7" t="s">
        <v>64</v>
      </c>
      <c r="I130" s="1" t="e">
        <f>(L101+F123-F124)*$H$1/4+L102*$H$1</f>
        <v>#DIV/0!</v>
      </c>
      <c r="J130" s="15"/>
      <c r="K130" s="1" t="s">
        <v>90</v>
      </c>
      <c r="L130" s="1" t="e">
        <f>SUM(L128:L129)</f>
        <v>#DIV/0!</v>
      </c>
    </row>
    <row r="131" spans="1:12" x14ac:dyDescent="0.25">
      <c r="A131" s="27"/>
      <c r="B131" s="1" t="s">
        <v>33</v>
      </c>
      <c r="C131" s="5"/>
      <c r="D131" s="5">
        <f>C125</f>
        <v>0</v>
      </c>
      <c r="E131" s="1"/>
      <c r="F131" s="5"/>
      <c r="G131" s="6">
        <f>G104+F116</f>
        <v>3</v>
      </c>
      <c r="H131" s="7" t="s">
        <v>65</v>
      </c>
      <c r="I131" s="1">
        <f>(I111/(1+$B$1))*$B$1</f>
        <v>0</v>
      </c>
      <c r="J131" s="16" t="s">
        <v>93</v>
      </c>
      <c r="K131" s="16"/>
      <c r="L131" s="1" t="e">
        <f>L104+I135</f>
        <v>#DIV/0!</v>
      </c>
    </row>
    <row r="132" spans="1:12" x14ac:dyDescent="0.25">
      <c r="A132" s="27"/>
      <c r="B132" s="1" t="s">
        <v>34</v>
      </c>
      <c r="C132" s="1" t="s">
        <v>35</v>
      </c>
      <c r="D132" s="1" t="s">
        <v>36</v>
      </c>
      <c r="E132" s="1" t="s">
        <v>28</v>
      </c>
      <c r="F132" s="1" t="s">
        <v>37</v>
      </c>
      <c r="G132" s="6" t="s">
        <v>38</v>
      </c>
      <c r="H132" s="7" t="s">
        <v>66</v>
      </c>
      <c r="I132" s="1">
        <f>I131*$D$1</f>
        <v>0</v>
      </c>
    </row>
    <row r="133" spans="1:12" x14ac:dyDescent="0.25">
      <c r="A133" s="27"/>
      <c r="B133" s="5"/>
      <c r="C133" s="5">
        <f>C118</f>
        <v>0</v>
      </c>
      <c r="D133" s="5">
        <f>SUM(D128:D131)</f>
        <v>0</v>
      </c>
      <c r="E133" s="5">
        <v>0</v>
      </c>
      <c r="F133" s="1"/>
      <c r="G133" s="6"/>
      <c r="H133" s="8" t="s">
        <v>67</v>
      </c>
      <c r="I133" s="1" t="e">
        <f>IF((I131/$B$1-SUM(I112:I130)-I132)*$F$1&gt;0,(I131/$B$1-SUM(I112:I130)-I132)*$F$1,0)</f>
        <v>#DIV/0!</v>
      </c>
    </row>
    <row r="134" spans="1:12" x14ac:dyDescent="0.25">
      <c r="A134" s="27"/>
      <c r="B134" s="1" t="s">
        <v>39</v>
      </c>
      <c r="C134" s="1" t="s">
        <v>40</v>
      </c>
      <c r="D134" s="1" t="s">
        <v>41</v>
      </c>
      <c r="E134" s="1" t="s">
        <v>42</v>
      </c>
      <c r="F134" s="1" t="s">
        <v>43</v>
      </c>
      <c r="G134" s="6" t="s">
        <v>29</v>
      </c>
      <c r="H134" s="9" t="s">
        <v>68</v>
      </c>
      <c r="I134" s="1" t="e">
        <f>SUM(I112:I133)</f>
        <v>#DIV/0!</v>
      </c>
    </row>
    <row r="135" spans="1:12" x14ac:dyDescent="0.25">
      <c r="A135" s="27"/>
      <c r="B135" s="5">
        <f>G119/3</f>
        <v>361475</v>
      </c>
      <c r="C135" s="5">
        <f>B135</f>
        <v>361475</v>
      </c>
      <c r="D135" s="1">
        <f>D108+F121</f>
        <v>8</v>
      </c>
      <c r="E135" s="1">
        <f>SUM(F135:G135)</f>
        <v>36</v>
      </c>
      <c r="F135" s="1">
        <f>F117+F108</f>
        <v>24</v>
      </c>
      <c r="G135" s="1">
        <f>SUM(G128:G131)</f>
        <v>12</v>
      </c>
      <c r="H135" s="9" t="s">
        <v>69</v>
      </c>
      <c r="I135" s="1" t="e">
        <f>I111-I134</f>
        <v>#DIV/0!</v>
      </c>
    </row>
    <row r="137" spans="1:12" ht="15.6" x14ac:dyDescent="0.3">
      <c r="A137" s="27" t="s">
        <v>103</v>
      </c>
      <c r="B137" s="21" t="s">
        <v>24</v>
      </c>
      <c r="C137" s="21"/>
      <c r="D137" s="21"/>
      <c r="E137" s="21"/>
      <c r="F137" s="21"/>
      <c r="H137" s="22" t="s">
        <v>46</v>
      </c>
      <c r="I137" s="22"/>
      <c r="J137" s="23" t="s">
        <v>70</v>
      </c>
      <c r="K137" s="24"/>
      <c r="L137" s="24"/>
    </row>
    <row r="138" spans="1:12" x14ac:dyDescent="0.25">
      <c r="A138" s="27"/>
      <c r="B138" s="17" t="s">
        <v>0</v>
      </c>
      <c r="C138" s="17"/>
      <c r="D138" s="17"/>
      <c r="E138" s="17" t="s">
        <v>13</v>
      </c>
      <c r="F138" s="17"/>
      <c r="H138" s="1" t="s">
        <v>47</v>
      </c>
      <c r="I138" s="1">
        <f>C140*D155+C141*D156+C142*D157+C143*D158</f>
        <v>0</v>
      </c>
      <c r="J138" s="15" t="s">
        <v>74</v>
      </c>
      <c r="K138" s="1" t="s">
        <v>47</v>
      </c>
      <c r="L138" s="1">
        <f>I138</f>
        <v>0</v>
      </c>
    </row>
    <row r="139" spans="1:12" x14ac:dyDescent="0.25">
      <c r="A139" s="27"/>
      <c r="B139" s="1" t="s">
        <v>3</v>
      </c>
      <c r="C139" s="1" t="s">
        <v>1</v>
      </c>
      <c r="D139" s="1" t="s">
        <v>2</v>
      </c>
      <c r="E139" s="1" t="s">
        <v>3</v>
      </c>
      <c r="F139" s="1" t="s">
        <v>14</v>
      </c>
      <c r="G139" s="10" t="s">
        <v>94</v>
      </c>
      <c r="H139" s="1" t="s">
        <v>71</v>
      </c>
      <c r="I139" s="1">
        <f>C146</f>
        <v>0</v>
      </c>
      <c r="J139" s="15"/>
      <c r="K139" s="1" t="s">
        <v>21</v>
      </c>
      <c r="L139" s="1">
        <f>F150</f>
        <v>0</v>
      </c>
    </row>
    <row r="140" spans="1:12" x14ac:dyDescent="0.25">
      <c r="A140" s="27"/>
      <c r="B140" s="1" t="s">
        <v>4</v>
      </c>
      <c r="C140" s="2"/>
      <c r="D140" s="2"/>
      <c r="E140" s="1" t="s">
        <v>4</v>
      </c>
      <c r="F140" s="2"/>
      <c r="G140" s="2"/>
      <c r="H140" s="1" t="s">
        <v>48</v>
      </c>
      <c r="I140" s="1">
        <f>20000</f>
        <v>20000</v>
      </c>
      <c r="J140" s="15"/>
      <c r="K140" s="1" t="s">
        <v>73</v>
      </c>
      <c r="L140" s="1">
        <f>SUM(L138:L139)</f>
        <v>0</v>
      </c>
    </row>
    <row r="141" spans="1:12" x14ac:dyDescent="0.25">
      <c r="A141" s="27"/>
      <c r="B141" s="1" t="s">
        <v>5</v>
      </c>
      <c r="C141" s="2"/>
      <c r="D141" s="2"/>
      <c r="E141" s="1" t="s">
        <v>5</v>
      </c>
      <c r="F141" s="2"/>
      <c r="G141" s="8" t="s">
        <v>106</v>
      </c>
      <c r="H141" s="1" t="s">
        <v>49</v>
      </c>
      <c r="I141" s="1">
        <f>C145*1.4</f>
        <v>0</v>
      </c>
      <c r="J141" s="15" t="s">
        <v>79</v>
      </c>
      <c r="K141" s="1" t="s">
        <v>75</v>
      </c>
      <c r="L141" s="1" t="e">
        <f>I161-I142-I147-I148</f>
        <v>#DIV/0!</v>
      </c>
    </row>
    <row r="142" spans="1:12" x14ac:dyDescent="0.25">
      <c r="A142" s="27"/>
      <c r="B142" s="1" t="s">
        <v>6</v>
      </c>
      <c r="C142" s="2"/>
      <c r="D142" s="2"/>
      <c r="E142" s="1" t="s">
        <v>6</v>
      </c>
      <c r="F142" s="2"/>
      <c r="G142">
        <f>D135</f>
        <v>8</v>
      </c>
      <c r="H142" s="1" t="s">
        <v>50</v>
      </c>
      <c r="I142" s="1" t="e">
        <f>(L124+L142)/(F133+F146+F147)*C145*1.35</f>
        <v>#DIV/0!</v>
      </c>
      <c r="J142" s="15"/>
      <c r="K142" s="1" t="s">
        <v>76</v>
      </c>
      <c r="L142" s="1">
        <f>(F146+F147)*G140</f>
        <v>0</v>
      </c>
    </row>
    <row r="143" spans="1:12" x14ac:dyDescent="0.25">
      <c r="A143" s="27"/>
      <c r="B143" s="1" t="s">
        <v>7</v>
      </c>
      <c r="C143" s="2"/>
      <c r="D143" s="2"/>
      <c r="E143" s="1" t="s">
        <v>7</v>
      </c>
      <c r="F143" s="2"/>
      <c r="G143" t="s">
        <v>107</v>
      </c>
      <c r="H143" s="1" t="s">
        <v>51</v>
      </c>
      <c r="I143" s="1">
        <f>IF(F146=0,0,IF(F146&lt;=500000,40000,IF(F146&lt;=1000000,80000,IF(F146&lt;=1500000,120000,IF(F146&lt;=2000000,160000,IF(F146&gt;2000000,200000))))))</f>
        <v>0</v>
      </c>
      <c r="J143" s="15"/>
      <c r="K143" s="1" t="s">
        <v>77</v>
      </c>
      <c r="L143" s="1">
        <f>F148*500000</f>
        <v>0</v>
      </c>
    </row>
    <row r="144" spans="1:12" x14ac:dyDescent="0.25">
      <c r="A144" s="27"/>
      <c r="B144" s="17" t="s">
        <v>8</v>
      </c>
      <c r="C144" s="17"/>
      <c r="D144" s="17"/>
      <c r="E144" s="1" t="s">
        <v>15</v>
      </c>
      <c r="F144" s="2"/>
      <c r="G144">
        <f>C135*3</f>
        <v>1084425</v>
      </c>
      <c r="H144" s="1" t="s">
        <v>52</v>
      </c>
      <c r="I144" s="1">
        <f>F147</f>
        <v>0</v>
      </c>
      <c r="J144" s="15"/>
      <c r="K144" s="1" t="s">
        <v>22</v>
      </c>
      <c r="L144" s="1">
        <f>F151</f>
        <v>0</v>
      </c>
    </row>
    <row r="145" spans="1:12" x14ac:dyDescent="0.25">
      <c r="A145" s="27"/>
      <c r="B145" s="1" t="s">
        <v>9</v>
      </c>
      <c r="C145" s="2"/>
      <c r="D145" s="1"/>
      <c r="E145" s="18" t="s">
        <v>16</v>
      </c>
      <c r="F145" s="19"/>
      <c r="G145" t="s">
        <v>108</v>
      </c>
      <c r="H145" s="1" t="s">
        <v>53</v>
      </c>
      <c r="I145" s="1">
        <f>12000*D135</f>
        <v>96000</v>
      </c>
      <c r="J145" s="15"/>
      <c r="K145" s="1" t="s">
        <v>23</v>
      </c>
      <c r="L145" s="1">
        <f>F152</f>
        <v>0</v>
      </c>
    </row>
    <row r="146" spans="1:12" x14ac:dyDescent="0.25">
      <c r="A146" s="27"/>
      <c r="B146" s="1" t="s">
        <v>10</v>
      </c>
      <c r="C146" s="2"/>
      <c r="D146" s="1"/>
      <c r="E146" s="1" t="s">
        <v>17</v>
      </c>
      <c r="F146" s="2"/>
      <c r="G146">
        <f>ROUNDDOWN(G144*0.975+F148*150000,0)</f>
        <v>1057314</v>
      </c>
      <c r="H146" s="1" t="s">
        <v>54</v>
      </c>
      <c r="I146" s="1">
        <f>100000*F148</f>
        <v>0</v>
      </c>
      <c r="J146" s="15"/>
      <c r="K146" s="1" t="s">
        <v>78</v>
      </c>
      <c r="L146" s="1" t="e">
        <f>SUM(L141:L145)</f>
        <v>#DIV/0!</v>
      </c>
    </row>
    <row r="147" spans="1:12" x14ac:dyDescent="0.25">
      <c r="A147" s="27"/>
      <c r="B147" s="17" t="s">
        <v>11</v>
      </c>
      <c r="C147" s="17"/>
      <c r="D147" s="17"/>
      <c r="E147" s="1" t="s">
        <v>18</v>
      </c>
      <c r="F147" s="2"/>
      <c r="G147" s="14" t="s">
        <v>110</v>
      </c>
      <c r="H147" s="1" t="s">
        <v>55</v>
      </c>
      <c r="I147" s="1">
        <f>L126*2.5%</f>
        <v>90368.75</v>
      </c>
      <c r="J147" s="16" t="s">
        <v>80</v>
      </c>
      <c r="K147" s="16"/>
      <c r="L147" s="1" t="e">
        <f>L140-L146</f>
        <v>#DIV/0!</v>
      </c>
    </row>
    <row r="148" spans="1:12" x14ac:dyDescent="0.25">
      <c r="A148" s="27"/>
      <c r="B148" s="1" t="s">
        <v>3</v>
      </c>
      <c r="C148" s="1" t="s">
        <v>12</v>
      </c>
      <c r="D148" s="1" t="s">
        <v>111</v>
      </c>
      <c r="E148" s="1" t="s">
        <v>19</v>
      </c>
      <c r="F148" s="2"/>
      <c r="G148">
        <f>(G171+G198)*1.35</f>
        <v>2819063.25</v>
      </c>
      <c r="H148" s="1" t="s">
        <v>72</v>
      </c>
      <c r="I148" s="2">
        <v>0</v>
      </c>
      <c r="J148" s="16" t="s">
        <v>81</v>
      </c>
      <c r="K148" s="16"/>
      <c r="L148" s="2" t="e">
        <f>IF(L156=0,L121+L147,0.5*I138)</f>
        <v>#DIV/0!</v>
      </c>
    </row>
    <row r="149" spans="1:12" x14ac:dyDescent="0.25">
      <c r="A149" s="27"/>
      <c r="B149" s="1" t="s">
        <v>4</v>
      </c>
      <c r="C149" s="2"/>
      <c r="D149" s="1">
        <f>SUM(C149:C152)</f>
        <v>0</v>
      </c>
      <c r="E149" s="18" t="s">
        <v>20</v>
      </c>
      <c r="F149" s="19"/>
      <c r="H149" s="1" t="s">
        <v>56</v>
      </c>
      <c r="I149" s="1">
        <f>SUM(D140:D143)</f>
        <v>0</v>
      </c>
      <c r="J149" s="20" t="s">
        <v>82</v>
      </c>
      <c r="K149" s="20"/>
      <c r="L149" s="20"/>
    </row>
    <row r="150" spans="1:12" x14ac:dyDescent="0.25">
      <c r="A150" s="27"/>
      <c r="B150" s="1" t="s">
        <v>5</v>
      </c>
      <c r="C150" s="2"/>
      <c r="D150" s="1" t="s">
        <v>112</v>
      </c>
      <c r="E150" s="1" t="s">
        <v>21</v>
      </c>
      <c r="F150" s="2"/>
      <c r="H150" s="1" t="s">
        <v>57</v>
      </c>
      <c r="I150" s="1">
        <f>0.4*C149+0.1*C150+0.4*C151+0.5*C152</f>
        <v>0</v>
      </c>
      <c r="J150" s="15" t="s">
        <v>92</v>
      </c>
      <c r="K150" s="1" t="s">
        <v>83</v>
      </c>
      <c r="L150" s="1" t="e">
        <f>L148</f>
        <v>#DIV/0!</v>
      </c>
    </row>
    <row r="151" spans="1:12" x14ac:dyDescent="0.25">
      <c r="A151" s="27"/>
      <c r="B151" s="1" t="s">
        <v>6</v>
      </c>
      <c r="C151" s="2"/>
      <c r="D151" s="1">
        <f>C145-D149</f>
        <v>0</v>
      </c>
      <c r="E151" s="1" t="s">
        <v>22</v>
      </c>
      <c r="F151" s="2"/>
      <c r="H151" s="1" t="s">
        <v>58</v>
      </c>
      <c r="I151" s="2">
        <v>0</v>
      </c>
      <c r="J151" s="15"/>
      <c r="K151" s="1" t="s">
        <v>84</v>
      </c>
      <c r="L151" s="1" t="e">
        <f>(L124+L142)/(F133+F146+F147)*F160</f>
        <v>#DIV/0!</v>
      </c>
    </row>
    <row r="152" spans="1:12" x14ac:dyDescent="0.25">
      <c r="A152" s="27"/>
      <c r="B152" s="3" t="s">
        <v>7</v>
      </c>
      <c r="C152" s="2"/>
      <c r="D152" s="3"/>
      <c r="E152" s="3" t="s">
        <v>23</v>
      </c>
      <c r="F152" s="2"/>
      <c r="H152" s="1" t="s">
        <v>59</v>
      </c>
      <c r="I152" s="1">
        <f>500*(F140+F141+F142+F143+F144)</f>
        <v>0</v>
      </c>
      <c r="J152" s="15"/>
      <c r="K152" s="1" t="s">
        <v>85</v>
      </c>
      <c r="L152" s="1">
        <f>4*E160</f>
        <v>0</v>
      </c>
    </row>
    <row r="153" spans="1:12" ht="15.6" x14ac:dyDescent="0.3">
      <c r="A153" s="27"/>
      <c r="B153" s="25" t="s">
        <v>25</v>
      </c>
      <c r="C153" s="25"/>
      <c r="D153" s="25"/>
      <c r="E153" s="25"/>
      <c r="F153" s="25"/>
      <c r="G153" s="26"/>
      <c r="H153" s="1" t="s">
        <v>60</v>
      </c>
      <c r="I153" s="1">
        <f>1000*(F140+F141+F142+F143+F144)</f>
        <v>0</v>
      </c>
      <c r="J153" s="15"/>
      <c r="K153" s="1" t="s">
        <v>86</v>
      </c>
      <c r="L153" s="1">
        <f>C162*10</f>
        <v>3524380</v>
      </c>
    </row>
    <row r="154" spans="1:12" x14ac:dyDescent="0.25">
      <c r="A154" s="27"/>
      <c r="B154" s="1" t="s">
        <v>44</v>
      </c>
      <c r="C154" s="1" t="s">
        <v>26</v>
      </c>
      <c r="D154" s="1" t="s">
        <v>45</v>
      </c>
      <c r="E154" s="1" t="s">
        <v>27</v>
      </c>
      <c r="F154" s="1" t="s">
        <v>28</v>
      </c>
      <c r="G154" s="6" t="s">
        <v>29</v>
      </c>
      <c r="H154" s="7" t="s">
        <v>61</v>
      </c>
      <c r="I154" s="1">
        <f>9000*G135+7500*F135+4500*SUM(F140:F143)+3750*F144</f>
        <v>288000</v>
      </c>
      <c r="J154" s="15"/>
      <c r="K154" s="1" t="s">
        <v>87</v>
      </c>
      <c r="L154" s="1" t="e">
        <f>SUM(L150:L153)</f>
        <v>#DIV/0!</v>
      </c>
    </row>
    <row r="155" spans="1:12" x14ac:dyDescent="0.25">
      <c r="A155" s="27"/>
      <c r="B155" s="1" t="s">
        <v>30</v>
      </c>
      <c r="C155" s="5"/>
      <c r="D155" s="5">
        <f>C149</f>
        <v>0</v>
      </c>
      <c r="E155" s="1"/>
      <c r="F155" s="1"/>
      <c r="G155" s="6">
        <f>G128+F140</f>
        <v>3</v>
      </c>
      <c r="H155" s="7" t="s">
        <v>62</v>
      </c>
      <c r="I155" s="1" t="e">
        <f>L124*10%</f>
        <v>#DIV/0!</v>
      </c>
      <c r="J155" s="15" t="s">
        <v>91</v>
      </c>
      <c r="K155" s="1" t="s">
        <v>88</v>
      </c>
      <c r="L155" s="1">
        <f>L128+F150-F151</f>
        <v>0</v>
      </c>
    </row>
    <row r="156" spans="1:12" x14ac:dyDescent="0.25">
      <c r="A156" s="27"/>
      <c r="B156" s="1" t="s">
        <v>31</v>
      </c>
      <c r="C156" s="5"/>
      <c r="D156" s="5">
        <f>C150</f>
        <v>0</v>
      </c>
      <c r="E156" s="1"/>
      <c r="F156" s="5"/>
      <c r="G156" s="6">
        <f>G129+F141</f>
        <v>3</v>
      </c>
      <c r="H156" s="7" t="s">
        <v>63</v>
      </c>
      <c r="I156" s="8">
        <f>0.5*E160</f>
        <v>0</v>
      </c>
      <c r="J156" s="15"/>
      <c r="K156" s="1" t="s">
        <v>89</v>
      </c>
      <c r="L156" s="1" t="e">
        <f>IF(I138*0.5-L121-L147&lt;0,0,I138*0.5-L121-L147)</f>
        <v>#DIV/0!</v>
      </c>
    </row>
    <row r="157" spans="1:12" x14ac:dyDescent="0.25">
      <c r="A157" s="27"/>
      <c r="B157" s="1" t="s">
        <v>32</v>
      </c>
      <c r="C157" s="5"/>
      <c r="D157" s="5">
        <f>C151</f>
        <v>0</v>
      </c>
      <c r="E157" s="1"/>
      <c r="F157" s="5"/>
      <c r="G157" s="6">
        <f>G130+F142</f>
        <v>3</v>
      </c>
      <c r="H157" s="7" t="s">
        <v>64</v>
      </c>
      <c r="I157" s="1" t="e">
        <f>(L128+F150-F151)*$H$1/4+L129*$H$1</f>
        <v>#DIV/0!</v>
      </c>
      <c r="J157" s="15"/>
      <c r="K157" s="1" t="s">
        <v>90</v>
      </c>
      <c r="L157" s="1" t="e">
        <f>SUM(L155:L156)</f>
        <v>#DIV/0!</v>
      </c>
    </row>
    <row r="158" spans="1:12" x14ac:dyDescent="0.25">
      <c r="A158" s="27"/>
      <c r="B158" s="1" t="s">
        <v>33</v>
      </c>
      <c r="C158" s="5"/>
      <c r="D158" s="5">
        <f>C152</f>
        <v>0</v>
      </c>
      <c r="E158" s="1"/>
      <c r="F158" s="5"/>
      <c r="G158" s="6">
        <f>G131+F143</f>
        <v>3</v>
      </c>
      <c r="H158" s="7" t="s">
        <v>65</v>
      </c>
      <c r="I158" s="1">
        <f>(I138/(1+$B$1))*$B$1</f>
        <v>0</v>
      </c>
      <c r="J158" s="16" t="s">
        <v>93</v>
      </c>
      <c r="K158" s="16"/>
      <c r="L158" s="1" t="e">
        <f>L131+I162</f>
        <v>#DIV/0!</v>
      </c>
    </row>
    <row r="159" spans="1:12" x14ac:dyDescent="0.25">
      <c r="A159" s="27"/>
      <c r="B159" s="1" t="s">
        <v>34</v>
      </c>
      <c r="C159" s="1" t="s">
        <v>35</v>
      </c>
      <c r="D159" s="1" t="s">
        <v>36</v>
      </c>
      <c r="E159" s="1" t="s">
        <v>28</v>
      </c>
      <c r="F159" s="1" t="s">
        <v>37</v>
      </c>
      <c r="G159" s="6" t="s">
        <v>38</v>
      </c>
      <c r="H159" s="7" t="s">
        <v>66</v>
      </c>
      <c r="I159" s="1">
        <f>I158*$D$1</f>
        <v>0</v>
      </c>
    </row>
    <row r="160" spans="1:12" x14ac:dyDescent="0.25">
      <c r="A160" s="27"/>
      <c r="B160" s="5"/>
      <c r="C160" s="5">
        <f>C145</f>
        <v>0</v>
      </c>
      <c r="D160" s="5">
        <f>SUM(D155:D158)</f>
        <v>0</v>
      </c>
      <c r="E160" s="5">
        <v>0</v>
      </c>
      <c r="F160" s="1"/>
      <c r="G160" s="6"/>
      <c r="H160" s="8" t="s">
        <v>67</v>
      </c>
      <c r="I160" s="1" t="e">
        <f>IF((I158/$B$1-SUM(I139:I157)-I159)*$F$1&gt;0,(I158/$B$1-SUM(I139:I157)-I159)*$F$1,0)</f>
        <v>#DIV/0!</v>
      </c>
    </row>
    <row r="161" spans="1:12" x14ac:dyDescent="0.25">
      <c r="A161" s="27"/>
      <c r="B161" s="1" t="s">
        <v>39</v>
      </c>
      <c r="C161" s="1" t="s">
        <v>40</v>
      </c>
      <c r="D161" s="1" t="s">
        <v>41</v>
      </c>
      <c r="E161" s="1" t="s">
        <v>42</v>
      </c>
      <c r="F161" s="1" t="s">
        <v>43</v>
      </c>
      <c r="G161" s="6" t="s">
        <v>29</v>
      </c>
      <c r="H161" s="9" t="s">
        <v>68</v>
      </c>
      <c r="I161" s="1" t="e">
        <f>SUM(I139:I160)</f>
        <v>#DIV/0!</v>
      </c>
    </row>
    <row r="162" spans="1:12" x14ac:dyDescent="0.25">
      <c r="A162" s="27"/>
      <c r="B162" s="5">
        <f>G146/3</f>
        <v>352438</v>
      </c>
      <c r="C162" s="5">
        <f>B162</f>
        <v>352438</v>
      </c>
      <c r="D162" s="1">
        <f>D135+F148</f>
        <v>8</v>
      </c>
      <c r="E162" s="1">
        <f>SUM(F162:G162)</f>
        <v>36</v>
      </c>
      <c r="F162" s="1">
        <f>F144+F135</f>
        <v>24</v>
      </c>
      <c r="G162" s="1">
        <f>SUM(G155:G158)</f>
        <v>12</v>
      </c>
      <c r="H162" s="9" t="s">
        <v>69</v>
      </c>
      <c r="I162" s="1" t="e">
        <f>I138-I161</f>
        <v>#DIV/0!</v>
      </c>
    </row>
    <row r="164" spans="1:12" ht="15.6" x14ac:dyDescent="0.3">
      <c r="A164" s="27" t="s">
        <v>104</v>
      </c>
      <c r="B164" s="21" t="s">
        <v>24</v>
      </c>
      <c r="C164" s="21"/>
      <c r="D164" s="21"/>
      <c r="E164" s="21"/>
      <c r="F164" s="21"/>
      <c r="H164" s="22" t="s">
        <v>46</v>
      </c>
      <c r="I164" s="22"/>
      <c r="J164" s="23" t="s">
        <v>70</v>
      </c>
      <c r="K164" s="24"/>
      <c r="L164" s="24"/>
    </row>
    <row r="165" spans="1:12" x14ac:dyDescent="0.25">
      <c r="A165" s="27"/>
      <c r="B165" s="17" t="s">
        <v>0</v>
      </c>
      <c r="C165" s="17"/>
      <c r="D165" s="17"/>
      <c r="E165" s="17" t="s">
        <v>13</v>
      </c>
      <c r="F165" s="17"/>
      <c r="H165" s="1" t="s">
        <v>47</v>
      </c>
      <c r="I165" s="1">
        <f>C167*D182+C168*D183+C169*D184+C170*D185</f>
        <v>0</v>
      </c>
      <c r="J165" s="15" t="s">
        <v>74</v>
      </c>
      <c r="K165" s="1" t="s">
        <v>47</v>
      </c>
      <c r="L165" s="1">
        <f>I165</f>
        <v>0</v>
      </c>
    </row>
    <row r="166" spans="1:12" x14ac:dyDescent="0.25">
      <c r="A166" s="27"/>
      <c r="B166" s="1" t="s">
        <v>3</v>
      </c>
      <c r="C166" s="1" t="s">
        <v>1</v>
      </c>
      <c r="D166" s="1" t="s">
        <v>2</v>
      </c>
      <c r="E166" s="1" t="s">
        <v>3</v>
      </c>
      <c r="F166" s="1" t="s">
        <v>14</v>
      </c>
      <c r="G166" s="10" t="s">
        <v>94</v>
      </c>
      <c r="H166" s="1" t="s">
        <v>71</v>
      </c>
      <c r="I166" s="1">
        <f>C173</f>
        <v>0</v>
      </c>
      <c r="J166" s="15"/>
      <c r="K166" s="1" t="s">
        <v>21</v>
      </c>
      <c r="L166" s="1">
        <f>F177</f>
        <v>0</v>
      </c>
    </row>
    <row r="167" spans="1:12" x14ac:dyDescent="0.25">
      <c r="A167" s="27"/>
      <c r="B167" s="1" t="s">
        <v>4</v>
      </c>
      <c r="C167" s="2"/>
      <c r="D167" s="2"/>
      <c r="E167" s="1" t="s">
        <v>4</v>
      </c>
      <c r="F167" s="2"/>
      <c r="G167" s="2"/>
      <c r="H167" s="1" t="s">
        <v>48</v>
      </c>
      <c r="I167" s="1">
        <f>20000</f>
        <v>20000</v>
      </c>
      <c r="J167" s="15"/>
      <c r="K167" s="1" t="s">
        <v>73</v>
      </c>
      <c r="L167" s="1">
        <f>SUM(L165:L166)</f>
        <v>0</v>
      </c>
    </row>
    <row r="168" spans="1:12" x14ac:dyDescent="0.25">
      <c r="A168" s="27"/>
      <c r="B168" s="1" t="s">
        <v>5</v>
      </c>
      <c r="C168" s="2"/>
      <c r="D168" s="2"/>
      <c r="E168" s="1" t="s">
        <v>5</v>
      </c>
      <c r="F168" s="2"/>
      <c r="G168" s="8" t="s">
        <v>106</v>
      </c>
      <c r="H168" s="1" t="s">
        <v>49</v>
      </c>
      <c r="I168" s="1">
        <f>C172*1.4</f>
        <v>0</v>
      </c>
      <c r="J168" s="15" t="s">
        <v>79</v>
      </c>
      <c r="K168" s="1" t="s">
        <v>75</v>
      </c>
      <c r="L168" s="1" t="e">
        <f>I188-I169-I174-I175</f>
        <v>#DIV/0!</v>
      </c>
    </row>
    <row r="169" spans="1:12" x14ac:dyDescent="0.25">
      <c r="A169" s="27"/>
      <c r="B169" s="1" t="s">
        <v>6</v>
      </c>
      <c r="C169" s="2"/>
      <c r="D169" s="2"/>
      <c r="E169" s="1" t="s">
        <v>6</v>
      </c>
      <c r="F169" s="2"/>
      <c r="G169">
        <f>D162</f>
        <v>8</v>
      </c>
      <c r="H169" s="1" t="s">
        <v>50</v>
      </c>
      <c r="I169" s="1" t="e">
        <f>(L151+L169)/(F160+F173+F174)*C172*1.35</f>
        <v>#DIV/0!</v>
      </c>
      <c r="J169" s="15"/>
      <c r="K169" s="1" t="s">
        <v>76</v>
      </c>
      <c r="L169" s="1">
        <f>(F173+F174)*G167</f>
        <v>0</v>
      </c>
    </row>
    <row r="170" spans="1:12" x14ac:dyDescent="0.25">
      <c r="A170" s="27"/>
      <c r="B170" s="1" t="s">
        <v>7</v>
      </c>
      <c r="C170" s="2"/>
      <c r="D170" s="2"/>
      <c r="E170" s="1" t="s">
        <v>7</v>
      </c>
      <c r="F170" s="2"/>
      <c r="G170" t="s">
        <v>107</v>
      </c>
      <c r="H170" s="1" t="s">
        <v>51</v>
      </c>
      <c r="I170" s="1">
        <f>IF(F173=0,0,IF(F173&lt;=500000,40000,IF(F173&lt;=1000000,80000,IF(F173&lt;=1500000,120000,IF(F173&lt;=2000000,160000,IF(F173&gt;2000000,200000))))))</f>
        <v>0</v>
      </c>
      <c r="J170" s="15"/>
      <c r="K170" s="1" t="s">
        <v>77</v>
      </c>
      <c r="L170" s="1">
        <f>F175*500000</f>
        <v>0</v>
      </c>
    </row>
    <row r="171" spans="1:12" x14ac:dyDescent="0.25">
      <c r="A171" s="27"/>
      <c r="B171" s="17" t="s">
        <v>8</v>
      </c>
      <c r="C171" s="17"/>
      <c r="D171" s="17"/>
      <c r="E171" s="1" t="s">
        <v>15</v>
      </c>
      <c r="F171" s="2"/>
      <c r="G171">
        <f>C162*3</f>
        <v>1057314</v>
      </c>
      <c r="H171" s="1" t="s">
        <v>52</v>
      </c>
      <c r="I171" s="1">
        <f>F174</f>
        <v>0</v>
      </c>
      <c r="J171" s="15"/>
      <c r="K171" s="1" t="s">
        <v>22</v>
      </c>
      <c r="L171" s="1">
        <f>F178</f>
        <v>0</v>
      </c>
    </row>
    <row r="172" spans="1:12" x14ac:dyDescent="0.25">
      <c r="A172" s="27"/>
      <c r="B172" s="1" t="s">
        <v>9</v>
      </c>
      <c r="C172" s="2"/>
      <c r="D172" s="1"/>
      <c r="E172" s="18" t="s">
        <v>16</v>
      </c>
      <c r="F172" s="19"/>
      <c r="G172" t="s">
        <v>108</v>
      </c>
      <c r="H172" s="1" t="s">
        <v>53</v>
      </c>
      <c r="I172" s="1">
        <f>12000*D162</f>
        <v>96000</v>
      </c>
      <c r="J172" s="15"/>
      <c r="K172" s="1" t="s">
        <v>23</v>
      </c>
      <c r="L172" s="1">
        <f>F179</f>
        <v>0</v>
      </c>
    </row>
    <row r="173" spans="1:12" x14ac:dyDescent="0.25">
      <c r="A173" s="27"/>
      <c r="B173" s="1" t="s">
        <v>10</v>
      </c>
      <c r="C173" s="2"/>
      <c r="D173" s="1"/>
      <c r="E173" s="1" t="s">
        <v>17</v>
      </c>
      <c r="F173" s="2"/>
      <c r="G173">
        <f>ROUNDDOWN(G171*0.975+F175*150000,0)</f>
        <v>1030881</v>
      </c>
      <c r="H173" s="1" t="s">
        <v>54</v>
      </c>
      <c r="I173" s="1">
        <f>100000*F175</f>
        <v>0</v>
      </c>
      <c r="J173" s="15"/>
      <c r="K173" s="1" t="s">
        <v>78</v>
      </c>
      <c r="L173" s="1" t="e">
        <f>SUM(L168:L172)</f>
        <v>#DIV/0!</v>
      </c>
    </row>
    <row r="174" spans="1:12" x14ac:dyDescent="0.25">
      <c r="A174" s="27"/>
      <c r="B174" s="17" t="s">
        <v>11</v>
      </c>
      <c r="C174" s="17"/>
      <c r="D174" s="17"/>
      <c r="E174" s="1" t="s">
        <v>18</v>
      </c>
      <c r="F174" s="2"/>
      <c r="H174" s="1" t="s">
        <v>55</v>
      </c>
      <c r="I174" s="1">
        <f>L153*2.5%</f>
        <v>88109.5</v>
      </c>
      <c r="J174" s="16" t="s">
        <v>80</v>
      </c>
      <c r="K174" s="16"/>
      <c r="L174" s="1" t="e">
        <f>L167-L173</f>
        <v>#DIV/0!</v>
      </c>
    </row>
    <row r="175" spans="1:12" x14ac:dyDescent="0.25">
      <c r="A175" s="27"/>
      <c r="B175" s="1" t="s">
        <v>3</v>
      </c>
      <c r="C175" s="1" t="s">
        <v>12</v>
      </c>
      <c r="D175" s="1" t="s">
        <v>111</v>
      </c>
      <c r="E175" s="1" t="s">
        <v>19</v>
      </c>
      <c r="F175" s="2"/>
      <c r="H175" s="1" t="s">
        <v>72</v>
      </c>
      <c r="I175" s="2">
        <v>0</v>
      </c>
      <c r="J175" s="16" t="s">
        <v>81</v>
      </c>
      <c r="K175" s="16"/>
      <c r="L175" s="2" t="e">
        <f>IF(L183=0,L148+L174,0.5*I165)</f>
        <v>#DIV/0!</v>
      </c>
    </row>
    <row r="176" spans="1:12" x14ac:dyDescent="0.25">
      <c r="A176" s="27"/>
      <c r="B176" s="1" t="s">
        <v>4</v>
      </c>
      <c r="C176" s="2"/>
      <c r="D176" s="1">
        <f>SUM(C176:C179)</f>
        <v>0</v>
      </c>
      <c r="E176" s="18" t="s">
        <v>20</v>
      </c>
      <c r="F176" s="19"/>
      <c r="H176" s="1" t="s">
        <v>56</v>
      </c>
      <c r="I176" s="1">
        <f>SUM(D167:D170)</f>
        <v>0</v>
      </c>
      <c r="J176" s="20" t="s">
        <v>82</v>
      </c>
      <c r="K176" s="20"/>
      <c r="L176" s="20"/>
    </row>
    <row r="177" spans="1:12" x14ac:dyDescent="0.25">
      <c r="A177" s="27"/>
      <c r="B177" s="1" t="s">
        <v>5</v>
      </c>
      <c r="C177" s="2"/>
      <c r="D177" s="1" t="s">
        <v>112</v>
      </c>
      <c r="E177" s="1" t="s">
        <v>21</v>
      </c>
      <c r="F177" s="2"/>
      <c r="H177" s="1" t="s">
        <v>57</v>
      </c>
      <c r="I177" s="1">
        <f>0.4*C176+0.1*C177+0.4*C178+0.5*C179</f>
        <v>0</v>
      </c>
      <c r="J177" s="15" t="s">
        <v>92</v>
      </c>
      <c r="K177" s="1" t="s">
        <v>83</v>
      </c>
      <c r="L177" s="1" t="e">
        <f>L175</f>
        <v>#DIV/0!</v>
      </c>
    </row>
    <row r="178" spans="1:12" x14ac:dyDescent="0.25">
      <c r="A178" s="27"/>
      <c r="B178" s="1" t="s">
        <v>6</v>
      </c>
      <c r="C178" s="2"/>
      <c r="D178" s="1">
        <f>C172-D176</f>
        <v>0</v>
      </c>
      <c r="E178" s="1" t="s">
        <v>22</v>
      </c>
      <c r="F178" s="2"/>
      <c r="H178" s="1" t="s">
        <v>58</v>
      </c>
      <c r="I178" s="2">
        <v>0</v>
      </c>
      <c r="J178" s="15"/>
      <c r="K178" s="1" t="s">
        <v>84</v>
      </c>
      <c r="L178" s="1" t="e">
        <f>(L151+L169)/(F160+F173+F174)*F187</f>
        <v>#DIV/0!</v>
      </c>
    </row>
    <row r="179" spans="1:12" x14ac:dyDescent="0.25">
      <c r="A179" s="27"/>
      <c r="B179" s="3" t="s">
        <v>7</v>
      </c>
      <c r="C179" s="2"/>
      <c r="D179" s="3"/>
      <c r="E179" s="3" t="s">
        <v>23</v>
      </c>
      <c r="F179" s="2"/>
      <c r="H179" s="1" t="s">
        <v>59</v>
      </c>
      <c r="I179" s="1">
        <f>500*(F167+F168+F169+F170+F171)</f>
        <v>0</v>
      </c>
      <c r="J179" s="15"/>
      <c r="K179" s="1" t="s">
        <v>85</v>
      </c>
      <c r="L179" s="1">
        <f>4*E187</f>
        <v>0</v>
      </c>
    </row>
    <row r="180" spans="1:12" ht="15.6" x14ac:dyDescent="0.3">
      <c r="A180" s="27"/>
      <c r="B180" s="25" t="s">
        <v>25</v>
      </c>
      <c r="C180" s="25"/>
      <c r="D180" s="25"/>
      <c r="E180" s="25"/>
      <c r="F180" s="25"/>
      <c r="G180" s="26"/>
      <c r="H180" s="1" t="s">
        <v>60</v>
      </c>
      <c r="I180" s="1">
        <f>1000*(F167+F168+F169+F170+F171)</f>
        <v>0</v>
      </c>
      <c r="J180" s="15"/>
      <c r="K180" s="1" t="s">
        <v>86</v>
      </c>
      <c r="L180" s="1">
        <f>C189*10</f>
        <v>3436270</v>
      </c>
    </row>
    <row r="181" spans="1:12" x14ac:dyDescent="0.25">
      <c r="A181" s="27"/>
      <c r="B181" s="1" t="s">
        <v>44</v>
      </c>
      <c r="C181" s="1" t="s">
        <v>26</v>
      </c>
      <c r="D181" s="1" t="s">
        <v>45</v>
      </c>
      <c r="E181" s="1" t="s">
        <v>27</v>
      </c>
      <c r="F181" s="1" t="s">
        <v>28</v>
      </c>
      <c r="G181" s="6" t="s">
        <v>29</v>
      </c>
      <c r="H181" s="7" t="s">
        <v>61</v>
      </c>
      <c r="I181" s="1">
        <f>9000*G162+7500*F162+4500*SUM(F167:F170)+3750*F171</f>
        <v>288000</v>
      </c>
      <c r="J181" s="15"/>
      <c r="K181" s="1" t="s">
        <v>87</v>
      </c>
      <c r="L181" s="1" t="e">
        <f>SUM(L177:L180)</f>
        <v>#DIV/0!</v>
      </c>
    </row>
    <row r="182" spans="1:12" x14ac:dyDescent="0.25">
      <c r="A182" s="27"/>
      <c r="B182" s="1" t="s">
        <v>30</v>
      </c>
      <c r="C182" s="5"/>
      <c r="D182" s="5">
        <f>C176</f>
        <v>0</v>
      </c>
      <c r="E182" s="1"/>
      <c r="F182" s="1"/>
      <c r="G182" s="6">
        <f>G155+F167</f>
        <v>3</v>
      </c>
      <c r="H182" s="7" t="s">
        <v>62</v>
      </c>
      <c r="I182" s="1" t="e">
        <f>L151*10%</f>
        <v>#DIV/0!</v>
      </c>
      <c r="J182" s="15" t="s">
        <v>91</v>
      </c>
      <c r="K182" s="1" t="s">
        <v>88</v>
      </c>
      <c r="L182" s="1">
        <f>L155+F177-F178</f>
        <v>0</v>
      </c>
    </row>
    <row r="183" spans="1:12" x14ac:dyDescent="0.25">
      <c r="A183" s="27"/>
      <c r="B183" s="1" t="s">
        <v>31</v>
      </c>
      <c r="C183" s="5"/>
      <c r="D183" s="5">
        <f>C177</f>
        <v>0</v>
      </c>
      <c r="E183" s="1"/>
      <c r="F183" s="5"/>
      <c r="G183" s="6">
        <f>G156+F168</f>
        <v>3</v>
      </c>
      <c r="H183" s="7" t="s">
        <v>63</v>
      </c>
      <c r="I183" s="8">
        <f>0.5*E187</f>
        <v>0</v>
      </c>
      <c r="J183" s="15"/>
      <c r="K183" s="1" t="s">
        <v>89</v>
      </c>
      <c r="L183" s="1" t="e">
        <f>IF(I165*0.5-L148-L174&lt;0,0,I165*0.5-L148-L174)</f>
        <v>#DIV/0!</v>
      </c>
    </row>
    <row r="184" spans="1:12" x14ac:dyDescent="0.25">
      <c r="A184" s="27"/>
      <c r="B184" s="1" t="s">
        <v>32</v>
      </c>
      <c r="C184" s="5"/>
      <c r="D184" s="5">
        <f>C178</f>
        <v>0</v>
      </c>
      <c r="E184" s="1"/>
      <c r="F184" s="5"/>
      <c r="G184" s="6">
        <f>G157+F169</f>
        <v>3</v>
      </c>
      <c r="H184" s="7" t="s">
        <v>64</v>
      </c>
      <c r="I184" s="1" t="e">
        <f>(L155+F177-F178)*$H$1/4+L156*$H$1</f>
        <v>#DIV/0!</v>
      </c>
      <c r="J184" s="15"/>
      <c r="K184" s="1" t="s">
        <v>90</v>
      </c>
      <c r="L184" s="1" t="e">
        <f>SUM(L182:L183)</f>
        <v>#DIV/0!</v>
      </c>
    </row>
    <row r="185" spans="1:12" x14ac:dyDescent="0.25">
      <c r="A185" s="27"/>
      <c r="B185" s="1" t="s">
        <v>33</v>
      </c>
      <c r="C185" s="5"/>
      <c r="D185" s="5">
        <f>C179</f>
        <v>0</v>
      </c>
      <c r="E185" s="1"/>
      <c r="F185" s="5"/>
      <c r="G185" s="6">
        <f>G158+F170</f>
        <v>3</v>
      </c>
      <c r="H185" s="7" t="s">
        <v>65</v>
      </c>
      <c r="I185" s="1">
        <f>(I165/(1+$B$1))*$B$1</f>
        <v>0</v>
      </c>
      <c r="J185" s="16" t="s">
        <v>93</v>
      </c>
      <c r="K185" s="16"/>
      <c r="L185" s="1" t="e">
        <f>L158+I189</f>
        <v>#DIV/0!</v>
      </c>
    </row>
    <row r="186" spans="1:12" x14ac:dyDescent="0.25">
      <c r="A186" s="27"/>
      <c r="B186" s="1" t="s">
        <v>34</v>
      </c>
      <c r="C186" s="1" t="s">
        <v>35</v>
      </c>
      <c r="D186" s="1" t="s">
        <v>36</v>
      </c>
      <c r="E186" s="1" t="s">
        <v>28</v>
      </c>
      <c r="F186" s="1" t="s">
        <v>37</v>
      </c>
      <c r="G186" s="6" t="s">
        <v>38</v>
      </c>
      <c r="H186" s="7" t="s">
        <v>66</v>
      </c>
      <c r="I186" s="1">
        <f>I185*$D$1</f>
        <v>0</v>
      </c>
    </row>
    <row r="187" spans="1:12" x14ac:dyDescent="0.25">
      <c r="A187" s="27"/>
      <c r="B187" s="5"/>
      <c r="C187" s="5">
        <f>C172</f>
        <v>0</v>
      </c>
      <c r="D187" s="5">
        <f>SUM(D182:D185)</f>
        <v>0</v>
      </c>
      <c r="E187" s="5">
        <v>0</v>
      </c>
      <c r="F187" s="1"/>
      <c r="G187" s="6"/>
      <c r="H187" s="8" t="s">
        <v>67</v>
      </c>
      <c r="I187" s="1" t="e">
        <f>IF((I185/$B$1-SUM(I166:I184)-I186)*$F$1&gt;0,(I185/$B$1-SUM(I166:I184)-I186)*$F$1,0)</f>
        <v>#DIV/0!</v>
      </c>
    </row>
    <row r="188" spans="1:12" x14ac:dyDescent="0.25">
      <c r="A188" s="27"/>
      <c r="B188" s="1" t="s">
        <v>39</v>
      </c>
      <c r="C188" s="1" t="s">
        <v>40</v>
      </c>
      <c r="D188" s="1" t="s">
        <v>41</v>
      </c>
      <c r="E188" s="1" t="s">
        <v>42</v>
      </c>
      <c r="F188" s="1" t="s">
        <v>43</v>
      </c>
      <c r="G188" s="6" t="s">
        <v>29</v>
      </c>
      <c r="H188" s="9" t="s">
        <v>68</v>
      </c>
      <c r="I188" s="1" t="e">
        <f>SUM(I166:I187)</f>
        <v>#DIV/0!</v>
      </c>
    </row>
    <row r="189" spans="1:12" x14ac:dyDescent="0.25">
      <c r="A189" s="27"/>
      <c r="B189" s="5">
        <f>G173/3</f>
        <v>343627</v>
      </c>
      <c r="C189" s="5">
        <f>B189</f>
        <v>343627</v>
      </c>
      <c r="D189" s="1">
        <f>D162+F175</f>
        <v>8</v>
      </c>
      <c r="E189" s="1">
        <f>SUM(F189:G189)</f>
        <v>36</v>
      </c>
      <c r="F189" s="1">
        <f>F171+F162</f>
        <v>24</v>
      </c>
      <c r="G189" s="1">
        <f>SUM(G182:G185)</f>
        <v>12</v>
      </c>
      <c r="H189" s="9" t="s">
        <v>69</v>
      </c>
      <c r="I189" s="1" t="e">
        <f>I165-I188</f>
        <v>#DIV/0!</v>
      </c>
    </row>
    <row r="191" spans="1:12" ht="15.6" x14ac:dyDescent="0.3">
      <c r="A191" s="27" t="s">
        <v>105</v>
      </c>
      <c r="B191" s="21" t="s">
        <v>24</v>
      </c>
      <c r="C191" s="21"/>
      <c r="D191" s="21"/>
      <c r="E191" s="21"/>
      <c r="F191" s="21"/>
      <c r="H191" s="22" t="s">
        <v>46</v>
      </c>
      <c r="I191" s="22"/>
      <c r="J191" s="23" t="s">
        <v>70</v>
      </c>
      <c r="K191" s="24"/>
      <c r="L191" s="24"/>
    </row>
    <row r="192" spans="1:12" x14ac:dyDescent="0.25">
      <c r="A192" s="27"/>
      <c r="B192" s="17" t="s">
        <v>0</v>
      </c>
      <c r="C192" s="17"/>
      <c r="D192" s="17"/>
      <c r="E192" s="17" t="s">
        <v>13</v>
      </c>
      <c r="F192" s="17"/>
      <c r="H192" s="1" t="s">
        <v>47</v>
      </c>
      <c r="I192" s="1">
        <f>C194*D209+C195*D210+C196*D211+C197*D212</f>
        <v>0</v>
      </c>
      <c r="J192" s="15" t="s">
        <v>74</v>
      </c>
      <c r="K192" s="1" t="s">
        <v>47</v>
      </c>
      <c r="L192" s="1">
        <f>I192</f>
        <v>0</v>
      </c>
    </row>
    <row r="193" spans="1:12" x14ac:dyDescent="0.25">
      <c r="A193" s="27"/>
      <c r="B193" s="1" t="s">
        <v>3</v>
      </c>
      <c r="C193" s="1" t="s">
        <v>1</v>
      </c>
      <c r="D193" s="1" t="s">
        <v>2</v>
      </c>
      <c r="E193" s="1" t="s">
        <v>3</v>
      </c>
      <c r="F193" s="1" t="s">
        <v>14</v>
      </c>
      <c r="G193" s="10" t="s">
        <v>94</v>
      </c>
      <c r="H193" s="1" t="s">
        <v>71</v>
      </c>
      <c r="I193" s="1">
        <f>C200</f>
        <v>0</v>
      </c>
      <c r="J193" s="15"/>
      <c r="K193" s="1" t="s">
        <v>21</v>
      </c>
      <c r="L193" s="1">
        <f>F204</f>
        <v>0</v>
      </c>
    </row>
    <row r="194" spans="1:12" x14ac:dyDescent="0.25">
      <c r="A194" s="27"/>
      <c r="B194" s="1" t="s">
        <v>4</v>
      </c>
      <c r="C194" s="2"/>
      <c r="D194" s="2"/>
      <c r="E194" s="1" t="s">
        <v>4</v>
      </c>
      <c r="F194" s="2"/>
      <c r="G194" s="2"/>
      <c r="H194" s="1" t="s">
        <v>48</v>
      </c>
      <c r="I194" s="1">
        <f>20000</f>
        <v>20000</v>
      </c>
      <c r="J194" s="15"/>
      <c r="K194" s="1" t="s">
        <v>73</v>
      </c>
      <c r="L194" s="1">
        <f>SUM(L192:L193)</f>
        <v>0</v>
      </c>
    </row>
    <row r="195" spans="1:12" x14ac:dyDescent="0.25">
      <c r="A195" s="27"/>
      <c r="B195" s="1" t="s">
        <v>5</v>
      </c>
      <c r="C195" s="2"/>
      <c r="D195" s="2"/>
      <c r="E195" s="1" t="s">
        <v>5</v>
      </c>
      <c r="F195" s="2"/>
      <c r="G195" s="8" t="s">
        <v>106</v>
      </c>
      <c r="H195" s="1" t="s">
        <v>49</v>
      </c>
      <c r="I195" s="1">
        <f>C199*1.4</f>
        <v>0</v>
      </c>
      <c r="J195" s="15" t="s">
        <v>79</v>
      </c>
      <c r="K195" s="1" t="s">
        <v>75</v>
      </c>
      <c r="L195" s="1" t="e">
        <f>I215-I196-I201-I202</f>
        <v>#DIV/0!</v>
      </c>
    </row>
    <row r="196" spans="1:12" x14ac:dyDescent="0.25">
      <c r="A196" s="27"/>
      <c r="B196" s="1" t="s">
        <v>6</v>
      </c>
      <c r="C196" s="2"/>
      <c r="D196" s="2"/>
      <c r="E196" s="1" t="s">
        <v>6</v>
      </c>
      <c r="F196" s="2"/>
      <c r="G196">
        <f>D189</f>
        <v>8</v>
      </c>
      <c r="H196" s="1" t="s">
        <v>50</v>
      </c>
      <c r="I196" s="1" t="e">
        <f>(L178+L196)/(F187+F200+F201)*C199*1.35</f>
        <v>#DIV/0!</v>
      </c>
      <c r="J196" s="15"/>
      <c r="K196" s="1" t="s">
        <v>76</v>
      </c>
      <c r="L196" s="1">
        <f>(F200+F201)*G194</f>
        <v>0</v>
      </c>
    </row>
    <row r="197" spans="1:12" x14ac:dyDescent="0.25">
      <c r="A197" s="27"/>
      <c r="B197" s="1" t="s">
        <v>7</v>
      </c>
      <c r="C197" s="2"/>
      <c r="D197" s="2"/>
      <c r="E197" s="1" t="s">
        <v>7</v>
      </c>
      <c r="F197" s="2"/>
      <c r="G197" t="s">
        <v>107</v>
      </c>
      <c r="H197" s="1" t="s">
        <v>51</v>
      </c>
      <c r="I197" s="1">
        <f>IF(F200=0,0,IF(F200&lt;=500000,40000,IF(F200&lt;=1000000,80000,IF(F200&lt;=1500000,120000,IF(F200&lt;=2000000,160000,IF(F200&gt;2000000,200000))))))</f>
        <v>0</v>
      </c>
      <c r="J197" s="15"/>
      <c r="K197" s="1" t="s">
        <v>77</v>
      </c>
      <c r="L197" s="1">
        <f>F202*500000</f>
        <v>0</v>
      </c>
    </row>
    <row r="198" spans="1:12" x14ac:dyDescent="0.25">
      <c r="A198" s="27"/>
      <c r="B198" s="17" t="s">
        <v>8</v>
      </c>
      <c r="C198" s="17"/>
      <c r="D198" s="17"/>
      <c r="E198" s="1" t="s">
        <v>15</v>
      </c>
      <c r="F198" s="2"/>
      <c r="G198">
        <f>C189*3</f>
        <v>1030881</v>
      </c>
      <c r="H198" s="1" t="s">
        <v>52</v>
      </c>
      <c r="I198" s="1">
        <f>F201</f>
        <v>0</v>
      </c>
      <c r="J198" s="15"/>
      <c r="K198" s="1" t="s">
        <v>22</v>
      </c>
      <c r="L198" s="1">
        <f>F205</f>
        <v>0</v>
      </c>
    </row>
    <row r="199" spans="1:12" x14ac:dyDescent="0.25">
      <c r="A199" s="27"/>
      <c r="B199" s="1" t="s">
        <v>9</v>
      </c>
      <c r="C199" s="2"/>
      <c r="D199" s="1"/>
      <c r="E199" s="18" t="s">
        <v>16</v>
      </c>
      <c r="F199" s="19"/>
      <c r="G199" t="s">
        <v>108</v>
      </c>
      <c r="H199" s="1" t="s">
        <v>53</v>
      </c>
      <c r="I199" s="1">
        <f>12000*D189</f>
        <v>96000</v>
      </c>
      <c r="J199" s="15"/>
      <c r="K199" s="1" t="s">
        <v>23</v>
      </c>
      <c r="L199" s="1">
        <f>F206</f>
        <v>0</v>
      </c>
    </row>
    <row r="200" spans="1:12" x14ac:dyDescent="0.25">
      <c r="A200" s="27"/>
      <c r="B200" s="1" t="s">
        <v>10</v>
      </c>
      <c r="C200" s="2"/>
      <c r="D200" s="1"/>
      <c r="E200" s="1" t="s">
        <v>17</v>
      </c>
      <c r="F200" s="2"/>
      <c r="G200">
        <f>ROUNDDOWN(G198*0.975+F202*150000,0)</f>
        <v>1005108</v>
      </c>
      <c r="H200" s="1" t="s">
        <v>54</v>
      </c>
      <c r="I200" s="1">
        <f>100000*F202</f>
        <v>0</v>
      </c>
      <c r="J200" s="15"/>
      <c r="K200" s="1" t="s">
        <v>78</v>
      </c>
      <c r="L200" s="1" t="e">
        <f>SUM(L195:L199)</f>
        <v>#DIV/0!</v>
      </c>
    </row>
    <row r="201" spans="1:12" x14ac:dyDescent="0.25">
      <c r="A201" s="27"/>
      <c r="B201" s="17" t="s">
        <v>11</v>
      </c>
      <c r="C201" s="17"/>
      <c r="D201" s="17"/>
      <c r="E201" s="1" t="s">
        <v>18</v>
      </c>
      <c r="F201" s="2"/>
      <c r="G201" s="14" t="s">
        <v>110</v>
      </c>
      <c r="H201" s="1" t="s">
        <v>55</v>
      </c>
      <c r="I201" s="1">
        <f>L180*2.5%</f>
        <v>85906.75</v>
      </c>
      <c r="J201" s="16" t="s">
        <v>80</v>
      </c>
      <c r="K201" s="16"/>
      <c r="L201" s="1" t="e">
        <f>L194-L200</f>
        <v>#DIV/0!</v>
      </c>
    </row>
    <row r="202" spans="1:12" x14ac:dyDescent="0.25">
      <c r="A202" s="27"/>
      <c r="B202" s="1" t="s">
        <v>3</v>
      </c>
      <c r="C202" s="1" t="s">
        <v>12</v>
      </c>
      <c r="D202" s="1" t="s">
        <v>111</v>
      </c>
      <c r="E202" s="1" t="s">
        <v>19</v>
      </c>
      <c r="F202" s="2"/>
      <c r="G202">
        <f>(G225+G252)*1.35</f>
        <v>1356895.8</v>
      </c>
      <c r="H202" s="1" t="s">
        <v>72</v>
      </c>
      <c r="I202" s="2">
        <v>0</v>
      </c>
      <c r="J202" s="16" t="s">
        <v>81</v>
      </c>
      <c r="K202" s="16"/>
      <c r="L202" s="2" t="e">
        <f>IF(L210=0,L175+L201,0.5*I192)</f>
        <v>#DIV/0!</v>
      </c>
    </row>
    <row r="203" spans="1:12" x14ac:dyDescent="0.25">
      <c r="A203" s="27"/>
      <c r="B203" s="1" t="s">
        <v>4</v>
      </c>
      <c r="C203" s="2"/>
      <c r="D203" s="1">
        <f>SUM(C203:C206)</f>
        <v>0</v>
      </c>
      <c r="E203" s="18" t="s">
        <v>20</v>
      </c>
      <c r="F203" s="19"/>
      <c r="H203" s="1" t="s">
        <v>56</v>
      </c>
      <c r="I203" s="1">
        <f>SUM(D194:D197)</f>
        <v>0</v>
      </c>
      <c r="J203" s="20" t="s">
        <v>82</v>
      </c>
      <c r="K203" s="20"/>
      <c r="L203" s="20"/>
    </row>
    <row r="204" spans="1:12" x14ac:dyDescent="0.25">
      <c r="A204" s="27"/>
      <c r="B204" s="1" t="s">
        <v>5</v>
      </c>
      <c r="C204" s="2"/>
      <c r="D204" s="1" t="s">
        <v>112</v>
      </c>
      <c r="E204" s="1" t="s">
        <v>21</v>
      </c>
      <c r="F204" s="2"/>
      <c r="H204" s="1" t="s">
        <v>57</v>
      </c>
      <c r="I204" s="1">
        <f>0.4*C203+0.1*C204+0.4*C205+0.5*C206</f>
        <v>0</v>
      </c>
      <c r="J204" s="15" t="s">
        <v>92</v>
      </c>
      <c r="K204" s="1" t="s">
        <v>83</v>
      </c>
      <c r="L204" s="1" t="e">
        <f>L202</f>
        <v>#DIV/0!</v>
      </c>
    </row>
    <row r="205" spans="1:12" x14ac:dyDescent="0.25">
      <c r="A205" s="27"/>
      <c r="B205" s="1" t="s">
        <v>6</v>
      </c>
      <c r="C205" s="2"/>
      <c r="D205" s="1">
        <f>C199-D203</f>
        <v>0</v>
      </c>
      <c r="E205" s="1" t="s">
        <v>22</v>
      </c>
      <c r="F205" s="2"/>
      <c r="H205" s="1" t="s">
        <v>58</v>
      </c>
      <c r="I205" s="2">
        <v>0</v>
      </c>
      <c r="J205" s="15"/>
      <c r="K205" s="1" t="s">
        <v>84</v>
      </c>
      <c r="L205" s="1" t="e">
        <f>(L178+L196)/(F187+F200+F201)*F214</f>
        <v>#DIV/0!</v>
      </c>
    </row>
    <row r="206" spans="1:12" x14ac:dyDescent="0.25">
      <c r="A206" s="27"/>
      <c r="B206" s="3" t="s">
        <v>7</v>
      </c>
      <c r="C206" s="2"/>
      <c r="D206" s="3"/>
      <c r="E206" s="3" t="s">
        <v>23</v>
      </c>
      <c r="F206" s="2"/>
      <c r="H206" s="1" t="s">
        <v>59</v>
      </c>
      <c r="I206" s="1">
        <f>500*(F194+F195+F196+F197+F198)</f>
        <v>0</v>
      </c>
      <c r="J206" s="15"/>
      <c r="K206" s="1" t="s">
        <v>85</v>
      </c>
      <c r="L206" s="1">
        <f>4*E214</f>
        <v>0</v>
      </c>
    </row>
    <row r="207" spans="1:12" ht="15.6" x14ac:dyDescent="0.3">
      <c r="A207" s="27"/>
      <c r="B207" s="25" t="s">
        <v>25</v>
      </c>
      <c r="C207" s="25"/>
      <c r="D207" s="25"/>
      <c r="E207" s="25"/>
      <c r="F207" s="25"/>
      <c r="G207" s="26"/>
      <c r="H207" s="1" t="s">
        <v>60</v>
      </c>
      <c r="I207" s="1">
        <f>1000*(F194+F195+F196+F197+F198)</f>
        <v>0</v>
      </c>
      <c r="J207" s="15"/>
      <c r="K207" s="1" t="s">
        <v>86</v>
      </c>
      <c r="L207" s="1">
        <f>C216*10</f>
        <v>3350360</v>
      </c>
    </row>
    <row r="208" spans="1:12" x14ac:dyDescent="0.25">
      <c r="A208" s="27"/>
      <c r="B208" s="1" t="s">
        <v>44</v>
      </c>
      <c r="C208" s="1" t="s">
        <v>26</v>
      </c>
      <c r="D208" s="1" t="s">
        <v>45</v>
      </c>
      <c r="E208" s="1" t="s">
        <v>27</v>
      </c>
      <c r="F208" s="1" t="s">
        <v>28</v>
      </c>
      <c r="G208" s="6" t="s">
        <v>29</v>
      </c>
      <c r="H208" s="7" t="s">
        <v>61</v>
      </c>
      <c r="I208" s="1">
        <f>9000*G189+7500*F189+4500*SUM(F194:F197)+3750*F198</f>
        <v>288000</v>
      </c>
      <c r="J208" s="15"/>
      <c r="K208" s="1" t="s">
        <v>87</v>
      </c>
      <c r="L208" s="1" t="e">
        <f>SUM(L204:L207)</f>
        <v>#DIV/0!</v>
      </c>
    </row>
    <row r="209" spans="1:12" x14ac:dyDescent="0.25">
      <c r="A209" s="27"/>
      <c r="B209" s="1" t="s">
        <v>30</v>
      </c>
      <c r="C209" s="5"/>
      <c r="D209" s="5">
        <f>C203</f>
        <v>0</v>
      </c>
      <c r="E209" s="1"/>
      <c r="F209" s="1"/>
      <c r="G209" s="6">
        <f>G182+F194</f>
        <v>3</v>
      </c>
      <c r="H209" s="7" t="s">
        <v>62</v>
      </c>
      <c r="I209" s="1" t="e">
        <f>L178*10%</f>
        <v>#DIV/0!</v>
      </c>
      <c r="J209" s="15" t="s">
        <v>91</v>
      </c>
      <c r="K209" s="1" t="s">
        <v>88</v>
      </c>
      <c r="L209" s="1">
        <f>L182+F204-F205</f>
        <v>0</v>
      </c>
    </row>
    <row r="210" spans="1:12" x14ac:dyDescent="0.25">
      <c r="A210" s="27"/>
      <c r="B210" s="1" t="s">
        <v>31</v>
      </c>
      <c r="C210" s="5"/>
      <c r="D210" s="5">
        <f>C204</f>
        <v>0</v>
      </c>
      <c r="E210" s="1"/>
      <c r="F210" s="5"/>
      <c r="G210" s="6">
        <f>G183+F195</f>
        <v>3</v>
      </c>
      <c r="H210" s="7" t="s">
        <v>63</v>
      </c>
      <c r="I210" s="8">
        <f>0.5*E214</f>
        <v>0</v>
      </c>
      <c r="J210" s="15"/>
      <c r="K210" s="1" t="s">
        <v>89</v>
      </c>
      <c r="L210" s="1" t="e">
        <f>IF(I192*0.5-L175-L201&lt;0,0,I192*0.5-L175-L201)</f>
        <v>#DIV/0!</v>
      </c>
    </row>
    <row r="211" spans="1:12" x14ac:dyDescent="0.25">
      <c r="A211" s="27"/>
      <c r="B211" s="1" t="s">
        <v>32</v>
      </c>
      <c r="C211" s="5"/>
      <c r="D211" s="5">
        <f>C205</f>
        <v>0</v>
      </c>
      <c r="E211" s="1"/>
      <c r="F211" s="5"/>
      <c r="G211" s="6">
        <f>G184+F196</f>
        <v>3</v>
      </c>
      <c r="H211" s="7" t="s">
        <v>64</v>
      </c>
      <c r="I211" s="1" t="e">
        <f>(L182+F204-F205)*$H$1/4+L183*$H$1</f>
        <v>#DIV/0!</v>
      </c>
      <c r="J211" s="15"/>
      <c r="K211" s="1" t="s">
        <v>90</v>
      </c>
      <c r="L211" s="1" t="e">
        <f>SUM(L209:L210)</f>
        <v>#DIV/0!</v>
      </c>
    </row>
    <row r="212" spans="1:12" x14ac:dyDescent="0.25">
      <c r="A212" s="27"/>
      <c r="B212" s="1" t="s">
        <v>33</v>
      </c>
      <c r="C212" s="5"/>
      <c r="D212" s="5">
        <f>C206</f>
        <v>0</v>
      </c>
      <c r="E212" s="1"/>
      <c r="F212" s="5"/>
      <c r="G212" s="6">
        <f>G185+F197</f>
        <v>3</v>
      </c>
      <c r="H212" s="7" t="s">
        <v>65</v>
      </c>
      <c r="I212" s="1">
        <f>(I192/(1+$B$1))*$B$1</f>
        <v>0</v>
      </c>
      <c r="J212" s="16" t="s">
        <v>93</v>
      </c>
      <c r="K212" s="16"/>
      <c r="L212" s="1" t="e">
        <f>L185+I216</f>
        <v>#DIV/0!</v>
      </c>
    </row>
    <row r="213" spans="1:12" x14ac:dyDescent="0.25">
      <c r="A213" s="27"/>
      <c r="B213" s="1" t="s">
        <v>34</v>
      </c>
      <c r="C213" s="1" t="s">
        <v>35</v>
      </c>
      <c r="D213" s="1" t="s">
        <v>36</v>
      </c>
      <c r="E213" s="1" t="s">
        <v>28</v>
      </c>
      <c r="F213" s="1" t="s">
        <v>37</v>
      </c>
      <c r="G213" s="6" t="s">
        <v>38</v>
      </c>
      <c r="H213" s="7" t="s">
        <v>66</v>
      </c>
      <c r="I213" s="1">
        <f>I212*$D$1</f>
        <v>0</v>
      </c>
    </row>
    <row r="214" spans="1:12" x14ac:dyDescent="0.25">
      <c r="A214" s="27"/>
      <c r="B214" s="5"/>
      <c r="C214" s="5">
        <f>C199</f>
        <v>0</v>
      </c>
      <c r="D214" s="5">
        <f>SUM(D209:D212)</f>
        <v>0</v>
      </c>
      <c r="E214" s="5">
        <v>0</v>
      </c>
      <c r="F214" s="1"/>
      <c r="G214" s="6"/>
      <c r="H214" s="8" t="s">
        <v>67</v>
      </c>
      <c r="I214" s="1" t="e">
        <f>IF((I212/$B$1-SUM(I193:I211)-I213)*$F$1&gt;0,(I212/$B$1-SUM(I193:I211)-I213)*$F$1,0)</f>
        <v>#DIV/0!</v>
      </c>
    </row>
    <row r="215" spans="1:12" x14ac:dyDescent="0.25">
      <c r="A215" s="27"/>
      <c r="B215" s="1" t="s">
        <v>39</v>
      </c>
      <c r="C215" s="1" t="s">
        <v>40</v>
      </c>
      <c r="D215" s="1" t="s">
        <v>41</v>
      </c>
      <c r="E215" s="1" t="s">
        <v>42</v>
      </c>
      <c r="F215" s="1" t="s">
        <v>43</v>
      </c>
      <c r="G215" s="6" t="s">
        <v>29</v>
      </c>
      <c r="H215" s="9" t="s">
        <v>68</v>
      </c>
      <c r="I215" s="1" t="e">
        <f>SUM(I193:I214)</f>
        <v>#DIV/0!</v>
      </c>
    </row>
    <row r="216" spans="1:12" x14ac:dyDescent="0.25">
      <c r="A216" s="27"/>
      <c r="B216" s="5">
        <f>G200/3</f>
        <v>335036</v>
      </c>
      <c r="C216" s="5">
        <f>B216</f>
        <v>335036</v>
      </c>
      <c r="D216" s="1">
        <f>D189+F202</f>
        <v>8</v>
      </c>
      <c r="E216" s="1">
        <f>SUM(F216:G216)</f>
        <v>36</v>
      </c>
      <c r="F216" s="1">
        <f>F198+F189</f>
        <v>24</v>
      </c>
      <c r="G216" s="1">
        <f>SUM(G209:G212)</f>
        <v>12</v>
      </c>
      <c r="H216" s="9" t="s">
        <v>69</v>
      </c>
      <c r="I216" s="1" t="e">
        <f>I192-I215</f>
        <v>#DIV/0!</v>
      </c>
    </row>
    <row r="218" spans="1:12" ht="15.6" x14ac:dyDescent="0.3">
      <c r="A218" s="27" t="s">
        <v>109</v>
      </c>
      <c r="B218" s="21" t="s">
        <v>24</v>
      </c>
      <c r="C218" s="21"/>
      <c r="D218" s="21"/>
      <c r="E218" s="21"/>
      <c r="F218" s="21"/>
      <c r="H218" s="22" t="s">
        <v>46</v>
      </c>
      <c r="I218" s="22"/>
      <c r="J218" s="23" t="s">
        <v>70</v>
      </c>
      <c r="K218" s="24"/>
      <c r="L218" s="24"/>
    </row>
    <row r="219" spans="1:12" x14ac:dyDescent="0.25">
      <c r="A219" s="27"/>
      <c r="B219" s="17" t="s">
        <v>0</v>
      </c>
      <c r="C219" s="17"/>
      <c r="D219" s="17"/>
      <c r="E219" s="17" t="s">
        <v>13</v>
      </c>
      <c r="F219" s="17"/>
      <c r="H219" s="1" t="s">
        <v>47</v>
      </c>
      <c r="I219" s="1">
        <f>C221*D236+C222*D237+C223*D238+C224*D239</f>
        <v>0</v>
      </c>
      <c r="J219" s="15" t="s">
        <v>74</v>
      </c>
      <c r="K219" s="1" t="s">
        <v>47</v>
      </c>
      <c r="L219" s="1">
        <f>I219</f>
        <v>0</v>
      </c>
    </row>
    <row r="220" spans="1:12" x14ac:dyDescent="0.25">
      <c r="A220" s="27"/>
      <c r="B220" s="1" t="s">
        <v>3</v>
      </c>
      <c r="C220" s="1" t="s">
        <v>1</v>
      </c>
      <c r="D220" s="1" t="s">
        <v>2</v>
      </c>
      <c r="E220" s="1" t="s">
        <v>3</v>
      </c>
      <c r="F220" s="1" t="s">
        <v>14</v>
      </c>
      <c r="G220" s="10" t="s">
        <v>94</v>
      </c>
      <c r="H220" s="1" t="s">
        <v>71</v>
      </c>
      <c r="I220" s="1">
        <f>C227</f>
        <v>0</v>
      </c>
      <c r="J220" s="15"/>
      <c r="K220" s="1" t="s">
        <v>21</v>
      </c>
      <c r="L220" s="1">
        <f>F231</f>
        <v>0</v>
      </c>
    </row>
    <row r="221" spans="1:12" x14ac:dyDescent="0.25">
      <c r="A221" s="27"/>
      <c r="B221" s="1" t="s">
        <v>4</v>
      </c>
      <c r="C221" s="2"/>
      <c r="D221" s="2"/>
      <c r="E221" s="1" t="s">
        <v>4</v>
      </c>
      <c r="F221" s="2"/>
      <c r="G221" s="2"/>
      <c r="H221" s="1" t="s">
        <v>48</v>
      </c>
      <c r="I221" s="1">
        <f>20000</f>
        <v>20000</v>
      </c>
      <c r="J221" s="15"/>
      <c r="K221" s="1" t="s">
        <v>73</v>
      </c>
      <c r="L221" s="1">
        <f>SUM(L219:L220)</f>
        <v>0</v>
      </c>
    </row>
    <row r="222" spans="1:12" x14ac:dyDescent="0.25">
      <c r="A222" s="27"/>
      <c r="B222" s="1" t="s">
        <v>5</v>
      </c>
      <c r="C222" s="2"/>
      <c r="D222" s="2"/>
      <c r="E222" s="1" t="s">
        <v>5</v>
      </c>
      <c r="F222" s="2"/>
      <c r="G222" s="8" t="s">
        <v>106</v>
      </c>
      <c r="H222" s="1" t="s">
        <v>49</v>
      </c>
      <c r="I222" s="1">
        <f>C226*1.4</f>
        <v>0</v>
      </c>
      <c r="J222" s="15" t="s">
        <v>79</v>
      </c>
      <c r="K222" s="1" t="s">
        <v>75</v>
      </c>
      <c r="L222" s="1" t="e">
        <f>I242-I223-I228-I229</f>
        <v>#DIV/0!</v>
      </c>
    </row>
    <row r="223" spans="1:12" x14ac:dyDescent="0.25">
      <c r="A223" s="27"/>
      <c r="B223" s="1" t="s">
        <v>6</v>
      </c>
      <c r="C223" s="2"/>
      <c r="D223" s="2"/>
      <c r="E223" s="1" t="s">
        <v>6</v>
      </c>
      <c r="F223" s="2"/>
      <c r="G223">
        <f>D216</f>
        <v>8</v>
      </c>
      <c r="H223" s="1" t="s">
        <v>50</v>
      </c>
      <c r="I223" s="1" t="e">
        <f>(L205+L223)/(F214+F227+F228)*C226*1.35</f>
        <v>#DIV/0!</v>
      </c>
      <c r="J223" s="15"/>
      <c r="K223" s="1" t="s">
        <v>76</v>
      </c>
      <c r="L223" s="1">
        <f>(F227+F228)*G221</f>
        <v>0</v>
      </c>
    </row>
    <row r="224" spans="1:12" x14ac:dyDescent="0.25">
      <c r="A224" s="27"/>
      <c r="B224" s="1" t="s">
        <v>7</v>
      </c>
      <c r="C224" s="2"/>
      <c r="D224" s="2"/>
      <c r="E224" s="1" t="s">
        <v>7</v>
      </c>
      <c r="F224" s="2"/>
      <c r="G224" t="s">
        <v>107</v>
      </c>
      <c r="H224" s="1" t="s">
        <v>51</v>
      </c>
      <c r="I224" s="1">
        <f>IF(F227=0,0,IF(F227&lt;=500000,40000,IF(F227&lt;=1000000,80000,IF(F227&lt;=1500000,120000,IF(F227&lt;=2000000,160000,IF(F227&gt;2000000,200000))))))</f>
        <v>0</v>
      </c>
      <c r="J224" s="15"/>
      <c r="K224" s="1" t="s">
        <v>77</v>
      </c>
      <c r="L224" s="1">
        <f>F229*500000</f>
        <v>0</v>
      </c>
    </row>
    <row r="225" spans="1:12" x14ac:dyDescent="0.25">
      <c r="A225" s="27"/>
      <c r="B225" s="17" t="s">
        <v>8</v>
      </c>
      <c r="C225" s="17"/>
      <c r="D225" s="17"/>
      <c r="E225" s="1" t="s">
        <v>15</v>
      </c>
      <c r="F225" s="2"/>
      <c r="G225">
        <f>C216*3</f>
        <v>1005108</v>
      </c>
      <c r="H225" s="1" t="s">
        <v>52</v>
      </c>
      <c r="I225" s="1">
        <f>F228</f>
        <v>0</v>
      </c>
      <c r="J225" s="15"/>
      <c r="K225" s="1" t="s">
        <v>22</v>
      </c>
      <c r="L225" s="1">
        <f>F232</f>
        <v>0</v>
      </c>
    </row>
    <row r="226" spans="1:12" x14ac:dyDescent="0.25">
      <c r="A226" s="27"/>
      <c r="B226" s="1" t="s">
        <v>9</v>
      </c>
      <c r="C226" s="2"/>
      <c r="D226" s="1"/>
      <c r="E226" s="18" t="s">
        <v>16</v>
      </c>
      <c r="F226" s="19"/>
      <c r="G226" t="s">
        <v>108</v>
      </c>
      <c r="H226" s="1" t="s">
        <v>53</v>
      </c>
      <c r="I226" s="1">
        <f>12000*D216</f>
        <v>96000</v>
      </c>
      <c r="J226" s="15"/>
      <c r="K226" s="1" t="s">
        <v>23</v>
      </c>
      <c r="L226" s="1">
        <f>F233</f>
        <v>0</v>
      </c>
    </row>
    <row r="227" spans="1:12" x14ac:dyDescent="0.25">
      <c r="A227" s="27"/>
      <c r="B227" s="1" t="s">
        <v>10</v>
      </c>
      <c r="C227" s="2"/>
      <c r="D227" s="1"/>
      <c r="E227" s="1" t="s">
        <v>17</v>
      </c>
      <c r="F227" s="2"/>
      <c r="G227">
        <f>ROUNDDOWN(G225*0.975+F229*150000,0)</f>
        <v>979980</v>
      </c>
      <c r="H227" s="1" t="s">
        <v>54</v>
      </c>
      <c r="I227" s="1">
        <f>100000*F229</f>
        <v>0</v>
      </c>
      <c r="J227" s="15"/>
      <c r="K227" s="1" t="s">
        <v>78</v>
      </c>
      <c r="L227" s="1" t="e">
        <f>SUM(L222:L226)</f>
        <v>#DIV/0!</v>
      </c>
    </row>
    <row r="228" spans="1:12" x14ac:dyDescent="0.25">
      <c r="A228" s="27"/>
      <c r="B228" s="17" t="s">
        <v>11</v>
      </c>
      <c r="C228" s="17"/>
      <c r="D228" s="17"/>
      <c r="E228" s="1" t="s">
        <v>18</v>
      </c>
      <c r="F228" s="2"/>
      <c r="H228" s="1" t="s">
        <v>55</v>
      </c>
      <c r="I228" s="1">
        <f>L207*2.5%</f>
        <v>83759</v>
      </c>
      <c r="J228" s="16" t="s">
        <v>80</v>
      </c>
      <c r="K228" s="16"/>
      <c r="L228" s="1" t="e">
        <f>L221-L227</f>
        <v>#DIV/0!</v>
      </c>
    </row>
    <row r="229" spans="1:12" x14ac:dyDescent="0.25">
      <c r="A229" s="27"/>
      <c r="B229" s="1" t="s">
        <v>3</v>
      </c>
      <c r="C229" s="1" t="s">
        <v>12</v>
      </c>
      <c r="D229" s="1" t="s">
        <v>111</v>
      </c>
      <c r="E229" s="1" t="s">
        <v>19</v>
      </c>
      <c r="F229" s="2"/>
      <c r="H229" s="1" t="s">
        <v>72</v>
      </c>
      <c r="I229" s="2">
        <v>0</v>
      </c>
      <c r="J229" s="16" t="s">
        <v>81</v>
      </c>
      <c r="K229" s="16"/>
      <c r="L229" s="2" t="e">
        <f>IF(L237=0,L202+L228,0.5*I219)</f>
        <v>#DIV/0!</v>
      </c>
    </row>
    <row r="230" spans="1:12" x14ac:dyDescent="0.25">
      <c r="A230" s="27"/>
      <c r="B230" s="1" t="s">
        <v>4</v>
      </c>
      <c r="C230" s="2"/>
      <c r="D230" s="1">
        <f>SUM(C230:C233)</f>
        <v>0</v>
      </c>
      <c r="E230" s="18" t="s">
        <v>20</v>
      </c>
      <c r="F230" s="19"/>
      <c r="H230" s="1" t="s">
        <v>56</v>
      </c>
      <c r="I230" s="1">
        <f>SUM(D221:D224)</f>
        <v>0</v>
      </c>
      <c r="J230" s="20" t="s">
        <v>82</v>
      </c>
      <c r="K230" s="20"/>
      <c r="L230" s="20"/>
    </row>
    <row r="231" spans="1:12" x14ac:dyDescent="0.25">
      <c r="A231" s="27"/>
      <c r="B231" s="1" t="s">
        <v>5</v>
      </c>
      <c r="C231" s="2"/>
      <c r="D231" s="1" t="s">
        <v>112</v>
      </c>
      <c r="E231" s="1" t="s">
        <v>21</v>
      </c>
      <c r="F231" s="2"/>
      <c r="H231" s="1" t="s">
        <v>57</v>
      </c>
      <c r="I231" s="1">
        <f>0.4*C230+0.1*C231+0.4*C232+0.5*C233</f>
        <v>0</v>
      </c>
      <c r="J231" s="15" t="s">
        <v>92</v>
      </c>
      <c r="K231" s="1" t="s">
        <v>83</v>
      </c>
      <c r="L231" s="1" t="e">
        <f>L229</f>
        <v>#DIV/0!</v>
      </c>
    </row>
    <row r="232" spans="1:12" x14ac:dyDescent="0.25">
      <c r="A232" s="27"/>
      <c r="B232" s="1" t="s">
        <v>6</v>
      </c>
      <c r="C232" s="2"/>
      <c r="D232" s="1">
        <f>C226-D230</f>
        <v>0</v>
      </c>
      <c r="E232" s="1" t="s">
        <v>22</v>
      </c>
      <c r="F232" s="2"/>
      <c r="H232" s="1" t="s">
        <v>58</v>
      </c>
      <c r="I232" s="2">
        <v>0</v>
      </c>
      <c r="J232" s="15"/>
      <c r="K232" s="1" t="s">
        <v>84</v>
      </c>
      <c r="L232" s="1" t="e">
        <f>(L205+L223)/(F214+F227+F228)*F241</f>
        <v>#DIV/0!</v>
      </c>
    </row>
    <row r="233" spans="1:12" x14ac:dyDescent="0.25">
      <c r="A233" s="27"/>
      <c r="B233" s="3" t="s">
        <v>7</v>
      </c>
      <c r="C233" s="2"/>
      <c r="D233" s="3"/>
      <c r="E233" s="3" t="s">
        <v>23</v>
      </c>
      <c r="F233" s="2"/>
      <c r="H233" s="1" t="s">
        <v>59</v>
      </c>
      <c r="I233" s="1">
        <f>500*(F221+F222+F223+F224+F225)</f>
        <v>0</v>
      </c>
      <c r="J233" s="15"/>
      <c r="K233" s="1" t="s">
        <v>85</v>
      </c>
      <c r="L233" s="1">
        <f>4*E241</f>
        <v>0</v>
      </c>
    </row>
    <row r="234" spans="1:12" ht="15.6" x14ac:dyDescent="0.3">
      <c r="A234" s="27"/>
      <c r="B234" s="25" t="s">
        <v>25</v>
      </c>
      <c r="C234" s="25"/>
      <c r="D234" s="25"/>
      <c r="E234" s="25"/>
      <c r="F234" s="25"/>
      <c r="G234" s="26"/>
      <c r="H234" s="1" t="s">
        <v>60</v>
      </c>
      <c r="I234" s="1">
        <f>1000*(F221+F222+F223+F224+F225)</f>
        <v>0</v>
      </c>
      <c r="J234" s="15"/>
      <c r="K234" s="1" t="s">
        <v>86</v>
      </c>
      <c r="L234" s="1">
        <f>C243*10</f>
        <v>3266600</v>
      </c>
    </row>
    <row r="235" spans="1:12" x14ac:dyDescent="0.25">
      <c r="A235" s="27"/>
      <c r="B235" s="1" t="s">
        <v>44</v>
      </c>
      <c r="C235" s="1" t="s">
        <v>26</v>
      </c>
      <c r="D235" s="1" t="s">
        <v>45</v>
      </c>
      <c r="E235" s="1" t="s">
        <v>27</v>
      </c>
      <c r="F235" s="1" t="s">
        <v>28</v>
      </c>
      <c r="G235" s="6" t="s">
        <v>29</v>
      </c>
      <c r="H235" s="7" t="s">
        <v>61</v>
      </c>
      <c r="I235" s="1">
        <f>9000*G216+7500*F216+4500*SUM(F221:F224)+3750*F225</f>
        <v>288000</v>
      </c>
      <c r="J235" s="15"/>
      <c r="K235" s="1" t="s">
        <v>87</v>
      </c>
      <c r="L235" s="1" t="e">
        <f>SUM(L231:L234)</f>
        <v>#DIV/0!</v>
      </c>
    </row>
    <row r="236" spans="1:12" x14ac:dyDescent="0.25">
      <c r="A236" s="27"/>
      <c r="B236" s="1" t="s">
        <v>30</v>
      </c>
      <c r="C236" s="5"/>
      <c r="D236" s="5">
        <f>C230</f>
        <v>0</v>
      </c>
      <c r="E236" s="1"/>
      <c r="F236" s="1"/>
      <c r="G236" s="6">
        <f>G209+F221</f>
        <v>3</v>
      </c>
      <c r="H236" s="7" t="s">
        <v>62</v>
      </c>
      <c r="I236" s="1" t="e">
        <f>L205*10%</f>
        <v>#DIV/0!</v>
      </c>
      <c r="J236" s="15" t="s">
        <v>91</v>
      </c>
      <c r="K236" s="1" t="s">
        <v>88</v>
      </c>
      <c r="L236" s="1">
        <f>L209+F231-F232</f>
        <v>0</v>
      </c>
    </row>
    <row r="237" spans="1:12" x14ac:dyDescent="0.25">
      <c r="A237" s="27"/>
      <c r="B237" s="1" t="s">
        <v>31</v>
      </c>
      <c r="C237" s="5"/>
      <c r="D237" s="5">
        <f>C231</f>
        <v>0</v>
      </c>
      <c r="E237" s="1"/>
      <c r="F237" s="5"/>
      <c r="G237" s="6">
        <f>G210+F222</f>
        <v>3</v>
      </c>
      <c r="H237" s="7" t="s">
        <v>63</v>
      </c>
      <c r="I237" s="8">
        <f>0.5*E241</f>
        <v>0</v>
      </c>
      <c r="J237" s="15"/>
      <c r="K237" s="1" t="s">
        <v>89</v>
      </c>
      <c r="L237" s="1" t="e">
        <f>IF(I219*0.5-L202-L228&lt;0,0,I219*0.5-L202-L228)</f>
        <v>#DIV/0!</v>
      </c>
    </row>
    <row r="238" spans="1:12" x14ac:dyDescent="0.25">
      <c r="A238" s="27"/>
      <c r="B238" s="1" t="s">
        <v>32</v>
      </c>
      <c r="C238" s="5"/>
      <c r="D238" s="5">
        <f>C232</f>
        <v>0</v>
      </c>
      <c r="E238" s="1"/>
      <c r="F238" s="5"/>
      <c r="G238" s="6">
        <f>G211+F223</f>
        <v>3</v>
      </c>
      <c r="H238" s="7" t="s">
        <v>64</v>
      </c>
      <c r="I238" s="1" t="e">
        <f>(L209+F231-F232)*$H$1/4+L210*$H$1</f>
        <v>#DIV/0!</v>
      </c>
      <c r="J238" s="15"/>
      <c r="K238" s="1" t="s">
        <v>90</v>
      </c>
      <c r="L238" s="1" t="e">
        <f>SUM(L236:L237)</f>
        <v>#DIV/0!</v>
      </c>
    </row>
    <row r="239" spans="1:12" x14ac:dyDescent="0.25">
      <c r="A239" s="27"/>
      <c r="B239" s="1" t="s">
        <v>33</v>
      </c>
      <c r="C239" s="5"/>
      <c r="D239" s="5">
        <f>C233</f>
        <v>0</v>
      </c>
      <c r="E239" s="1"/>
      <c r="F239" s="5"/>
      <c r="G239" s="6">
        <f>G212+F224</f>
        <v>3</v>
      </c>
      <c r="H239" s="7" t="s">
        <v>65</v>
      </c>
      <c r="I239" s="1">
        <f>(I219/(1+$B$1))*$B$1</f>
        <v>0</v>
      </c>
      <c r="J239" s="16" t="s">
        <v>93</v>
      </c>
      <c r="K239" s="16"/>
      <c r="L239" s="1" t="e">
        <f>L212+I243</f>
        <v>#DIV/0!</v>
      </c>
    </row>
    <row r="240" spans="1:12" x14ac:dyDescent="0.25">
      <c r="A240" s="27"/>
      <c r="B240" s="1" t="s">
        <v>34</v>
      </c>
      <c r="C240" s="1" t="s">
        <v>35</v>
      </c>
      <c r="D240" s="1" t="s">
        <v>36</v>
      </c>
      <c r="E240" s="1" t="s">
        <v>28</v>
      </c>
      <c r="F240" s="1" t="s">
        <v>37</v>
      </c>
      <c r="G240" s="6" t="s">
        <v>38</v>
      </c>
      <c r="H240" s="7" t="s">
        <v>66</v>
      </c>
      <c r="I240" s="1">
        <f>I239*$D$1</f>
        <v>0</v>
      </c>
    </row>
    <row r="241" spans="1:9" x14ac:dyDescent="0.25">
      <c r="A241" s="27"/>
      <c r="B241" s="5"/>
      <c r="C241" s="5">
        <f>C226</f>
        <v>0</v>
      </c>
      <c r="D241" s="5">
        <f>SUM(D236:D239)</f>
        <v>0</v>
      </c>
      <c r="E241" s="5">
        <v>0</v>
      </c>
      <c r="F241" s="1"/>
      <c r="G241" s="6"/>
      <c r="H241" s="8" t="s">
        <v>67</v>
      </c>
      <c r="I241" s="1" t="e">
        <f>IF((I239/$B$1-SUM(I220:I238)-I240)*$F$1&gt;0,(I239/$B$1-SUM(I220:I238)-I240)*$F$1,0)</f>
        <v>#DIV/0!</v>
      </c>
    </row>
    <row r="242" spans="1:9" x14ac:dyDescent="0.25">
      <c r="A242" s="27"/>
      <c r="B242" s="1" t="s">
        <v>39</v>
      </c>
      <c r="C242" s="1" t="s">
        <v>40</v>
      </c>
      <c r="D242" s="1" t="s">
        <v>41</v>
      </c>
      <c r="E242" s="1" t="s">
        <v>42</v>
      </c>
      <c r="F242" s="1" t="s">
        <v>43</v>
      </c>
      <c r="G242" s="6" t="s">
        <v>29</v>
      </c>
      <c r="H242" s="9" t="s">
        <v>68</v>
      </c>
      <c r="I242" s="1" t="e">
        <f>SUM(I220:I241)</f>
        <v>#DIV/0!</v>
      </c>
    </row>
    <row r="243" spans="1:9" x14ac:dyDescent="0.25">
      <c r="A243" s="27"/>
      <c r="B243" s="5">
        <f>G227/3</f>
        <v>326660</v>
      </c>
      <c r="C243" s="5">
        <f>B243</f>
        <v>326660</v>
      </c>
      <c r="D243" s="1">
        <f>D216+F229</f>
        <v>8</v>
      </c>
      <c r="E243" s="1">
        <f>SUM(F243:G243)</f>
        <v>36</v>
      </c>
      <c r="F243" s="1">
        <f>F225+F216</f>
        <v>24</v>
      </c>
      <c r="G243" s="1">
        <f>SUM(G236:G239)</f>
        <v>12</v>
      </c>
      <c r="H243" s="9" t="s">
        <v>69</v>
      </c>
      <c r="I243" s="1" t="e">
        <f>I219-I242</f>
        <v>#DIV/0!</v>
      </c>
    </row>
  </sheetData>
  <mergeCells count="171">
    <mergeCell ref="A218:A243"/>
    <mergeCell ref="B218:F218"/>
    <mergeCell ref="H218:I218"/>
    <mergeCell ref="J218:L218"/>
    <mergeCell ref="B219:D219"/>
    <mergeCell ref="E219:F219"/>
    <mergeCell ref="J219:J221"/>
    <mergeCell ref="J222:J227"/>
    <mergeCell ref="B225:D225"/>
    <mergeCell ref="E226:F226"/>
    <mergeCell ref="B228:D228"/>
    <mergeCell ref="J228:K228"/>
    <mergeCell ref="J229:K229"/>
    <mergeCell ref="J239:K239"/>
    <mergeCell ref="E230:F230"/>
    <mergeCell ref="J230:L230"/>
    <mergeCell ref="J231:J235"/>
    <mergeCell ref="B234:G234"/>
    <mergeCell ref="J236:J238"/>
    <mergeCell ref="A191:A216"/>
    <mergeCell ref="B191:F191"/>
    <mergeCell ref="H191:I191"/>
    <mergeCell ref="J191:L191"/>
    <mergeCell ref="B192:D192"/>
    <mergeCell ref="E192:F192"/>
    <mergeCell ref="J192:J194"/>
    <mergeCell ref="J195:J200"/>
    <mergeCell ref="B198:D198"/>
    <mergeCell ref="E199:F199"/>
    <mergeCell ref="B201:D201"/>
    <mergeCell ref="J201:K201"/>
    <mergeCell ref="J202:K202"/>
    <mergeCell ref="E203:F203"/>
    <mergeCell ref="J203:L203"/>
    <mergeCell ref="J204:J208"/>
    <mergeCell ref="B207:G207"/>
    <mergeCell ref="J209:J211"/>
    <mergeCell ref="J212:K212"/>
    <mergeCell ref="J176:L176"/>
    <mergeCell ref="J177:J181"/>
    <mergeCell ref="B180:G180"/>
    <mergeCell ref="J182:J184"/>
    <mergeCell ref="J185:K185"/>
    <mergeCell ref="J155:J157"/>
    <mergeCell ref="J158:K158"/>
    <mergeCell ref="A164:A189"/>
    <mergeCell ref="B164:F164"/>
    <mergeCell ref="H164:I164"/>
    <mergeCell ref="J164:L164"/>
    <mergeCell ref="B165:D165"/>
    <mergeCell ref="E165:F165"/>
    <mergeCell ref="J165:J167"/>
    <mergeCell ref="J168:J173"/>
    <mergeCell ref="B171:D171"/>
    <mergeCell ref="E172:F172"/>
    <mergeCell ref="B174:D174"/>
    <mergeCell ref="J174:K174"/>
    <mergeCell ref="J175:K175"/>
    <mergeCell ref="E176:F176"/>
    <mergeCell ref="A137:A162"/>
    <mergeCell ref="J148:K148"/>
    <mergeCell ref="E149:F149"/>
    <mergeCell ref="J149:L149"/>
    <mergeCell ref="J150:J154"/>
    <mergeCell ref="B153:G153"/>
    <mergeCell ref="J123:J127"/>
    <mergeCell ref="B126:G126"/>
    <mergeCell ref="J128:J130"/>
    <mergeCell ref="J131:K131"/>
    <mergeCell ref="B137:F137"/>
    <mergeCell ref="H137:I137"/>
    <mergeCell ref="J137:L137"/>
    <mergeCell ref="B138:D138"/>
    <mergeCell ref="E138:F138"/>
    <mergeCell ref="J138:J140"/>
    <mergeCell ref="J141:J146"/>
    <mergeCell ref="B144:D144"/>
    <mergeCell ref="E145:F145"/>
    <mergeCell ref="B147:D147"/>
    <mergeCell ref="J147:K147"/>
    <mergeCell ref="J104:K104"/>
    <mergeCell ref="A110:A135"/>
    <mergeCell ref="B110:F110"/>
    <mergeCell ref="H110:I110"/>
    <mergeCell ref="J110:L110"/>
    <mergeCell ref="B111:D111"/>
    <mergeCell ref="E111:F111"/>
    <mergeCell ref="J111:J113"/>
    <mergeCell ref="J114:J119"/>
    <mergeCell ref="B117:D117"/>
    <mergeCell ref="E118:F118"/>
    <mergeCell ref="B120:D120"/>
    <mergeCell ref="J120:K120"/>
    <mergeCell ref="J121:K121"/>
    <mergeCell ref="E122:F122"/>
    <mergeCell ref="J122:L122"/>
    <mergeCell ref="E95:F95"/>
    <mergeCell ref="J95:L95"/>
    <mergeCell ref="J96:J100"/>
    <mergeCell ref="B99:G99"/>
    <mergeCell ref="J101:J103"/>
    <mergeCell ref="B72:G72"/>
    <mergeCell ref="J74:J76"/>
    <mergeCell ref="J77:K77"/>
    <mergeCell ref="A83:A108"/>
    <mergeCell ref="B83:F83"/>
    <mergeCell ref="H83:I83"/>
    <mergeCell ref="J83:L83"/>
    <mergeCell ref="B84:D84"/>
    <mergeCell ref="E84:F84"/>
    <mergeCell ref="J84:J86"/>
    <mergeCell ref="J87:J92"/>
    <mergeCell ref="B90:D90"/>
    <mergeCell ref="E91:F91"/>
    <mergeCell ref="B93:D93"/>
    <mergeCell ref="J93:K93"/>
    <mergeCell ref="J94:K94"/>
    <mergeCell ref="A56:A81"/>
    <mergeCell ref="B56:F56"/>
    <mergeCell ref="H56:I56"/>
    <mergeCell ref="J56:L56"/>
    <mergeCell ref="B57:D57"/>
    <mergeCell ref="E57:F57"/>
    <mergeCell ref="J57:J59"/>
    <mergeCell ref="J60:J65"/>
    <mergeCell ref="B63:D63"/>
    <mergeCell ref="E64:F64"/>
    <mergeCell ref="B66:D66"/>
    <mergeCell ref="J66:K66"/>
    <mergeCell ref="J67:K67"/>
    <mergeCell ref="E68:F68"/>
    <mergeCell ref="J68:L68"/>
    <mergeCell ref="J69:J73"/>
    <mergeCell ref="A2:A27"/>
    <mergeCell ref="B2:F2"/>
    <mergeCell ref="B18:G18"/>
    <mergeCell ref="H2:I2"/>
    <mergeCell ref="J2:L2"/>
    <mergeCell ref="J3:J5"/>
    <mergeCell ref="J6:J11"/>
    <mergeCell ref="J12:K12"/>
    <mergeCell ref="B3:D3"/>
    <mergeCell ref="B9:D9"/>
    <mergeCell ref="B12:D12"/>
    <mergeCell ref="E3:F3"/>
    <mergeCell ref="E10:F10"/>
    <mergeCell ref="E14:F14"/>
    <mergeCell ref="J13:K13"/>
    <mergeCell ref="J14:L14"/>
    <mergeCell ref="J15:J19"/>
    <mergeCell ref="J20:J22"/>
    <mergeCell ref="J23:K23"/>
    <mergeCell ref="A29:A54"/>
    <mergeCell ref="J47:J49"/>
    <mergeCell ref="J50:K50"/>
    <mergeCell ref="B36:D36"/>
    <mergeCell ref="E37:F37"/>
    <mergeCell ref="B39:D39"/>
    <mergeCell ref="J40:K40"/>
    <mergeCell ref="E41:F41"/>
    <mergeCell ref="J41:L41"/>
    <mergeCell ref="B29:F29"/>
    <mergeCell ref="H29:I29"/>
    <mergeCell ref="J29:L29"/>
    <mergeCell ref="B30:D30"/>
    <mergeCell ref="E30:F30"/>
    <mergeCell ref="J30:J32"/>
    <mergeCell ref="J33:J38"/>
    <mergeCell ref="J39:K39"/>
    <mergeCell ref="J42:J46"/>
    <mergeCell ref="B45:G45"/>
  </mergeCells>
  <phoneticPr fontId="1" type="noConversion"/>
  <hyperlinks>
    <hyperlink ref="M1" r:id="rId1" xr:uid="{A4EFEA60-27B1-4D56-87BE-9B639CCB9C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Young</dc:creator>
  <cp:lastModifiedBy>YS Young</cp:lastModifiedBy>
  <dcterms:created xsi:type="dcterms:W3CDTF">2015-06-05T18:19:34Z</dcterms:created>
  <dcterms:modified xsi:type="dcterms:W3CDTF">2022-12-17T11:14:04Z</dcterms:modified>
</cp:coreProperties>
</file>