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_Teaching (Google Drive)\_Spring 2019\SY202 AY2019 - Instructors\Projects\Project II - NCS (Robotic Arm)\Pre and Post Assessment\"/>
    </mc:Choice>
  </mc:AlternateContent>
  <bookViews>
    <workbookView xWindow="0" yWindow="0" windowWidth="28800" windowHeight="12300" activeTab="2"/>
  </bookViews>
  <sheets>
    <sheet name="Form Responses 1" sheetId="1" r:id="rId1"/>
    <sheet name="Evaluate Results" sheetId="3" r:id="rId2"/>
    <sheet name="Sheet1" sheetId="4" r:id="rId3"/>
  </sheets>
  <externalReferences>
    <externalReference r:id="rId4"/>
  </externalReferences>
  <calcPr calcId="162913"/>
</workbook>
</file>

<file path=xl/calcChain.xml><?xml version="1.0" encoding="utf-8"?>
<calcChain xmlns="http://schemas.openxmlformats.org/spreadsheetml/2006/main">
  <c r="N4" i="4" l="1"/>
  <c r="X4" i="3" l="1"/>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3" i="3"/>
  <c r="BB3" i="3"/>
  <c r="AT4" i="3"/>
  <c r="AT5" i="3"/>
  <c r="AT6" i="3"/>
  <c r="AT7" i="3"/>
  <c r="AT8" i="3"/>
  <c r="AT9" i="3"/>
  <c r="AT10" i="3"/>
  <c r="AT11" i="3"/>
  <c r="AT12" i="3"/>
  <c r="AT13" i="3"/>
  <c r="AT14" i="3"/>
  <c r="AT15" i="3"/>
  <c r="AT16" i="3"/>
  <c r="AT17" i="3"/>
  <c r="AT18" i="3"/>
  <c r="AT19" i="3"/>
  <c r="AT20" i="3"/>
  <c r="AT21" i="3"/>
  <c r="AT22" i="3"/>
  <c r="AT23" i="3"/>
  <c r="AT24" i="3"/>
  <c r="AT25" i="3"/>
  <c r="AT26" i="3"/>
  <c r="AT27" i="3"/>
  <c r="AT28" i="3"/>
  <c r="AT29" i="3"/>
  <c r="AT30" i="3"/>
  <c r="AT31" i="3"/>
  <c r="AT32" i="3"/>
  <c r="AT33" i="3"/>
  <c r="AT34" i="3"/>
  <c r="AT35" i="3"/>
  <c r="AT36" i="3"/>
  <c r="AT37" i="3"/>
  <c r="AT38" i="3"/>
  <c r="AT39" i="3"/>
  <c r="AT40" i="3"/>
  <c r="AT41" i="3"/>
  <c r="AT42" i="3"/>
  <c r="AT43" i="3"/>
  <c r="AT44" i="3"/>
  <c r="AT45" i="3"/>
  <c r="AT46" i="3"/>
  <c r="AT47" i="3"/>
  <c r="AT48" i="3"/>
  <c r="AT49" i="3"/>
  <c r="AT50" i="3"/>
  <c r="AT51" i="3"/>
  <c r="AT52" i="3"/>
  <c r="AT53" i="3"/>
  <c r="AT54" i="3"/>
  <c r="AT55" i="3"/>
  <c r="AT56" i="3"/>
  <c r="AT57" i="3"/>
  <c r="AT58" i="3"/>
  <c r="AT59" i="3"/>
  <c r="AT60" i="3"/>
  <c r="AT61" i="3"/>
  <c r="AT62" i="3"/>
  <c r="AT63" i="3"/>
  <c r="AT64" i="3"/>
  <c r="AT65" i="3"/>
  <c r="AT66" i="3"/>
  <c r="AT67" i="3"/>
  <c r="AT68" i="3"/>
  <c r="AT69" i="3"/>
  <c r="AT70" i="3"/>
  <c r="AT71" i="3"/>
  <c r="AT72" i="3"/>
  <c r="AT73" i="3"/>
  <c r="AT74" i="3"/>
  <c r="AT75" i="3"/>
  <c r="AT76" i="3"/>
  <c r="AT77" i="3"/>
  <c r="AT78" i="3"/>
  <c r="AT79" i="3"/>
  <c r="AT80" i="3"/>
  <c r="AT81" i="3"/>
  <c r="AT82" i="3"/>
  <c r="AT83" i="3"/>
  <c r="AT84" i="3"/>
  <c r="AT85" i="3"/>
  <c r="AT86" i="3"/>
  <c r="AT87" i="3"/>
  <c r="AT3" i="3"/>
  <c r="AP89" i="3"/>
  <c r="AQ89" i="3"/>
  <c r="AR89" i="3"/>
  <c r="AS89"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3" i="3"/>
  <c r="AL3" i="3"/>
  <c r="AK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3" i="3"/>
  <c r="BB4" i="3"/>
  <c r="BB5" i="3"/>
  <c r="BB6" i="3"/>
  <c r="BB7" i="3"/>
  <c r="BB8" i="3"/>
  <c r="BB9" i="3"/>
  <c r="BB10" i="3"/>
  <c r="BB11" i="3"/>
  <c r="BB12" i="3"/>
  <c r="BB13" i="3"/>
  <c r="BB14" i="3"/>
  <c r="BB15" i="3"/>
  <c r="BB16" i="3"/>
  <c r="BB17" i="3"/>
  <c r="BB18" i="3"/>
  <c r="BB19" i="3"/>
  <c r="BB20" i="3"/>
  <c r="BB21" i="3"/>
  <c r="BB22" i="3"/>
  <c r="BB23" i="3"/>
  <c r="BB24" i="3"/>
  <c r="BB25" i="3"/>
  <c r="BB26" i="3"/>
  <c r="BB27" i="3"/>
  <c r="BB28" i="3"/>
  <c r="BB29" i="3"/>
  <c r="BB30" i="3"/>
  <c r="BB31" i="3"/>
  <c r="BB32" i="3"/>
  <c r="BB33" i="3"/>
  <c r="BB34" i="3"/>
  <c r="BB35" i="3"/>
  <c r="BB36" i="3"/>
  <c r="BB37" i="3"/>
  <c r="BB38" i="3"/>
  <c r="BB39" i="3"/>
  <c r="BB40" i="3"/>
  <c r="BB41" i="3"/>
  <c r="BB42" i="3"/>
  <c r="BB43" i="3"/>
  <c r="BB44" i="3"/>
  <c r="BB45" i="3"/>
  <c r="BB46" i="3"/>
  <c r="BB47" i="3"/>
  <c r="BB48" i="3"/>
  <c r="BB49" i="3"/>
  <c r="BB50" i="3"/>
  <c r="BB51" i="3"/>
  <c r="BB52" i="3"/>
  <c r="BB53" i="3"/>
  <c r="BB54" i="3"/>
  <c r="BB55" i="3"/>
  <c r="BB56" i="3"/>
  <c r="BB57" i="3"/>
  <c r="BB58" i="3"/>
  <c r="BB59" i="3"/>
  <c r="BB60" i="3"/>
  <c r="BB61" i="3"/>
  <c r="BB62" i="3"/>
  <c r="BB63" i="3"/>
  <c r="BB64" i="3"/>
  <c r="BB65" i="3"/>
  <c r="BB66" i="3"/>
  <c r="BB67" i="3"/>
  <c r="BB68" i="3"/>
  <c r="BB69" i="3"/>
  <c r="BB70" i="3"/>
  <c r="BB71" i="3"/>
  <c r="BB72" i="3"/>
  <c r="BB73" i="3"/>
  <c r="BB74" i="3"/>
  <c r="BB75" i="3"/>
  <c r="BB76" i="3"/>
  <c r="BB77" i="3"/>
  <c r="BB78" i="3"/>
  <c r="BB79" i="3"/>
  <c r="BB80" i="3"/>
  <c r="BB81" i="3"/>
  <c r="BB82" i="3"/>
  <c r="BB83" i="3"/>
  <c r="BB84" i="3"/>
  <c r="BB85" i="3"/>
  <c r="BB86" i="3"/>
  <c r="BB87" i="3"/>
  <c r="AY89" i="3"/>
  <c r="AZ89" i="3"/>
  <c r="BA89" i="3"/>
  <c r="AY4" i="3"/>
  <c r="AZ4" i="3"/>
  <c r="BA4" i="3"/>
  <c r="AY5" i="3"/>
  <c r="AZ5" i="3"/>
  <c r="BA5" i="3"/>
  <c r="AY6" i="3"/>
  <c r="AZ6" i="3"/>
  <c r="BA6" i="3"/>
  <c r="AY7" i="3"/>
  <c r="AZ7" i="3"/>
  <c r="BA7" i="3"/>
  <c r="AY8" i="3"/>
  <c r="AZ8" i="3"/>
  <c r="BA8" i="3"/>
  <c r="AY9" i="3"/>
  <c r="AZ9" i="3"/>
  <c r="BA9" i="3"/>
  <c r="AY10" i="3"/>
  <c r="AZ10" i="3"/>
  <c r="BA10" i="3"/>
  <c r="AY11" i="3"/>
  <c r="AZ11" i="3"/>
  <c r="BA11" i="3"/>
  <c r="AY12" i="3"/>
  <c r="AZ12" i="3"/>
  <c r="BA12" i="3"/>
  <c r="AY13" i="3"/>
  <c r="AZ13" i="3"/>
  <c r="BA13" i="3"/>
  <c r="AY14" i="3"/>
  <c r="AZ14" i="3"/>
  <c r="BA14" i="3"/>
  <c r="AY15" i="3"/>
  <c r="AZ15" i="3"/>
  <c r="BA15" i="3"/>
  <c r="AY16" i="3"/>
  <c r="AZ16" i="3"/>
  <c r="BA16" i="3"/>
  <c r="AY17" i="3"/>
  <c r="AZ17" i="3"/>
  <c r="BA17" i="3"/>
  <c r="AY18" i="3"/>
  <c r="AZ18" i="3"/>
  <c r="BA18" i="3"/>
  <c r="AY19" i="3"/>
  <c r="AZ19" i="3"/>
  <c r="BA19" i="3"/>
  <c r="AY20" i="3"/>
  <c r="AZ20" i="3"/>
  <c r="BA20" i="3"/>
  <c r="AY21" i="3"/>
  <c r="AZ21" i="3"/>
  <c r="BA21" i="3"/>
  <c r="AY22" i="3"/>
  <c r="AZ22" i="3"/>
  <c r="BA22" i="3"/>
  <c r="AY23" i="3"/>
  <c r="AZ23" i="3"/>
  <c r="BA23" i="3"/>
  <c r="AY24" i="3"/>
  <c r="AZ24" i="3"/>
  <c r="BA24" i="3"/>
  <c r="AY25" i="3"/>
  <c r="AZ25" i="3"/>
  <c r="BA25" i="3"/>
  <c r="AY26" i="3"/>
  <c r="AZ26" i="3"/>
  <c r="BA26" i="3"/>
  <c r="AY27" i="3"/>
  <c r="AZ27" i="3"/>
  <c r="BA27" i="3"/>
  <c r="AY28" i="3"/>
  <c r="AZ28" i="3"/>
  <c r="BA28" i="3"/>
  <c r="AY29" i="3"/>
  <c r="AZ29" i="3"/>
  <c r="BA29" i="3"/>
  <c r="AY30" i="3"/>
  <c r="AZ30" i="3"/>
  <c r="BA30" i="3"/>
  <c r="AY31" i="3"/>
  <c r="AZ31" i="3"/>
  <c r="BA31" i="3"/>
  <c r="AY32" i="3"/>
  <c r="AZ32" i="3"/>
  <c r="BA32" i="3"/>
  <c r="AY33" i="3"/>
  <c r="AZ33" i="3"/>
  <c r="BA33" i="3"/>
  <c r="AY34" i="3"/>
  <c r="AZ34" i="3"/>
  <c r="BA34" i="3"/>
  <c r="AY35" i="3"/>
  <c r="AZ35" i="3"/>
  <c r="BA35" i="3"/>
  <c r="AY36" i="3"/>
  <c r="AZ36" i="3"/>
  <c r="BA36" i="3"/>
  <c r="AY37" i="3"/>
  <c r="AZ37" i="3"/>
  <c r="BA37" i="3"/>
  <c r="AY38" i="3"/>
  <c r="AZ38" i="3"/>
  <c r="BA38" i="3"/>
  <c r="AY39" i="3"/>
  <c r="AZ39" i="3"/>
  <c r="BA39" i="3"/>
  <c r="AY40" i="3"/>
  <c r="AZ40" i="3"/>
  <c r="BA40" i="3"/>
  <c r="AY41" i="3"/>
  <c r="AZ41" i="3"/>
  <c r="BA41" i="3"/>
  <c r="AY42" i="3"/>
  <c r="AZ42" i="3"/>
  <c r="BA42" i="3"/>
  <c r="AY43" i="3"/>
  <c r="AZ43" i="3"/>
  <c r="BA43" i="3"/>
  <c r="AY44" i="3"/>
  <c r="AZ44" i="3"/>
  <c r="BA44" i="3"/>
  <c r="AY45" i="3"/>
  <c r="AZ45" i="3"/>
  <c r="BA45" i="3"/>
  <c r="AY46" i="3"/>
  <c r="AZ46" i="3"/>
  <c r="BA46" i="3"/>
  <c r="AY47" i="3"/>
  <c r="AZ47" i="3"/>
  <c r="BA47" i="3"/>
  <c r="AY48" i="3"/>
  <c r="AZ48" i="3"/>
  <c r="BA48" i="3"/>
  <c r="AY49" i="3"/>
  <c r="AZ49" i="3"/>
  <c r="BA49" i="3"/>
  <c r="AY50" i="3"/>
  <c r="AZ50" i="3"/>
  <c r="BA50" i="3"/>
  <c r="AY51" i="3"/>
  <c r="AZ51" i="3"/>
  <c r="BA51" i="3"/>
  <c r="AY52" i="3"/>
  <c r="AZ52" i="3"/>
  <c r="BA52" i="3"/>
  <c r="AY53" i="3"/>
  <c r="AZ53" i="3"/>
  <c r="BA53" i="3"/>
  <c r="AY54" i="3"/>
  <c r="AZ54" i="3"/>
  <c r="BA54" i="3"/>
  <c r="AY55" i="3"/>
  <c r="AZ55" i="3"/>
  <c r="BA55" i="3"/>
  <c r="AY56" i="3"/>
  <c r="AZ56" i="3"/>
  <c r="BA56" i="3"/>
  <c r="AY57" i="3"/>
  <c r="AZ57" i="3"/>
  <c r="BA57" i="3"/>
  <c r="AY58" i="3"/>
  <c r="AZ58" i="3"/>
  <c r="BA58" i="3"/>
  <c r="AY59" i="3"/>
  <c r="AZ59" i="3"/>
  <c r="BA59" i="3"/>
  <c r="AY60" i="3"/>
  <c r="AZ60" i="3"/>
  <c r="BA60" i="3"/>
  <c r="AY61" i="3"/>
  <c r="AZ61" i="3"/>
  <c r="BA61" i="3"/>
  <c r="AY62" i="3"/>
  <c r="AZ62" i="3"/>
  <c r="BA62" i="3"/>
  <c r="AY63" i="3"/>
  <c r="AZ63" i="3"/>
  <c r="BA63" i="3"/>
  <c r="AY64" i="3"/>
  <c r="AZ64" i="3"/>
  <c r="BA64" i="3"/>
  <c r="AY65" i="3"/>
  <c r="AZ65" i="3"/>
  <c r="BA65" i="3"/>
  <c r="AY66" i="3"/>
  <c r="AZ66" i="3"/>
  <c r="BA66" i="3"/>
  <c r="AY67" i="3"/>
  <c r="AZ67" i="3"/>
  <c r="BA67" i="3"/>
  <c r="AY68" i="3"/>
  <c r="AZ68" i="3"/>
  <c r="BA68" i="3"/>
  <c r="AY69" i="3"/>
  <c r="AZ69" i="3"/>
  <c r="BA69" i="3"/>
  <c r="AY70" i="3"/>
  <c r="AZ70" i="3"/>
  <c r="BA70" i="3"/>
  <c r="AY71" i="3"/>
  <c r="AZ71" i="3"/>
  <c r="BA71" i="3"/>
  <c r="AY72" i="3"/>
  <c r="AZ72" i="3"/>
  <c r="BA72" i="3"/>
  <c r="AY73" i="3"/>
  <c r="AZ73" i="3"/>
  <c r="BA73" i="3"/>
  <c r="AY74" i="3"/>
  <c r="AZ74" i="3"/>
  <c r="BA74" i="3"/>
  <c r="AY75" i="3"/>
  <c r="AZ75" i="3"/>
  <c r="BA75" i="3"/>
  <c r="AY76" i="3"/>
  <c r="AZ76" i="3"/>
  <c r="BA76" i="3"/>
  <c r="AY77" i="3"/>
  <c r="AZ77" i="3"/>
  <c r="BA77" i="3"/>
  <c r="AY78" i="3"/>
  <c r="AZ78" i="3"/>
  <c r="BA78" i="3"/>
  <c r="AY79" i="3"/>
  <c r="AZ79" i="3"/>
  <c r="BA79" i="3"/>
  <c r="AY80" i="3"/>
  <c r="AZ80" i="3"/>
  <c r="BA80" i="3"/>
  <c r="AY81" i="3"/>
  <c r="AZ81" i="3"/>
  <c r="BA81" i="3"/>
  <c r="AY82" i="3"/>
  <c r="AZ82" i="3"/>
  <c r="BA82" i="3"/>
  <c r="AY83" i="3"/>
  <c r="AZ83" i="3"/>
  <c r="BA83" i="3"/>
  <c r="AY84" i="3"/>
  <c r="AZ84" i="3"/>
  <c r="BA84" i="3"/>
  <c r="AY85" i="3"/>
  <c r="AZ85" i="3"/>
  <c r="BA85" i="3"/>
  <c r="AY86" i="3"/>
  <c r="AZ86" i="3"/>
  <c r="BA86" i="3"/>
  <c r="AY87" i="3"/>
  <c r="AZ87" i="3"/>
  <c r="BA87" i="3"/>
  <c r="BA3" i="3"/>
  <c r="AZ3" i="3"/>
  <c r="AY3" i="3"/>
  <c r="AP4" i="3"/>
  <c r="AQ4" i="3"/>
  <c r="AR4" i="3"/>
  <c r="AS4" i="3"/>
  <c r="AP5" i="3"/>
  <c r="AQ5" i="3"/>
  <c r="AR5" i="3"/>
  <c r="AS5" i="3"/>
  <c r="AP6" i="3"/>
  <c r="AQ6" i="3"/>
  <c r="AR6" i="3"/>
  <c r="AS6" i="3"/>
  <c r="AP7" i="3"/>
  <c r="AQ7" i="3"/>
  <c r="AR7" i="3"/>
  <c r="AS7" i="3"/>
  <c r="AP8" i="3"/>
  <c r="AQ8" i="3"/>
  <c r="AR8" i="3"/>
  <c r="AS8" i="3"/>
  <c r="AP9" i="3"/>
  <c r="AQ9" i="3"/>
  <c r="AR9" i="3"/>
  <c r="AS9" i="3"/>
  <c r="AP10" i="3"/>
  <c r="AQ10" i="3"/>
  <c r="AR10" i="3"/>
  <c r="AS10" i="3"/>
  <c r="AP11" i="3"/>
  <c r="AQ11" i="3"/>
  <c r="AR11" i="3"/>
  <c r="AS11" i="3"/>
  <c r="AP12" i="3"/>
  <c r="AQ12" i="3"/>
  <c r="AR12" i="3"/>
  <c r="AS12" i="3"/>
  <c r="AP13" i="3"/>
  <c r="AQ13" i="3"/>
  <c r="AR13" i="3"/>
  <c r="AS13" i="3"/>
  <c r="AP14" i="3"/>
  <c r="AQ14" i="3"/>
  <c r="AR14" i="3"/>
  <c r="AS14" i="3"/>
  <c r="AP15" i="3"/>
  <c r="AQ15" i="3"/>
  <c r="AR15" i="3"/>
  <c r="AS15" i="3"/>
  <c r="AP16" i="3"/>
  <c r="AQ16" i="3"/>
  <c r="AR16" i="3"/>
  <c r="AS16" i="3"/>
  <c r="AP17" i="3"/>
  <c r="AQ17" i="3"/>
  <c r="AR17" i="3"/>
  <c r="AS17" i="3"/>
  <c r="AP18" i="3"/>
  <c r="AQ18" i="3"/>
  <c r="AR18" i="3"/>
  <c r="AS18" i="3"/>
  <c r="AP19" i="3"/>
  <c r="AQ19" i="3"/>
  <c r="AR19" i="3"/>
  <c r="AS19" i="3"/>
  <c r="AP20" i="3"/>
  <c r="AQ20" i="3"/>
  <c r="AR20" i="3"/>
  <c r="AS20" i="3"/>
  <c r="AP21" i="3"/>
  <c r="AQ21" i="3"/>
  <c r="AR21" i="3"/>
  <c r="AS21" i="3"/>
  <c r="AP22" i="3"/>
  <c r="AQ22" i="3"/>
  <c r="AR22" i="3"/>
  <c r="AS22" i="3"/>
  <c r="AP23" i="3"/>
  <c r="AQ23" i="3"/>
  <c r="AR23" i="3"/>
  <c r="AS23" i="3"/>
  <c r="AP24" i="3"/>
  <c r="AQ24" i="3"/>
  <c r="AR24" i="3"/>
  <c r="AS24" i="3"/>
  <c r="AP25" i="3"/>
  <c r="AQ25" i="3"/>
  <c r="AR25" i="3"/>
  <c r="AS25" i="3"/>
  <c r="AP26" i="3"/>
  <c r="AQ26" i="3"/>
  <c r="AR26" i="3"/>
  <c r="AS26" i="3"/>
  <c r="AP27" i="3"/>
  <c r="AQ27" i="3"/>
  <c r="AR27" i="3"/>
  <c r="AS27" i="3"/>
  <c r="AP28" i="3"/>
  <c r="AQ28" i="3"/>
  <c r="AR28" i="3"/>
  <c r="AS28" i="3"/>
  <c r="AP29" i="3"/>
  <c r="AQ29" i="3"/>
  <c r="AR29" i="3"/>
  <c r="AS29" i="3"/>
  <c r="AP30" i="3"/>
  <c r="AQ30" i="3"/>
  <c r="AR30" i="3"/>
  <c r="AS30" i="3"/>
  <c r="AP31" i="3"/>
  <c r="AQ31" i="3"/>
  <c r="AR31" i="3"/>
  <c r="AS31" i="3"/>
  <c r="AP32" i="3"/>
  <c r="AQ32" i="3"/>
  <c r="AR32" i="3"/>
  <c r="AS32" i="3"/>
  <c r="AP33" i="3"/>
  <c r="AQ33" i="3"/>
  <c r="AR33" i="3"/>
  <c r="AS33" i="3"/>
  <c r="AP34" i="3"/>
  <c r="AQ34" i="3"/>
  <c r="AR34" i="3"/>
  <c r="AS34" i="3"/>
  <c r="AP35" i="3"/>
  <c r="AQ35" i="3"/>
  <c r="AR35" i="3"/>
  <c r="AS35" i="3"/>
  <c r="AP36" i="3"/>
  <c r="AQ36" i="3"/>
  <c r="AR36" i="3"/>
  <c r="AS36" i="3"/>
  <c r="AP37" i="3"/>
  <c r="AQ37" i="3"/>
  <c r="AR37" i="3"/>
  <c r="AS37" i="3"/>
  <c r="AP38" i="3"/>
  <c r="AQ38" i="3"/>
  <c r="AR38" i="3"/>
  <c r="AS38" i="3"/>
  <c r="AP39" i="3"/>
  <c r="AQ39" i="3"/>
  <c r="AR39" i="3"/>
  <c r="AS39" i="3"/>
  <c r="AP40" i="3"/>
  <c r="AQ40" i="3"/>
  <c r="AR40" i="3"/>
  <c r="AS40" i="3"/>
  <c r="AP41" i="3"/>
  <c r="AQ41" i="3"/>
  <c r="AR41" i="3"/>
  <c r="AS41" i="3"/>
  <c r="AP42" i="3"/>
  <c r="AQ42" i="3"/>
  <c r="AR42" i="3"/>
  <c r="AS42" i="3"/>
  <c r="AP43" i="3"/>
  <c r="AQ43" i="3"/>
  <c r="AR43" i="3"/>
  <c r="AS43" i="3"/>
  <c r="AP44" i="3"/>
  <c r="AQ44" i="3"/>
  <c r="AR44" i="3"/>
  <c r="AS44" i="3"/>
  <c r="AP45" i="3"/>
  <c r="AQ45" i="3"/>
  <c r="AR45" i="3"/>
  <c r="AS45" i="3"/>
  <c r="AP46" i="3"/>
  <c r="AQ46" i="3"/>
  <c r="AR46" i="3"/>
  <c r="AS46" i="3"/>
  <c r="AP47" i="3"/>
  <c r="AQ47" i="3"/>
  <c r="AR47" i="3"/>
  <c r="AS47" i="3"/>
  <c r="AP48" i="3"/>
  <c r="AQ48" i="3"/>
  <c r="AR48" i="3"/>
  <c r="AS48" i="3"/>
  <c r="AP49" i="3"/>
  <c r="AQ49" i="3"/>
  <c r="AR49" i="3"/>
  <c r="AS49" i="3"/>
  <c r="AP50" i="3"/>
  <c r="AQ50" i="3"/>
  <c r="AR50" i="3"/>
  <c r="AS50" i="3"/>
  <c r="AP51" i="3"/>
  <c r="AQ51" i="3"/>
  <c r="AR51" i="3"/>
  <c r="AS51" i="3"/>
  <c r="AP52" i="3"/>
  <c r="AQ52" i="3"/>
  <c r="AR52" i="3"/>
  <c r="AS52" i="3"/>
  <c r="AP53" i="3"/>
  <c r="AQ53" i="3"/>
  <c r="AR53" i="3"/>
  <c r="AS53" i="3"/>
  <c r="AP54" i="3"/>
  <c r="AQ54" i="3"/>
  <c r="AR54" i="3"/>
  <c r="AS54" i="3"/>
  <c r="AP55" i="3"/>
  <c r="AQ55" i="3"/>
  <c r="AR55" i="3"/>
  <c r="AS55" i="3"/>
  <c r="AP56" i="3"/>
  <c r="AQ56" i="3"/>
  <c r="AR56" i="3"/>
  <c r="AS56" i="3"/>
  <c r="AP57" i="3"/>
  <c r="AQ57" i="3"/>
  <c r="AR57" i="3"/>
  <c r="AS57" i="3"/>
  <c r="AP58" i="3"/>
  <c r="AQ58" i="3"/>
  <c r="AR58" i="3"/>
  <c r="AS58" i="3"/>
  <c r="AP59" i="3"/>
  <c r="AQ59" i="3"/>
  <c r="AR59" i="3"/>
  <c r="AS59" i="3"/>
  <c r="AP60" i="3"/>
  <c r="AQ60" i="3"/>
  <c r="AR60" i="3"/>
  <c r="AS60" i="3"/>
  <c r="AP61" i="3"/>
  <c r="AQ61" i="3"/>
  <c r="AR61" i="3"/>
  <c r="AS61" i="3"/>
  <c r="AP62" i="3"/>
  <c r="AQ62" i="3"/>
  <c r="AR62" i="3"/>
  <c r="AS62" i="3"/>
  <c r="AP63" i="3"/>
  <c r="AQ63" i="3"/>
  <c r="AR63" i="3"/>
  <c r="AS63" i="3"/>
  <c r="AP64" i="3"/>
  <c r="AQ64" i="3"/>
  <c r="AR64" i="3"/>
  <c r="AS64" i="3"/>
  <c r="AP65" i="3"/>
  <c r="AQ65" i="3"/>
  <c r="AR65" i="3"/>
  <c r="AS65" i="3"/>
  <c r="AP66" i="3"/>
  <c r="AQ66" i="3"/>
  <c r="AR66" i="3"/>
  <c r="AS66" i="3"/>
  <c r="AP67" i="3"/>
  <c r="AQ67" i="3"/>
  <c r="AR67" i="3"/>
  <c r="AS67" i="3"/>
  <c r="AP68" i="3"/>
  <c r="AQ68" i="3"/>
  <c r="AR68" i="3"/>
  <c r="AS68" i="3"/>
  <c r="AP69" i="3"/>
  <c r="AQ69" i="3"/>
  <c r="AR69" i="3"/>
  <c r="AS69" i="3"/>
  <c r="AP70" i="3"/>
  <c r="AQ70" i="3"/>
  <c r="AR70" i="3"/>
  <c r="AS70" i="3"/>
  <c r="AP71" i="3"/>
  <c r="AQ71" i="3"/>
  <c r="AR71" i="3"/>
  <c r="AS71" i="3"/>
  <c r="AP72" i="3"/>
  <c r="AQ72" i="3"/>
  <c r="AR72" i="3"/>
  <c r="AS72" i="3"/>
  <c r="AP73" i="3"/>
  <c r="AQ73" i="3"/>
  <c r="AR73" i="3"/>
  <c r="AS73" i="3"/>
  <c r="AP74" i="3"/>
  <c r="AQ74" i="3"/>
  <c r="AR74" i="3"/>
  <c r="AS74" i="3"/>
  <c r="AP75" i="3"/>
  <c r="AQ75" i="3"/>
  <c r="AR75" i="3"/>
  <c r="AS75" i="3"/>
  <c r="AP76" i="3"/>
  <c r="AQ76" i="3"/>
  <c r="AR76" i="3"/>
  <c r="AS76" i="3"/>
  <c r="AP77" i="3"/>
  <c r="AQ77" i="3"/>
  <c r="AR77" i="3"/>
  <c r="AS77" i="3"/>
  <c r="AP78" i="3"/>
  <c r="AQ78" i="3"/>
  <c r="AR78" i="3"/>
  <c r="AS78" i="3"/>
  <c r="AP79" i="3"/>
  <c r="AQ79" i="3"/>
  <c r="AR79" i="3"/>
  <c r="AS79" i="3"/>
  <c r="AP80" i="3"/>
  <c r="AQ80" i="3"/>
  <c r="AR80" i="3"/>
  <c r="AS80" i="3"/>
  <c r="AP81" i="3"/>
  <c r="AQ81" i="3"/>
  <c r="AR81" i="3"/>
  <c r="AS81" i="3"/>
  <c r="AP82" i="3"/>
  <c r="AQ82" i="3"/>
  <c r="AR82" i="3"/>
  <c r="AS82" i="3"/>
  <c r="AP83" i="3"/>
  <c r="AQ83" i="3"/>
  <c r="AR83" i="3"/>
  <c r="AS83" i="3"/>
  <c r="AP84" i="3"/>
  <c r="AQ84" i="3"/>
  <c r="AR84" i="3"/>
  <c r="AS84" i="3"/>
  <c r="AP85" i="3"/>
  <c r="AQ85" i="3"/>
  <c r="AR85" i="3"/>
  <c r="AS85" i="3"/>
  <c r="AP86" i="3"/>
  <c r="AQ86" i="3"/>
  <c r="AR86" i="3"/>
  <c r="AS86" i="3"/>
  <c r="AP87" i="3"/>
  <c r="AQ87" i="3"/>
  <c r="AR87" i="3"/>
  <c r="AS87" i="3"/>
  <c r="AS3" i="3"/>
  <c r="AR3" i="3"/>
  <c r="AQ3" i="3"/>
  <c r="AP3" i="3"/>
  <c r="N3" i="4" l="1"/>
  <c r="U3" i="4" l="1"/>
  <c r="T3" i="4"/>
  <c r="S3" i="4"/>
  <c r="R3" i="4"/>
  <c r="Q3" i="4"/>
  <c r="P3" i="4"/>
  <c r="O3" i="4"/>
  <c r="M3" i="4"/>
  <c r="L3" i="4"/>
  <c r="K3" i="4"/>
  <c r="J3" i="4"/>
  <c r="I3" i="4"/>
  <c r="H3" i="4"/>
  <c r="G3" i="4"/>
  <c r="F3" i="4"/>
  <c r="E3" i="4"/>
  <c r="D3" i="4"/>
  <c r="C3" i="4"/>
  <c r="B3" i="4"/>
  <c r="BC4" i="3" l="1"/>
  <c r="BD4" i="3" s="1"/>
  <c r="BC5" i="3"/>
  <c r="BD5" i="3" s="1"/>
  <c r="BC6" i="3"/>
  <c r="BD6" i="3" s="1"/>
  <c r="BC7" i="3"/>
  <c r="BD7" i="3" s="1"/>
  <c r="BC8" i="3"/>
  <c r="BD8" i="3" s="1"/>
  <c r="BC9" i="3"/>
  <c r="BD9" i="3" s="1"/>
  <c r="BC10" i="3"/>
  <c r="BD10" i="3" s="1"/>
  <c r="BC11" i="3"/>
  <c r="BD11" i="3" s="1"/>
  <c r="BC12" i="3"/>
  <c r="BD12" i="3" s="1"/>
  <c r="BC13" i="3"/>
  <c r="BD13" i="3" s="1"/>
  <c r="BC14" i="3"/>
  <c r="BD14" i="3" s="1"/>
  <c r="BC15" i="3"/>
  <c r="BD15" i="3" s="1"/>
  <c r="BC16" i="3"/>
  <c r="BD16" i="3" s="1"/>
  <c r="BC17" i="3"/>
  <c r="BD17" i="3" s="1"/>
  <c r="BC18" i="3"/>
  <c r="BD18" i="3" s="1"/>
  <c r="BC19" i="3"/>
  <c r="BD19" i="3" s="1"/>
  <c r="BC20" i="3"/>
  <c r="BD20" i="3" s="1"/>
  <c r="BC21" i="3"/>
  <c r="BD21" i="3" s="1"/>
  <c r="BC22" i="3"/>
  <c r="BD22" i="3" s="1"/>
  <c r="BC23" i="3"/>
  <c r="BD23" i="3" s="1"/>
  <c r="BC24" i="3"/>
  <c r="BD24" i="3" s="1"/>
  <c r="BC25" i="3"/>
  <c r="BD25" i="3" s="1"/>
  <c r="BC26" i="3"/>
  <c r="BD26" i="3" s="1"/>
  <c r="BC27" i="3"/>
  <c r="BD27" i="3" s="1"/>
  <c r="BC28" i="3"/>
  <c r="BD28" i="3" s="1"/>
  <c r="BC29" i="3"/>
  <c r="BD29" i="3" s="1"/>
  <c r="BC30" i="3"/>
  <c r="BD30" i="3" s="1"/>
  <c r="BC31" i="3"/>
  <c r="BD31" i="3" s="1"/>
  <c r="BC32" i="3"/>
  <c r="BD32" i="3" s="1"/>
  <c r="BC33" i="3"/>
  <c r="BD33" i="3" s="1"/>
  <c r="BC34" i="3"/>
  <c r="BD34" i="3" s="1"/>
  <c r="BC35" i="3"/>
  <c r="BD35" i="3" s="1"/>
  <c r="BC36" i="3"/>
  <c r="BD36" i="3" s="1"/>
  <c r="BC37" i="3"/>
  <c r="BD37" i="3" s="1"/>
  <c r="BC38" i="3"/>
  <c r="BD38" i="3" s="1"/>
  <c r="BC39" i="3"/>
  <c r="BD39" i="3" s="1"/>
  <c r="BC40" i="3"/>
  <c r="BD40" i="3" s="1"/>
  <c r="BC41" i="3"/>
  <c r="BD41" i="3" s="1"/>
  <c r="BC42" i="3"/>
  <c r="BD42" i="3" s="1"/>
  <c r="BC43" i="3"/>
  <c r="BD43" i="3" s="1"/>
  <c r="BC44" i="3"/>
  <c r="BD44" i="3" s="1"/>
  <c r="BC45" i="3"/>
  <c r="BD45" i="3" s="1"/>
  <c r="BC46" i="3"/>
  <c r="BD46" i="3" s="1"/>
  <c r="BC47" i="3"/>
  <c r="BD47" i="3" s="1"/>
  <c r="BC48" i="3"/>
  <c r="BD48" i="3" s="1"/>
  <c r="BC49" i="3"/>
  <c r="BD49" i="3"/>
  <c r="BC50" i="3"/>
  <c r="BD50" i="3" s="1"/>
  <c r="BC51" i="3"/>
  <c r="BD51" i="3" s="1"/>
  <c r="BC52" i="3"/>
  <c r="BD52" i="3" s="1"/>
  <c r="BC53" i="3"/>
  <c r="BD53" i="3" s="1"/>
  <c r="BC54" i="3"/>
  <c r="BD54" i="3" s="1"/>
  <c r="BC55" i="3"/>
  <c r="BD55" i="3" s="1"/>
  <c r="BC56" i="3"/>
  <c r="BD56" i="3" s="1"/>
  <c r="BC57" i="3"/>
  <c r="BD57" i="3" s="1"/>
  <c r="BC58" i="3"/>
  <c r="BD58" i="3" s="1"/>
  <c r="BC59" i="3"/>
  <c r="BD59" i="3" s="1"/>
  <c r="BC60" i="3"/>
  <c r="BD60" i="3" s="1"/>
  <c r="BC61" i="3"/>
  <c r="BD61" i="3" s="1"/>
  <c r="BC62" i="3"/>
  <c r="BD62" i="3" s="1"/>
  <c r="BC63" i="3"/>
  <c r="BD63" i="3" s="1"/>
  <c r="BC64" i="3"/>
  <c r="BD64" i="3" s="1"/>
  <c r="BC65" i="3"/>
  <c r="BD65" i="3" s="1"/>
  <c r="BC66" i="3"/>
  <c r="BD66" i="3" s="1"/>
  <c r="BC67" i="3"/>
  <c r="BD67" i="3" s="1"/>
  <c r="BC68" i="3"/>
  <c r="BD68" i="3" s="1"/>
  <c r="BC69" i="3"/>
  <c r="BD69" i="3" s="1"/>
  <c r="BC70" i="3"/>
  <c r="BD70" i="3" s="1"/>
  <c r="BC71" i="3"/>
  <c r="BD71" i="3" s="1"/>
  <c r="BC72" i="3"/>
  <c r="BD72" i="3" s="1"/>
  <c r="BC73" i="3"/>
  <c r="BD73" i="3" s="1"/>
  <c r="BC74" i="3"/>
  <c r="BD74" i="3" s="1"/>
  <c r="BC75" i="3"/>
  <c r="BD75" i="3" s="1"/>
  <c r="BC76" i="3"/>
  <c r="BD76" i="3" s="1"/>
  <c r="BC77" i="3"/>
  <c r="BD77" i="3" s="1"/>
  <c r="BC78" i="3"/>
  <c r="BD78" i="3" s="1"/>
  <c r="BC79" i="3"/>
  <c r="BD79" i="3" s="1"/>
  <c r="BC80" i="3"/>
  <c r="BD80" i="3" s="1"/>
  <c r="BC81" i="3"/>
  <c r="BD81" i="3" s="1"/>
  <c r="BC82" i="3"/>
  <c r="BD82" i="3" s="1"/>
  <c r="BC83" i="3"/>
  <c r="BD83" i="3" s="1"/>
  <c r="BC84" i="3"/>
  <c r="BD84" i="3" s="1"/>
  <c r="BC85" i="3"/>
  <c r="BD85" i="3" s="1"/>
  <c r="BC86" i="3"/>
  <c r="BD86" i="3" s="1"/>
  <c r="BC87" i="3"/>
  <c r="BD87" i="3" s="1"/>
  <c r="BC3" i="3"/>
  <c r="BD3" i="3" s="1"/>
  <c r="AM3" i="3"/>
  <c r="AN3" i="3" s="1"/>
  <c r="AX4" i="3"/>
  <c r="AX5" i="3"/>
  <c r="AX6" i="3"/>
  <c r="AX7" i="3"/>
  <c r="AX8" i="3"/>
  <c r="AX9" i="3"/>
  <c r="AX10" i="3"/>
  <c r="AX11" i="3"/>
  <c r="AX12" i="3"/>
  <c r="AX13" i="3"/>
  <c r="AX14" i="3"/>
  <c r="AX15" i="3"/>
  <c r="AX16" i="3"/>
  <c r="AX17" i="3"/>
  <c r="AX18" i="3"/>
  <c r="AX19" i="3"/>
  <c r="AX20" i="3"/>
  <c r="AX21" i="3"/>
  <c r="AX22" i="3"/>
  <c r="AX23" i="3"/>
  <c r="AX24" i="3"/>
  <c r="AX25" i="3"/>
  <c r="AX26" i="3"/>
  <c r="AX27" i="3"/>
  <c r="AX28" i="3"/>
  <c r="AX29" i="3"/>
  <c r="AX30" i="3"/>
  <c r="AX31" i="3"/>
  <c r="AX32" i="3"/>
  <c r="AX33" i="3"/>
  <c r="AX34" i="3"/>
  <c r="AX35" i="3"/>
  <c r="AX36" i="3"/>
  <c r="AX37" i="3"/>
  <c r="AX38" i="3"/>
  <c r="AX39" i="3"/>
  <c r="AX40" i="3"/>
  <c r="AX41" i="3"/>
  <c r="AX42" i="3"/>
  <c r="AX43" i="3"/>
  <c r="AX44" i="3"/>
  <c r="AX45" i="3"/>
  <c r="AX46" i="3"/>
  <c r="AX47" i="3"/>
  <c r="AX48" i="3"/>
  <c r="AX49" i="3"/>
  <c r="AX50" i="3"/>
  <c r="AX51" i="3"/>
  <c r="AX52" i="3"/>
  <c r="AX53" i="3"/>
  <c r="AX54" i="3"/>
  <c r="AX55" i="3"/>
  <c r="AX56" i="3"/>
  <c r="AX57" i="3"/>
  <c r="AX58" i="3"/>
  <c r="AX59" i="3"/>
  <c r="AX60" i="3"/>
  <c r="AX61" i="3"/>
  <c r="AX62" i="3"/>
  <c r="AX63" i="3"/>
  <c r="AX64" i="3"/>
  <c r="AX65" i="3"/>
  <c r="AX66" i="3"/>
  <c r="AX67" i="3"/>
  <c r="AX68" i="3"/>
  <c r="AX69" i="3"/>
  <c r="AX70" i="3"/>
  <c r="AX71" i="3"/>
  <c r="AX72" i="3"/>
  <c r="AX73" i="3"/>
  <c r="AX74" i="3"/>
  <c r="AX75" i="3"/>
  <c r="AX76" i="3"/>
  <c r="AX77" i="3"/>
  <c r="AX78" i="3"/>
  <c r="AX79" i="3"/>
  <c r="AX80" i="3"/>
  <c r="AX81" i="3"/>
  <c r="AX82" i="3"/>
  <c r="AX83" i="3"/>
  <c r="AX84" i="3"/>
  <c r="AX85" i="3"/>
  <c r="AX86" i="3"/>
  <c r="AX87" i="3"/>
  <c r="AX3" i="3"/>
  <c r="AU3" i="3"/>
  <c r="AU4" i="3"/>
  <c r="AV4" i="3"/>
  <c r="AU5" i="3"/>
  <c r="AV5" i="3"/>
  <c r="AU6" i="3"/>
  <c r="AV6" i="3"/>
  <c r="AU7" i="3"/>
  <c r="AV7" i="3"/>
  <c r="AU8" i="3"/>
  <c r="AV8" i="3"/>
  <c r="AU9" i="3"/>
  <c r="AV9" i="3"/>
  <c r="AU10" i="3"/>
  <c r="AV10" i="3"/>
  <c r="AU11" i="3"/>
  <c r="AV11" i="3"/>
  <c r="AU12" i="3"/>
  <c r="AV12" i="3"/>
  <c r="AU13" i="3"/>
  <c r="AV13" i="3"/>
  <c r="AU14" i="3"/>
  <c r="AV14" i="3"/>
  <c r="AU15" i="3"/>
  <c r="AV15" i="3"/>
  <c r="AU16" i="3"/>
  <c r="AW16" i="3" s="1"/>
  <c r="AV16" i="3"/>
  <c r="AU17" i="3"/>
  <c r="AV17" i="3"/>
  <c r="AU18" i="3"/>
  <c r="AV18" i="3"/>
  <c r="AU19" i="3"/>
  <c r="AV19" i="3"/>
  <c r="AU20" i="3"/>
  <c r="AV20" i="3"/>
  <c r="AU21" i="3"/>
  <c r="AV21" i="3"/>
  <c r="AU22" i="3"/>
  <c r="AV22" i="3"/>
  <c r="AU23" i="3"/>
  <c r="AV23" i="3"/>
  <c r="AU24" i="3"/>
  <c r="AW24" i="3" s="1"/>
  <c r="AV24" i="3"/>
  <c r="AU25" i="3"/>
  <c r="AV25" i="3"/>
  <c r="AU26" i="3"/>
  <c r="AV26" i="3"/>
  <c r="AU27" i="3"/>
  <c r="AV27" i="3"/>
  <c r="AU28" i="3"/>
  <c r="AV28" i="3"/>
  <c r="AU29" i="3"/>
  <c r="AV29" i="3"/>
  <c r="AU30" i="3"/>
  <c r="AV30" i="3"/>
  <c r="AU31" i="3"/>
  <c r="AV31" i="3"/>
  <c r="AU32" i="3"/>
  <c r="AV32" i="3"/>
  <c r="AU33" i="3"/>
  <c r="AV33" i="3"/>
  <c r="AU34" i="3"/>
  <c r="AV34" i="3"/>
  <c r="AU35" i="3"/>
  <c r="AV35" i="3"/>
  <c r="AU36" i="3"/>
  <c r="AV36" i="3"/>
  <c r="AU37" i="3"/>
  <c r="AV37" i="3"/>
  <c r="AU38" i="3"/>
  <c r="AV38" i="3"/>
  <c r="AU39" i="3"/>
  <c r="AV39" i="3"/>
  <c r="AU40" i="3"/>
  <c r="AV40" i="3"/>
  <c r="AU41" i="3"/>
  <c r="AV41" i="3"/>
  <c r="AU42" i="3"/>
  <c r="AV42" i="3"/>
  <c r="AU43" i="3"/>
  <c r="AV43" i="3"/>
  <c r="AU44" i="3"/>
  <c r="AV44" i="3"/>
  <c r="AU45" i="3"/>
  <c r="AV45" i="3"/>
  <c r="AU46" i="3"/>
  <c r="AV46" i="3"/>
  <c r="AU47" i="3"/>
  <c r="AV47" i="3"/>
  <c r="AU48" i="3"/>
  <c r="AW48" i="3" s="1"/>
  <c r="AV48" i="3"/>
  <c r="AU49" i="3"/>
  <c r="AV49" i="3"/>
  <c r="AU50" i="3"/>
  <c r="AV50" i="3"/>
  <c r="AU51" i="3"/>
  <c r="AV51" i="3"/>
  <c r="AU52" i="3"/>
  <c r="AV52" i="3"/>
  <c r="AU53" i="3"/>
  <c r="AV53" i="3"/>
  <c r="AU54" i="3"/>
  <c r="AV54" i="3"/>
  <c r="AU55" i="3"/>
  <c r="AV55" i="3"/>
  <c r="AU56" i="3"/>
  <c r="AW56" i="3" s="1"/>
  <c r="AV56" i="3"/>
  <c r="AU57" i="3"/>
  <c r="AV57" i="3"/>
  <c r="AU58" i="3"/>
  <c r="AV58" i="3"/>
  <c r="AU59" i="3"/>
  <c r="AV59" i="3"/>
  <c r="AU60" i="3"/>
  <c r="AV60" i="3"/>
  <c r="AU61" i="3"/>
  <c r="AV61" i="3"/>
  <c r="AU62" i="3"/>
  <c r="AV62" i="3"/>
  <c r="AU63" i="3"/>
  <c r="AV63" i="3"/>
  <c r="AU64" i="3"/>
  <c r="AV64" i="3"/>
  <c r="AU65" i="3"/>
  <c r="AV65" i="3"/>
  <c r="AU66" i="3"/>
  <c r="AV66" i="3"/>
  <c r="AU67" i="3"/>
  <c r="AV67" i="3"/>
  <c r="AU68" i="3"/>
  <c r="AV68" i="3"/>
  <c r="AU69" i="3"/>
  <c r="AV69" i="3"/>
  <c r="AU70" i="3"/>
  <c r="AV70" i="3"/>
  <c r="AU71" i="3"/>
  <c r="AV71" i="3"/>
  <c r="AU72" i="3"/>
  <c r="AV72" i="3"/>
  <c r="AU73" i="3"/>
  <c r="AV73" i="3"/>
  <c r="AU74" i="3"/>
  <c r="AV74" i="3"/>
  <c r="AU75" i="3"/>
  <c r="AV75" i="3"/>
  <c r="AU76" i="3"/>
  <c r="AV76" i="3"/>
  <c r="AU77" i="3"/>
  <c r="AV77" i="3"/>
  <c r="AU78" i="3"/>
  <c r="AV78" i="3"/>
  <c r="AU79" i="3"/>
  <c r="AV79" i="3"/>
  <c r="AU80" i="3"/>
  <c r="AV80" i="3"/>
  <c r="AU81" i="3"/>
  <c r="AV81" i="3"/>
  <c r="AU82" i="3"/>
  <c r="AV82" i="3"/>
  <c r="AU83" i="3"/>
  <c r="AV83" i="3"/>
  <c r="AU84" i="3"/>
  <c r="AV84" i="3"/>
  <c r="AU85" i="3"/>
  <c r="AV85" i="3"/>
  <c r="AU86" i="3"/>
  <c r="AV86" i="3"/>
  <c r="AU87" i="3"/>
  <c r="AV87" i="3"/>
  <c r="AV3" i="3"/>
  <c r="AW3" i="3" s="1"/>
  <c r="AO3"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F3" i="3"/>
  <c r="AM4" i="3"/>
  <c r="AM5" i="3"/>
  <c r="AN5" i="3" s="1"/>
  <c r="AM6" i="3"/>
  <c r="AM7" i="3"/>
  <c r="AN7" i="3" s="1"/>
  <c r="AM8" i="3"/>
  <c r="AM9" i="3"/>
  <c r="AN9" i="3" s="1"/>
  <c r="AM10" i="3"/>
  <c r="AN10" i="3" s="1"/>
  <c r="AM11" i="3"/>
  <c r="AN11" i="3" s="1"/>
  <c r="AM12" i="3"/>
  <c r="AN12" i="3" s="1"/>
  <c r="AM13" i="3"/>
  <c r="AN13" i="3" s="1"/>
  <c r="AM14" i="3"/>
  <c r="AN14" i="3" s="1"/>
  <c r="AM15" i="3"/>
  <c r="AN15" i="3" s="1"/>
  <c r="AM16" i="3"/>
  <c r="AN16" i="3" s="1"/>
  <c r="AM17" i="3"/>
  <c r="AN17" i="3" s="1"/>
  <c r="AM18" i="3"/>
  <c r="AN18" i="3" s="1"/>
  <c r="AM19" i="3"/>
  <c r="AN19" i="3" s="1"/>
  <c r="AM20" i="3"/>
  <c r="AN20" i="3" s="1"/>
  <c r="AM21" i="3"/>
  <c r="AN21" i="3" s="1"/>
  <c r="AM22" i="3"/>
  <c r="AN22" i="3" s="1"/>
  <c r="AM23" i="3"/>
  <c r="AN23" i="3" s="1"/>
  <c r="AM24" i="3"/>
  <c r="AN24" i="3" s="1"/>
  <c r="AM25" i="3"/>
  <c r="AN25" i="3" s="1"/>
  <c r="AM26" i="3"/>
  <c r="AM27" i="3"/>
  <c r="AN27" i="3" s="1"/>
  <c r="AM28" i="3"/>
  <c r="AN28" i="3" s="1"/>
  <c r="AM29" i="3"/>
  <c r="AN29" i="3" s="1"/>
  <c r="AM30" i="3"/>
  <c r="AN30" i="3" s="1"/>
  <c r="AM31" i="3"/>
  <c r="AN31" i="3" s="1"/>
  <c r="AM32" i="3"/>
  <c r="AN32" i="3" s="1"/>
  <c r="AM33" i="3"/>
  <c r="AN33" i="3" s="1"/>
  <c r="AM34" i="3"/>
  <c r="AN34" i="3" s="1"/>
  <c r="AM35" i="3"/>
  <c r="AN35" i="3" s="1"/>
  <c r="AM36" i="3"/>
  <c r="AN36" i="3" s="1"/>
  <c r="AM37" i="3"/>
  <c r="AN37" i="3" s="1"/>
  <c r="AM38" i="3"/>
  <c r="AM39" i="3"/>
  <c r="AN39" i="3" s="1"/>
  <c r="AM40" i="3"/>
  <c r="AN40" i="3" s="1"/>
  <c r="AM41" i="3"/>
  <c r="AN41" i="3" s="1"/>
  <c r="AM42" i="3"/>
  <c r="AN42" i="3" s="1"/>
  <c r="AM43" i="3"/>
  <c r="AN43" i="3" s="1"/>
  <c r="AM44" i="3"/>
  <c r="AN44" i="3" s="1"/>
  <c r="AM45" i="3"/>
  <c r="AN45" i="3" s="1"/>
  <c r="AM46" i="3"/>
  <c r="AN46" i="3" s="1"/>
  <c r="AM47" i="3"/>
  <c r="AM48" i="3"/>
  <c r="AN48" i="3" s="1"/>
  <c r="AM49" i="3"/>
  <c r="AN49" i="3" s="1"/>
  <c r="AM50" i="3"/>
  <c r="AM51" i="3"/>
  <c r="AN51" i="3" s="1"/>
  <c r="AM52" i="3"/>
  <c r="AN52" i="3" s="1"/>
  <c r="AM53" i="3"/>
  <c r="AN53" i="3" s="1"/>
  <c r="AM54" i="3"/>
  <c r="AN54" i="3" s="1"/>
  <c r="AM55" i="3"/>
  <c r="AN55" i="3" s="1"/>
  <c r="AM56" i="3"/>
  <c r="AN56" i="3" s="1"/>
  <c r="AM57" i="3"/>
  <c r="AN57" i="3" s="1"/>
  <c r="AM58" i="3"/>
  <c r="AN58" i="3" s="1"/>
  <c r="AM59" i="3"/>
  <c r="AN59" i="3" s="1"/>
  <c r="AM60" i="3"/>
  <c r="AN60" i="3" s="1"/>
  <c r="AM61" i="3"/>
  <c r="AN61" i="3" s="1"/>
  <c r="AM62" i="3"/>
  <c r="AN62" i="3" s="1"/>
  <c r="AM63" i="3"/>
  <c r="AN63" i="3" s="1"/>
  <c r="AM64" i="3"/>
  <c r="AN64" i="3" s="1"/>
  <c r="AM65" i="3"/>
  <c r="AN65" i="3" s="1"/>
  <c r="AM66" i="3"/>
  <c r="AN66" i="3" s="1"/>
  <c r="AM67" i="3"/>
  <c r="AN67" i="3" s="1"/>
  <c r="AM68" i="3"/>
  <c r="AN68" i="3" s="1"/>
  <c r="AM69" i="3"/>
  <c r="AN69" i="3" s="1"/>
  <c r="AM70" i="3"/>
  <c r="AM71" i="3"/>
  <c r="AN71" i="3" s="1"/>
  <c r="AM72" i="3"/>
  <c r="AN72" i="3" s="1"/>
  <c r="AM73" i="3"/>
  <c r="AN73" i="3" s="1"/>
  <c r="AM74" i="3"/>
  <c r="AN74" i="3" s="1"/>
  <c r="AM75" i="3"/>
  <c r="AN75" i="3" s="1"/>
  <c r="AM76" i="3"/>
  <c r="AN76" i="3" s="1"/>
  <c r="AM77" i="3"/>
  <c r="AN77" i="3" s="1"/>
  <c r="AM78" i="3"/>
  <c r="AN78" i="3" s="1"/>
  <c r="AM79" i="3"/>
  <c r="AN79" i="3" s="1"/>
  <c r="AM80" i="3"/>
  <c r="AN80" i="3" s="1"/>
  <c r="AM81" i="3"/>
  <c r="AN81" i="3" s="1"/>
  <c r="AM82" i="3"/>
  <c r="AN82" i="3" s="1"/>
  <c r="AM83" i="3"/>
  <c r="AN83" i="3" s="1"/>
  <c r="AM84" i="3"/>
  <c r="AN84" i="3" s="1"/>
  <c r="AM85" i="3"/>
  <c r="AN85" i="3" s="1"/>
  <c r="AM86" i="3"/>
  <c r="AN86" i="3" s="1"/>
  <c r="AM87" i="3"/>
  <c r="AN87" i="3" s="1"/>
  <c r="AN8" i="3"/>
  <c r="AN47" i="3"/>
  <c r="AN6" i="3"/>
  <c r="AN26" i="3"/>
  <c r="AN38" i="3"/>
  <c r="AN50" i="3"/>
  <c r="AN70" i="3"/>
  <c r="AF4" i="3"/>
  <c r="AG4" i="3"/>
  <c r="AH4" i="3"/>
  <c r="AI4" i="3"/>
  <c r="AJ4" i="3"/>
  <c r="AF5" i="3"/>
  <c r="AG5" i="3"/>
  <c r="AH5" i="3"/>
  <c r="AI5" i="3"/>
  <c r="AJ5" i="3"/>
  <c r="AF6" i="3"/>
  <c r="AG6" i="3"/>
  <c r="AH6" i="3"/>
  <c r="AI6" i="3"/>
  <c r="AJ6" i="3"/>
  <c r="AF7" i="3"/>
  <c r="AG7" i="3"/>
  <c r="AH7" i="3"/>
  <c r="AI7" i="3"/>
  <c r="AJ7" i="3"/>
  <c r="AF8" i="3"/>
  <c r="AG8" i="3"/>
  <c r="AH8" i="3"/>
  <c r="AI8" i="3"/>
  <c r="AJ8" i="3"/>
  <c r="AF9" i="3"/>
  <c r="AG9" i="3"/>
  <c r="AH9" i="3"/>
  <c r="AI9" i="3"/>
  <c r="AJ9" i="3"/>
  <c r="AF10" i="3"/>
  <c r="AG10" i="3"/>
  <c r="AH10" i="3"/>
  <c r="AI10" i="3"/>
  <c r="AJ10" i="3"/>
  <c r="AF11" i="3"/>
  <c r="AG11" i="3"/>
  <c r="AH11" i="3"/>
  <c r="AI11" i="3"/>
  <c r="AJ11" i="3"/>
  <c r="AF12" i="3"/>
  <c r="AG12" i="3"/>
  <c r="AH12" i="3"/>
  <c r="AI12" i="3"/>
  <c r="AJ12" i="3"/>
  <c r="AF13" i="3"/>
  <c r="AG13" i="3"/>
  <c r="AH13" i="3"/>
  <c r="AI13" i="3"/>
  <c r="AJ13" i="3"/>
  <c r="AF14" i="3"/>
  <c r="AG14" i="3"/>
  <c r="AH14" i="3"/>
  <c r="AI14" i="3"/>
  <c r="AJ14" i="3"/>
  <c r="AF15" i="3"/>
  <c r="AG15" i="3"/>
  <c r="AH15" i="3"/>
  <c r="AI15" i="3"/>
  <c r="AJ15" i="3"/>
  <c r="AF16" i="3"/>
  <c r="AG16" i="3"/>
  <c r="AH16" i="3"/>
  <c r="AI16" i="3"/>
  <c r="AJ16" i="3"/>
  <c r="AF17" i="3"/>
  <c r="AG17" i="3"/>
  <c r="AH17" i="3"/>
  <c r="AI17" i="3"/>
  <c r="AJ17" i="3"/>
  <c r="AF18" i="3"/>
  <c r="AG18" i="3"/>
  <c r="AH18" i="3"/>
  <c r="AI18" i="3"/>
  <c r="AJ18" i="3"/>
  <c r="AF19" i="3"/>
  <c r="AG19" i="3"/>
  <c r="AH19" i="3"/>
  <c r="AI19" i="3"/>
  <c r="AJ19" i="3"/>
  <c r="AF20" i="3"/>
  <c r="AG20" i="3"/>
  <c r="AH20" i="3"/>
  <c r="AI20" i="3"/>
  <c r="AJ20" i="3"/>
  <c r="AF21" i="3"/>
  <c r="AG21" i="3"/>
  <c r="AH21" i="3"/>
  <c r="AI21" i="3"/>
  <c r="AJ21" i="3"/>
  <c r="AF22" i="3"/>
  <c r="AG22" i="3"/>
  <c r="AH22" i="3"/>
  <c r="AI22" i="3"/>
  <c r="AJ22" i="3"/>
  <c r="AF23" i="3"/>
  <c r="AG23" i="3"/>
  <c r="AH23" i="3"/>
  <c r="AI23" i="3"/>
  <c r="AJ23" i="3"/>
  <c r="AF24" i="3"/>
  <c r="AG24" i="3"/>
  <c r="AH24" i="3"/>
  <c r="AI24" i="3"/>
  <c r="AJ24" i="3"/>
  <c r="AF25" i="3"/>
  <c r="AG25" i="3"/>
  <c r="AH25" i="3"/>
  <c r="AI25" i="3"/>
  <c r="AJ25" i="3"/>
  <c r="AF26" i="3"/>
  <c r="AG26" i="3"/>
  <c r="AH26" i="3"/>
  <c r="AI26" i="3"/>
  <c r="AJ26" i="3"/>
  <c r="AF27" i="3"/>
  <c r="AG27" i="3"/>
  <c r="AH27" i="3"/>
  <c r="AI27" i="3"/>
  <c r="AJ27" i="3"/>
  <c r="AF28" i="3"/>
  <c r="AG28" i="3"/>
  <c r="AH28" i="3"/>
  <c r="AI28" i="3"/>
  <c r="AJ28" i="3"/>
  <c r="AF29" i="3"/>
  <c r="AG29" i="3"/>
  <c r="AH29" i="3"/>
  <c r="AI29" i="3"/>
  <c r="AJ29" i="3"/>
  <c r="AF30" i="3"/>
  <c r="AG30" i="3"/>
  <c r="AH30" i="3"/>
  <c r="AI30" i="3"/>
  <c r="AJ30" i="3"/>
  <c r="AF31" i="3"/>
  <c r="AG31" i="3"/>
  <c r="AH31" i="3"/>
  <c r="AI31" i="3"/>
  <c r="AJ31" i="3"/>
  <c r="AF32" i="3"/>
  <c r="AG32" i="3"/>
  <c r="AH32" i="3"/>
  <c r="AI32" i="3"/>
  <c r="AJ32" i="3"/>
  <c r="AF33" i="3"/>
  <c r="AG33" i="3"/>
  <c r="AH33" i="3"/>
  <c r="AI33" i="3"/>
  <c r="AJ33" i="3"/>
  <c r="AF34" i="3"/>
  <c r="AG34" i="3"/>
  <c r="AH34" i="3"/>
  <c r="AI34" i="3"/>
  <c r="AJ34" i="3"/>
  <c r="AF35" i="3"/>
  <c r="AG35" i="3"/>
  <c r="AH35" i="3"/>
  <c r="AI35" i="3"/>
  <c r="AJ35" i="3"/>
  <c r="AF36" i="3"/>
  <c r="AG36" i="3"/>
  <c r="AH36" i="3"/>
  <c r="AI36" i="3"/>
  <c r="AJ36" i="3"/>
  <c r="AF37" i="3"/>
  <c r="AG37" i="3"/>
  <c r="AH37" i="3"/>
  <c r="AI37" i="3"/>
  <c r="AJ37" i="3"/>
  <c r="AF38" i="3"/>
  <c r="AG38" i="3"/>
  <c r="AH38" i="3"/>
  <c r="AI38" i="3"/>
  <c r="AJ38" i="3"/>
  <c r="AF39" i="3"/>
  <c r="AG39" i="3"/>
  <c r="AH39" i="3"/>
  <c r="AI39" i="3"/>
  <c r="AJ39" i="3"/>
  <c r="AF40" i="3"/>
  <c r="AG40" i="3"/>
  <c r="AH40" i="3"/>
  <c r="AI40" i="3"/>
  <c r="AJ40" i="3"/>
  <c r="AF41" i="3"/>
  <c r="AG41" i="3"/>
  <c r="AH41" i="3"/>
  <c r="AI41" i="3"/>
  <c r="AJ41" i="3"/>
  <c r="AF42" i="3"/>
  <c r="AG42" i="3"/>
  <c r="AH42" i="3"/>
  <c r="AI42" i="3"/>
  <c r="AJ42" i="3"/>
  <c r="AF43" i="3"/>
  <c r="AG43" i="3"/>
  <c r="AH43" i="3"/>
  <c r="AI43" i="3"/>
  <c r="AJ43" i="3"/>
  <c r="AF44" i="3"/>
  <c r="AG44" i="3"/>
  <c r="AH44" i="3"/>
  <c r="AI44" i="3"/>
  <c r="AJ44" i="3"/>
  <c r="AF45" i="3"/>
  <c r="AG45" i="3"/>
  <c r="AH45" i="3"/>
  <c r="AI45" i="3"/>
  <c r="AJ45" i="3"/>
  <c r="AF46" i="3"/>
  <c r="AG46" i="3"/>
  <c r="AH46" i="3"/>
  <c r="AI46" i="3"/>
  <c r="AJ46" i="3"/>
  <c r="AF47" i="3"/>
  <c r="AG47" i="3"/>
  <c r="AH47" i="3"/>
  <c r="AI47" i="3"/>
  <c r="AJ47" i="3"/>
  <c r="AF48" i="3"/>
  <c r="AG48" i="3"/>
  <c r="AH48" i="3"/>
  <c r="AI48" i="3"/>
  <c r="AJ48" i="3"/>
  <c r="AF49" i="3"/>
  <c r="AG49" i="3"/>
  <c r="AH49" i="3"/>
  <c r="AI49" i="3"/>
  <c r="AJ49" i="3"/>
  <c r="AF50" i="3"/>
  <c r="AG50" i="3"/>
  <c r="AH50" i="3"/>
  <c r="AI50" i="3"/>
  <c r="AJ50" i="3"/>
  <c r="AF51" i="3"/>
  <c r="AG51" i="3"/>
  <c r="AH51" i="3"/>
  <c r="AI51" i="3"/>
  <c r="AJ51" i="3"/>
  <c r="AF52" i="3"/>
  <c r="AG52" i="3"/>
  <c r="AH52" i="3"/>
  <c r="AI52" i="3"/>
  <c r="AJ52" i="3"/>
  <c r="AF53" i="3"/>
  <c r="AG53" i="3"/>
  <c r="AH53" i="3"/>
  <c r="AI53" i="3"/>
  <c r="AJ53" i="3"/>
  <c r="AF54" i="3"/>
  <c r="AG54" i="3"/>
  <c r="AH54" i="3"/>
  <c r="AI54" i="3"/>
  <c r="AJ54" i="3"/>
  <c r="AF55" i="3"/>
  <c r="AG55" i="3"/>
  <c r="AH55" i="3"/>
  <c r="AI55" i="3"/>
  <c r="AJ55" i="3"/>
  <c r="AF56" i="3"/>
  <c r="AG56" i="3"/>
  <c r="AH56" i="3"/>
  <c r="AI56" i="3"/>
  <c r="AJ56" i="3"/>
  <c r="AF57" i="3"/>
  <c r="AG57" i="3"/>
  <c r="AH57" i="3"/>
  <c r="AI57" i="3"/>
  <c r="AJ57" i="3"/>
  <c r="AF58" i="3"/>
  <c r="AG58" i="3"/>
  <c r="AH58" i="3"/>
  <c r="AI58" i="3"/>
  <c r="AJ58" i="3"/>
  <c r="AF59" i="3"/>
  <c r="AG59" i="3"/>
  <c r="AH59" i="3"/>
  <c r="AI59" i="3"/>
  <c r="AJ59" i="3"/>
  <c r="AF60" i="3"/>
  <c r="AG60" i="3"/>
  <c r="AH60" i="3"/>
  <c r="AI60" i="3"/>
  <c r="AJ60" i="3"/>
  <c r="AF61" i="3"/>
  <c r="AG61" i="3"/>
  <c r="AH61" i="3"/>
  <c r="AI61" i="3"/>
  <c r="AJ61" i="3"/>
  <c r="AF62" i="3"/>
  <c r="AG62" i="3"/>
  <c r="AH62" i="3"/>
  <c r="AI62" i="3"/>
  <c r="AJ62" i="3"/>
  <c r="AF63" i="3"/>
  <c r="AG63" i="3"/>
  <c r="AH63" i="3"/>
  <c r="AI63" i="3"/>
  <c r="AJ63" i="3"/>
  <c r="AF64" i="3"/>
  <c r="AG64" i="3"/>
  <c r="AH64" i="3"/>
  <c r="AI64" i="3"/>
  <c r="AJ64" i="3"/>
  <c r="AF65" i="3"/>
  <c r="AG65" i="3"/>
  <c r="AH65" i="3"/>
  <c r="AI65" i="3"/>
  <c r="AJ65" i="3"/>
  <c r="AF66" i="3"/>
  <c r="AG66" i="3"/>
  <c r="AH66" i="3"/>
  <c r="AI66" i="3"/>
  <c r="AJ66" i="3"/>
  <c r="AF67" i="3"/>
  <c r="AG67" i="3"/>
  <c r="AH67" i="3"/>
  <c r="AI67" i="3"/>
  <c r="AJ67" i="3"/>
  <c r="AF68" i="3"/>
  <c r="AG68" i="3"/>
  <c r="AH68" i="3"/>
  <c r="AI68" i="3"/>
  <c r="AJ68" i="3"/>
  <c r="AF69" i="3"/>
  <c r="AG69" i="3"/>
  <c r="AH69" i="3"/>
  <c r="AI69" i="3"/>
  <c r="AJ69" i="3"/>
  <c r="AF70" i="3"/>
  <c r="AG70" i="3"/>
  <c r="AH70" i="3"/>
  <c r="AI70" i="3"/>
  <c r="AJ70" i="3"/>
  <c r="AF71" i="3"/>
  <c r="AG71" i="3"/>
  <c r="AH71" i="3"/>
  <c r="AI71" i="3"/>
  <c r="AJ71" i="3"/>
  <c r="AF72" i="3"/>
  <c r="AG72" i="3"/>
  <c r="AH72" i="3"/>
  <c r="AI72" i="3"/>
  <c r="AJ72" i="3"/>
  <c r="AF73" i="3"/>
  <c r="AG73" i="3"/>
  <c r="AH73" i="3"/>
  <c r="AI73" i="3"/>
  <c r="AJ73" i="3"/>
  <c r="AF74" i="3"/>
  <c r="AG74" i="3"/>
  <c r="AH74" i="3"/>
  <c r="AI74" i="3"/>
  <c r="AJ74" i="3"/>
  <c r="AF75" i="3"/>
  <c r="AG75" i="3"/>
  <c r="AH75" i="3"/>
  <c r="AI75" i="3"/>
  <c r="AJ75" i="3"/>
  <c r="AF76" i="3"/>
  <c r="AG76" i="3"/>
  <c r="AH76" i="3"/>
  <c r="AI76" i="3"/>
  <c r="AJ76" i="3"/>
  <c r="AF77" i="3"/>
  <c r="AG77" i="3"/>
  <c r="AH77" i="3"/>
  <c r="AI77" i="3"/>
  <c r="AJ77" i="3"/>
  <c r="AF78" i="3"/>
  <c r="AG78" i="3"/>
  <c r="AH78" i="3"/>
  <c r="AI78" i="3"/>
  <c r="AJ78" i="3"/>
  <c r="AF79" i="3"/>
  <c r="AG79" i="3"/>
  <c r="AH79" i="3"/>
  <c r="AI79" i="3"/>
  <c r="AJ79" i="3"/>
  <c r="AF80" i="3"/>
  <c r="AG80" i="3"/>
  <c r="AH80" i="3"/>
  <c r="AI80" i="3"/>
  <c r="AJ80" i="3"/>
  <c r="AF81" i="3"/>
  <c r="AG81" i="3"/>
  <c r="AH81" i="3"/>
  <c r="AI81" i="3"/>
  <c r="AJ81" i="3"/>
  <c r="AF82" i="3"/>
  <c r="AG82" i="3"/>
  <c r="AH82" i="3"/>
  <c r="AI82" i="3"/>
  <c r="AJ82" i="3"/>
  <c r="AF83" i="3"/>
  <c r="AG83" i="3"/>
  <c r="AH83" i="3"/>
  <c r="AI83" i="3"/>
  <c r="AJ83" i="3"/>
  <c r="AF84" i="3"/>
  <c r="AG84" i="3"/>
  <c r="AH84" i="3"/>
  <c r="AI84" i="3"/>
  <c r="AJ84" i="3"/>
  <c r="AF85" i="3"/>
  <c r="AG85" i="3"/>
  <c r="AH85" i="3"/>
  <c r="AI85" i="3"/>
  <c r="AJ85" i="3"/>
  <c r="AF86" i="3"/>
  <c r="AG86" i="3"/>
  <c r="AH86" i="3"/>
  <c r="AI86" i="3"/>
  <c r="AJ86" i="3"/>
  <c r="AF87" i="3"/>
  <c r="AG87" i="3"/>
  <c r="AH87" i="3"/>
  <c r="AI87" i="3"/>
  <c r="AJ87" i="3"/>
  <c r="AJ3" i="3"/>
  <c r="AI3" i="3"/>
  <c r="AH3" i="3"/>
  <c r="AG3" i="3"/>
  <c r="Z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3" i="3"/>
  <c r="Z4" i="3"/>
  <c r="AB4" i="3"/>
  <c r="AC4" i="3"/>
  <c r="Z5" i="3"/>
  <c r="AB5" i="3"/>
  <c r="AC5" i="3"/>
  <c r="Z6" i="3"/>
  <c r="AB6" i="3"/>
  <c r="AC6" i="3"/>
  <c r="Z7" i="3"/>
  <c r="AB7" i="3"/>
  <c r="AC7" i="3"/>
  <c r="Z8" i="3"/>
  <c r="AB8" i="3"/>
  <c r="AC8" i="3"/>
  <c r="Z9" i="3"/>
  <c r="AB9" i="3"/>
  <c r="AC9" i="3"/>
  <c r="Z10" i="3"/>
  <c r="AB10" i="3"/>
  <c r="AC10" i="3"/>
  <c r="Z11" i="3"/>
  <c r="AB11" i="3"/>
  <c r="AC11" i="3"/>
  <c r="Z12" i="3"/>
  <c r="AB12" i="3"/>
  <c r="AC12" i="3"/>
  <c r="Z13" i="3"/>
  <c r="AB13" i="3"/>
  <c r="AC13" i="3"/>
  <c r="Z14" i="3"/>
  <c r="AB14" i="3"/>
  <c r="AC14" i="3"/>
  <c r="Z15" i="3"/>
  <c r="AB15" i="3"/>
  <c r="AC15" i="3"/>
  <c r="Z16" i="3"/>
  <c r="AB16" i="3"/>
  <c r="AC16" i="3"/>
  <c r="Z17" i="3"/>
  <c r="AB17" i="3"/>
  <c r="AC17" i="3"/>
  <c r="Z18" i="3"/>
  <c r="AB18" i="3"/>
  <c r="AC18" i="3"/>
  <c r="Z19" i="3"/>
  <c r="AB19" i="3"/>
  <c r="AC19" i="3"/>
  <c r="Z20" i="3"/>
  <c r="AB20" i="3"/>
  <c r="AC20" i="3"/>
  <c r="Z21" i="3"/>
  <c r="AB21" i="3"/>
  <c r="AC21" i="3"/>
  <c r="Z22" i="3"/>
  <c r="AB22" i="3"/>
  <c r="AC22" i="3"/>
  <c r="Z23" i="3"/>
  <c r="AB23" i="3"/>
  <c r="AC23" i="3"/>
  <c r="Z24" i="3"/>
  <c r="AB24" i="3"/>
  <c r="AC24" i="3"/>
  <c r="Z25" i="3"/>
  <c r="AB25" i="3"/>
  <c r="AC25" i="3"/>
  <c r="Z26" i="3"/>
  <c r="AB26" i="3"/>
  <c r="AC26" i="3"/>
  <c r="Z27" i="3"/>
  <c r="AB27" i="3"/>
  <c r="AC27" i="3"/>
  <c r="Z28" i="3"/>
  <c r="AB28" i="3"/>
  <c r="AC28" i="3"/>
  <c r="Z29" i="3"/>
  <c r="AB29" i="3"/>
  <c r="AC29" i="3"/>
  <c r="Z30" i="3"/>
  <c r="AB30" i="3"/>
  <c r="AC30" i="3"/>
  <c r="Z31" i="3"/>
  <c r="AB31" i="3"/>
  <c r="AC31" i="3"/>
  <c r="Z32" i="3"/>
  <c r="AB32" i="3"/>
  <c r="AC32" i="3"/>
  <c r="Z33" i="3"/>
  <c r="AB33" i="3"/>
  <c r="AC33" i="3"/>
  <c r="Z34" i="3"/>
  <c r="AB34" i="3"/>
  <c r="AC34" i="3"/>
  <c r="Z35" i="3"/>
  <c r="AB35" i="3"/>
  <c r="AC35" i="3"/>
  <c r="Z36" i="3"/>
  <c r="AB36" i="3"/>
  <c r="AC36" i="3"/>
  <c r="Z37" i="3"/>
  <c r="AB37" i="3"/>
  <c r="AC37" i="3"/>
  <c r="Z38" i="3"/>
  <c r="AB38" i="3"/>
  <c r="AC38" i="3"/>
  <c r="Z39" i="3"/>
  <c r="AB39" i="3"/>
  <c r="AC39" i="3"/>
  <c r="Z40" i="3"/>
  <c r="AB40" i="3"/>
  <c r="AC40" i="3"/>
  <c r="Z41" i="3"/>
  <c r="AB41" i="3"/>
  <c r="AC41" i="3"/>
  <c r="Z42" i="3"/>
  <c r="AB42" i="3"/>
  <c r="AC42" i="3"/>
  <c r="Z43" i="3"/>
  <c r="AB43" i="3"/>
  <c r="AC43" i="3"/>
  <c r="Z44" i="3"/>
  <c r="AB44" i="3"/>
  <c r="AC44" i="3"/>
  <c r="Z45" i="3"/>
  <c r="AB45" i="3"/>
  <c r="AC45" i="3"/>
  <c r="Z46" i="3"/>
  <c r="AB46" i="3"/>
  <c r="AC46" i="3"/>
  <c r="Z47" i="3"/>
  <c r="AB47" i="3"/>
  <c r="AC47" i="3"/>
  <c r="Z48" i="3"/>
  <c r="AB48" i="3"/>
  <c r="AC48" i="3"/>
  <c r="Z49" i="3"/>
  <c r="AB49" i="3"/>
  <c r="AC49" i="3"/>
  <c r="Z50" i="3"/>
  <c r="AB50" i="3"/>
  <c r="AC50" i="3"/>
  <c r="Z51" i="3"/>
  <c r="AB51" i="3"/>
  <c r="AC51" i="3"/>
  <c r="Z52" i="3"/>
  <c r="AB52" i="3"/>
  <c r="AC52" i="3"/>
  <c r="Z53" i="3"/>
  <c r="AB53" i="3"/>
  <c r="AC53" i="3"/>
  <c r="Z54" i="3"/>
  <c r="AB54" i="3"/>
  <c r="AC54" i="3"/>
  <c r="Z55" i="3"/>
  <c r="AB55" i="3"/>
  <c r="AC55" i="3"/>
  <c r="Z56" i="3"/>
  <c r="AB56" i="3"/>
  <c r="AC56" i="3"/>
  <c r="Z57" i="3"/>
  <c r="AB57" i="3"/>
  <c r="AC57" i="3"/>
  <c r="Z58" i="3"/>
  <c r="AB58" i="3"/>
  <c r="AC58" i="3"/>
  <c r="Z59" i="3"/>
  <c r="AB59" i="3"/>
  <c r="AC59" i="3"/>
  <c r="Z60" i="3"/>
  <c r="AB60" i="3"/>
  <c r="AC60" i="3"/>
  <c r="Z61" i="3"/>
  <c r="AB61" i="3"/>
  <c r="AC61" i="3"/>
  <c r="Z62" i="3"/>
  <c r="AB62" i="3"/>
  <c r="AC62" i="3"/>
  <c r="Z63" i="3"/>
  <c r="AB63" i="3"/>
  <c r="AC63" i="3"/>
  <c r="Z64" i="3"/>
  <c r="AB64" i="3"/>
  <c r="AC64" i="3"/>
  <c r="Z65" i="3"/>
  <c r="AB65" i="3"/>
  <c r="AC65" i="3"/>
  <c r="Z66" i="3"/>
  <c r="AB66" i="3"/>
  <c r="AC66" i="3"/>
  <c r="Z67" i="3"/>
  <c r="AB67" i="3"/>
  <c r="AC67" i="3"/>
  <c r="Z68" i="3"/>
  <c r="AB68" i="3"/>
  <c r="AC68" i="3"/>
  <c r="Z69" i="3"/>
  <c r="AB69" i="3"/>
  <c r="AC69" i="3"/>
  <c r="Z70" i="3"/>
  <c r="AB70" i="3"/>
  <c r="AC70" i="3"/>
  <c r="Z71" i="3"/>
  <c r="AB71" i="3"/>
  <c r="AC71" i="3"/>
  <c r="Z72" i="3"/>
  <c r="AB72" i="3"/>
  <c r="AC72" i="3"/>
  <c r="Z73" i="3"/>
  <c r="AB73" i="3"/>
  <c r="AC73" i="3"/>
  <c r="Z74" i="3"/>
  <c r="AB74" i="3"/>
  <c r="AC74" i="3"/>
  <c r="Z75" i="3"/>
  <c r="AB75" i="3"/>
  <c r="AC75" i="3"/>
  <c r="Z76" i="3"/>
  <c r="AB76" i="3"/>
  <c r="AC76" i="3"/>
  <c r="Z77" i="3"/>
  <c r="AB77" i="3"/>
  <c r="AC77" i="3"/>
  <c r="Z78" i="3"/>
  <c r="AB78" i="3"/>
  <c r="AC78" i="3"/>
  <c r="Z79" i="3"/>
  <c r="AB79" i="3"/>
  <c r="AC79" i="3"/>
  <c r="Z80" i="3"/>
  <c r="AB80" i="3"/>
  <c r="AC80" i="3"/>
  <c r="Z81" i="3"/>
  <c r="AB81" i="3"/>
  <c r="AC81" i="3"/>
  <c r="Z82" i="3"/>
  <c r="AB82" i="3"/>
  <c r="AC82" i="3"/>
  <c r="Z83" i="3"/>
  <c r="AB83" i="3"/>
  <c r="AC83" i="3"/>
  <c r="Z84" i="3"/>
  <c r="AB84" i="3"/>
  <c r="AC84" i="3"/>
  <c r="Z85" i="3"/>
  <c r="AB85" i="3"/>
  <c r="AC85" i="3"/>
  <c r="Z86" i="3"/>
  <c r="AB86" i="3"/>
  <c r="AC86" i="3"/>
  <c r="Z87" i="3"/>
  <c r="AB87" i="3"/>
  <c r="AC87" i="3"/>
  <c r="AC3" i="3"/>
  <c r="AB3" i="3"/>
  <c r="T3" i="3"/>
  <c r="T4" i="3"/>
  <c r="U4" i="3"/>
  <c r="T5" i="3"/>
  <c r="U5" i="3"/>
  <c r="T6" i="3"/>
  <c r="U6" i="3"/>
  <c r="T7" i="3"/>
  <c r="U7" i="3"/>
  <c r="T8" i="3"/>
  <c r="U8" i="3"/>
  <c r="T9" i="3"/>
  <c r="U9" i="3"/>
  <c r="T10" i="3"/>
  <c r="U10" i="3"/>
  <c r="T11" i="3"/>
  <c r="U11" i="3"/>
  <c r="T12" i="3"/>
  <c r="U12" i="3"/>
  <c r="T13" i="3"/>
  <c r="U13" i="3"/>
  <c r="T14" i="3"/>
  <c r="U14" i="3"/>
  <c r="T15" i="3"/>
  <c r="U15" i="3"/>
  <c r="T16" i="3"/>
  <c r="U16" i="3"/>
  <c r="T17" i="3"/>
  <c r="U17" i="3"/>
  <c r="T18" i="3"/>
  <c r="U18" i="3"/>
  <c r="T19" i="3"/>
  <c r="U19" i="3"/>
  <c r="T20" i="3"/>
  <c r="U20" i="3"/>
  <c r="T21" i="3"/>
  <c r="U21" i="3"/>
  <c r="T22" i="3"/>
  <c r="U22" i="3"/>
  <c r="T23" i="3"/>
  <c r="U23" i="3"/>
  <c r="T24" i="3"/>
  <c r="U24" i="3"/>
  <c r="T25" i="3"/>
  <c r="U25" i="3"/>
  <c r="T26" i="3"/>
  <c r="U26" i="3"/>
  <c r="T27" i="3"/>
  <c r="U27" i="3"/>
  <c r="T28" i="3"/>
  <c r="U28" i="3"/>
  <c r="T29" i="3"/>
  <c r="U29" i="3"/>
  <c r="T30" i="3"/>
  <c r="U30" i="3"/>
  <c r="T31" i="3"/>
  <c r="U31" i="3"/>
  <c r="T32" i="3"/>
  <c r="U32" i="3"/>
  <c r="T33" i="3"/>
  <c r="U33" i="3"/>
  <c r="T34" i="3"/>
  <c r="U34" i="3"/>
  <c r="T35" i="3"/>
  <c r="U35" i="3"/>
  <c r="T36" i="3"/>
  <c r="U36" i="3"/>
  <c r="T37" i="3"/>
  <c r="U37" i="3"/>
  <c r="T38" i="3"/>
  <c r="U38" i="3"/>
  <c r="T39" i="3"/>
  <c r="U39" i="3"/>
  <c r="T40" i="3"/>
  <c r="U40" i="3"/>
  <c r="T41" i="3"/>
  <c r="U41" i="3"/>
  <c r="T42" i="3"/>
  <c r="U42" i="3"/>
  <c r="T43" i="3"/>
  <c r="U43" i="3"/>
  <c r="T44" i="3"/>
  <c r="U44" i="3"/>
  <c r="T45" i="3"/>
  <c r="U45" i="3"/>
  <c r="T46" i="3"/>
  <c r="U46" i="3"/>
  <c r="T47" i="3"/>
  <c r="U47" i="3"/>
  <c r="T48" i="3"/>
  <c r="U48" i="3"/>
  <c r="T49" i="3"/>
  <c r="U49" i="3"/>
  <c r="T50" i="3"/>
  <c r="U50" i="3"/>
  <c r="T51" i="3"/>
  <c r="U51" i="3"/>
  <c r="T52" i="3"/>
  <c r="U52" i="3"/>
  <c r="T53" i="3"/>
  <c r="U53" i="3"/>
  <c r="T54" i="3"/>
  <c r="U54" i="3"/>
  <c r="T55" i="3"/>
  <c r="U55" i="3"/>
  <c r="T56" i="3"/>
  <c r="U56" i="3"/>
  <c r="T57" i="3"/>
  <c r="U57" i="3"/>
  <c r="T58" i="3"/>
  <c r="U58" i="3"/>
  <c r="T59" i="3"/>
  <c r="U59" i="3"/>
  <c r="T60" i="3"/>
  <c r="U60" i="3"/>
  <c r="T61" i="3"/>
  <c r="U61" i="3"/>
  <c r="T62" i="3"/>
  <c r="U62" i="3"/>
  <c r="T63" i="3"/>
  <c r="U63" i="3"/>
  <c r="T64" i="3"/>
  <c r="U64" i="3"/>
  <c r="T65" i="3"/>
  <c r="U65" i="3"/>
  <c r="T66" i="3"/>
  <c r="U66" i="3"/>
  <c r="T67" i="3"/>
  <c r="U67" i="3"/>
  <c r="T68" i="3"/>
  <c r="U68" i="3"/>
  <c r="T69" i="3"/>
  <c r="U69" i="3"/>
  <c r="T70" i="3"/>
  <c r="U70" i="3"/>
  <c r="T71" i="3"/>
  <c r="U71" i="3"/>
  <c r="T72" i="3"/>
  <c r="U72" i="3"/>
  <c r="T73" i="3"/>
  <c r="U73" i="3"/>
  <c r="T74" i="3"/>
  <c r="U74" i="3"/>
  <c r="T75" i="3"/>
  <c r="U75" i="3"/>
  <c r="T76" i="3"/>
  <c r="U76" i="3"/>
  <c r="T77" i="3"/>
  <c r="U77" i="3"/>
  <c r="T78" i="3"/>
  <c r="U78" i="3"/>
  <c r="T79" i="3"/>
  <c r="U79" i="3"/>
  <c r="T80" i="3"/>
  <c r="U80" i="3"/>
  <c r="T81" i="3"/>
  <c r="U81" i="3"/>
  <c r="T82" i="3"/>
  <c r="U82" i="3"/>
  <c r="T83" i="3"/>
  <c r="U83" i="3"/>
  <c r="T84" i="3"/>
  <c r="U84" i="3"/>
  <c r="T85" i="3"/>
  <c r="U85" i="3"/>
  <c r="T86" i="3"/>
  <c r="U86" i="3"/>
  <c r="T87" i="3"/>
  <c r="U87" i="3"/>
  <c r="U3" i="3"/>
  <c r="M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3" i="3"/>
  <c r="O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M4" i="3"/>
  <c r="R4" i="3" s="1"/>
  <c r="M5" i="3"/>
  <c r="R5" i="3" s="1"/>
  <c r="M6" i="3"/>
  <c r="R6" i="3" s="1"/>
  <c r="M7" i="3"/>
  <c r="R7" i="3" s="1"/>
  <c r="M8" i="3"/>
  <c r="R8" i="3" s="1"/>
  <c r="M9" i="3"/>
  <c r="R9" i="3" s="1"/>
  <c r="M10" i="3"/>
  <c r="M11" i="3"/>
  <c r="R11" i="3" s="1"/>
  <c r="M12" i="3"/>
  <c r="R12" i="3" s="1"/>
  <c r="M13" i="3"/>
  <c r="R13" i="3" s="1"/>
  <c r="M14" i="3"/>
  <c r="M15" i="3"/>
  <c r="R15" i="3" s="1"/>
  <c r="M16" i="3"/>
  <c r="R16" i="3" s="1"/>
  <c r="M17" i="3"/>
  <c r="R17" i="3" s="1"/>
  <c r="M18" i="3"/>
  <c r="R18" i="3" s="1"/>
  <c r="M19" i="3"/>
  <c r="R19" i="3" s="1"/>
  <c r="M20" i="3"/>
  <c r="R20" i="3" s="1"/>
  <c r="M21" i="3"/>
  <c r="R21" i="3" s="1"/>
  <c r="M22" i="3"/>
  <c r="R22" i="3" s="1"/>
  <c r="M23" i="3"/>
  <c r="R23" i="3" s="1"/>
  <c r="M24" i="3"/>
  <c r="R24" i="3" s="1"/>
  <c r="M25" i="3"/>
  <c r="R25" i="3" s="1"/>
  <c r="M26" i="3"/>
  <c r="R26" i="3" s="1"/>
  <c r="M27" i="3"/>
  <c r="R27" i="3" s="1"/>
  <c r="M28" i="3"/>
  <c r="R28" i="3" s="1"/>
  <c r="M29" i="3"/>
  <c r="R29" i="3" s="1"/>
  <c r="M30" i="3"/>
  <c r="M31" i="3"/>
  <c r="R31" i="3" s="1"/>
  <c r="M32" i="3"/>
  <c r="R32" i="3" s="1"/>
  <c r="M33" i="3"/>
  <c r="R33" i="3" s="1"/>
  <c r="M34" i="3"/>
  <c r="M35" i="3"/>
  <c r="R35" i="3" s="1"/>
  <c r="M36" i="3"/>
  <c r="R36" i="3" s="1"/>
  <c r="M37" i="3"/>
  <c r="R37" i="3" s="1"/>
  <c r="M38" i="3"/>
  <c r="M39" i="3"/>
  <c r="R39" i="3" s="1"/>
  <c r="M40" i="3"/>
  <c r="R40" i="3" s="1"/>
  <c r="M41" i="3"/>
  <c r="R41" i="3" s="1"/>
  <c r="M42" i="3"/>
  <c r="M43" i="3"/>
  <c r="R43" i="3" s="1"/>
  <c r="M44" i="3"/>
  <c r="R44" i="3" s="1"/>
  <c r="M45" i="3"/>
  <c r="R45" i="3" s="1"/>
  <c r="M46" i="3"/>
  <c r="M47" i="3"/>
  <c r="R47" i="3" s="1"/>
  <c r="M48" i="3"/>
  <c r="R48" i="3" s="1"/>
  <c r="M49" i="3"/>
  <c r="R49" i="3" s="1"/>
  <c r="M50" i="3"/>
  <c r="M51" i="3"/>
  <c r="R51" i="3" s="1"/>
  <c r="M52" i="3"/>
  <c r="R52" i="3" s="1"/>
  <c r="M53" i="3"/>
  <c r="R53" i="3" s="1"/>
  <c r="M54" i="3"/>
  <c r="M55" i="3"/>
  <c r="R55" i="3" s="1"/>
  <c r="M56" i="3"/>
  <c r="R56" i="3" s="1"/>
  <c r="M57" i="3"/>
  <c r="R57" i="3" s="1"/>
  <c r="M58" i="3"/>
  <c r="M59" i="3"/>
  <c r="R59" i="3" s="1"/>
  <c r="M60" i="3"/>
  <c r="R60" i="3" s="1"/>
  <c r="M61" i="3"/>
  <c r="R61" i="3" s="1"/>
  <c r="M62" i="3"/>
  <c r="R62" i="3" s="1"/>
  <c r="M63" i="3"/>
  <c r="R63" i="3" s="1"/>
  <c r="M64" i="3"/>
  <c r="M65" i="3"/>
  <c r="R65" i="3" s="1"/>
  <c r="M66" i="3"/>
  <c r="R66" i="3" s="1"/>
  <c r="M67" i="3"/>
  <c r="R67" i="3" s="1"/>
  <c r="M68" i="3"/>
  <c r="R68" i="3" s="1"/>
  <c r="M69" i="3"/>
  <c r="R69" i="3" s="1"/>
  <c r="M70" i="3"/>
  <c r="R70" i="3" s="1"/>
  <c r="M71" i="3"/>
  <c r="R71" i="3" s="1"/>
  <c r="M72" i="3"/>
  <c r="M73" i="3"/>
  <c r="R73" i="3" s="1"/>
  <c r="M74" i="3"/>
  <c r="R74" i="3" s="1"/>
  <c r="M75" i="3"/>
  <c r="R75" i="3" s="1"/>
  <c r="M76" i="3"/>
  <c r="M77" i="3"/>
  <c r="R77" i="3" s="1"/>
  <c r="M78" i="3"/>
  <c r="R78" i="3" s="1"/>
  <c r="M79" i="3"/>
  <c r="R79" i="3" s="1"/>
  <c r="M80" i="3"/>
  <c r="R80" i="3" s="1"/>
  <c r="M81" i="3"/>
  <c r="R81" i="3" s="1"/>
  <c r="M82" i="3"/>
  <c r="M83" i="3"/>
  <c r="R83" i="3" s="1"/>
  <c r="M84" i="3"/>
  <c r="R84" i="3" s="1"/>
  <c r="M85" i="3"/>
  <c r="R85" i="3" s="1"/>
  <c r="M86" i="3"/>
  <c r="R86" i="3" s="1"/>
  <c r="M87" i="3"/>
  <c r="R87" i="3" s="1"/>
  <c r="B3" i="3"/>
  <c r="B4" i="3"/>
  <c r="C4" i="3"/>
  <c r="D4" i="3"/>
  <c r="E4" i="3"/>
  <c r="F4" i="3"/>
  <c r="G4" i="3"/>
  <c r="H4" i="3"/>
  <c r="I4" i="3"/>
  <c r="J4" i="3"/>
  <c r="B5" i="3"/>
  <c r="C5" i="3"/>
  <c r="D5" i="3"/>
  <c r="E5" i="3"/>
  <c r="F5" i="3"/>
  <c r="G5" i="3"/>
  <c r="H5" i="3"/>
  <c r="I5" i="3"/>
  <c r="J5" i="3"/>
  <c r="B6" i="3"/>
  <c r="C6" i="3"/>
  <c r="D6" i="3"/>
  <c r="E6" i="3"/>
  <c r="F6" i="3"/>
  <c r="G6" i="3"/>
  <c r="H6" i="3"/>
  <c r="I6" i="3"/>
  <c r="J6" i="3"/>
  <c r="B7" i="3"/>
  <c r="C7" i="3"/>
  <c r="D7" i="3"/>
  <c r="E7" i="3"/>
  <c r="F7" i="3"/>
  <c r="G7" i="3"/>
  <c r="H7" i="3"/>
  <c r="I7" i="3"/>
  <c r="J7" i="3"/>
  <c r="B8" i="3"/>
  <c r="C8" i="3"/>
  <c r="D8" i="3"/>
  <c r="E8" i="3"/>
  <c r="F8" i="3"/>
  <c r="G8" i="3"/>
  <c r="H8" i="3"/>
  <c r="I8" i="3"/>
  <c r="J8" i="3"/>
  <c r="B9" i="3"/>
  <c r="C9" i="3"/>
  <c r="D9" i="3"/>
  <c r="E9" i="3"/>
  <c r="F9" i="3"/>
  <c r="G9" i="3"/>
  <c r="H9" i="3"/>
  <c r="I9" i="3"/>
  <c r="J9" i="3"/>
  <c r="B10" i="3"/>
  <c r="C10" i="3"/>
  <c r="D10" i="3"/>
  <c r="E10" i="3"/>
  <c r="F10" i="3"/>
  <c r="G10" i="3"/>
  <c r="H10" i="3"/>
  <c r="I10" i="3"/>
  <c r="J10" i="3"/>
  <c r="B11" i="3"/>
  <c r="C11" i="3"/>
  <c r="D11" i="3"/>
  <c r="E11" i="3"/>
  <c r="F11" i="3"/>
  <c r="G11" i="3"/>
  <c r="H11" i="3"/>
  <c r="I11" i="3"/>
  <c r="J11" i="3"/>
  <c r="B12" i="3"/>
  <c r="C12" i="3"/>
  <c r="D12" i="3"/>
  <c r="E12" i="3"/>
  <c r="F12" i="3"/>
  <c r="G12" i="3"/>
  <c r="H12" i="3"/>
  <c r="I12" i="3"/>
  <c r="J12" i="3"/>
  <c r="B13" i="3"/>
  <c r="C13" i="3"/>
  <c r="D13" i="3"/>
  <c r="E13" i="3"/>
  <c r="F13" i="3"/>
  <c r="G13" i="3"/>
  <c r="H13" i="3"/>
  <c r="I13" i="3"/>
  <c r="J13" i="3"/>
  <c r="B14" i="3"/>
  <c r="C14" i="3"/>
  <c r="D14" i="3"/>
  <c r="E14" i="3"/>
  <c r="F14" i="3"/>
  <c r="G14" i="3"/>
  <c r="H14" i="3"/>
  <c r="I14" i="3"/>
  <c r="J14" i="3"/>
  <c r="B15" i="3"/>
  <c r="C15" i="3"/>
  <c r="D15" i="3"/>
  <c r="E15" i="3"/>
  <c r="F15" i="3"/>
  <c r="G15" i="3"/>
  <c r="H15" i="3"/>
  <c r="I15" i="3"/>
  <c r="J15" i="3"/>
  <c r="B16" i="3"/>
  <c r="C16" i="3"/>
  <c r="D16" i="3"/>
  <c r="E16" i="3"/>
  <c r="F16" i="3"/>
  <c r="G16" i="3"/>
  <c r="H16" i="3"/>
  <c r="I16" i="3"/>
  <c r="J16" i="3"/>
  <c r="B17" i="3"/>
  <c r="C17" i="3"/>
  <c r="D17" i="3"/>
  <c r="E17" i="3"/>
  <c r="F17" i="3"/>
  <c r="G17" i="3"/>
  <c r="H17" i="3"/>
  <c r="I17" i="3"/>
  <c r="J17" i="3"/>
  <c r="B18" i="3"/>
  <c r="C18" i="3"/>
  <c r="D18" i="3"/>
  <c r="E18" i="3"/>
  <c r="F18" i="3"/>
  <c r="G18" i="3"/>
  <c r="H18" i="3"/>
  <c r="I18" i="3"/>
  <c r="J18" i="3"/>
  <c r="B19" i="3"/>
  <c r="C19" i="3"/>
  <c r="D19" i="3"/>
  <c r="E19" i="3"/>
  <c r="F19" i="3"/>
  <c r="G19" i="3"/>
  <c r="H19" i="3"/>
  <c r="I19" i="3"/>
  <c r="J19" i="3"/>
  <c r="B20" i="3"/>
  <c r="C20" i="3"/>
  <c r="D20" i="3"/>
  <c r="E20" i="3"/>
  <c r="F20" i="3"/>
  <c r="G20" i="3"/>
  <c r="H20" i="3"/>
  <c r="I20" i="3"/>
  <c r="J20" i="3"/>
  <c r="B21" i="3"/>
  <c r="C21" i="3"/>
  <c r="D21" i="3"/>
  <c r="E21" i="3"/>
  <c r="F21" i="3"/>
  <c r="G21" i="3"/>
  <c r="H21" i="3"/>
  <c r="I21" i="3"/>
  <c r="J21" i="3"/>
  <c r="B22" i="3"/>
  <c r="C22" i="3"/>
  <c r="D22" i="3"/>
  <c r="E22" i="3"/>
  <c r="F22" i="3"/>
  <c r="G22" i="3"/>
  <c r="H22" i="3"/>
  <c r="I22" i="3"/>
  <c r="J22" i="3"/>
  <c r="B23" i="3"/>
  <c r="C23" i="3"/>
  <c r="D23" i="3"/>
  <c r="E23" i="3"/>
  <c r="F23" i="3"/>
  <c r="G23" i="3"/>
  <c r="H23" i="3"/>
  <c r="I23" i="3"/>
  <c r="J23" i="3"/>
  <c r="B24" i="3"/>
  <c r="C24" i="3"/>
  <c r="D24" i="3"/>
  <c r="E24" i="3"/>
  <c r="F24" i="3"/>
  <c r="G24" i="3"/>
  <c r="H24" i="3"/>
  <c r="I24" i="3"/>
  <c r="J24" i="3"/>
  <c r="B25" i="3"/>
  <c r="C25" i="3"/>
  <c r="D25" i="3"/>
  <c r="E25" i="3"/>
  <c r="F25" i="3"/>
  <c r="G25" i="3"/>
  <c r="H25" i="3"/>
  <c r="I25" i="3"/>
  <c r="J25" i="3"/>
  <c r="B26" i="3"/>
  <c r="C26" i="3"/>
  <c r="D26" i="3"/>
  <c r="E26" i="3"/>
  <c r="F26" i="3"/>
  <c r="G26" i="3"/>
  <c r="H26" i="3"/>
  <c r="I26" i="3"/>
  <c r="J26" i="3"/>
  <c r="B27" i="3"/>
  <c r="C27" i="3"/>
  <c r="D27" i="3"/>
  <c r="E27" i="3"/>
  <c r="F27" i="3"/>
  <c r="G27" i="3"/>
  <c r="H27" i="3"/>
  <c r="I27" i="3"/>
  <c r="J27" i="3"/>
  <c r="B28" i="3"/>
  <c r="C28" i="3"/>
  <c r="D28" i="3"/>
  <c r="E28" i="3"/>
  <c r="F28" i="3"/>
  <c r="G28" i="3"/>
  <c r="H28" i="3"/>
  <c r="I28" i="3"/>
  <c r="J28" i="3"/>
  <c r="B29" i="3"/>
  <c r="C29" i="3"/>
  <c r="D29" i="3"/>
  <c r="E29" i="3"/>
  <c r="F29" i="3"/>
  <c r="G29" i="3"/>
  <c r="H29" i="3"/>
  <c r="I29" i="3"/>
  <c r="J29" i="3"/>
  <c r="B30" i="3"/>
  <c r="C30" i="3"/>
  <c r="D30" i="3"/>
  <c r="E30" i="3"/>
  <c r="F30" i="3"/>
  <c r="G30" i="3"/>
  <c r="H30" i="3"/>
  <c r="I30" i="3"/>
  <c r="J30" i="3"/>
  <c r="B31" i="3"/>
  <c r="C31" i="3"/>
  <c r="D31" i="3"/>
  <c r="E31" i="3"/>
  <c r="F31" i="3"/>
  <c r="G31" i="3"/>
  <c r="H31" i="3"/>
  <c r="I31" i="3"/>
  <c r="J31" i="3"/>
  <c r="B32" i="3"/>
  <c r="C32" i="3"/>
  <c r="D32" i="3"/>
  <c r="E32" i="3"/>
  <c r="F32" i="3"/>
  <c r="G32" i="3"/>
  <c r="H32" i="3"/>
  <c r="I32" i="3"/>
  <c r="J32" i="3"/>
  <c r="B33" i="3"/>
  <c r="C33" i="3"/>
  <c r="D33" i="3"/>
  <c r="E33" i="3"/>
  <c r="F33" i="3"/>
  <c r="G33" i="3"/>
  <c r="H33" i="3"/>
  <c r="I33" i="3"/>
  <c r="J33" i="3"/>
  <c r="B34" i="3"/>
  <c r="C34" i="3"/>
  <c r="D34" i="3"/>
  <c r="E34" i="3"/>
  <c r="F34" i="3"/>
  <c r="G34" i="3"/>
  <c r="H34" i="3"/>
  <c r="I34" i="3"/>
  <c r="J34" i="3"/>
  <c r="B35" i="3"/>
  <c r="C35" i="3"/>
  <c r="D35" i="3"/>
  <c r="E35" i="3"/>
  <c r="F35" i="3"/>
  <c r="G35" i="3"/>
  <c r="H35" i="3"/>
  <c r="I35" i="3"/>
  <c r="J35" i="3"/>
  <c r="B36" i="3"/>
  <c r="C36" i="3"/>
  <c r="D36" i="3"/>
  <c r="E36" i="3"/>
  <c r="F36" i="3"/>
  <c r="G36" i="3"/>
  <c r="H36" i="3"/>
  <c r="I36" i="3"/>
  <c r="J36" i="3"/>
  <c r="B37" i="3"/>
  <c r="C37" i="3"/>
  <c r="D37" i="3"/>
  <c r="E37" i="3"/>
  <c r="F37" i="3"/>
  <c r="G37" i="3"/>
  <c r="H37" i="3"/>
  <c r="I37" i="3"/>
  <c r="J37" i="3"/>
  <c r="B38" i="3"/>
  <c r="C38" i="3"/>
  <c r="D38" i="3"/>
  <c r="E38" i="3"/>
  <c r="F38" i="3"/>
  <c r="G38" i="3"/>
  <c r="H38" i="3"/>
  <c r="I38" i="3"/>
  <c r="J38" i="3"/>
  <c r="B39" i="3"/>
  <c r="C39" i="3"/>
  <c r="D39" i="3"/>
  <c r="E39" i="3"/>
  <c r="F39" i="3"/>
  <c r="G39" i="3"/>
  <c r="H39" i="3"/>
  <c r="I39" i="3"/>
  <c r="J39" i="3"/>
  <c r="B40" i="3"/>
  <c r="C40" i="3"/>
  <c r="D40" i="3"/>
  <c r="E40" i="3"/>
  <c r="F40" i="3"/>
  <c r="G40" i="3"/>
  <c r="H40" i="3"/>
  <c r="I40" i="3"/>
  <c r="J40" i="3"/>
  <c r="B41" i="3"/>
  <c r="C41" i="3"/>
  <c r="D41" i="3"/>
  <c r="E41" i="3"/>
  <c r="F41" i="3"/>
  <c r="G41" i="3"/>
  <c r="H41" i="3"/>
  <c r="I41" i="3"/>
  <c r="J41" i="3"/>
  <c r="B42" i="3"/>
  <c r="C42" i="3"/>
  <c r="D42" i="3"/>
  <c r="E42" i="3"/>
  <c r="F42" i="3"/>
  <c r="G42" i="3"/>
  <c r="H42" i="3"/>
  <c r="I42" i="3"/>
  <c r="J42" i="3"/>
  <c r="B43" i="3"/>
  <c r="C43" i="3"/>
  <c r="D43" i="3"/>
  <c r="E43" i="3"/>
  <c r="F43" i="3"/>
  <c r="G43" i="3"/>
  <c r="H43" i="3"/>
  <c r="I43" i="3"/>
  <c r="J43" i="3"/>
  <c r="B44" i="3"/>
  <c r="C44" i="3"/>
  <c r="D44" i="3"/>
  <c r="E44" i="3"/>
  <c r="F44" i="3"/>
  <c r="G44" i="3"/>
  <c r="H44" i="3"/>
  <c r="I44" i="3"/>
  <c r="J44" i="3"/>
  <c r="B45" i="3"/>
  <c r="C45" i="3"/>
  <c r="D45" i="3"/>
  <c r="E45" i="3"/>
  <c r="F45" i="3"/>
  <c r="G45" i="3"/>
  <c r="H45" i="3"/>
  <c r="I45" i="3"/>
  <c r="J45" i="3"/>
  <c r="B46" i="3"/>
  <c r="C46" i="3"/>
  <c r="D46" i="3"/>
  <c r="E46" i="3"/>
  <c r="F46" i="3"/>
  <c r="G46" i="3"/>
  <c r="H46" i="3"/>
  <c r="I46" i="3"/>
  <c r="J46" i="3"/>
  <c r="B47" i="3"/>
  <c r="C47" i="3"/>
  <c r="D47" i="3"/>
  <c r="E47" i="3"/>
  <c r="F47" i="3"/>
  <c r="G47" i="3"/>
  <c r="H47" i="3"/>
  <c r="I47" i="3"/>
  <c r="J47" i="3"/>
  <c r="B48" i="3"/>
  <c r="C48" i="3"/>
  <c r="D48" i="3"/>
  <c r="E48" i="3"/>
  <c r="F48" i="3"/>
  <c r="G48" i="3"/>
  <c r="H48" i="3"/>
  <c r="I48" i="3"/>
  <c r="J48" i="3"/>
  <c r="B49" i="3"/>
  <c r="C49" i="3"/>
  <c r="D49" i="3"/>
  <c r="E49" i="3"/>
  <c r="F49" i="3"/>
  <c r="G49" i="3"/>
  <c r="H49" i="3"/>
  <c r="I49" i="3"/>
  <c r="J49" i="3"/>
  <c r="B50" i="3"/>
  <c r="C50" i="3"/>
  <c r="D50" i="3"/>
  <c r="E50" i="3"/>
  <c r="F50" i="3"/>
  <c r="G50" i="3"/>
  <c r="H50" i="3"/>
  <c r="I50" i="3"/>
  <c r="J50" i="3"/>
  <c r="B51" i="3"/>
  <c r="C51" i="3"/>
  <c r="D51" i="3"/>
  <c r="E51" i="3"/>
  <c r="F51" i="3"/>
  <c r="G51" i="3"/>
  <c r="H51" i="3"/>
  <c r="I51" i="3"/>
  <c r="J51" i="3"/>
  <c r="B52" i="3"/>
  <c r="C52" i="3"/>
  <c r="D52" i="3"/>
  <c r="E52" i="3"/>
  <c r="F52" i="3"/>
  <c r="G52" i="3"/>
  <c r="H52" i="3"/>
  <c r="I52" i="3"/>
  <c r="J52" i="3"/>
  <c r="B53" i="3"/>
  <c r="C53" i="3"/>
  <c r="D53" i="3"/>
  <c r="E53" i="3"/>
  <c r="F53" i="3"/>
  <c r="G53" i="3"/>
  <c r="H53" i="3"/>
  <c r="I53" i="3"/>
  <c r="J53" i="3"/>
  <c r="B54" i="3"/>
  <c r="C54" i="3"/>
  <c r="D54" i="3"/>
  <c r="E54" i="3"/>
  <c r="F54" i="3"/>
  <c r="G54" i="3"/>
  <c r="H54" i="3"/>
  <c r="I54" i="3"/>
  <c r="J54" i="3"/>
  <c r="B55" i="3"/>
  <c r="C55" i="3"/>
  <c r="D55" i="3"/>
  <c r="E55" i="3"/>
  <c r="F55" i="3"/>
  <c r="G55" i="3"/>
  <c r="H55" i="3"/>
  <c r="I55" i="3"/>
  <c r="J55" i="3"/>
  <c r="B56" i="3"/>
  <c r="C56" i="3"/>
  <c r="D56" i="3"/>
  <c r="E56" i="3"/>
  <c r="F56" i="3"/>
  <c r="G56" i="3"/>
  <c r="H56" i="3"/>
  <c r="I56" i="3"/>
  <c r="J56" i="3"/>
  <c r="B57" i="3"/>
  <c r="C57" i="3"/>
  <c r="D57" i="3"/>
  <c r="E57" i="3"/>
  <c r="F57" i="3"/>
  <c r="G57" i="3"/>
  <c r="H57" i="3"/>
  <c r="I57" i="3"/>
  <c r="J57" i="3"/>
  <c r="B58" i="3"/>
  <c r="C58" i="3"/>
  <c r="D58" i="3"/>
  <c r="E58" i="3"/>
  <c r="F58" i="3"/>
  <c r="G58" i="3"/>
  <c r="H58" i="3"/>
  <c r="I58" i="3"/>
  <c r="J58" i="3"/>
  <c r="B59" i="3"/>
  <c r="C59" i="3"/>
  <c r="D59" i="3"/>
  <c r="E59" i="3"/>
  <c r="F59" i="3"/>
  <c r="G59" i="3"/>
  <c r="H59" i="3"/>
  <c r="I59" i="3"/>
  <c r="J59" i="3"/>
  <c r="B60" i="3"/>
  <c r="C60" i="3"/>
  <c r="D60" i="3"/>
  <c r="E60" i="3"/>
  <c r="F60" i="3"/>
  <c r="G60" i="3"/>
  <c r="H60" i="3"/>
  <c r="I60" i="3"/>
  <c r="J60" i="3"/>
  <c r="B61" i="3"/>
  <c r="C61" i="3"/>
  <c r="D61" i="3"/>
  <c r="E61" i="3"/>
  <c r="F61" i="3"/>
  <c r="G61" i="3"/>
  <c r="H61" i="3"/>
  <c r="I61" i="3"/>
  <c r="J61" i="3"/>
  <c r="B62" i="3"/>
  <c r="C62" i="3"/>
  <c r="D62" i="3"/>
  <c r="E62" i="3"/>
  <c r="F62" i="3"/>
  <c r="G62" i="3"/>
  <c r="H62" i="3"/>
  <c r="I62" i="3"/>
  <c r="J62" i="3"/>
  <c r="B63" i="3"/>
  <c r="C63" i="3"/>
  <c r="D63" i="3"/>
  <c r="E63" i="3"/>
  <c r="F63" i="3"/>
  <c r="G63" i="3"/>
  <c r="H63" i="3"/>
  <c r="I63" i="3"/>
  <c r="J63" i="3"/>
  <c r="B64" i="3"/>
  <c r="C64" i="3"/>
  <c r="D64" i="3"/>
  <c r="E64" i="3"/>
  <c r="F64" i="3"/>
  <c r="G64" i="3"/>
  <c r="H64" i="3"/>
  <c r="I64" i="3"/>
  <c r="J64" i="3"/>
  <c r="B65" i="3"/>
  <c r="C65" i="3"/>
  <c r="D65" i="3"/>
  <c r="E65" i="3"/>
  <c r="F65" i="3"/>
  <c r="G65" i="3"/>
  <c r="H65" i="3"/>
  <c r="I65" i="3"/>
  <c r="J65" i="3"/>
  <c r="B66" i="3"/>
  <c r="C66" i="3"/>
  <c r="D66" i="3"/>
  <c r="E66" i="3"/>
  <c r="F66" i="3"/>
  <c r="G66" i="3"/>
  <c r="H66" i="3"/>
  <c r="I66" i="3"/>
  <c r="J66" i="3"/>
  <c r="B67" i="3"/>
  <c r="C67" i="3"/>
  <c r="D67" i="3"/>
  <c r="E67" i="3"/>
  <c r="F67" i="3"/>
  <c r="G67" i="3"/>
  <c r="H67" i="3"/>
  <c r="I67" i="3"/>
  <c r="J67" i="3"/>
  <c r="B68" i="3"/>
  <c r="C68" i="3"/>
  <c r="D68" i="3"/>
  <c r="E68" i="3"/>
  <c r="F68" i="3"/>
  <c r="G68" i="3"/>
  <c r="H68" i="3"/>
  <c r="I68" i="3"/>
  <c r="J68" i="3"/>
  <c r="B69" i="3"/>
  <c r="C69" i="3"/>
  <c r="D69" i="3"/>
  <c r="E69" i="3"/>
  <c r="F69" i="3"/>
  <c r="G69" i="3"/>
  <c r="H69" i="3"/>
  <c r="I69" i="3"/>
  <c r="J69" i="3"/>
  <c r="B70" i="3"/>
  <c r="C70" i="3"/>
  <c r="D70" i="3"/>
  <c r="E70" i="3"/>
  <c r="F70" i="3"/>
  <c r="G70" i="3"/>
  <c r="H70" i="3"/>
  <c r="I70" i="3"/>
  <c r="J70" i="3"/>
  <c r="B71" i="3"/>
  <c r="C71" i="3"/>
  <c r="D71" i="3"/>
  <c r="E71" i="3"/>
  <c r="F71" i="3"/>
  <c r="G71" i="3"/>
  <c r="H71" i="3"/>
  <c r="I71" i="3"/>
  <c r="J71" i="3"/>
  <c r="B72" i="3"/>
  <c r="C72" i="3"/>
  <c r="D72" i="3"/>
  <c r="E72" i="3"/>
  <c r="F72" i="3"/>
  <c r="G72" i="3"/>
  <c r="H72" i="3"/>
  <c r="I72" i="3"/>
  <c r="J72" i="3"/>
  <c r="B73" i="3"/>
  <c r="C73" i="3"/>
  <c r="D73" i="3"/>
  <c r="E73" i="3"/>
  <c r="F73" i="3"/>
  <c r="G73" i="3"/>
  <c r="H73" i="3"/>
  <c r="I73" i="3"/>
  <c r="J73" i="3"/>
  <c r="B74" i="3"/>
  <c r="C74" i="3"/>
  <c r="D74" i="3"/>
  <c r="E74" i="3"/>
  <c r="F74" i="3"/>
  <c r="G74" i="3"/>
  <c r="H74" i="3"/>
  <c r="I74" i="3"/>
  <c r="J74" i="3"/>
  <c r="B75" i="3"/>
  <c r="C75" i="3"/>
  <c r="D75" i="3"/>
  <c r="E75" i="3"/>
  <c r="F75" i="3"/>
  <c r="G75" i="3"/>
  <c r="H75" i="3"/>
  <c r="I75" i="3"/>
  <c r="J75" i="3"/>
  <c r="B76" i="3"/>
  <c r="C76" i="3"/>
  <c r="D76" i="3"/>
  <c r="E76" i="3"/>
  <c r="F76" i="3"/>
  <c r="G76" i="3"/>
  <c r="H76" i="3"/>
  <c r="I76" i="3"/>
  <c r="J76" i="3"/>
  <c r="B77" i="3"/>
  <c r="C77" i="3"/>
  <c r="D77" i="3"/>
  <c r="E77" i="3"/>
  <c r="F77" i="3"/>
  <c r="G77" i="3"/>
  <c r="H77" i="3"/>
  <c r="I77" i="3"/>
  <c r="J77" i="3"/>
  <c r="B78" i="3"/>
  <c r="C78" i="3"/>
  <c r="D78" i="3"/>
  <c r="E78" i="3"/>
  <c r="F78" i="3"/>
  <c r="G78" i="3"/>
  <c r="H78" i="3"/>
  <c r="I78" i="3"/>
  <c r="J78" i="3"/>
  <c r="B79" i="3"/>
  <c r="C79" i="3"/>
  <c r="D79" i="3"/>
  <c r="E79" i="3"/>
  <c r="F79" i="3"/>
  <c r="G79" i="3"/>
  <c r="H79" i="3"/>
  <c r="I79" i="3"/>
  <c r="J79" i="3"/>
  <c r="B80" i="3"/>
  <c r="C80" i="3"/>
  <c r="D80" i="3"/>
  <c r="E80" i="3"/>
  <c r="F80" i="3"/>
  <c r="G80" i="3"/>
  <c r="H80" i="3"/>
  <c r="I80" i="3"/>
  <c r="J80" i="3"/>
  <c r="B81" i="3"/>
  <c r="C81" i="3"/>
  <c r="D81" i="3"/>
  <c r="E81" i="3"/>
  <c r="F81" i="3"/>
  <c r="G81" i="3"/>
  <c r="H81" i="3"/>
  <c r="I81" i="3"/>
  <c r="J81" i="3"/>
  <c r="B82" i="3"/>
  <c r="C82" i="3"/>
  <c r="D82" i="3"/>
  <c r="E82" i="3"/>
  <c r="F82" i="3"/>
  <c r="G82" i="3"/>
  <c r="H82" i="3"/>
  <c r="I82" i="3"/>
  <c r="J82" i="3"/>
  <c r="B83" i="3"/>
  <c r="C83" i="3"/>
  <c r="D83" i="3"/>
  <c r="E83" i="3"/>
  <c r="F83" i="3"/>
  <c r="G83" i="3"/>
  <c r="H83" i="3"/>
  <c r="I83" i="3"/>
  <c r="J83" i="3"/>
  <c r="B84" i="3"/>
  <c r="C84" i="3"/>
  <c r="D84" i="3"/>
  <c r="E84" i="3"/>
  <c r="F84" i="3"/>
  <c r="G84" i="3"/>
  <c r="H84" i="3"/>
  <c r="I84" i="3"/>
  <c r="J84" i="3"/>
  <c r="B85" i="3"/>
  <c r="C85" i="3"/>
  <c r="D85" i="3"/>
  <c r="E85" i="3"/>
  <c r="F85" i="3"/>
  <c r="G85" i="3"/>
  <c r="H85" i="3"/>
  <c r="I85" i="3"/>
  <c r="J85" i="3"/>
  <c r="B86" i="3"/>
  <c r="C86" i="3"/>
  <c r="D86" i="3"/>
  <c r="E86" i="3"/>
  <c r="F86" i="3"/>
  <c r="G86" i="3"/>
  <c r="H86" i="3"/>
  <c r="I86" i="3"/>
  <c r="J86" i="3"/>
  <c r="B87" i="3"/>
  <c r="C87" i="3"/>
  <c r="D87" i="3"/>
  <c r="E87" i="3"/>
  <c r="F87" i="3"/>
  <c r="G87" i="3"/>
  <c r="H87" i="3"/>
  <c r="I87" i="3"/>
  <c r="J87" i="3"/>
  <c r="J3" i="3"/>
  <c r="I3" i="3"/>
  <c r="H3" i="3"/>
  <c r="G3" i="3"/>
  <c r="F3" i="3"/>
  <c r="E3" i="3"/>
  <c r="D3" i="3"/>
  <c r="C3" i="3"/>
  <c r="AW59" i="3" l="1"/>
  <c r="AW57" i="3"/>
  <c r="AW51" i="3"/>
  <c r="AW49" i="3"/>
  <c r="AW47" i="3"/>
  <c r="AW27" i="3"/>
  <c r="AW25" i="3"/>
  <c r="AW19" i="3"/>
  <c r="AW17" i="3"/>
  <c r="AW15" i="3"/>
  <c r="AF89" i="3"/>
  <c r="AW71" i="3"/>
  <c r="AW11" i="3"/>
  <c r="W89" i="3"/>
  <c r="AW70" i="3"/>
  <c r="AW62" i="3"/>
  <c r="R82" i="3"/>
  <c r="S82" i="3" s="1"/>
  <c r="R58" i="3"/>
  <c r="S58" i="3" s="1"/>
  <c r="R54" i="3"/>
  <c r="S54" i="3" s="1"/>
  <c r="R50" i="3"/>
  <c r="S50" i="3" s="1"/>
  <c r="R46" i="3"/>
  <c r="S46" i="3" s="1"/>
  <c r="R42" i="3"/>
  <c r="S42" i="3" s="1"/>
  <c r="R38" i="3"/>
  <c r="S38" i="3" s="1"/>
  <c r="R34" i="3"/>
  <c r="S34" i="3" s="1"/>
  <c r="R30" i="3"/>
  <c r="S30" i="3" s="1"/>
  <c r="R14" i="3"/>
  <c r="S14" i="3" s="1"/>
  <c r="R10" i="3"/>
  <c r="S10" i="3" s="1"/>
  <c r="AK85" i="3"/>
  <c r="AL85" i="3" s="1"/>
  <c r="AK81" i="3"/>
  <c r="AL81" i="3" s="1"/>
  <c r="AK77" i="3"/>
  <c r="AL77" i="3" s="1"/>
  <c r="AK73" i="3"/>
  <c r="AL73" i="3" s="1"/>
  <c r="AK69" i="3"/>
  <c r="AL69" i="3" s="1"/>
  <c r="AK65" i="3"/>
  <c r="AL65" i="3" s="1"/>
  <c r="AK61" i="3"/>
  <c r="AL61" i="3" s="1"/>
  <c r="AK57" i="3"/>
  <c r="AL57" i="3" s="1"/>
  <c r="AK53" i="3"/>
  <c r="AL53" i="3" s="1"/>
  <c r="AK49" i="3"/>
  <c r="AL49" i="3" s="1"/>
  <c r="AK45" i="3"/>
  <c r="AL45" i="3" s="1"/>
  <c r="AK41" i="3"/>
  <c r="AL41" i="3" s="1"/>
  <c r="AK37" i="3"/>
  <c r="AL37" i="3" s="1"/>
  <c r="AK33" i="3"/>
  <c r="AL33" i="3" s="1"/>
  <c r="AK29" i="3"/>
  <c r="AL29" i="3" s="1"/>
  <c r="AK25" i="3"/>
  <c r="AL25" i="3" s="1"/>
  <c r="AK21" i="3"/>
  <c r="AL21" i="3" s="1"/>
  <c r="AK17" i="3"/>
  <c r="AL17" i="3" s="1"/>
  <c r="AK13" i="3"/>
  <c r="AL13" i="3" s="1"/>
  <c r="AK9" i="3"/>
  <c r="AL9" i="3" s="1"/>
  <c r="AK5" i="3"/>
  <c r="AL5" i="3" s="1"/>
  <c r="AW80" i="3"/>
  <c r="AW38" i="3"/>
  <c r="AW30" i="3"/>
  <c r="AW6" i="3"/>
  <c r="AK84" i="3"/>
  <c r="AL84" i="3" s="1"/>
  <c r="AK80" i="3"/>
  <c r="AL80" i="3" s="1"/>
  <c r="AK76" i="3"/>
  <c r="AL76" i="3" s="1"/>
  <c r="AK72" i="3"/>
  <c r="AL72" i="3" s="1"/>
  <c r="AK68" i="3"/>
  <c r="AL68" i="3" s="1"/>
  <c r="AK64" i="3"/>
  <c r="AL64" i="3" s="1"/>
  <c r="AK60" i="3"/>
  <c r="AL60" i="3" s="1"/>
  <c r="AK56" i="3"/>
  <c r="AL56" i="3" s="1"/>
  <c r="AK52" i="3"/>
  <c r="AL52" i="3" s="1"/>
  <c r="AK48" i="3"/>
  <c r="AL48" i="3" s="1"/>
  <c r="AK44" i="3"/>
  <c r="AL44" i="3" s="1"/>
  <c r="AK40" i="3"/>
  <c r="AL40" i="3" s="1"/>
  <c r="AK36" i="3"/>
  <c r="AL36" i="3" s="1"/>
  <c r="AK32" i="3"/>
  <c r="AL32" i="3" s="1"/>
  <c r="AK28" i="3"/>
  <c r="AL28" i="3" s="1"/>
  <c r="AK24" i="3"/>
  <c r="AL24" i="3" s="1"/>
  <c r="AK20" i="3"/>
  <c r="AL20" i="3" s="1"/>
  <c r="AK16" i="3"/>
  <c r="AL16" i="3" s="1"/>
  <c r="AK12" i="3"/>
  <c r="AL12" i="3" s="1"/>
  <c r="AK8" i="3"/>
  <c r="AL8" i="3" s="1"/>
  <c r="AK4" i="3"/>
  <c r="AL4" i="3" s="1"/>
  <c r="R76" i="3"/>
  <c r="S76" i="3" s="1"/>
  <c r="R72" i="3"/>
  <c r="S72" i="3" s="1"/>
  <c r="R64" i="3"/>
  <c r="S64" i="3" s="1"/>
  <c r="AK87" i="3"/>
  <c r="AL87" i="3" s="1"/>
  <c r="AK83" i="3"/>
  <c r="AL83" i="3" s="1"/>
  <c r="AK79" i="3"/>
  <c r="AL79" i="3" s="1"/>
  <c r="AK75" i="3"/>
  <c r="AL75" i="3" s="1"/>
  <c r="AK71" i="3"/>
  <c r="AL71" i="3" s="1"/>
  <c r="AK67" i="3"/>
  <c r="AL67" i="3" s="1"/>
  <c r="AK63" i="3"/>
  <c r="AL63" i="3" s="1"/>
  <c r="AK59" i="3"/>
  <c r="AL59" i="3" s="1"/>
  <c r="AK55" i="3"/>
  <c r="AL55" i="3" s="1"/>
  <c r="AK51" i="3"/>
  <c r="AL51" i="3" s="1"/>
  <c r="AK47" i="3"/>
  <c r="AL47" i="3" s="1"/>
  <c r="AK43" i="3"/>
  <c r="AL43" i="3" s="1"/>
  <c r="AK39" i="3"/>
  <c r="AL39" i="3" s="1"/>
  <c r="AK35" i="3"/>
  <c r="AL35" i="3" s="1"/>
  <c r="AK31" i="3"/>
  <c r="AL31" i="3" s="1"/>
  <c r="AK27" i="3"/>
  <c r="AL27" i="3" s="1"/>
  <c r="AK23" i="3"/>
  <c r="AL23" i="3" s="1"/>
  <c r="AK19" i="3"/>
  <c r="AL19" i="3" s="1"/>
  <c r="AK15" i="3"/>
  <c r="AL15" i="3" s="1"/>
  <c r="AK11" i="3"/>
  <c r="AL11" i="3" s="1"/>
  <c r="AK7" i="3"/>
  <c r="AL7" i="3" s="1"/>
  <c r="AW83" i="3"/>
  <c r="AW81" i="3"/>
  <c r="AW75" i="3"/>
  <c r="AW43" i="3"/>
  <c r="AW39" i="3"/>
  <c r="AW7" i="3"/>
  <c r="R3" i="3"/>
  <c r="AK86" i="3"/>
  <c r="AL86" i="3" s="1"/>
  <c r="AK82" i="3"/>
  <c r="AL82" i="3" s="1"/>
  <c r="AK78" i="3"/>
  <c r="AL78" i="3" s="1"/>
  <c r="AK74" i="3"/>
  <c r="AL74" i="3" s="1"/>
  <c r="AK70" i="3"/>
  <c r="AL70" i="3" s="1"/>
  <c r="AK66" i="3"/>
  <c r="AL66" i="3" s="1"/>
  <c r="AK62" i="3"/>
  <c r="AL62" i="3" s="1"/>
  <c r="AK58" i="3"/>
  <c r="AL58" i="3" s="1"/>
  <c r="AK54" i="3"/>
  <c r="AL54" i="3" s="1"/>
  <c r="AK50" i="3"/>
  <c r="AL50" i="3" s="1"/>
  <c r="AK46" i="3"/>
  <c r="AL46" i="3" s="1"/>
  <c r="AK42" i="3"/>
  <c r="AL42" i="3" s="1"/>
  <c r="AK38" i="3"/>
  <c r="AL38" i="3" s="1"/>
  <c r="AK34" i="3"/>
  <c r="AL34" i="3" s="1"/>
  <c r="AK30" i="3"/>
  <c r="AL30" i="3" s="1"/>
  <c r="AK26" i="3"/>
  <c r="AL26" i="3" s="1"/>
  <c r="AK22" i="3"/>
  <c r="AL22" i="3" s="1"/>
  <c r="AK18" i="3"/>
  <c r="AL18" i="3" s="1"/>
  <c r="AK14" i="3"/>
  <c r="AL14" i="3" s="1"/>
  <c r="AK10" i="3"/>
  <c r="AL10" i="3" s="1"/>
  <c r="AK6" i="3"/>
  <c r="AL6" i="3" s="1"/>
  <c r="K86" i="3"/>
  <c r="S6" i="3"/>
  <c r="D89" i="3"/>
  <c r="H89" i="3"/>
  <c r="K87" i="3"/>
  <c r="K83" i="3"/>
  <c r="K79" i="3"/>
  <c r="K75" i="3"/>
  <c r="K71" i="3"/>
  <c r="K67" i="3"/>
  <c r="K63" i="3"/>
  <c r="K59" i="3"/>
  <c r="K55" i="3"/>
  <c r="K82" i="3"/>
  <c r="K78" i="3"/>
  <c r="K62" i="3"/>
  <c r="K50" i="3"/>
  <c r="K46" i="3"/>
  <c r="K18" i="3"/>
  <c r="K70" i="3"/>
  <c r="K58" i="3"/>
  <c r="K34" i="3"/>
  <c r="K30" i="3"/>
  <c r="K22" i="3"/>
  <c r="K6" i="3"/>
  <c r="K51" i="3"/>
  <c r="K47" i="3"/>
  <c r="K43" i="3"/>
  <c r="K39" i="3"/>
  <c r="K35" i="3"/>
  <c r="K31" i="3"/>
  <c r="K27" i="3"/>
  <c r="K23" i="3"/>
  <c r="K19" i="3"/>
  <c r="K15" i="3"/>
  <c r="K11" i="3"/>
  <c r="K7" i="3"/>
  <c r="AC89" i="3"/>
  <c r="AE16" i="3"/>
  <c r="AE12" i="3"/>
  <c r="AE4" i="3"/>
  <c r="AA89" i="3"/>
  <c r="AW86" i="3"/>
  <c r="AW78" i="3"/>
  <c r="AW73" i="3"/>
  <c r="AW67" i="3"/>
  <c r="AW65" i="3"/>
  <c r="AW55" i="3"/>
  <c r="AW40" i="3"/>
  <c r="AW32" i="3"/>
  <c r="AW22" i="3"/>
  <c r="AW14" i="3"/>
  <c r="AW9" i="3"/>
  <c r="S68" i="3"/>
  <c r="S60" i="3"/>
  <c r="S56" i="3"/>
  <c r="S52" i="3"/>
  <c r="S48" i="3"/>
  <c r="S44" i="3"/>
  <c r="S40" i="3"/>
  <c r="S36" i="3"/>
  <c r="S32" i="3"/>
  <c r="S28" i="3"/>
  <c r="S12" i="3"/>
  <c r="S8" i="3"/>
  <c r="S4" i="3"/>
  <c r="Q89" i="3"/>
  <c r="AE85" i="3"/>
  <c r="AE81" i="3"/>
  <c r="AE77" i="3"/>
  <c r="AE73" i="3"/>
  <c r="AE69" i="3"/>
  <c r="AE65" i="3"/>
  <c r="AE61" i="3"/>
  <c r="AE57" i="3"/>
  <c r="AE53" i="3"/>
  <c r="AE49" i="3"/>
  <c r="AE45" i="3"/>
  <c r="AE41" i="3"/>
  <c r="AE37" i="3"/>
  <c r="AE33" i="3"/>
  <c r="AE29" i="3"/>
  <c r="AE25" i="3"/>
  <c r="O89" i="3"/>
  <c r="AW87" i="3"/>
  <c r="AW79" i="3"/>
  <c r="AW72" i="3"/>
  <c r="AW64" i="3"/>
  <c r="AW54" i="3"/>
  <c r="AW46" i="3"/>
  <c r="AW41" i="3"/>
  <c r="AW35" i="3"/>
  <c r="AW33" i="3"/>
  <c r="AW31" i="3"/>
  <c r="AW23" i="3"/>
  <c r="AW8" i="3"/>
  <c r="K66" i="3"/>
  <c r="K38" i="3"/>
  <c r="K10" i="3"/>
  <c r="K3" i="3"/>
  <c r="K74" i="3"/>
  <c r="K54" i="3"/>
  <c r="K42" i="3"/>
  <c r="K26" i="3"/>
  <c r="K14" i="3"/>
  <c r="K85" i="3"/>
  <c r="K81" i="3"/>
  <c r="K77" i="3"/>
  <c r="K73" i="3"/>
  <c r="K69" i="3"/>
  <c r="K65" i="3"/>
  <c r="K61" i="3"/>
  <c r="K57" i="3"/>
  <c r="K53" i="3"/>
  <c r="K49" i="3"/>
  <c r="K45" i="3"/>
  <c r="K41" i="3"/>
  <c r="K37" i="3"/>
  <c r="K33" i="3"/>
  <c r="K29" i="3"/>
  <c r="K25" i="3"/>
  <c r="K21" i="3"/>
  <c r="K17" i="3"/>
  <c r="K13" i="3"/>
  <c r="K9" i="3"/>
  <c r="K5" i="3"/>
  <c r="M89" i="3"/>
  <c r="S25" i="3"/>
  <c r="S21" i="3"/>
  <c r="S17" i="3"/>
  <c r="S53" i="3"/>
  <c r="S45" i="3"/>
  <c r="S37" i="3"/>
  <c r="S29" i="3"/>
  <c r="S9" i="3"/>
  <c r="C89" i="3"/>
  <c r="J89" i="3"/>
  <c r="F89" i="3"/>
  <c r="K84" i="3"/>
  <c r="K80" i="3"/>
  <c r="K76" i="3"/>
  <c r="K72" i="3"/>
  <c r="K68" i="3"/>
  <c r="K64" i="3"/>
  <c r="K60" i="3"/>
  <c r="K56" i="3"/>
  <c r="K52" i="3"/>
  <c r="K48" i="3"/>
  <c r="K44" i="3"/>
  <c r="K40" i="3"/>
  <c r="K36" i="3"/>
  <c r="K32" i="3"/>
  <c r="K28" i="3"/>
  <c r="K24" i="3"/>
  <c r="K20" i="3"/>
  <c r="K16" i="3"/>
  <c r="K12" i="3"/>
  <c r="K8" i="3"/>
  <c r="K4" i="3"/>
  <c r="S69" i="3"/>
  <c r="S57" i="3"/>
  <c r="S49" i="3"/>
  <c r="S41" i="3"/>
  <c r="S33" i="3"/>
  <c r="S24" i="3"/>
  <c r="S20" i="3"/>
  <c r="S16" i="3"/>
  <c r="S13" i="3"/>
  <c r="S5" i="3"/>
  <c r="Z89" i="3"/>
  <c r="S61" i="3"/>
  <c r="G89" i="3"/>
  <c r="I89" i="3"/>
  <c r="E89" i="3"/>
  <c r="S85" i="3"/>
  <c r="S65" i="3"/>
  <c r="S59" i="3"/>
  <c r="Y87" i="3"/>
  <c r="Y86" i="3"/>
  <c r="Y85" i="3"/>
  <c r="Y84" i="3"/>
  <c r="Y83" i="3"/>
  <c r="Y82" i="3"/>
  <c r="Y81" i="3"/>
  <c r="Y80" i="3"/>
  <c r="Y79" i="3"/>
  <c r="Y78" i="3"/>
  <c r="Y77" i="3"/>
  <c r="Y76" i="3"/>
  <c r="Y75" i="3"/>
  <c r="Y74" i="3"/>
  <c r="Y10" i="3"/>
  <c r="Y8" i="3"/>
  <c r="Y6" i="3"/>
  <c r="Y4" i="3"/>
  <c r="AE84" i="3"/>
  <c r="AE80" i="3"/>
  <c r="AE76" i="3"/>
  <c r="AE72" i="3"/>
  <c r="AE68" i="3"/>
  <c r="AE64" i="3"/>
  <c r="AE60" i="3"/>
  <c r="AE56" i="3"/>
  <c r="AE52" i="3"/>
  <c r="AE48" i="3"/>
  <c r="AE44" i="3"/>
  <c r="AE40" i="3"/>
  <c r="AE36" i="3"/>
  <c r="AE32" i="3"/>
  <c r="AE28" i="3"/>
  <c r="AE24" i="3"/>
  <c r="AE20" i="3"/>
  <c r="AE8" i="3"/>
  <c r="AW63" i="3"/>
  <c r="V89" i="3"/>
  <c r="AE21" i="3"/>
  <c r="AE18" i="3"/>
  <c r="AE17" i="3"/>
  <c r="AE13" i="3"/>
  <c r="AE10" i="3"/>
  <c r="AE9" i="3"/>
  <c r="AE6" i="3"/>
  <c r="AE5" i="3"/>
  <c r="Y73" i="3"/>
  <c r="Y72" i="3"/>
  <c r="Y71" i="3"/>
  <c r="Y70" i="3"/>
  <c r="Y69" i="3"/>
  <c r="Y68" i="3"/>
  <c r="Y67" i="3"/>
  <c r="Y66" i="3"/>
  <c r="Y65" i="3"/>
  <c r="Y64" i="3"/>
  <c r="Y63" i="3"/>
  <c r="Y62" i="3"/>
  <c r="Y61" i="3"/>
  <c r="Y60" i="3"/>
  <c r="Y59" i="3"/>
  <c r="Y58" i="3"/>
  <c r="Y57" i="3"/>
  <c r="Y56" i="3"/>
  <c r="Y55" i="3"/>
  <c r="Y54" i="3"/>
  <c r="Y53" i="3"/>
  <c r="Y52" i="3"/>
  <c r="Y51"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Y9" i="3"/>
  <c r="Y7" i="3"/>
  <c r="Y5" i="3"/>
  <c r="AH89" i="3"/>
  <c r="AO91" i="3"/>
  <c r="AW84" i="3"/>
  <c r="AW82" i="3"/>
  <c r="AW77" i="3"/>
  <c r="AW68" i="3"/>
  <c r="AW66" i="3"/>
  <c r="AW61" i="3"/>
  <c r="AW52" i="3"/>
  <c r="AW50" i="3"/>
  <c r="AW45" i="3"/>
  <c r="AW36" i="3"/>
  <c r="AW34" i="3"/>
  <c r="AW29" i="3"/>
  <c r="AW20" i="3"/>
  <c r="AW18" i="3"/>
  <c r="AW13" i="3"/>
  <c r="AW4" i="3"/>
  <c r="BB91" i="3"/>
  <c r="S4" i="4" s="1"/>
  <c r="AM91" i="3"/>
  <c r="AV89" i="3"/>
  <c r="AW85" i="3"/>
  <c r="AW76" i="3"/>
  <c r="AW74" i="3"/>
  <c r="AW69" i="3"/>
  <c r="AW60" i="3"/>
  <c r="AW58" i="3"/>
  <c r="AW53" i="3"/>
  <c r="AW44" i="3"/>
  <c r="AW42" i="3"/>
  <c r="AW37" i="3"/>
  <c r="AW28" i="3"/>
  <c r="AW26" i="3"/>
  <c r="AW21" i="3"/>
  <c r="AW12" i="3"/>
  <c r="AW10" i="3"/>
  <c r="AW5" i="3"/>
  <c r="BD91" i="3"/>
  <c r="U4" i="4" s="1"/>
  <c r="BD90" i="3"/>
  <c r="T4" i="4" s="1"/>
  <c r="B89" i="3"/>
  <c r="AO90" i="3"/>
  <c r="AX89" i="3"/>
  <c r="BC89" i="3"/>
  <c r="AB89" i="3"/>
  <c r="BB90" i="3"/>
  <c r="R4" i="4" s="1"/>
  <c r="T89" i="3"/>
  <c r="U89" i="3"/>
  <c r="AM89" i="3"/>
  <c r="AT90" i="3"/>
  <c r="AO89" i="3"/>
  <c r="AU89" i="3"/>
  <c r="AT91" i="3"/>
  <c r="O4" i="4" s="1"/>
  <c r="AN4" i="3"/>
  <c r="AM90" i="3"/>
  <c r="AI89" i="3"/>
  <c r="AJ89" i="3"/>
  <c r="AG89" i="3"/>
  <c r="AE87" i="3"/>
  <c r="AE86" i="3"/>
  <c r="AE83" i="3"/>
  <c r="AE82" i="3"/>
  <c r="AE79" i="3"/>
  <c r="AE78" i="3"/>
  <c r="AE75" i="3"/>
  <c r="AE74" i="3"/>
  <c r="AE71" i="3"/>
  <c r="AE70" i="3"/>
  <c r="AE67" i="3"/>
  <c r="AE66" i="3"/>
  <c r="AE63" i="3"/>
  <c r="AE62" i="3"/>
  <c r="AE59" i="3"/>
  <c r="AE58" i="3"/>
  <c r="AE55" i="3"/>
  <c r="AE54" i="3"/>
  <c r="AE51" i="3"/>
  <c r="AE50" i="3"/>
  <c r="AE47" i="3"/>
  <c r="AE46" i="3"/>
  <c r="AE43" i="3"/>
  <c r="AE42" i="3"/>
  <c r="AE39" i="3"/>
  <c r="AE38" i="3"/>
  <c r="AE35" i="3"/>
  <c r="AE34" i="3"/>
  <c r="AE31" i="3"/>
  <c r="AE30" i="3"/>
  <c r="AE27" i="3"/>
  <c r="AE26" i="3"/>
  <c r="AE23" i="3"/>
  <c r="AE22" i="3"/>
  <c r="AE14" i="3"/>
  <c r="AE19" i="3"/>
  <c r="AE15" i="3"/>
  <c r="AE11" i="3"/>
  <c r="AE7" i="3"/>
  <c r="S81" i="3"/>
  <c r="S77" i="3"/>
  <c r="S87" i="3"/>
  <c r="S83" i="3"/>
  <c r="S79" i="3"/>
  <c r="S63" i="3"/>
  <c r="S84" i="3"/>
  <c r="S80" i="3"/>
  <c r="S75" i="3"/>
  <c r="S73" i="3"/>
  <c r="S55" i="3"/>
  <c r="S51" i="3"/>
  <c r="S47" i="3"/>
  <c r="S43" i="3"/>
  <c r="S39" i="3"/>
  <c r="S35" i="3"/>
  <c r="S31" i="3"/>
  <c r="S27" i="3"/>
  <c r="S23" i="3"/>
  <c r="S19" i="3"/>
  <c r="S15" i="3"/>
  <c r="S11" i="3"/>
  <c r="S7" i="3"/>
  <c r="S71" i="3"/>
  <c r="P89" i="3"/>
  <c r="S67" i="3"/>
  <c r="S86" i="3"/>
  <c r="S78" i="3"/>
  <c r="S74" i="3"/>
  <c r="S70" i="3"/>
  <c r="S66" i="3"/>
  <c r="S62" i="3"/>
  <c r="N89" i="3"/>
  <c r="S26" i="3"/>
  <c r="S22" i="3"/>
  <c r="S18" i="3"/>
  <c r="K91" i="3" l="1"/>
  <c r="L91" i="3"/>
  <c r="C4" i="4" s="1"/>
  <c r="K90" i="3"/>
  <c r="L90" i="3"/>
  <c r="B4" i="4" s="1"/>
  <c r="AW91" i="3"/>
  <c r="Q4" i="4" s="1"/>
  <c r="AW90" i="3"/>
  <c r="P4" i="4" s="1"/>
  <c r="AN90" i="3"/>
  <c r="L4" i="4" s="1"/>
  <c r="AN91" i="3"/>
  <c r="M4" i="4" s="1"/>
  <c r="AK90" i="3"/>
  <c r="AK91" i="3"/>
  <c r="AE3" i="3"/>
  <c r="AD90" i="3"/>
  <c r="AD91" i="3"/>
  <c r="Y3" i="3"/>
  <c r="X91" i="3"/>
  <c r="X90" i="3"/>
  <c r="S3" i="3"/>
  <c r="R90" i="3"/>
  <c r="R91" i="3"/>
  <c r="AL91" i="3" l="1"/>
  <c r="K4" i="4" s="1"/>
  <c r="AL90" i="3"/>
  <c r="J4" i="4" s="1"/>
  <c r="AE91" i="3"/>
  <c r="I4" i="4" s="1"/>
  <c r="AE90" i="3"/>
  <c r="H4" i="4" s="1"/>
  <c r="Y91" i="3"/>
  <c r="G4" i="4" s="1"/>
  <c r="Y90" i="3"/>
  <c r="F4" i="4" s="1"/>
  <c r="S90" i="3"/>
  <c r="D4" i="4" s="1"/>
  <c r="S91" i="3"/>
  <c r="E4" i="4" s="1"/>
</calcChain>
</file>

<file path=xl/sharedStrings.xml><?xml version="1.0" encoding="utf-8"?>
<sst xmlns="http://schemas.openxmlformats.org/spreadsheetml/2006/main" count="881" uniqueCount="280">
  <si>
    <t>Timestamp</t>
  </si>
  <si>
    <t>Email Address</t>
  </si>
  <si>
    <t>Score</t>
  </si>
  <si>
    <t>Select your Section</t>
  </si>
  <si>
    <t>[Q1]  Consider the following C++ controller code. The objective is to control the position of a robotic arm at zero radians (0 rad) using a Servo Motor and a Proportional-Integral controller. Identify any errors within the code by marking the line in the code that has the error. The code should execute at a frequency of approximately 20 Hz. (Select all that apply.)</t>
  </si>
  <si>
    <t>[Q2] In a distributed Networked Control System (NCS), where sensors, actuators, controllers, and other devices shared information using the same CAN Bus, how can you deceive (confuse) the controller (without altering code in the controller unit)? Use as reference the traditional sense-decide-act concept for closed-loop system.  (Select all that apply.)</t>
  </si>
  <si>
    <t>[Q3] Assume that a corrupted sensor starts reporting false data to your CPS. Choose from the following menu all potential actions that can help you maintain operational normalcy.  (Select all that apply.)</t>
  </si>
  <si>
    <t xml:space="preserve">[Q4] A Networked Control System (NCS) is tested in response to a step input of 2 (V) and results are plotted below.  Assume that the desired output response is 4 m. Select all criteria that are satisfied.  </t>
  </si>
  <si>
    <t>[Q5] Consider the closed-loop CPS shown in the figure.  This system is designed to move a single-link robotic actuator along a desired path.  Identify potential sources of error (disturbances) that could affect system performance.</t>
  </si>
  <si>
    <t>[Q6] Considering the typical flow of information in a closed-loop control system, can a noisy sensor affect the performance of your plant?</t>
  </si>
  <si>
    <t>[Q7] The system response shown was obtained in a Networked Control System that employs a Proportional Controller.  How can the system response be altered such that the % Overshoot and Steady State Error are both reduced?</t>
  </si>
  <si>
    <t xml:space="preserve">[Q8] You are designing a NCS using a CAN Bus to connect 3 microcontrollers that perform the functions: 1) controller,  2) sensor measurement, and 3) actuation.  When selecting the rate at which to pass information, which function will determine the maximum rate at which the NCS will operate (update)? </t>
  </si>
  <si>
    <t xml:space="preserve">[Q9] Select the statement that best describe the definition of a replay attack. </t>
  </si>
  <si>
    <t xml:space="preserve">[Q10] When using CAN Bus to interconnect components of a CPS, the CAN data messages carry an ID number that uniquely identifies the sender. This approach is very secured and makes CAN Bus based systems particularly hard to hack.  </t>
  </si>
  <si>
    <t>m212430@usna.edu</t>
  </si>
  <si>
    <t>Line 15, Line 17, Line 19</t>
  </si>
  <si>
    <t>Transmit data on the CAN bus from a device with the same CAN identification number as the sensor, Have another device continuously send unintelligible data on the CAN Bus</t>
  </si>
  <si>
    <t>Add redundancy (additional sensors), Design the system with a PID control law</t>
  </si>
  <si>
    <t>% OS &lt; 16 %, Steady State Error &lt; 0.2 m</t>
  </si>
  <si>
    <t>Small fluctuations in actuator voltage supply, IMU Sensor bias, CAN Bus traffic, Spoofing of GPS signal</t>
  </si>
  <si>
    <t>Increase the integral gain (Ki) and increase the derivative gain (Kd)</t>
  </si>
  <si>
    <t>All of the above</t>
  </si>
  <si>
    <t>Replay old recorded sensor data to the controller.</t>
  </si>
  <si>
    <t>m216816@usna.edu</t>
  </si>
  <si>
    <t>Add redundancy (additional sensors)</t>
  </si>
  <si>
    <t>Settling time &lt; 1.5 sec</t>
  </si>
  <si>
    <t>Small fluctuations in actuator voltage supply, IMU Sensor bias, CAN Bus traffic</t>
  </si>
  <si>
    <t>m214842@usna.edu</t>
  </si>
  <si>
    <t>Add redundancy (additional actuators)</t>
  </si>
  <si>
    <t>Steady State Error &lt; 0.2 m</t>
  </si>
  <si>
    <t>CAN Bus traffic</t>
  </si>
  <si>
    <t>Decrease the proportional gain (Kp) and increase the derivative gain (Kd)</t>
  </si>
  <si>
    <t>Replay old recorded actuator data to the controller.</t>
  </si>
  <si>
    <t>m212100@usna.edu</t>
  </si>
  <si>
    <t>Line 4, Line 13</t>
  </si>
  <si>
    <t>Transmit data on the CAN bus from a device with the same CAN identification number as the sensor</t>
  </si>
  <si>
    <t>Switch to another mode of control operation, Design the system with a PID control law</t>
  </si>
  <si>
    <t>Increase the proportional gain (Kp) and increasing the integral gain (Ki)</t>
  </si>
  <si>
    <t>m212322@usna.edu</t>
  </si>
  <si>
    <t>Remove power to the actuator, Have another device continuously send unintelligible data on the CAN Bus</t>
  </si>
  <si>
    <t>m212208@usna.edu</t>
  </si>
  <si>
    <t>Line 5</t>
  </si>
  <si>
    <t>% OS &lt; 16 %, Settling time &lt; 1.5 sec</t>
  </si>
  <si>
    <t>IMU Sensor bias, Spoofing of GPS signal</t>
  </si>
  <si>
    <t>Increase the proportional gain (Kp)</t>
  </si>
  <si>
    <t>Actuation</t>
  </si>
  <si>
    <t>Transmit old recorded actuator data to sensor.</t>
  </si>
  <si>
    <t>Line 15</t>
  </si>
  <si>
    <t>Have another device continuously send unintelligible data on the CAN Bus</t>
  </si>
  <si>
    <t>% OS &lt; 16 %, Settling time &lt; 1.5 sec, Steady State Error &lt; 0.2 m</t>
  </si>
  <si>
    <t>Small fluctuations in actuator voltage supply, CAN Bus traffic</t>
  </si>
  <si>
    <t>m215064@usna.edu</t>
  </si>
  <si>
    <t>Small fluctuations in actuator voltage supply</t>
  </si>
  <si>
    <t>m213702@usna.edu</t>
  </si>
  <si>
    <t>Design the system with a PID control law</t>
  </si>
  <si>
    <t>% OS &lt; 16 %</t>
  </si>
  <si>
    <t>Spoofing of GPS signal</t>
  </si>
  <si>
    <t>m211746@usna.edu</t>
  </si>
  <si>
    <t>Line 17, Line 19</t>
  </si>
  <si>
    <t>Settling time &lt; 1.5 sec, Steady State Error &lt; 0.2 m</t>
  </si>
  <si>
    <t>m211578@usna.edu</t>
  </si>
  <si>
    <t>Line 17</t>
  </si>
  <si>
    <t>Change the actuator device ID number, Transmit data on the CAN bus from a device with the same CAN identification number as the sensor, Have another device continuously send unintelligible data on the CAN Bus</t>
  </si>
  <si>
    <t>Add redundancy (additional sensors), Switch to another mode of control operation, Design the system with a PID control law</t>
  </si>
  <si>
    <t>Measurement</t>
  </si>
  <si>
    <t>m212058@usna.edu</t>
  </si>
  <si>
    <t>Line 16</t>
  </si>
  <si>
    <t>Add redundancy (additional sensors), Switch to another mode of control operation</t>
  </si>
  <si>
    <t>m214716@usna.edu</t>
  </si>
  <si>
    <t>Line 8, Line 15, Line 17</t>
  </si>
  <si>
    <t>Remove power to the actuator, Transmit data on the CAN bus from a device with the same CAN identification number as the sensor, Have another device continuously send unintelligible data on the CAN Bus</t>
  </si>
  <si>
    <t>Add redundancy (additional actuators), Design the system with a PID control law</t>
  </si>
  <si>
    <t>IMU Sensor bias, CAN Bus traffic</t>
  </si>
  <si>
    <t>Line 5, Line 15</t>
  </si>
  <si>
    <t>None</t>
  </si>
  <si>
    <t>m210150@usna.edu</t>
  </si>
  <si>
    <t>Alter the measurement coefficients, Change the actuator device ID number, Transmit data on the CAN bus from a device with the same CAN identification number as the sensor, Have another device continuously send unintelligible data on the CAN Bus</t>
  </si>
  <si>
    <t>m212292@usna.edu</t>
  </si>
  <si>
    <t>Small fluctuations in actuator voltage supply, High room temperatures</t>
  </si>
  <si>
    <t>m216660@usna.edu</t>
  </si>
  <si>
    <t>Alter the measurement coefficients, Transmit data on the CAN bus from a device with the same CAN identification number as the sensor</t>
  </si>
  <si>
    <t>Record sensor data from a previous point in time.</t>
  </si>
  <si>
    <t>m212070@usna.edu</t>
  </si>
  <si>
    <t>Remove power to the actuator, Transmit data on the CAN bus from a device with the same CAN identification number as the sensor</t>
  </si>
  <si>
    <t>Add redundancy (additional sensors), Add redundancy (additional actuators)</t>
  </si>
  <si>
    <t>m210276@usna.edu</t>
  </si>
  <si>
    <t>Add redundancy (additional sensors), Add redundancy (additional actuators), Switch to another mode of control operation, Design the system with a PID control law</t>
  </si>
  <si>
    <t>m216972@usna.edu</t>
  </si>
  <si>
    <t>Change the actuator device ID number, Remove power to the actuator, Have another device continuously send unintelligible data on the CAN Bus</t>
  </si>
  <si>
    <t>m216378@usna.edu</t>
  </si>
  <si>
    <t>m215442@usna.edu</t>
  </si>
  <si>
    <t>Line 14</t>
  </si>
  <si>
    <t>m212514@usna.edu</t>
  </si>
  <si>
    <t>Line 15, Line 17</t>
  </si>
  <si>
    <t>Change the actuator device ID number, Transmit data on the CAN bus from a device with the same CAN identification number as the sensor</t>
  </si>
  <si>
    <t>m213504@usna.edu</t>
  </si>
  <si>
    <t>Switch to another mode of control operation</t>
  </si>
  <si>
    <t>m212970@usna.edu</t>
  </si>
  <si>
    <t>Small fluctuations in actuator voltage supply, CAN Bus traffic, High room temperatures, Spoofing of GPS signal</t>
  </si>
  <si>
    <t>m213978@usna.edu</t>
  </si>
  <si>
    <t>Line 4, Line 15</t>
  </si>
  <si>
    <t>IMU Sensor bias, CAN Bus traffic, Spoofing of GPS signal</t>
  </si>
  <si>
    <t>m212676@usna.edu</t>
  </si>
  <si>
    <t>Line 16, Line 17</t>
  </si>
  <si>
    <t>m215592@usna.edu</t>
  </si>
  <si>
    <t>Line 15, Line 19</t>
  </si>
  <si>
    <t>Small fluctuations in actuator voltage supply, IMU Sensor bias</t>
  </si>
  <si>
    <t>m211902@usna.edu</t>
  </si>
  <si>
    <t>m211854@usna.edu</t>
  </si>
  <si>
    <t>Line 8, Line 15, Line 16</t>
  </si>
  <si>
    <t>Add redundancy (additional sensors), Add redundancy (additional actuators), Switch to another mode of control operation</t>
  </si>
  <si>
    <t>m211788@usna.edu</t>
  </si>
  <si>
    <t>m210594@usna.edu</t>
  </si>
  <si>
    <t>Line 4</t>
  </si>
  <si>
    <t>Alter the measurement coefficients, Transmit data on the CAN bus from a device with the same CAN identification number as the sensor, Have another device continuously send unintelligible data on the CAN Bus</t>
  </si>
  <si>
    <t>Add redundancy (additional actuators), Switch to another mode of control operation</t>
  </si>
  <si>
    <t>m215964@usna.edu</t>
  </si>
  <si>
    <t>m213258@usna.edu</t>
  </si>
  <si>
    <t>m210570@usna.edu</t>
  </si>
  <si>
    <t>m210138@usna.edu</t>
  </si>
  <si>
    <t>Alter the measurement coefficients, Have another device continuously send unintelligible data on the CAN Bus</t>
  </si>
  <si>
    <t>m215040@usna.edu</t>
  </si>
  <si>
    <t>Small fluctuations in actuator voltage supply, IMU Sensor bias, CAN Bus traffic, High room temperatures</t>
  </si>
  <si>
    <t>m216138@usna.edu</t>
  </si>
  <si>
    <t>Small fluctuations in actuator voltage supply, IMU Sensor bias, CAN Bus traffic, High room temperatures, Spoofing of GPS signal</t>
  </si>
  <si>
    <t>m210054@usna.edu</t>
  </si>
  <si>
    <t>m212802@usna.edu</t>
  </si>
  <si>
    <t>Line 13, Line 14</t>
  </si>
  <si>
    <t>Controller</t>
  </si>
  <si>
    <t>m215238@usna.edu</t>
  </si>
  <si>
    <t>m216858@usna.edu</t>
  </si>
  <si>
    <t>m216618@usna.edu</t>
  </si>
  <si>
    <t>m216426@usna.edu</t>
  </si>
  <si>
    <t>m214116@usna.edu</t>
  </si>
  <si>
    <t>Line 5, Line 17, Line 19</t>
  </si>
  <si>
    <t>IMU Sensor bias, High room temperatures, Spoofing of GPS signal</t>
  </si>
  <si>
    <t>m212700@usna.edu</t>
  </si>
  <si>
    <t>m213930@usna.edu</t>
  </si>
  <si>
    <t>Line 8</t>
  </si>
  <si>
    <t>m216948@usna.edu</t>
  </si>
  <si>
    <t>m214794@usna.edu</t>
  </si>
  <si>
    <t>m213486@usna.edu</t>
  </si>
  <si>
    <t>m214980@usna.edu</t>
  </si>
  <si>
    <t>CAN Bus traffic, Spoofing of GPS signal</t>
  </si>
  <si>
    <t>m215028@usna.edu</t>
  </si>
  <si>
    <t>m214218@usna.edu</t>
  </si>
  <si>
    <t>m214416@usna.edu</t>
  </si>
  <si>
    <t>m213972@usna.edu</t>
  </si>
  <si>
    <t>m210234@usna.edu</t>
  </si>
  <si>
    <t>m216546@usna.edu</t>
  </si>
  <si>
    <t>Remove power to the actuator</t>
  </si>
  <si>
    <t>m216006@usna.edu</t>
  </si>
  <si>
    <t>m215622@usna.edu</t>
  </si>
  <si>
    <t>m214290@usna.edu</t>
  </si>
  <si>
    <t>m213942@usna.edu</t>
  </si>
  <si>
    <t>m213924@usna.edu</t>
  </si>
  <si>
    <t>m215574@usna.edu</t>
  </si>
  <si>
    <t>m210432@usna.edu</t>
  </si>
  <si>
    <t>Line 5, Line 17</t>
  </si>
  <si>
    <t>Small fluctuations in actuator voltage supply, CAN Bus traffic, Spoofing of GPS signal</t>
  </si>
  <si>
    <t>m211686@usna.edu</t>
  </si>
  <si>
    <t>Change the actuator device ID number, Have another device continuously send unintelligible data on the CAN Bus</t>
  </si>
  <si>
    <t>m216102@usna.edu</t>
  </si>
  <si>
    <t>m217206@usna.edu</t>
  </si>
  <si>
    <t>m214506@usna.edu</t>
  </si>
  <si>
    <t>Line 13, Line 16</t>
  </si>
  <si>
    <t>Alter the measurement coefficients, Change the actuator device ID number, Transmit data on the CAN bus from a device with the same CAN identification number as the sensor</t>
  </si>
  <si>
    <t>m217080@usna.edu</t>
  </si>
  <si>
    <t>m212748@usna.edu</t>
  </si>
  <si>
    <t>Line 8, Line 17, Line 19</t>
  </si>
  <si>
    <t>m214386@usna.edu</t>
  </si>
  <si>
    <t>Alter the measurement coefficients, Change the actuator device ID number, Remove power to the actuator, Transmit data on the CAN bus from a device with the same CAN identification number as the sensor, Have another device continuously send unintelligible data on the CAN Bus</t>
  </si>
  <si>
    <t>m212142@usna.edu</t>
  </si>
  <si>
    <t>m216588@usna.edu</t>
  </si>
  <si>
    <t>Line 8, Line 15</t>
  </si>
  <si>
    <t>m214098@usna.edu</t>
  </si>
  <si>
    <t>m213126@usna.edu</t>
  </si>
  <si>
    <t>Line 19</t>
  </si>
  <si>
    <t>Change the actuator device ID number, Remove power to the actuator, Transmit data on the CAN bus from a device with the same CAN identification number as the sensor, Have another device continuously send unintelligible data on the CAN Bus</t>
  </si>
  <si>
    <t>m213810@usna.edu</t>
  </si>
  <si>
    <t>m214482@usna.edu</t>
  </si>
  <si>
    <t>m217266@usna.edu</t>
  </si>
  <si>
    <t>m211062@usna.edu</t>
  </si>
  <si>
    <t>m215508@usna.edu</t>
  </si>
  <si>
    <t>m210180@usna.edu</t>
  </si>
  <si>
    <t>m211008@usna.edu</t>
  </si>
  <si>
    <t>Mid #</t>
  </si>
  <si>
    <t>Q1</t>
  </si>
  <si>
    <t>Q2</t>
  </si>
  <si>
    <t>Q3</t>
  </si>
  <si>
    <t>Q4</t>
  </si>
  <si>
    <t>Q5</t>
  </si>
  <si>
    <t>Q6</t>
  </si>
  <si>
    <t>Q7</t>
  </si>
  <si>
    <t>Q8</t>
  </si>
  <si>
    <t>Q9</t>
  </si>
  <si>
    <t>Q10</t>
  </si>
  <si>
    <t>Line 13</t>
  </si>
  <si>
    <t>Total</t>
  </si>
  <si>
    <t>MEAN</t>
  </si>
  <si>
    <t>STD</t>
  </si>
  <si>
    <t>Total (+)</t>
  </si>
  <si>
    <t>Transmit data</t>
  </si>
  <si>
    <t>Alter</t>
  </si>
  <si>
    <t>Change</t>
  </si>
  <si>
    <t>Remove</t>
  </si>
  <si>
    <t>SUM</t>
  </si>
  <si>
    <t>uninitelligible</t>
  </si>
  <si>
    <t>sensors</t>
  </si>
  <si>
    <t>actuators</t>
  </si>
  <si>
    <t>Switch</t>
  </si>
  <si>
    <t>PID</t>
  </si>
  <si>
    <t>Small</t>
  </si>
  <si>
    <t>IMU</t>
  </si>
  <si>
    <t>CAN</t>
  </si>
  <si>
    <t>High</t>
  </si>
  <si>
    <t>Spoofing</t>
  </si>
  <si>
    <t>4th Option</t>
  </si>
  <si>
    <t>All Of</t>
  </si>
  <si>
    <t>Add redundancy (additional sensors), Add redundancy (additional actuators), Design the system with a PID control law</t>
  </si>
  <si>
    <t>Line 5, Line 13, Line 17, Line 19</t>
  </si>
  <si>
    <t>m216126@usna.edu</t>
  </si>
  <si>
    <t>Line 4, Line 15, Line 17</t>
  </si>
  <si>
    <t>Line 13, Line 16, Line 17</t>
  </si>
  <si>
    <t>m216072@usna.edu</t>
  </si>
  <si>
    <t>Line 13, Line 14, Line 15</t>
  </si>
  <si>
    <t>Line 13, Line 15, Line 16</t>
  </si>
  <si>
    <t>Line 4, Line 19</t>
  </si>
  <si>
    <t>Record actuator data from a previous point in time.</t>
  </si>
  <si>
    <t>Line 5, Line 8, Line 19</t>
  </si>
  <si>
    <t>CAN Bus traffic, High room temperatures</t>
  </si>
  <si>
    <t>Line 4, Line 5, Line 15</t>
  </si>
  <si>
    <t>Line 8, Line 16, Line 17</t>
  </si>
  <si>
    <t>Change the actuator device ID number, Remove power to the actuator, Transmit data on the CAN bus from a device with the same CAN identification number as the sensor</t>
  </si>
  <si>
    <t>Line 5, Line 8, Line 13, Line 15, Line 17, Line 19</t>
  </si>
  <si>
    <t>Line 5, Line 15, Line 17</t>
  </si>
  <si>
    <t>m215130@usna.edu</t>
  </si>
  <si>
    <t>IMU Sensor bias, CAN Bus traffic, High room temperatures</t>
  </si>
  <si>
    <t>Line 4, Line 5, Line 8, Line 17</t>
  </si>
  <si>
    <t>Line 4, Line 5, Line 15, Line 16</t>
  </si>
  <si>
    <t>Line 4, Line 5</t>
  </si>
  <si>
    <t>Line 13, Line 15, Line 17</t>
  </si>
  <si>
    <t>Line 4, Line 5, Line 17</t>
  </si>
  <si>
    <t>Line 4, Line 13, Line 17</t>
  </si>
  <si>
    <t>Line 8, Line 19</t>
  </si>
  <si>
    <t>IMU Sensor bias, CAN Bus traffic, High room temperatures, Spoofing of GPS signal</t>
  </si>
  <si>
    <t>Line 16, Line 17, Line 19</t>
  </si>
  <si>
    <t>Decrease the proportional gain (Kp)</t>
  </si>
  <si>
    <t>Line 8, Line 14</t>
  </si>
  <si>
    <t>Line 4, Line 8, Line 19</t>
  </si>
  <si>
    <t>Line 8, Line 15, Line 17, Line 19</t>
  </si>
  <si>
    <t>Line 8, Line 16, Line 19</t>
  </si>
  <si>
    <t>Line 13, Line 14, Line 19</t>
  </si>
  <si>
    <t>Line 4, Line 5, Line 8</t>
  </si>
  <si>
    <t>Line 4, Line 5, Line 8, Line 16</t>
  </si>
  <si>
    <t>Line 8, Line 14, Line 15</t>
  </si>
  <si>
    <t>Line 4, Line 5, Line 8, Line 13, Line 14, Line 15, Line 16, Line 17</t>
  </si>
  <si>
    <t>Line 8, Line 13, Line 15, Line 17</t>
  </si>
  <si>
    <t>m215304@usna.edu</t>
  </si>
  <si>
    <t>Line 16, Line 19</t>
  </si>
  <si>
    <t>Line 4, Line 8, Line 13, Line 14, Line 17, Line 19</t>
  </si>
  <si>
    <t>Line 4, Line 5, Line 13, Line 14, Line 17</t>
  </si>
  <si>
    <t>Line 8, Line 13</t>
  </si>
  <si>
    <t>m216060@usna.edu</t>
  </si>
  <si>
    <t>Pre</t>
  </si>
  <si>
    <t>Post</t>
  </si>
  <si>
    <t>Mean</t>
  </si>
  <si>
    <t>1st Option</t>
  </si>
  <si>
    <t>2nd Option</t>
  </si>
  <si>
    <t>3rd Option</t>
  </si>
  <si>
    <t>5th Option</t>
  </si>
  <si>
    <t>Oprtion 3</t>
  </si>
  <si>
    <t>Option 1</t>
  </si>
  <si>
    <t>Option 2</t>
  </si>
  <si>
    <t>Option 4</t>
  </si>
  <si>
    <t>Outcome 3</t>
  </si>
  <si>
    <t>Outcome 1</t>
  </si>
  <si>
    <t>Outcome 6</t>
  </si>
  <si>
    <t>Outcome 7</t>
  </si>
  <si>
    <t>Outcome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</si>
</sst>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0&quot; / 10&quot;"/>
  </numFmts>
  <fonts count="4" x14ac:knownFonts="1">
    <font>
      <sz val="10"/>
      <color rgb="FF000000"/>
      <name val="Arial"/>
    </font>
    <font>
      <sz val="10"/>
      <name val="Arial"/>
      <family val="2"/>
    </font>
    <font>
      <sz val="10"/>
      <color rgb="FF000000"/>
      <name val="Arial"/>
      <family val="2"/>
    </font>
    <font>
      <b/>
      <sz val="10"/>
      <color rgb="FF000000"/>
      <name val="Arial"/>
      <family val="2"/>
    </font>
  </fonts>
  <fills count="7">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2"/>
        <bgColor indexed="64"/>
      </patternFill>
    </fill>
    <fill>
      <patternFill patternType="solid">
        <fgColor theme="0" tint="-0.249977111117893"/>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applyFont="1" applyAlignment="1"/>
    <xf numFmtId="164" fontId="1" fillId="0" borderId="0" xfId="0" applyNumberFormat="1" applyFont="1" applyAlignment="1"/>
    <xf numFmtId="0" fontId="1" fillId="0" borderId="0" xfId="0" applyFont="1" applyAlignment="1"/>
    <xf numFmtId="165" fontId="1" fillId="0" borderId="0" xfId="0" applyNumberFormat="1" applyFont="1" applyAlignment="1"/>
    <xf numFmtId="0" fontId="0" fillId="0" borderId="0" xfId="0" applyFont="1" applyAlignment="1">
      <alignment horizontal="center"/>
    </xf>
    <xf numFmtId="2" fontId="0" fillId="0" borderId="0" xfId="0" applyNumberFormat="1" applyFont="1" applyAlignment="1"/>
    <xf numFmtId="0" fontId="2" fillId="0" borderId="0" xfId="0" applyFont="1" applyAlignment="1">
      <alignment horizontal="center"/>
    </xf>
    <xf numFmtId="0" fontId="3" fillId="0" borderId="0" xfId="0" applyFont="1" applyAlignment="1"/>
    <xf numFmtId="2" fontId="3" fillId="0" borderId="0" xfId="0" applyNumberFormat="1" applyFont="1" applyAlignment="1"/>
    <xf numFmtId="0" fontId="2" fillId="0" borderId="0" xfId="0" applyFont="1" applyAlignment="1"/>
    <xf numFmtId="0" fontId="2" fillId="2" borderId="0" xfId="0" applyFont="1" applyFill="1" applyAlignment="1"/>
    <xf numFmtId="0" fontId="0" fillId="2" borderId="0" xfId="0" applyFont="1" applyFill="1" applyAlignment="1"/>
    <xf numFmtId="0" fontId="0" fillId="3" borderId="0" xfId="0" applyFont="1" applyFill="1" applyAlignment="1"/>
    <xf numFmtId="0" fontId="2" fillId="3" borderId="0" xfId="0" applyFont="1" applyFill="1" applyAlignment="1"/>
    <xf numFmtId="0" fontId="2" fillId="0" borderId="0" xfId="0" applyFont="1" applyFill="1" applyAlignment="1"/>
    <xf numFmtId="0" fontId="3" fillId="0" borderId="0" xfId="0" applyFont="1" applyFill="1" applyAlignment="1"/>
    <xf numFmtId="0" fontId="0" fillId="0" borderId="1" xfId="0" applyFont="1" applyBorder="1" applyAlignment="1"/>
    <xf numFmtId="0" fontId="3" fillId="0" borderId="1" xfId="0" applyFont="1" applyBorder="1" applyAlignment="1"/>
    <xf numFmtId="0" fontId="2" fillId="0" borderId="1" xfId="0" applyFont="1" applyBorder="1" applyAlignment="1"/>
    <xf numFmtId="2" fontId="3" fillId="0" borderId="1" xfId="0" applyNumberFormat="1" applyFont="1" applyBorder="1" applyAlignment="1"/>
    <xf numFmtId="2" fontId="0" fillId="0" borderId="1" xfId="0" applyNumberFormat="1" applyFont="1" applyBorder="1" applyAlignment="1"/>
    <xf numFmtId="0" fontId="2" fillId="4" borderId="0" xfId="0" applyFont="1" applyFill="1" applyAlignment="1"/>
    <xf numFmtId="0" fontId="3" fillId="5" borderId="1" xfId="0" applyFont="1" applyFill="1" applyBorder="1" applyAlignment="1"/>
    <xf numFmtId="0" fontId="2" fillId="5" borderId="1" xfId="0" applyFont="1" applyFill="1" applyBorder="1" applyAlignment="1"/>
    <xf numFmtId="2" fontId="3" fillId="5" borderId="1" xfId="0" applyNumberFormat="1" applyFont="1" applyFill="1" applyBorder="1" applyAlignment="1"/>
    <xf numFmtId="2" fontId="0" fillId="5" borderId="1" xfId="0" applyNumberFormat="1" applyFont="1" applyFill="1" applyBorder="1" applyAlignment="1"/>
    <xf numFmtId="0" fontId="3" fillId="6" borderId="1" xfId="0" applyFont="1" applyFill="1" applyBorder="1" applyAlignment="1"/>
    <xf numFmtId="0" fontId="2" fillId="6" borderId="1" xfId="0" applyFont="1" applyFill="1" applyBorder="1" applyAlignment="1"/>
    <xf numFmtId="2" fontId="3" fillId="6" borderId="1" xfId="0" applyNumberFormat="1" applyFont="1" applyFill="1" applyBorder="1" applyAlignment="1"/>
    <xf numFmtId="2" fontId="0" fillId="6" borderId="1" xfId="0" applyNumberFormat="1" applyFont="1" applyFill="1" applyBorder="1" applyAlignment="1"/>
    <xf numFmtId="0" fontId="2" fillId="0" borderId="0" xfId="0" applyFont="1" applyAlignment="1">
      <alignment horizontal="center"/>
    </xf>
    <xf numFmtId="0" fontId="0" fillId="0" borderId="0" xfId="0" applyFont="1" applyAlignment="1">
      <alignment horizontal="center"/>
    </xf>
    <xf numFmtId="0" fontId="2" fillId="0" borderId="1" xfId="0" applyFont="1" applyBorder="1" applyAlignment="1">
      <alignment horizontal="center"/>
    </xf>
    <xf numFmtId="0" fontId="0" fillId="0" borderId="1" xfId="0" applyFont="1" applyBorder="1" applyAlignment="1">
      <alignment horizontal="center"/>
    </xf>
    <xf numFmtId="0" fontId="2" fillId="5" borderId="1" xfId="0" applyFont="1" applyFill="1" applyBorder="1" applyAlignment="1">
      <alignment horizontal="center"/>
    </xf>
    <xf numFmtId="0" fontId="0" fillId="5" borderId="1" xfId="0" applyFont="1" applyFill="1" applyBorder="1" applyAlignment="1">
      <alignment horizontal="center"/>
    </xf>
    <xf numFmtId="0" fontId="2" fillId="6" borderId="1" xfId="0" applyFont="1" applyFill="1" applyBorder="1" applyAlignment="1">
      <alignment horizontal="center"/>
    </xf>
    <xf numFmtId="0" fontId="0"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e-Assessment%20of%20Learning%20Outcomes%20(Responses)%20as%20Excel%20Sheet%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Responses 1"/>
      <sheetName val="Evaluate Results"/>
    </sheetNames>
    <sheetDataSet>
      <sheetData sheetId="0"/>
      <sheetData sheetId="1">
        <row r="90">
          <cell r="L90">
            <v>1.558139534883721</v>
          </cell>
          <cell r="S90">
            <v>2.26453488372093</v>
          </cell>
          <cell r="Y90">
            <v>2.058139534883721</v>
          </cell>
          <cell r="AE90">
            <v>2.1046511627906979</v>
          </cell>
          <cell r="AL90">
            <v>2.5116279069767442</v>
          </cell>
          <cell r="AN90">
            <v>3.6744186046511627</v>
          </cell>
          <cell r="AT90">
            <v>3.067441860465117</v>
          </cell>
          <cell r="AW90">
            <v>1.3953488372093024</v>
          </cell>
          <cell r="BB90">
            <v>2.2558139534883721</v>
          </cell>
          <cell r="BD90">
            <v>1.8139534883720929</v>
          </cell>
        </row>
        <row r="91">
          <cell r="L91">
            <v>1.3685943941121033</v>
          </cell>
          <cell r="S91">
            <v>1.5244838331685708</v>
          </cell>
          <cell r="Y91">
            <v>1.4088347388808342</v>
          </cell>
          <cell r="AE91">
            <v>1.3977214210988653</v>
          </cell>
          <cell r="AL91">
            <v>1.4851752603768917</v>
          </cell>
          <cell r="AN91">
            <v>1.1001803110519046</v>
          </cell>
          <cell r="AT91">
            <v>1.0084865609609504</v>
          </cell>
          <cell r="AW91">
            <v>1.0658227395655915</v>
          </cell>
          <cell r="BB91">
            <v>1.9353433895739833</v>
          </cell>
          <cell r="BD91">
            <v>2.0030073149376091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87"/>
  <sheetViews>
    <sheetView workbookViewId="0">
      <pane ySplit="1" topLeftCell="A74" activePane="bottomLeft" state="frozen"/>
      <selection pane="bottomLeft" activeCell="D99" sqref="D99"/>
    </sheetView>
  </sheetViews>
  <sheetFormatPr defaultColWidth="14.42578125" defaultRowHeight="15.75" customHeight="1" x14ac:dyDescent="0.2"/>
  <cols>
    <col min="1" max="4" width="21.5703125" customWidth="1"/>
    <col min="5" max="5" width="27.5703125" customWidth="1"/>
    <col min="6" max="6" width="21.5703125" customWidth="1"/>
    <col min="7" max="7" width="39.7109375" customWidth="1"/>
    <col min="8" max="20" width="21.5703125" customWidth="1"/>
  </cols>
  <sheetData>
    <row r="1" spans="1:14" ht="15.75" customHeight="1" x14ac:dyDescent="0.2">
      <c r="A1" t="s">
        <v>0</v>
      </c>
      <c r="B1" t="s">
        <v>1</v>
      </c>
      <c r="C1" t="s">
        <v>2</v>
      </c>
      <c r="D1" t="s">
        <v>3</v>
      </c>
      <c r="E1" t="s">
        <v>4</v>
      </c>
      <c r="F1" t="s">
        <v>5</v>
      </c>
      <c r="G1" t="s">
        <v>6</v>
      </c>
      <c r="H1" t="s">
        <v>7</v>
      </c>
      <c r="I1" t="s">
        <v>8</v>
      </c>
      <c r="J1" t="s">
        <v>9</v>
      </c>
      <c r="K1" t="s">
        <v>10</v>
      </c>
      <c r="L1" t="s">
        <v>11</v>
      </c>
      <c r="M1" t="s">
        <v>12</v>
      </c>
      <c r="N1" t="s">
        <v>13</v>
      </c>
    </row>
    <row r="2" spans="1:14" ht="15.75" customHeight="1" x14ac:dyDescent="0.2">
      <c r="A2" s="1">
        <v>43586.781455034725</v>
      </c>
      <c r="B2" s="2" t="s">
        <v>57</v>
      </c>
      <c r="C2" s="3">
        <v>4</v>
      </c>
      <c r="D2" s="2">
        <v>1121</v>
      </c>
      <c r="E2" s="2" t="s">
        <v>93</v>
      </c>
      <c r="F2" s="2" t="s">
        <v>16</v>
      </c>
      <c r="G2" s="2" t="s">
        <v>219</v>
      </c>
      <c r="H2" s="2" t="s">
        <v>18</v>
      </c>
      <c r="I2" s="2" t="s">
        <v>72</v>
      </c>
      <c r="J2" s="2" t="b">
        <v>1</v>
      </c>
      <c r="K2" s="2" t="s">
        <v>31</v>
      </c>
      <c r="L2" s="2" t="s">
        <v>128</v>
      </c>
      <c r="M2" s="2" t="s">
        <v>22</v>
      </c>
      <c r="N2" s="2" t="b">
        <v>0</v>
      </c>
    </row>
    <row r="3" spans="1:14" ht="15.75" customHeight="1" x14ac:dyDescent="0.2">
      <c r="A3" s="1">
        <v>43586.971121574075</v>
      </c>
      <c r="B3" s="2" t="s">
        <v>40</v>
      </c>
      <c r="C3" s="3">
        <v>2</v>
      </c>
      <c r="D3" s="2">
        <v>1121</v>
      </c>
      <c r="E3" s="2" t="s">
        <v>58</v>
      </c>
      <c r="F3" s="2" t="s">
        <v>16</v>
      </c>
      <c r="G3" s="2" t="s">
        <v>17</v>
      </c>
      <c r="H3" s="2" t="s">
        <v>49</v>
      </c>
      <c r="I3" s="2" t="s">
        <v>50</v>
      </c>
      <c r="J3" s="2" t="b">
        <v>1</v>
      </c>
      <c r="K3" s="2" t="s">
        <v>20</v>
      </c>
      <c r="L3" s="2" t="s">
        <v>45</v>
      </c>
      <c r="M3" s="2" t="s">
        <v>32</v>
      </c>
      <c r="N3" s="2" t="b">
        <v>1</v>
      </c>
    </row>
    <row r="4" spans="1:14" ht="15.75" customHeight="1" x14ac:dyDescent="0.2">
      <c r="A4" s="1">
        <v>43586.980701342589</v>
      </c>
      <c r="B4" s="2" t="s">
        <v>33</v>
      </c>
      <c r="C4" s="3">
        <v>4</v>
      </c>
      <c r="D4" s="2">
        <v>1121</v>
      </c>
      <c r="E4" s="2" t="s">
        <v>105</v>
      </c>
      <c r="F4" s="2" t="s">
        <v>16</v>
      </c>
      <c r="G4" s="2" t="s">
        <v>24</v>
      </c>
      <c r="H4" s="2" t="s">
        <v>25</v>
      </c>
      <c r="I4" s="2" t="s">
        <v>26</v>
      </c>
      <c r="J4" s="2" t="b">
        <v>1</v>
      </c>
      <c r="K4" s="2" t="s">
        <v>37</v>
      </c>
      <c r="L4" s="2" t="s">
        <v>21</v>
      </c>
      <c r="M4" s="2" t="s">
        <v>22</v>
      </c>
      <c r="N4" s="2" t="b">
        <v>0</v>
      </c>
    </row>
    <row r="5" spans="1:14" ht="15.75" customHeight="1" x14ac:dyDescent="0.2">
      <c r="A5" s="1">
        <v>43587.027426805551</v>
      </c>
      <c r="B5" s="2" t="s">
        <v>38</v>
      </c>
      <c r="C5" s="3">
        <v>5</v>
      </c>
      <c r="D5" s="2">
        <v>1121</v>
      </c>
      <c r="E5" s="2" t="s">
        <v>220</v>
      </c>
      <c r="F5" s="2" t="s">
        <v>16</v>
      </c>
      <c r="G5" s="2" t="s">
        <v>110</v>
      </c>
      <c r="H5" s="2" t="s">
        <v>42</v>
      </c>
      <c r="I5" s="2" t="s">
        <v>72</v>
      </c>
      <c r="J5" s="2" t="b">
        <v>1</v>
      </c>
      <c r="K5" s="2" t="s">
        <v>20</v>
      </c>
      <c r="L5" s="2" t="s">
        <v>21</v>
      </c>
      <c r="M5" s="2" t="s">
        <v>22</v>
      </c>
      <c r="N5" s="2" t="b">
        <v>0</v>
      </c>
    </row>
    <row r="6" spans="1:14" ht="15.75" customHeight="1" x14ac:dyDescent="0.2">
      <c r="A6" s="1">
        <v>43587.052581597221</v>
      </c>
      <c r="B6" s="2" t="s">
        <v>221</v>
      </c>
      <c r="C6" s="3">
        <v>5</v>
      </c>
      <c r="D6" s="2">
        <v>1121</v>
      </c>
      <c r="E6" s="2" t="s">
        <v>222</v>
      </c>
      <c r="F6" s="2" t="s">
        <v>16</v>
      </c>
      <c r="G6" s="2" t="s">
        <v>86</v>
      </c>
      <c r="H6" s="2" t="s">
        <v>42</v>
      </c>
      <c r="I6" s="2" t="s">
        <v>72</v>
      </c>
      <c r="J6" s="2" t="b">
        <v>1</v>
      </c>
      <c r="K6" s="2" t="s">
        <v>20</v>
      </c>
      <c r="L6" s="2" t="s">
        <v>45</v>
      </c>
      <c r="M6" s="2" t="s">
        <v>22</v>
      </c>
      <c r="N6" s="2" t="b">
        <v>0</v>
      </c>
    </row>
    <row r="7" spans="1:14" ht="15.75" customHeight="1" x14ac:dyDescent="0.2">
      <c r="A7" s="1">
        <v>43587.181130462966</v>
      </c>
      <c r="B7" s="2" t="s">
        <v>23</v>
      </c>
      <c r="C7" s="3">
        <v>5</v>
      </c>
      <c r="D7" s="2">
        <v>1121</v>
      </c>
      <c r="E7" s="2" t="s">
        <v>223</v>
      </c>
      <c r="F7" s="2" t="s">
        <v>178</v>
      </c>
      <c r="G7" s="2" t="s">
        <v>24</v>
      </c>
      <c r="H7" s="2" t="s">
        <v>25</v>
      </c>
      <c r="I7" s="2" t="s">
        <v>122</v>
      </c>
      <c r="J7" s="2" t="b">
        <v>1</v>
      </c>
      <c r="K7" s="2" t="s">
        <v>20</v>
      </c>
      <c r="L7" s="2" t="s">
        <v>21</v>
      </c>
      <c r="M7" s="2" t="s">
        <v>22</v>
      </c>
      <c r="N7" s="2" t="b">
        <v>0</v>
      </c>
    </row>
    <row r="8" spans="1:14" ht="15.75" customHeight="1" x14ac:dyDescent="0.2">
      <c r="A8" s="1">
        <v>43587.637011435188</v>
      </c>
      <c r="B8" s="2" t="s">
        <v>224</v>
      </c>
      <c r="C8" s="3">
        <v>3</v>
      </c>
      <c r="D8" s="2">
        <v>1121</v>
      </c>
      <c r="E8" s="2" t="s">
        <v>225</v>
      </c>
      <c r="F8" s="2" t="s">
        <v>120</v>
      </c>
      <c r="G8" s="2" t="s">
        <v>17</v>
      </c>
      <c r="H8" s="2" t="s">
        <v>42</v>
      </c>
      <c r="I8" s="2" t="s">
        <v>43</v>
      </c>
      <c r="J8" s="2" t="b">
        <v>1</v>
      </c>
      <c r="K8" s="2" t="s">
        <v>20</v>
      </c>
      <c r="L8" s="2" t="s">
        <v>128</v>
      </c>
      <c r="M8" s="2" t="s">
        <v>46</v>
      </c>
      <c r="N8" s="2" t="b">
        <v>0</v>
      </c>
    </row>
    <row r="9" spans="1:14" ht="15.75" customHeight="1" x14ac:dyDescent="0.2">
      <c r="A9" s="1">
        <v>43587.868911377314</v>
      </c>
      <c r="B9" s="2" t="s">
        <v>27</v>
      </c>
      <c r="C9" s="3">
        <v>2</v>
      </c>
      <c r="D9" s="2">
        <v>1121</v>
      </c>
      <c r="E9" s="2" t="s">
        <v>226</v>
      </c>
      <c r="F9" s="2" t="s">
        <v>94</v>
      </c>
      <c r="G9" s="2" t="s">
        <v>86</v>
      </c>
      <c r="H9" s="2" t="s">
        <v>25</v>
      </c>
      <c r="I9" s="2" t="s">
        <v>98</v>
      </c>
      <c r="J9" s="2" t="b">
        <v>1</v>
      </c>
      <c r="K9" s="2" t="s">
        <v>37</v>
      </c>
      <c r="L9" s="2" t="s">
        <v>21</v>
      </c>
      <c r="M9" s="2" t="s">
        <v>46</v>
      </c>
      <c r="N9" s="2" t="b">
        <v>1</v>
      </c>
    </row>
    <row r="10" spans="1:14" ht="15.75" customHeight="1" x14ac:dyDescent="0.2">
      <c r="A10" s="1">
        <v>43588.003908344908</v>
      </c>
      <c r="B10" s="2" t="s">
        <v>60</v>
      </c>
      <c r="C10" s="3">
        <v>8</v>
      </c>
      <c r="D10" s="2">
        <v>1121</v>
      </c>
      <c r="E10" s="2" t="s">
        <v>227</v>
      </c>
      <c r="F10" s="2" t="s">
        <v>166</v>
      </c>
      <c r="G10" s="2" t="s">
        <v>67</v>
      </c>
      <c r="H10" s="2" t="s">
        <v>25</v>
      </c>
      <c r="I10" s="2" t="s">
        <v>72</v>
      </c>
      <c r="J10" s="2" t="b">
        <v>1</v>
      </c>
      <c r="K10" s="2" t="s">
        <v>20</v>
      </c>
      <c r="L10" s="2" t="s">
        <v>64</v>
      </c>
      <c r="M10" s="2" t="s">
        <v>22</v>
      </c>
      <c r="N10" s="2" t="b">
        <v>0</v>
      </c>
    </row>
    <row r="11" spans="1:14" ht="15.75" customHeight="1" x14ac:dyDescent="0.2">
      <c r="A11" s="1">
        <v>43588.054646261575</v>
      </c>
      <c r="B11" s="2" t="s">
        <v>51</v>
      </c>
      <c r="C11" s="3">
        <v>2</v>
      </c>
      <c r="D11" s="2">
        <v>1121</v>
      </c>
      <c r="E11" s="2" t="s">
        <v>225</v>
      </c>
      <c r="F11" s="2" t="s">
        <v>35</v>
      </c>
      <c r="G11" s="2" t="s">
        <v>17</v>
      </c>
      <c r="H11" s="2" t="s">
        <v>25</v>
      </c>
      <c r="I11" s="2" t="s">
        <v>26</v>
      </c>
      <c r="J11" s="2" t="b">
        <v>0</v>
      </c>
      <c r="K11" s="2" t="s">
        <v>37</v>
      </c>
      <c r="L11" s="2" t="s">
        <v>128</v>
      </c>
      <c r="M11" s="2" t="s">
        <v>228</v>
      </c>
      <c r="N11" s="2" t="b">
        <v>1</v>
      </c>
    </row>
    <row r="12" spans="1:14" ht="15.75" customHeight="1" x14ac:dyDescent="0.2">
      <c r="A12" s="1">
        <v>43588.516835949078</v>
      </c>
      <c r="B12" s="2" t="s">
        <v>53</v>
      </c>
      <c r="C12" s="3">
        <v>5</v>
      </c>
      <c r="D12" s="2">
        <v>1121</v>
      </c>
      <c r="E12" s="2" t="s">
        <v>229</v>
      </c>
      <c r="F12" s="2" t="s">
        <v>16</v>
      </c>
      <c r="G12" s="2" t="s">
        <v>67</v>
      </c>
      <c r="H12" s="2" t="s">
        <v>74</v>
      </c>
      <c r="I12" s="2" t="s">
        <v>230</v>
      </c>
      <c r="J12" s="2" t="b">
        <v>1</v>
      </c>
      <c r="K12" s="2" t="s">
        <v>20</v>
      </c>
      <c r="L12" s="2" t="s">
        <v>21</v>
      </c>
      <c r="M12" s="2" t="s">
        <v>22</v>
      </c>
      <c r="N12" s="2" t="b">
        <v>0</v>
      </c>
    </row>
    <row r="13" spans="1:14" ht="15.75" customHeight="1" x14ac:dyDescent="0.2">
      <c r="A13" s="1">
        <v>43588.815189421293</v>
      </c>
      <c r="B13" s="2" t="s">
        <v>65</v>
      </c>
      <c r="C13" s="3">
        <v>2</v>
      </c>
      <c r="D13" s="2">
        <v>1121</v>
      </c>
      <c r="E13" s="2" t="s">
        <v>231</v>
      </c>
      <c r="F13" s="2" t="s">
        <v>114</v>
      </c>
      <c r="G13" s="2" t="s">
        <v>110</v>
      </c>
      <c r="H13" s="2" t="s">
        <v>42</v>
      </c>
      <c r="I13" s="2" t="s">
        <v>122</v>
      </c>
      <c r="J13" s="2" t="b">
        <v>1</v>
      </c>
      <c r="K13" s="2" t="s">
        <v>37</v>
      </c>
      <c r="L13" s="2" t="s">
        <v>21</v>
      </c>
      <c r="M13" s="2" t="s">
        <v>22</v>
      </c>
      <c r="N13" s="2" t="b">
        <v>1</v>
      </c>
    </row>
    <row r="14" spans="1:14" ht="15.75" customHeight="1" x14ac:dyDescent="0.2">
      <c r="A14" s="1">
        <v>43589.597866284719</v>
      </c>
      <c r="B14" s="2" t="s">
        <v>14</v>
      </c>
      <c r="C14" s="3">
        <v>1</v>
      </c>
      <c r="D14" s="2">
        <v>1121</v>
      </c>
      <c r="E14" s="2" t="s">
        <v>177</v>
      </c>
      <c r="F14" s="2" t="s">
        <v>114</v>
      </c>
      <c r="G14" s="2" t="s">
        <v>84</v>
      </c>
      <c r="H14" s="2" t="s">
        <v>42</v>
      </c>
      <c r="I14" s="2" t="s">
        <v>159</v>
      </c>
      <c r="J14" s="2" t="b">
        <v>1</v>
      </c>
      <c r="K14" s="2" t="s">
        <v>37</v>
      </c>
      <c r="L14" s="2" t="s">
        <v>21</v>
      </c>
      <c r="M14" s="2" t="s">
        <v>32</v>
      </c>
      <c r="N14" s="2" t="b">
        <v>1</v>
      </c>
    </row>
    <row r="15" spans="1:14" ht="15.75" customHeight="1" x14ac:dyDescent="0.2">
      <c r="A15" s="1">
        <v>43591.103509039356</v>
      </c>
      <c r="B15" s="2" t="s">
        <v>68</v>
      </c>
      <c r="C15" s="3">
        <v>4</v>
      </c>
      <c r="D15" s="2">
        <v>1121</v>
      </c>
      <c r="E15" s="2" t="s">
        <v>232</v>
      </c>
      <c r="F15" s="2" t="s">
        <v>233</v>
      </c>
      <c r="G15" s="2" t="s">
        <v>110</v>
      </c>
      <c r="H15" s="2" t="s">
        <v>25</v>
      </c>
      <c r="I15" s="2" t="s">
        <v>26</v>
      </c>
      <c r="J15" s="2" t="b">
        <v>1</v>
      </c>
      <c r="K15" s="2" t="s">
        <v>37</v>
      </c>
      <c r="L15" s="2" t="s">
        <v>45</v>
      </c>
      <c r="M15" s="2" t="s">
        <v>22</v>
      </c>
      <c r="N15" s="2" t="b">
        <v>0</v>
      </c>
    </row>
    <row r="16" spans="1:14" ht="15.75" customHeight="1" x14ac:dyDescent="0.2">
      <c r="A16" s="1">
        <v>43586.921743842591</v>
      </c>
      <c r="B16" s="2" t="s">
        <v>89</v>
      </c>
      <c r="C16" s="3">
        <v>3</v>
      </c>
      <c r="D16" s="2">
        <v>2141</v>
      </c>
      <c r="E16" s="2" t="s">
        <v>47</v>
      </c>
      <c r="F16" s="2" t="s">
        <v>16</v>
      </c>
      <c r="G16" s="2" t="s">
        <v>36</v>
      </c>
      <c r="H16" s="2" t="s">
        <v>42</v>
      </c>
      <c r="I16" s="2" t="s">
        <v>50</v>
      </c>
      <c r="J16" s="2" t="b">
        <v>1</v>
      </c>
      <c r="K16" s="2" t="s">
        <v>37</v>
      </c>
      <c r="L16" s="2" t="s">
        <v>21</v>
      </c>
      <c r="M16" s="2" t="s">
        <v>22</v>
      </c>
      <c r="N16" s="2" t="b">
        <v>0</v>
      </c>
    </row>
    <row r="17" spans="1:14" ht="15.75" customHeight="1" x14ac:dyDescent="0.2">
      <c r="A17" s="1">
        <v>43586.934594155093</v>
      </c>
      <c r="B17" s="2" t="s">
        <v>79</v>
      </c>
      <c r="C17" s="3">
        <v>7</v>
      </c>
      <c r="D17" s="2">
        <v>2141</v>
      </c>
      <c r="E17" s="2" t="s">
        <v>169</v>
      </c>
      <c r="F17" s="2" t="s">
        <v>35</v>
      </c>
      <c r="G17" s="2" t="s">
        <v>67</v>
      </c>
      <c r="H17" s="2" t="s">
        <v>25</v>
      </c>
      <c r="I17" s="2" t="s">
        <v>26</v>
      </c>
      <c r="J17" s="2" t="b">
        <v>1</v>
      </c>
      <c r="K17" s="2" t="s">
        <v>20</v>
      </c>
      <c r="L17" s="2" t="s">
        <v>21</v>
      </c>
      <c r="M17" s="2" t="s">
        <v>22</v>
      </c>
      <c r="N17" s="2" t="b">
        <v>0</v>
      </c>
    </row>
    <row r="18" spans="1:14" ht="15.75" customHeight="1" x14ac:dyDescent="0.2">
      <c r="A18" s="1">
        <v>43587.039401342598</v>
      </c>
      <c r="B18" s="2" t="s">
        <v>82</v>
      </c>
      <c r="C18" s="3">
        <v>5</v>
      </c>
      <c r="D18" s="2">
        <v>2141</v>
      </c>
      <c r="E18" s="2" t="s">
        <v>234</v>
      </c>
      <c r="F18" s="2" t="s">
        <v>16</v>
      </c>
      <c r="G18" s="2" t="s">
        <v>110</v>
      </c>
      <c r="H18" s="2" t="s">
        <v>42</v>
      </c>
      <c r="I18" s="2" t="s">
        <v>72</v>
      </c>
      <c r="J18" s="2" t="b">
        <v>1</v>
      </c>
      <c r="K18" s="2" t="s">
        <v>20</v>
      </c>
      <c r="L18" s="2" t="s">
        <v>21</v>
      </c>
      <c r="M18" s="2" t="s">
        <v>22</v>
      </c>
      <c r="N18" s="2" t="b">
        <v>0</v>
      </c>
    </row>
    <row r="19" spans="1:14" ht="15.75" customHeight="1" x14ac:dyDescent="0.2">
      <c r="A19" s="1">
        <v>43587.099340196757</v>
      </c>
      <c r="B19" s="2" t="s">
        <v>77</v>
      </c>
      <c r="C19" s="3">
        <v>2</v>
      </c>
      <c r="D19" s="2">
        <v>2141</v>
      </c>
      <c r="E19" s="2" t="s">
        <v>235</v>
      </c>
      <c r="F19" s="2" t="s">
        <v>16</v>
      </c>
      <c r="G19" s="2" t="s">
        <v>71</v>
      </c>
      <c r="H19" s="2" t="s">
        <v>29</v>
      </c>
      <c r="I19" s="2" t="s">
        <v>50</v>
      </c>
      <c r="J19" s="2" t="b">
        <v>1</v>
      </c>
      <c r="K19" s="2" t="s">
        <v>31</v>
      </c>
      <c r="L19" s="2" t="s">
        <v>21</v>
      </c>
      <c r="M19" s="2" t="s">
        <v>32</v>
      </c>
      <c r="N19" s="2" t="b">
        <v>0</v>
      </c>
    </row>
    <row r="20" spans="1:14" ht="15.75" customHeight="1" x14ac:dyDescent="0.2">
      <c r="A20" s="1">
        <v>43587.625617569443</v>
      </c>
      <c r="B20" s="2" t="s">
        <v>90</v>
      </c>
      <c r="C20" s="3">
        <v>2</v>
      </c>
      <c r="D20" s="2">
        <v>2141</v>
      </c>
      <c r="E20" s="2" t="s">
        <v>66</v>
      </c>
      <c r="F20" s="2" t="s">
        <v>88</v>
      </c>
      <c r="G20" s="2" t="s">
        <v>96</v>
      </c>
      <c r="H20" s="2" t="s">
        <v>59</v>
      </c>
      <c r="I20" s="2" t="s">
        <v>106</v>
      </c>
      <c r="J20" s="2" t="b">
        <v>1</v>
      </c>
      <c r="K20" s="2" t="s">
        <v>37</v>
      </c>
      <c r="L20" s="2" t="s">
        <v>21</v>
      </c>
      <c r="M20" s="2" t="s">
        <v>22</v>
      </c>
      <c r="N20" s="2" t="b">
        <v>1</v>
      </c>
    </row>
    <row r="21" spans="1:14" ht="15.75" customHeight="1" x14ac:dyDescent="0.2">
      <c r="A21" s="1">
        <v>43587.636136087967</v>
      </c>
      <c r="B21" s="2" t="s">
        <v>85</v>
      </c>
      <c r="C21" s="3">
        <v>3</v>
      </c>
      <c r="D21" s="2">
        <v>2141</v>
      </c>
      <c r="E21" s="2" t="s">
        <v>225</v>
      </c>
      <c r="F21" s="2" t="s">
        <v>76</v>
      </c>
      <c r="G21" s="2" t="s">
        <v>36</v>
      </c>
      <c r="H21" s="2" t="s">
        <v>25</v>
      </c>
      <c r="I21" s="2" t="s">
        <v>124</v>
      </c>
      <c r="J21" s="2" t="b">
        <v>1</v>
      </c>
      <c r="K21" s="2" t="s">
        <v>20</v>
      </c>
      <c r="L21" s="2" t="s">
        <v>21</v>
      </c>
      <c r="M21" s="2" t="s">
        <v>46</v>
      </c>
      <c r="N21" s="2" t="b">
        <v>1</v>
      </c>
    </row>
    <row r="22" spans="1:14" ht="15.75" customHeight="1" x14ac:dyDescent="0.2">
      <c r="A22" s="1">
        <v>43587.637107962961</v>
      </c>
      <c r="B22" s="2" t="s">
        <v>87</v>
      </c>
      <c r="C22" s="3">
        <v>3</v>
      </c>
      <c r="D22" s="2">
        <v>2141</v>
      </c>
      <c r="E22" s="2" t="s">
        <v>225</v>
      </c>
      <c r="F22" s="2" t="s">
        <v>114</v>
      </c>
      <c r="G22" s="2" t="s">
        <v>67</v>
      </c>
      <c r="H22" s="2" t="s">
        <v>25</v>
      </c>
      <c r="I22" s="2" t="s">
        <v>124</v>
      </c>
      <c r="J22" s="2" t="b">
        <v>1</v>
      </c>
      <c r="K22" s="2" t="s">
        <v>37</v>
      </c>
      <c r="L22" s="2" t="s">
        <v>21</v>
      </c>
      <c r="M22" s="2" t="s">
        <v>46</v>
      </c>
      <c r="N22" s="2" t="b">
        <v>1</v>
      </c>
    </row>
    <row r="23" spans="1:14" ht="15.75" customHeight="1" x14ac:dyDescent="0.2">
      <c r="A23" s="1">
        <v>43588.077320694443</v>
      </c>
      <c r="B23" s="2" t="s">
        <v>236</v>
      </c>
      <c r="C23" s="3">
        <v>3</v>
      </c>
      <c r="D23" s="2">
        <v>2141</v>
      </c>
      <c r="E23" s="2" t="s">
        <v>134</v>
      </c>
      <c r="F23" s="2" t="s">
        <v>80</v>
      </c>
      <c r="G23" s="2" t="s">
        <v>86</v>
      </c>
      <c r="H23" s="2" t="s">
        <v>42</v>
      </c>
      <c r="I23" s="2" t="s">
        <v>26</v>
      </c>
      <c r="J23" s="2" t="b">
        <v>1</v>
      </c>
      <c r="K23" s="2" t="s">
        <v>20</v>
      </c>
      <c r="L23" s="2" t="s">
        <v>128</v>
      </c>
      <c r="M23" s="2" t="s">
        <v>46</v>
      </c>
      <c r="N23" s="2" t="b">
        <v>0</v>
      </c>
    </row>
    <row r="24" spans="1:14" ht="15.75" customHeight="1" x14ac:dyDescent="0.2">
      <c r="A24" s="1">
        <v>43588.081755243053</v>
      </c>
      <c r="B24" s="2" t="s">
        <v>92</v>
      </c>
      <c r="C24" s="3">
        <v>2</v>
      </c>
      <c r="D24" s="2">
        <v>2141</v>
      </c>
      <c r="E24" s="2" t="s">
        <v>100</v>
      </c>
      <c r="F24" s="2" t="s">
        <v>80</v>
      </c>
      <c r="G24" s="2" t="s">
        <v>36</v>
      </c>
      <c r="H24" s="2" t="s">
        <v>29</v>
      </c>
      <c r="I24" s="2" t="s">
        <v>237</v>
      </c>
      <c r="J24" s="2" t="b">
        <v>1</v>
      </c>
      <c r="K24" s="2" t="s">
        <v>37</v>
      </c>
      <c r="L24" s="2" t="s">
        <v>21</v>
      </c>
      <c r="M24" s="2" t="s">
        <v>228</v>
      </c>
      <c r="N24" s="2" t="b">
        <v>0</v>
      </c>
    </row>
    <row r="25" spans="1:14" ht="15.75" customHeight="1" x14ac:dyDescent="0.2">
      <c r="A25" s="1">
        <v>43588.723374016205</v>
      </c>
      <c r="B25" s="2" t="s">
        <v>95</v>
      </c>
      <c r="C25" s="3">
        <v>2</v>
      </c>
      <c r="D25" s="2">
        <v>2141</v>
      </c>
      <c r="E25" s="2" t="s">
        <v>127</v>
      </c>
      <c r="F25" s="2" t="s">
        <v>48</v>
      </c>
      <c r="G25" s="2" t="s">
        <v>36</v>
      </c>
      <c r="H25" s="2" t="s">
        <v>29</v>
      </c>
      <c r="I25" s="2" t="s">
        <v>43</v>
      </c>
      <c r="J25" s="2" t="b">
        <v>1</v>
      </c>
      <c r="K25" s="2" t="s">
        <v>31</v>
      </c>
      <c r="L25" s="2" t="s">
        <v>21</v>
      </c>
      <c r="M25" s="2" t="s">
        <v>22</v>
      </c>
      <c r="N25" s="2" t="b">
        <v>1</v>
      </c>
    </row>
    <row r="26" spans="1:14" ht="15.75" customHeight="1" x14ac:dyDescent="0.2">
      <c r="A26" s="1">
        <v>43588.921657673607</v>
      </c>
      <c r="B26" s="2" t="s">
        <v>75</v>
      </c>
      <c r="C26" s="3">
        <v>4</v>
      </c>
      <c r="D26" s="2">
        <v>2141</v>
      </c>
      <c r="E26" s="2" t="s">
        <v>238</v>
      </c>
      <c r="F26" s="2" t="s">
        <v>62</v>
      </c>
      <c r="G26" s="2" t="s">
        <v>67</v>
      </c>
      <c r="H26" s="2" t="s">
        <v>74</v>
      </c>
      <c r="I26" s="2" t="s">
        <v>26</v>
      </c>
      <c r="J26" s="2" t="b">
        <v>1</v>
      </c>
      <c r="K26" s="2" t="s">
        <v>20</v>
      </c>
      <c r="L26" s="2" t="s">
        <v>21</v>
      </c>
      <c r="M26" s="2" t="s">
        <v>22</v>
      </c>
      <c r="N26" s="2" t="b">
        <v>1</v>
      </c>
    </row>
    <row r="27" spans="1:14" ht="15.75" customHeight="1" x14ac:dyDescent="0.2">
      <c r="A27" s="1">
        <v>43585.638992974535</v>
      </c>
      <c r="B27" s="2" t="s">
        <v>107</v>
      </c>
      <c r="C27" s="3">
        <v>5</v>
      </c>
      <c r="D27" s="2">
        <v>3321</v>
      </c>
      <c r="E27" s="2" t="s">
        <v>174</v>
      </c>
      <c r="F27" s="2" t="s">
        <v>70</v>
      </c>
      <c r="G27" s="2" t="s">
        <v>67</v>
      </c>
      <c r="H27" s="2" t="s">
        <v>42</v>
      </c>
      <c r="I27" s="2" t="s">
        <v>50</v>
      </c>
      <c r="J27" s="2" t="b">
        <v>1</v>
      </c>
      <c r="K27" s="2" t="s">
        <v>20</v>
      </c>
      <c r="L27" s="2" t="s">
        <v>21</v>
      </c>
      <c r="M27" s="2" t="s">
        <v>22</v>
      </c>
      <c r="N27" s="2" t="b">
        <v>0</v>
      </c>
    </row>
    <row r="28" spans="1:14" ht="15.75" customHeight="1" x14ac:dyDescent="0.2">
      <c r="A28" s="1">
        <v>43585.640311736111</v>
      </c>
      <c r="B28" s="2" t="s">
        <v>123</v>
      </c>
      <c r="C28" s="3">
        <v>4</v>
      </c>
      <c r="D28" s="2">
        <v>3321</v>
      </c>
      <c r="E28" s="2" t="s">
        <v>69</v>
      </c>
      <c r="F28" s="2" t="s">
        <v>70</v>
      </c>
      <c r="G28" s="2" t="s">
        <v>219</v>
      </c>
      <c r="H28" s="2" t="s">
        <v>25</v>
      </c>
      <c r="I28" s="2" t="s">
        <v>50</v>
      </c>
      <c r="J28" s="2" t="b">
        <v>1</v>
      </c>
      <c r="K28" s="2" t="s">
        <v>20</v>
      </c>
      <c r="L28" s="2" t="s">
        <v>21</v>
      </c>
      <c r="M28" s="2" t="s">
        <v>46</v>
      </c>
      <c r="N28" s="2" t="b">
        <v>0</v>
      </c>
    </row>
    <row r="29" spans="1:14" ht="15.75" customHeight="1" x14ac:dyDescent="0.2">
      <c r="A29" s="1">
        <v>43585.654808576393</v>
      </c>
      <c r="B29" s="2" t="s">
        <v>108</v>
      </c>
      <c r="C29" s="3">
        <v>2</v>
      </c>
      <c r="D29" s="2">
        <v>3321</v>
      </c>
      <c r="E29" s="2" t="s">
        <v>239</v>
      </c>
      <c r="F29" s="2" t="s">
        <v>16</v>
      </c>
      <c r="G29" s="2" t="s">
        <v>63</v>
      </c>
      <c r="H29" s="2" t="s">
        <v>49</v>
      </c>
      <c r="I29" s="2" t="s">
        <v>124</v>
      </c>
      <c r="J29" s="2" t="b">
        <v>1</v>
      </c>
      <c r="K29" s="2" t="s">
        <v>37</v>
      </c>
      <c r="L29" s="2" t="s">
        <v>21</v>
      </c>
      <c r="M29" s="2" t="s">
        <v>46</v>
      </c>
      <c r="N29" s="2" t="b">
        <v>0</v>
      </c>
    </row>
    <row r="30" spans="1:14" ht="15.75" customHeight="1" x14ac:dyDescent="0.2">
      <c r="A30" s="1">
        <v>43585.951322719906</v>
      </c>
      <c r="B30" s="2" t="s">
        <v>97</v>
      </c>
      <c r="C30" s="3">
        <v>2</v>
      </c>
      <c r="D30" s="2">
        <v>3321</v>
      </c>
      <c r="E30" s="2" t="s">
        <v>174</v>
      </c>
      <c r="F30" s="2" t="s">
        <v>16</v>
      </c>
      <c r="G30" s="2" t="s">
        <v>110</v>
      </c>
      <c r="H30" s="2" t="s">
        <v>49</v>
      </c>
      <c r="I30" s="2" t="s">
        <v>101</v>
      </c>
      <c r="J30" s="2" t="b">
        <v>1</v>
      </c>
      <c r="K30" s="2" t="s">
        <v>37</v>
      </c>
      <c r="L30" s="2" t="s">
        <v>128</v>
      </c>
      <c r="M30" s="2" t="s">
        <v>22</v>
      </c>
      <c r="N30" s="2" t="b">
        <v>1</v>
      </c>
    </row>
    <row r="31" spans="1:14" ht="15.75" customHeight="1" x14ac:dyDescent="0.2">
      <c r="A31" s="1">
        <v>43586.057458009258</v>
      </c>
      <c r="B31" s="2" t="s">
        <v>104</v>
      </c>
      <c r="C31" s="3">
        <v>5</v>
      </c>
      <c r="D31" s="2">
        <v>3321</v>
      </c>
      <c r="E31" s="2" t="s">
        <v>47</v>
      </c>
      <c r="F31" s="2" t="s">
        <v>76</v>
      </c>
      <c r="G31" s="2" t="s">
        <v>67</v>
      </c>
      <c r="H31" s="2" t="s">
        <v>42</v>
      </c>
      <c r="I31" s="2" t="s">
        <v>26</v>
      </c>
      <c r="J31" s="2" t="b">
        <v>1</v>
      </c>
      <c r="K31" s="2" t="s">
        <v>20</v>
      </c>
      <c r="L31" s="2" t="s">
        <v>21</v>
      </c>
      <c r="M31" s="2" t="s">
        <v>22</v>
      </c>
      <c r="N31" s="2" t="b">
        <v>0</v>
      </c>
    </row>
    <row r="32" spans="1:14" ht="15.75" customHeight="1" x14ac:dyDescent="0.2">
      <c r="A32" s="1">
        <v>43586.091665462962</v>
      </c>
      <c r="B32" s="2" t="s">
        <v>112</v>
      </c>
      <c r="C32" s="3">
        <v>1</v>
      </c>
      <c r="D32" s="2">
        <v>3321</v>
      </c>
      <c r="E32" s="2" t="s">
        <v>240</v>
      </c>
      <c r="F32" s="2" t="s">
        <v>94</v>
      </c>
      <c r="G32" s="2" t="s">
        <v>36</v>
      </c>
      <c r="H32" s="2" t="s">
        <v>74</v>
      </c>
      <c r="I32" s="2" t="s">
        <v>30</v>
      </c>
      <c r="J32" s="2" t="b">
        <v>0</v>
      </c>
      <c r="K32" s="2" t="s">
        <v>31</v>
      </c>
      <c r="L32" s="2" t="s">
        <v>21</v>
      </c>
      <c r="M32" s="2" t="s">
        <v>32</v>
      </c>
      <c r="N32" s="2" t="b">
        <v>0</v>
      </c>
    </row>
    <row r="33" spans="1:14" ht="15.75" customHeight="1" x14ac:dyDescent="0.2">
      <c r="A33" s="1">
        <v>43586.10372324074</v>
      </c>
      <c r="B33" s="2" t="s">
        <v>116</v>
      </c>
      <c r="C33" s="3">
        <v>3</v>
      </c>
      <c r="D33" s="2">
        <v>3321</v>
      </c>
      <c r="E33" s="2" t="s">
        <v>241</v>
      </c>
      <c r="F33" s="2" t="s">
        <v>16</v>
      </c>
      <c r="G33" s="2" t="s">
        <v>67</v>
      </c>
      <c r="H33" s="2" t="s">
        <v>42</v>
      </c>
      <c r="I33" s="2" t="s">
        <v>30</v>
      </c>
      <c r="J33" s="2" t="b">
        <v>1</v>
      </c>
      <c r="K33" s="2" t="s">
        <v>37</v>
      </c>
      <c r="L33" s="2" t="s">
        <v>45</v>
      </c>
      <c r="M33" s="2" t="s">
        <v>81</v>
      </c>
      <c r="N33" s="2" t="b">
        <v>0</v>
      </c>
    </row>
    <row r="34" spans="1:14" ht="15.75" customHeight="1" x14ac:dyDescent="0.2">
      <c r="A34" s="1">
        <v>43586.154112685181</v>
      </c>
      <c r="B34" s="2" t="s">
        <v>99</v>
      </c>
      <c r="C34" s="3">
        <v>2</v>
      </c>
      <c r="D34" s="2">
        <v>3321</v>
      </c>
      <c r="E34" s="2" t="s">
        <v>242</v>
      </c>
      <c r="F34" s="2" t="s">
        <v>16</v>
      </c>
      <c r="G34" s="2" t="s">
        <v>54</v>
      </c>
      <c r="H34" s="2" t="s">
        <v>55</v>
      </c>
      <c r="I34" s="2" t="s">
        <v>106</v>
      </c>
      <c r="J34" s="2" t="b">
        <v>1</v>
      </c>
      <c r="K34" s="2" t="s">
        <v>37</v>
      </c>
      <c r="L34" s="2" t="s">
        <v>45</v>
      </c>
      <c r="M34" s="2" t="s">
        <v>22</v>
      </c>
      <c r="N34" s="2" t="b">
        <v>1</v>
      </c>
    </row>
    <row r="35" spans="1:14" ht="15.75" customHeight="1" x14ac:dyDescent="0.2">
      <c r="A35" s="1">
        <v>43586.154284178236</v>
      </c>
      <c r="B35" s="2" t="s">
        <v>111</v>
      </c>
      <c r="C35" s="3">
        <v>3</v>
      </c>
      <c r="D35" s="2">
        <v>3321</v>
      </c>
      <c r="E35" s="2" t="s">
        <v>243</v>
      </c>
      <c r="F35" s="2" t="s">
        <v>161</v>
      </c>
      <c r="G35" s="2" t="s">
        <v>110</v>
      </c>
      <c r="H35" s="2" t="s">
        <v>55</v>
      </c>
      <c r="I35" s="2" t="s">
        <v>101</v>
      </c>
      <c r="J35" s="2" t="b">
        <v>1</v>
      </c>
      <c r="K35" s="2" t="s">
        <v>37</v>
      </c>
      <c r="L35" s="2" t="s">
        <v>45</v>
      </c>
      <c r="M35" s="2" t="s">
        <v>22</v>
      </c>
      <c r="N35" s="2" t="b">
        <v>0</v>
      </c>
    </row>
    <row r="36" spans="1:14" ht="15.75" customHeight="1" x14ac:dyDescent="0.2">
      <c r="A36" s="1">
        <v>43586.161205949073</v>
      </c>
      <c r="B36" s="2" t="s">
        <v>126</v>
      </c>
      <c r="C36" s="3">
        <v>4</v>
      </c>
      <c r="D36" s="2">
        <v>3321</v>
      </c>
      <c r="E36" s="2" t="s">
        <v>41</v>
      </c>
      <c r="F36" s="2" t="s">
        <v>16</v>
      </c>
      <c r="G36" s="2" t="s">
        <v>24</v>
      </c>
      <c r="H36" s="2" t="s">
        <v>42</v>
      </c>
      <c r="I36" s="2" t="s">
        <v>72</v>
      </c>
      <c r="J36" s="2" t="b">
        <v>1</v>
      </c>
      <c r="K36" s="2" t="s">
        <v>31</v>
      </c>
      <c r="L36" s="2" t="s">
        <v>128</v>
      </c>
      <c r="M36" s="2" t="s">
        <v>22</v>
      </c>
      <c r="N36" s="2" t="b">
        <v>0</v>
      </c>
    </row>
    <row r="37" spans="1:14" ht="15.75" customHeight="1" x14ac:dyDescent="0.2">
      <c r="A37" s="1">
        <v>43586.171644942129</v>
      </c>
      <c r="B37" s="2" t="s">
        <v>102</v>
      </c>
      <c r="C37" s="3">
        <v>4</v>
      </c>
      <c r="D37" s="2">
        <v>3321</v>
      </c>
      <c r="E37" s="2" t="s">
        <v>174</v>
      </c>
      <c r="F37" s="2" t="s">
        <v>150</v>
      </c>
      <c r="G37" s="2" t="s">
        <v>110</v>
      </c>
      <c r="H37" s="2" t="s">
        <v>42</v>
      </c>
      <c r="I37" s="2" t="s">
        <v>124</v>
      </c>
      <c r="J37" s="2" t="b">
        <v>1</v>
      </c>
      <c r="K37" s="2" t="s">
        <v>20</v>
      </c>
      <c r="L37" s="2" t="s">
        <v>128</v>
      </c>
      <c r="M37" s="2" t="s">
        <v>22</v>
      </c>
      <c r="N37" s="2" t="b">
        <v>0</v>
      </c>
    </row>
    <row r="38" spans="1:14" ht="15.75" customHeight="1" x14ac:dyDescent="0.2">
      <c r="A38" s="1">
        <v>43586.596240127314</v>
      </c>
      <c r="B38" s="2" t="s">
        <v>119</v>
      </c>
      <c r="C38" s="3">
        <v>3</v>
      </c>
      <c r="D38" s="2">
        <v>3321</v>
      </c>
      <c r="E38" s="2" t="s">
        <v>47</v>
      </c>
      <c r="F38" s="2" t="s">
        <v>161</v>
      </c>
      <c r="G38" s="2" t="s">
        <v>115</v>
      </c>
      <c r="H38" s="2" t="s">
        <v>42</v>
      </c>
      <c r="I38" s="2" t="s">
        <v>26</v>
      </c>
      <c r="J38" s="2" t="b">
        <v>1</v>
      </c>
      <c r="K38" s="2" t="s">
        <v>37</v>
      </c>
      <c r="L38" s="2" t="s">
        <v>45</v>
      </c>
      <c r="M38" s="2" t="s">
        <v>22</v>
      </c>
      <c r="N38" s="2" t="b">
        <v>0</v>
      </c>
    </row>
    <row r="39" spans="1:14" ht="15.75" customHeight="1" x14ac:dyDescent="0.2">
      <c r="A39" s="1">
        <v>43586.85379627315</v>
      </c>
      <c r="B39" s="2" t="s">
        <v>121</v>
      </c>
      <c r="C39" s="3">
        <v>4</v>
      </c>
      <c r="D39" s="2">
        <v>3321</v>
      </c>
      <c r="E39" s="2" t="s">
        <v>244</v>
      </c>
      <c r="F39" s="2" t="s">
        <v>80</v>
      </c>
      <c r="G39" s="2" t="s">
        <v>110</v>
      </c>
      <c r="H39" s="2" t="s">
        <v>42</v>
      </c>
      <c r="I39" s="2" t="s">
        <v>122</v>
      </c>
      <c r="J39" s="2" t="b">
        <v>1</v>
      </c>
      <c r="K39" s="2" t="s">
        <v>20</v>
      </c>
      <c r="L39" s="2" t="s">
        <v>21</v>
      </c>
      <c r="M39" s="2" t="s">
        <v>22</v>
      </c>
      <c r="N39" s="2" t="b">
        <v>0</v>
      </c>
    </row>
    <row r="40" spans="1:14" ht="12.75" x14ac:dyDescent="0.2">
      <c r="A40" s="1">
        <v>43587.053268993055</v>
      </c>
      <c r="B40" s="2" t="s">
        <v>125</v>
      </c>
      <c r="C40" s="3">
        <v>6</v>
      </c>
      <c r="D40" s="2">
        <v>3321</v>
      </c>
      <c r="E40" s="2" t="s">
        <v>222</v>
      </c>
      <c r="F40" s="2" t="s">
        <v>16</v>
      </c>
      <c r="G40" s="2" t="s">
        <v>86</v>
      </c>
      <c r="H40" s="2" t="s">
        <v>42</v>
      </c>
      <c r="I40" s="2" t="s">
        <v>72</v>
      </c>
      <c r="J40" s="2" t="b">
        <v>1</v>
      </c>
      <c r="K40" s="2" t="s">
        <v>20</v>
      </c>
      <c r="L40" s="2" t="s">
        <v>64</v>
      </c>
      <c r="M40" s="2" t="s">
        <v>22</v>
      </c>
      <c r="N40" s="2" t="b">
        <v>0</v>
      </c>
    </row>
    <row r="41" spans="1:14" ht="12.75" x14ac:dyDescent="0.2">
      <c r="A41" s="1">
        <v>43587.885092546298</v>
      </c>
      <c r="B41" s="2" t="s">
        <v>118</v>
      </c>
      <c r="C41" s="3">
        <v>4</v>
      </c>
      <c r="D41" s="2">
        <v>3321</v>
      </c>
      <c r="E41" s="2" t="s">
        <v>105</v>
      </c>
      <c r="F41" s="2" t="s">
        <v>94</v>
      </c>
      <c r="G41" s="2" t="s">
        <v>110</v>
      </c>
      <c r="H41" s="2" t="s">
        <v>42</v>
      </c>
      <c r="I41" s="2" t="s">
        <v>245</v>
      </c>
      <c r="J41" s="2" t="b">
        <v>1</v>
      </c>
      <c r="K41" s="2" t="s">
        <v>20</v>
      </c>
      <c r="L41" s="2" t="s">
        <v>21</v>
      </c>
      <c r="M41" s="2" t="s">
        <v>22</v>
      </c>
      <c r="N41" s="2" t="b">
        <v>0</v>
      </c>
    </row>
    <row r="42" spans="1:14" ht="12.75" x14ac:dyDescent="0.2">
      <c r="A42" s="1">
        <v>43588.225214062499</v>
      </c>
      <c r="B42" s="2" t="s">
        <v>117</v>
      </c>
      <c r="C42" s="3">
        <v>1</v>
      </c>
      <c r="D42" s="2">
        <v>3321</v>
      </c>
      <c r="E42" s="2" t="s">
        <v>246</v>
      </c>
      <c r="F42" s="2" t="s">
        <v>39</v>
      </c>
      <c r="G42" s="2" t="s">
        <v>67</v>
      </c>
      <c r="H42" s="2" t="s">
        <v>29</v>
      </c>
      <c r="I42" s="2" t="s">
        <v>52</v>
      </c>
      <c r="J42" s="2" t="b">
        <v>0</v>
      </c>
      <c r="K42" s="2" t="s">
        <v>247</v>
      </c>
      <c r="L42" s="2" t="s">
        <v>128</v>
      </c>
      <c r="M42" s="2" t="s">
        <v>228</v>
      </c>
      <c r="N42" s="2" t="b">
        <v>1</v>
      </c>
    </row>
    <row r="43" spans="1:14" ht="12.75" x14ac:dyDescent="0.2">
      <c r="A43" s="1">
        <v>43585.094463263886</v>
      </c>
      <c r="B43" s="2" t="s">
        <v>141</v>
      </c>
      <c r="C43" s="3">
        <v>3</v>
      </c>
      <c r="D43" s="2">
        <v>4341</v>
      </c>
      <c r="E43" s="2" t="s">
        <v>248</v>
      </c>
      <c r="F43" s="2" t="s">
        <v>35</v>
      </c>
      <c r="G43" s="2" t="s">
        <v>28</v>
      </c>
      <c r="H43" s="2" t="s">
        <v>55</v>
      </c>
      <c r="I43" s="2" t="s">
        <v>56</v>
      </c>
      <c r="J43" s="2" t="b">
        <v>1</v>
      </c>
      <c r="K43" s="2" t="s">
        <v>44</v>
      </c>
      <c r="L43" s="2" t="s">
        <v>64</v>
      </c>
      <c r="M43" s="2" t="s">
        <v>32</v>
      </c>
      <c r="N43" s="2" t="b">
        <v>1</v>
      </c>
    </row>
    <row r="44" spans="1:14" ht="12.75" x14ac:dyDescent="0.2">
      <c r="A44" s="1">
        <v>43585.469988761572</v>
      </c>
      <c r="B44" s="2" t="s">
        <v>136</v>
      </c>
      <c r="C44" s="3">
        <v>1</v>
      </c>
      <c r="D44" s="2">
        <v>4341</v>
      </c>
      <c r="E44" s="2" t="s">
        <v>249</v>
      </c>
      <c r="F44" s="2" t="s">
        <v>16</v>
      </c>
      <c r="G44" s="2" t="s">
        <v>24</v>
      </c>
      <c r="H44" s="2" t="s">
        <v>42</v>
      </c>
      <c r="I44" s="2" t="s">
        <v>124</v>
      </c>
      <c r="J44" s="2" t="b">
        <v>1</v>
      </c>
      <c r="K44" s="2" t="s">
        <v>44</v>
      </c>
      <c r="L44" s="2" t="s">
        <v>21</v>
      </c>
      <c r="M44" s="2" t="s">
        <v>81</v>
      </c>
      <c r="N44" s="2" t="b">
        <v>1</v>
      </c>
    </row>
    <row r="45" spans="1:14" ht="12.75" x14ac:dyDescent="0.2">
      <c r="A45" s="1">
        <v>43585.616132858791</v>
      </c>
      <c r="B45" s="2" t="s">
        <v>139</v>
      </c>
      <c r="C45" s="3">
        <v>7</v>
      </c>
      <c r="D45" s="2">
        <v>4341</v>
      </c>
      <c r="E45" s="2" t="s">
        <v>222</v>
      </c>
      <c r="F45" s="2" t="s">
        <v>35</v>
      </c>
      <c r="G45" s="2" t="s">
        <v>67</v>
      </c>
      <c r="H45" s="2" t="s">
        <v>42</v>
      </c>
      <c r="I45" s="2" t="s">
        <v>72</v>
      </c>
      <c r="J45" s="2" t="b">
        <v>1</v>
      </c>
      <c r="K45" s="2" t="s">
        <v>20</v>
      </c>
      <c r="L45" s="2" t="s">
        <v>21</v>
      </c>
      <c r="M45" s="2" t="s">
        <v>22</v>
      </c>
      <c r="N45" s="2" t="b">
        <v>0</v>
      </c>
    </row>
    <row r="46" spans="1:14" ht="12.75" x14ac:dyDescent="0.2">
      <c r="A46" s="1">
        <v>43586.726357824075</v>
      </c>
      <c r="B46" s="2" t="s">
        <v>129</v>
      </c>
      <c r="C46" s="3">
        <v>4</v>
      </c>
      <c r="D46" s="2">
        <v>4341</v>
      </c>
      <c r="E46" s="2" t="s">
        <v>225</v>
      </c>
      <c r="F46" s="2" t="s">
        <v>16</v>
      </c>
      <c r="G46" s="2" t="s">
        <v>63</v>
      </c>
      <c r="H46" s="2" t="s">
        <v>42</v>
      </c>
      <c r="I46" s="2" t="s">
        <v>159</v>
      </c>
      <c r="J46" s="2" t="b">
        <v>1</v>
      </c>
      <c r="K46" s="2" t="s">
        <v>20</v>
      </c>
      <c r="L46" s="2" t="s">
        <v>45</v>
      </c>
      <c r="M46" s="2" t="s">
        <v>22</v>
      </c>
      <c r="N46" s="2" t="b">
        <v>0</v>
      </c>
    </row>
    <row r="47" spans="1:14" ht="12.75" x14ac:dyDescent="0.2">
      <c r="A47" s="1">
        <v>43586.736767650465</v>
      </c>
      <c r="B47" s="2" t="s">
        <v>147</v>
      </c>
      <c r="C47" s="3">
        <v>4</v>
      </c>
      <c r="D47" s="2">
        <v>4341</v>
      </c>
      <c r="E47" s="2" t="s">
        <v>250</v>
      </c>
      <c r="F47" s="2" t="s">
        <v>16</v>
      </c>
      <c r="G47" s="2" t="s">
        <v>219</v>
      </c>
      <c r="H47" s="2" t="s">
        <v>42</v>
      </c>
      <c r="I47" s="2" t="s">
        <v>101</v>
      </c>
      <c r="J47" s="2" t="b">
        <v>1</v>
      </c>
      <c r="K47" s="2" t="s">
        <v>20</v>
      </c>
      <c r="L47" s="2" t="s">
        <v>21</v>
      </c>
      <c r="M47" s="2" t="s">
        <v>22</v>
      </c>
      <c r="N47" s="2" t="b">
        <v>0</v>
      </c>
    </row>
    <row r="48" spans="1:14" ht="12.75" x14ac:dyDescent="0.2">
      <c r="A48" s="1">
        <v>43586.841054502314</v>
      </c>
      <c r="B48" s="2" t="s">
        <v>131</v>
      </c>
      <c r="C48" s="3">
        <v>4</v>
      </c>
      <c r="D48" s="2">
        <v>4341</v>
      </c>
      <c r="E48" s="2" t="s">
        <v>251</v>
      </c>
      <c r="F48" s="2" t="s">
        <v>62</v>
      </c>
      <c r="G48" s="2" t="s">
        <v>110</v>
      </c>
      <c r="H48" s="2" t="s">
        <v>42</v>
      </c>
      <c r="I48" s="2" t="s">
        <v>135</v>
      </c>
      <c r="J48" s="2" t="b">
        <v>1</v>
      </c>
      <c r="K48" s="2" t="s">
        <v>37</v>
      </c>
      <c r="L48" s="2" t="s">
        <v>64</v>
      </c>
      <c r="M48" s="2" t="s">
        <v>22</v>
      </c>
      <c r="N48" s="2" t="b">
        <v>0</v>
      </c>
    </row>
    <row r="49" spans="1:14" ht="12.75" x14ac:dyDescent="0.2">
      <c r="A49" s="1">
        <v>43587.735104652776</v>
      </c>
      <c r="B49" s="2" t="s">
        <v>149</v>
      </c>
      <c r="C49" s="3">
        <v>3</v>
      </c>
      <c r="D49" s="2">
        <v>4341</v>
      </c>
      <c r="E49" s="2" t="s">
        <v>61</v>
      </c>
      <c r="F49" s="2" t="s">
        <v>48</v>
      </c>
      <c r="G49" s="2" t="s">
        <v>24</v>
      </c>
      <c r="H49" s="2" t="s">
        <v>42</v>
      </c>
      <c r="I49" s="2" t="s">
        <v>19</v>
      </c>
      <c r="J49" s="2" t="b">
        <v>1</v>
      </c>
      <c r="K49" s="2" t="s">
        <v>20</v>
      </c>
      <c r="L49" s="2" t="s">
        <v>21</v>
      </c>
      <c r="M49" s="2" t="s">
        <v>22</v>
      </c>
      <c r="N49" s="2" t="b">
        <v>1</v>
      </c>
    </row>
    <row r="50" spans="1:14" ht="12.75" x14ac:dyDescent="0.2">
      <c r="A50" s="1">
        <v>43587.834187337961</v>
      </c>
      <c r="B50" s="2" t="s">
        <v>132</v>
      </c>
      <c r="C50" s="3">
        <v>5</v>
      </c>
      <c r="D50" s="2">
        <v>4341</v>
      </c>
      <c r="E50" s="2" t="s">
        <v>15</v>
      </c>
      <c r="F50" s="2" t="s">
        <v>35</v>
      </c>
      <c r="G50" s="2" t="s">
        <v>67</v>
      </c>
      <c r="H50" s="2" t="s">
        <v>55</v>
      </c>
      <c r="I50" s="2" t="s">
        <v>135</v>
      </c>
      <c r="J50" s="2" t="b">
        <v>1</v>
      </c>
      <c r="K50" s="2" t="s">
        <v>31</v>
      </c>
      <c r="L50" s="2" t="s">
        <v>45</v>
      </c>
      <c r="M50" s="2" t="s">
        <v>22</v>
      </c>
      <c r="N50" s="2" t="b">
        <v>0</v>
      </c>
    </row>
    <row r="51" spans="1:14" ht="12.75" x14ac:dyDescent="0.2">
      <c r="A51" s="1">
        <v>43587.924449444443</v>
      </c>
      <c r="B51" s="2" t="s">
        <v>148</v>
      </c>
      <c r="C51" s="3">
        <v>4</v>
      </c>
      <c r="D51" s="2">
        <v>4341</v>
      </c>
      <c r="E51" s="2" t="s">
        <v>103</v>
      </c>
      <c r="F51" s="2" t="s">
        <v>16</v>
      </c>
      <c r="G51" s="2" t="s">
        <v>84</v>
      </c>
      <c r="H51" s="2" t="s">
        <v>74</v>
      </c>
      <c r="I51" s="2" t="s">
        <v>72</v>
      </c>
      <c r="J51" s="2" t="b">
        <v>1</v>
      </c>
      <c r="K51" s="2" t="s">
        <v>20</v>
      </c>
      <c r="L51" s="2" t="s">
        <v>21</v>
      </c>
      <c r="M51" s="2" t="s">
        <v>46</v>
      </c>
      <c r="N51" s="2" t="b">
        <v>0</v>
      </c>
    </row>
    <row r="52" spans="1:14" ht="12.75" x14ac:dyDescent="0.2">
      <c r="A52" s="1">
        <v>43587.988936180554</v>
      </c>
      <c r="B52" s="2" t="s">
        <v>140</v>
      </c>
      <c r="C52" s="3">
        <v>5</v>
      </c>
      <c r="D52" s="2">
        <v>4341</v>
      </c>
      <c r="E52" s="2" t="s">
        <v>105</v>
      </c>
      <c r="F52" s="2" t="s">
        <v>35</v>
      </c>
      <c r="G52" s="2" t="s">
        <v>54</v>
      </c>
      <c r="H52" s="2" t="s">
        <v>42</v>
      </c>
      <c r="I52" s="2" t="s">
        <v>50</v>
      </c>
      <c r="J52" s="2" t="b">
        <v>1</v>
      </c>
      <c r="K52" s="2" t="s">
        <v>20</v>
      </c>
      <c r="L52" s="2" t="s">
        <v>21</v>
      </c>
      <c r="M52" s="2" t="s">
        <v>22</v>
      </c>
      <c r="N52" s="2" t="b">
        <v>0</v>
      </c>
    </row>
    <row r="53" spans="1:14" ht="12.75" x14ac:dyDescent="0.2">
      <c r="A53" s="1">
        <v>43588.157800127316</v>
      </c>
      <c r="B53" s="2" t="s">
        <v>142</v>
      </c>
      <c r="C53" s="3">
        <v>3</v>
      </c>
      <c r="D53" s="2">
        <v>4341</v>
      </c>
      <c r="E53" s="2" t="s">
        <v>252</v>
      </c>
      <c r="F53" s="2" t="s">
        <v>62</v>
      </c>
      <c r="G53" s="2" t="s">
        <v>36</v>
      </c>
      <c r="H53" s="2" t="s">
        <v>25</v>
      </c>
      <c r="I53" s="2" t="s">
        <v>26</v>
      </c>
      <c r="J53" s="2" t="b">
        <v>0</v>
      </c>
      <c r="K53" s="2" t="s">
        <v>37</v>
      </c>
      <c r="L53" s="2" t="s">
        <v>64</v>
      </c>
      <c r="M53" s="2" t="s">
        <v>46</v>
      </c>
      <c r="N53" s="2" t="b">
        <v>0</v>
      </c>
    </row>
    <row r="54" spans="1:14" ht="12.75" x14ac:dyDescent="0.2">
      <c r="A54" s="1">
        <v>43588.601365810187</v>
      </c>
      <c r="B54" s="2" t="s">
        <v>145</v>
      </c>
      <c r="C54" s="3">
        <v>2</v>
      </c>
      <c r="D54" s="2">
        <v>4341</v>
      </c>
      <c r="E54" s="2" t="s">
        <v>61</v>
      </c>
      <c r="F54" s="2" t="s">
        <v>35</v>
      </c>
      <c r="G54" s="2" t="s">
        <v>24</v>
      </c>
      <c r="H54" s="2" t="s">
        <v>59</v>
      </c>
      <c r="I54" s="2" t="s">
        <v>106</v>
      </c>
      <c r="J54" s="2" t="b">
        <v>1</v>
      </c>
      <c r="K54" s="2" t="s">
        <v>31</v>
      </c>
      <c r="L54" s="2" t="s">
        <v>128</v>
      </c>
      <c r="M54" s="2" t="s">
        <v>46</v>
      </c>
      <c r="N54" s="2" t="b">
        <v>1</v>
      </c>
    </row>
    <row r="55" spans="1:14" ht="12.75" x14ac:dyDescent="0.2">
      <c r="A55" s="1">
        <v>43588.629126446758</v>
      </c>
      <c r="B55" s="2" t="s">
        <v>137</v>
      </c>
      <c r="C55" s="3">
        <v>3</v>
      </c>
      <c r="D55" s="2">
        <v>4341</v>
      </c>
      <c r="E55" s="2" t="s">
        <v>158</v>
      </c>
      <c r="F55" s="2" t="s">
        <v>62</v>
      </c>
      <c r="G55" s="2" t="s">
        <v>24</v>
      </c>
      <c r="H55" s="2" t="s">
        <v>42</v>
      </c>
      <c r="I55" s="2" t="s">
        <v>26</v>
      </c>
      <c r="J55" s="2" t="b">
        <v>0</v>
      </c>
      <c r="K55" s="2" t="s">
        <v>20</v>
      </c>
      <c r="L55" s="2" t="s">
        <v>21</v>
      </c>
      <c r="M55" s="2" t="s">
        <v>22</v>
      </c>
      <c r="N55" s="2" t="b">
        <v>0</v>
      </c>
    </row>
    <row r="56" spans="1:14" ht="12.75" x14ac:dyDescent="0.2">
      <c r="A56" s="1">
        <v>43588.660160150466</v>
      </c>
      <c r="B56" s="2" t="s">
        <v>151</v>
      </c>
      <c r="C56" s="3">
        <v>2</v>
      </c>
      <c r="D56" s="2">
        <v>4341</v>
      </c>
      <c r="E56" s="2" t="s">
        <v>253</v>
      </c>
      <c r="F56" s="2" t="s">
        <v>83</v>
      </c>
      <c r="G56" s="2" t="s">
        <v>28</v>
      </c>
      <c r="H56" s="2" t="s">
        <v>55</v>
      </c>
      <c r="I56" s="2" t="s">
        <v>30</v>
      </c>
      <c r="J56" s="2" t="b">
        <v>1</v>
      </c>
      <c r="K56" s="2" t="s">
        <v>44</v>
      </c>
      <c r="L56" s="2" t="s">
        <v>21</v>
      </c>
      <c r="M56" s="2" t="s">
        <v>46</v>
      </c>
      <c r="N56" s="2" t="b">
        <v>0</v>
      </c>
    </row>
    <row r="57" spans="1:14" ht="12.75" x14ac:dyDescent="0.2">
      <c r="A57" s="1">
        <v>43588.840502083331</v>
      </c>
      <c r="B57" s="2" t="s">
        <v>130</v>
      </c>
      <c r="C57" s="3">
        <v>3</v>
      </c>
      <c r="D57" s="2">
        <v>4341</v>
      </c>
      <c r="E57" s="2" t="s">
        <v>73</v>
      </c>
      <c r="F57" s="2" t="s">
        <v>35</v>
      </c>
      <c r="G57" s="2" t="s">
        <v>36</v>
      </c>
      <c r="H57" s="2" t="s">
        <v>59</v>
      </c>
      <c r="I57" s="2" t="s">
        <v>143</v>
      </c>
      <c r="J57" s="2" t="b">
        <v>1</v>
      </c>
      <c r="K57" s="2" t="s">
        <v>37</v>
      </c>
      <c r="L57" s="2" t="s">
        <v>45</v>
      </c>
      <c r="M57" s="2" t="s">
        <v>22</v>
      </c>
      <c r="N57" s="2" t="b">
        <v>1</v>
      </c>
    </row>
    <row r="58" spans="1:14" ht="12.75" x14ac:dyDescent="0.2">
      <c r="A58" s="1">
        <v>43588.846398171299</v>
      </c>
      <c r="B58" s="2" t="s">
        <v>146</v>
      </c>
      <c r="C58" s="3">
        <v>2</v>
      </c>
      <c r="D58" s="2">
        <v>4341</v>
      </c>
      <c r="E58" s="2" t="s">
        <v>138</v>
      </c>
      <c r="F58" s="2" t="s">
        <v>94</v>
      </c>
      <c r="G58" s="2" t="s">
        <v>110</v>
      </c>
      <c r="H58" s="2" t="s">
        <v>42</v>
      </c>
      <c r="I58" s="2" t="s">
        <v>26</v>
      </c>
      <c r="J58" s="2" t="b">
        <v>1</v>
      </c>
      <c r="K58" s="2" t="s">
        <v>20</v>
      </c>
      <c r="L58" s="2" t="s">
        <v>21</v>
      </c>
      <c r="M58" s="2" t="s">
        <v>81</v>
      </c>
      <c r="N58" s="2" t="b">
        <v>1</v>
      </c>
    </row>
    <row r="59" spans="1:14" ht="12.75" x14ac:dyDescent="0.2">
      <c r="A59" s="1">
        <v>43589.971493495366</v>
      </c>
      <c r="B59" s="2" t="s">
        <v>133</v>
      </c>
      <c r="C59" s="3">
        <v>5</v>
      </c>
      <c r="D59" s="2">
        <v>4341</v>
      </c>
      <c r="E59" s="2" t="s">
        <v>254</v>
      </c>
      <c r="F59" s="2" t="s">
        <v>35</v>
      </c>
      <c r="G59" s="2" t="s">
        <v>86</v>
      </c>
      <c r="H59" s="2" t="s">
        <v>25</v>
      </c>
      <c r="I59" s="2" t="s">
        <v>26</v>
      </c>
      <c r="J59" s="2" t="b">
        <v>1</v>
      </c>
      <c r="K59" s="2" t="s">
        <v>37</v>
      </c>
      <c r="L59" s="2" t="s">
        <v>45</v>
      </c>
      <c r="M59" s="2" t="s">
        <v>22</v>
      </c>
      <c r="N59" s="2" t="b">
        <v>0</v>
      </c>
    </row>
    <row r="60" spans="1:14" ht="12.75" x14ac:dyDescent="0.2">
      <c r="A60" s="1">
        <v>43590.698114884261</v>
      </c>
      <c r="B60" s="2" t="s">
        <v>144</v>
      </c>
      <c r="C60" s="3">
        <v>3</v>
      </c>
      <c r="D60" s="2">
        <v>4341</v>
      </c>
      <c r="E60" s="2" t="s">
        <v>34</v>
      </c>
      <c r="F60" s="2" t="s">
        <v>161</v>
      </c>
      <c r="G60" s="2" t="s">
        <v>17</v>
      </c>
      <c r="H60" s="2" t="s">
        <v>25</v>
      </c>
      <c r="I60" s="2" t="s">
        <v>78</v>
      </c>
      <c r="J60" s="2" t="b">
        <v>1</v>
      </c>
      <c r="K60" s="2" t="s">
        <v>37</v>
      </c>
      <c r="L60" s="2" t="s">
        <v>45</v>
      </c>
      <c r="M60" s="2" t="s">
        <v>46</v>
      </c>
      <c r="N60" s="2" t="b">
        <v>0</v>
      </c>
    </row>
    <row r="61" spans="1:14" ht="12.75" x14ac:dyDescent="0.2">
      <c r="A61" s="1">
        <v>43585.740894560186</v>
      </c>
      <c r="B61" s="2" t="s">
        <v>156</v>
      </c>
      <c r="C61" s="3">
        <v>2</v>
      </c>
      <c r="D61" s="2">
        <v>5521</v>
      </c>
      <c r="E61" s="2" t="s">
        <v>127</v>
      </c>
      <c r="F61" s="2" t="s">
        <v>16</v>
      </c>
      <c r="G61" s="2" t="s">
        <v>71</v>
      </c>
      <c r="H61" s="2" t="s">
        <v>74</v>
      </c>
      <c r="I61" s="2" t="s">
        <v>159</v>
      </c>
      <c r="J61" s="2" t="b">
        <v>1</v>
      </c>
      <c r="K61" s="2" t="s">
        <v>31</v>
      </c>
      <c r="L61" s="2" t="s">
        <v>128</v>
      </c>
      <c r="M61" s="2" t="s">
        <v>22</v>
      </c>
      <c r="N61" s="2" t="b">
        <v>1</v>
      </c>
    </row>
    <row r="62" spans="1:14" ht="12.75" x14ac:dyDescent="0.2">
      <c r="A62" s="1">
        <v>43585.74520474537</v>
      </c>
      <c r="B62" s="2" t="s">
        <v>153</v>
      </c>
      <c r="C62" s="3">
        <v>4</v>
      </c>
      <c r="D62" s="2">
        <v>5521</v>
      </c>
      <c r="E62" s="2" t="s">
        <v>15</v>
      </c>
      <c r="F62" s="2" t="s">
        <v>62</v>
      </c>
      <c r="G62" s="2" t="s">
        <v>110</v>
      </c>
      <c r="H62" s="2" t="s">
        <v>42</v>
      </c>
      <c r="I62" s="2" t="s">
        <v>19</v>
      </c>
      <c r="J62" s="2" t="b">
        <v>1</v>
      </c>
      <c r="K62" s="2" t="s">
        <v>20</v>
      </c>
      <c r="L62" s="2" t="s">
        <v>128</v>
      </c>
      <c r="M62" s="2" t="s">
        <v>22</v>
      </c>
      <c r="N62" s="2" t="b">
        <v>0</v>
      </c>
    </row>
    <row r="63" spans="1:14" ht="12.75" x14ac:dyDescent="0.2">
      <c r="A63" s="1">
        <v>43585.826431747686</v>
      </c>
      <c r="B63" s="2" t="s">
        <v>160</v>
      </c>
      <c r="C63" s="3">
        <v>4</v>
      </c>
      <c r="D63" s="2">
        <v>5521</v>
      </c>
      <c r="E63" s="2" t="s">
        <v>47</v>
      </c>
      <c r="F63" s="2" t="s">
        <v>171</v>
      </c>
      <c r="G63" s="2" t="s">
        <v>219</v>
      </c>
      <c r="H63" s="2" t="s">
        <v>42</v>
      </c>
      <c r="I63" s="2" t="s">
        <v>159</v>
      </c>
      <c r="J63" s="2" t="b">
        <v>1</v>
      </c>
      <c r="K63" s="2" t="s">
        <v>20</v>
      </c>
      <c r="L63" s="2" t="s">
        <v>128</v>
      </c>
      <c r="M63" s="2" t="s">
        <v>22</v>
      </c>
      <c r="N63" s="2" t="b">
        <v>0</v>
      </c>
    </row>
    <row r="64" spans="1:14" ht="12.75" x14ac:dyDescent="0.2">
      <c r="A64" s="1">
        <v>43585.925937268519</v>
      </c>
      <c r="B64" s="2" t="s">
        <v>155</v>
      </c>
      <c r="C64" s="3">
        <v>5</v>
      </c>
      <c r="D64" s="2">
        <v>5521</v>
      </c>
      <c r="E64" s="2" t="s">
        <v>138</v>
      </c>
      <c r="F64" s="2" t="s">
        <v>35</v>
      </c>
      <c r="G64" s="2" t="s">
        <v>110</v>
      </c>
      <c r="H64" s="2" t="s">
        <v>74</v>
      </c>
      <c r="I64" s="2" t="s">
        <v>143</v>
      </c>
      <c r="J64" s="2" t="b">
        <v>1</v>
      </c>
      <c r="K64" s="2" t="s">
        <v>20</v>
      </c>
      <c r="L64" s="2" t="s">
        <v>21</v>
      </c>
      <c r="M64" s="2" t="s">
        <v>22</v>
      </c>
      <c r="N64" s="2" t="b">
        <v>0</v>
      </c>
    </row>
    <row r="65" spans="1:14" ht="12.75" x14ac:dyDescent="0.2">
      <c r="A65" s="1">
        <v>43585.973038275464</v>
      </c>
      <c r="B65" s="2" t="s">
        <v>163</v>
      </c>
      <c r="C65" s="3">
        <v>5</v>
      </c>
      <c r="D65" s="2">
        <v>5521</v>
      </c>
      <c r="E65" s="2" t="s">
        <v>165</v>
      </c>
      <c r="F65" s="2" t="s">
        <v>16</v>
      </c>
      <c r="G65" s="2" t="s">
        <v>67</v>
      </c>
      <c r="H65" s="2" t="s">
        <v>42</v>
      </c>
      <c r="I65" s="2" t="s">
        <v>124</v>
      </c>
      <c r="J65" s="2" t="b">
        <v>1</v>
      </c>
      <c r="K65" s="2" t="s">
        <v>20</v>
      </c>
      <c r="L65" s="2" t="s">
        <v>21</v>
      </c>
      <c r="M65" s="2" t="s">
        <v>22</v>
      </c>
      <c r="N65" s="2" t="b">
        <v>0</v>
      </c>
    </row>
    <row r="66" spans="1:14" ht="12.75" x14ac:dyDescent="0.2">
      <c r="A66" s="1">
        <v>43585.993792800931</v>
      </c>
      <c r="B66" s="2" t="s">
        <v>164</v>
      </c>
      <c r="C66" s="3">
        <v>2</v>
      </c>
      <c r="D66" s="2">
        <v>5521</v>
      </c>
      <c r="E66" s="2" t="s">
        <v>255</v>
      </c>
      <c r="F66" s="2" t="s">
        <v>83</v>
      </c>
      <c r="G66" s="2" t="s">
        <v>17</v>
      </c>
      <c r="H66" s="2" t="s">
        <v>42</v>
      </c>
      <c r="I66" s="2" t="s">
        <v>106</v>
      </c>
      <c r="J66" s="2" t="b">
        <v>1</v>
      </c>
      <c r="K66" s="2" t="s">
        <v>44</v>
      </c>
      <c r="L66" s="2" t="s">
        <v>64</v>
      </c>
      <c r="M66" s="2" t="s">
        <v>32</v>
      </c>
      <c r="N66" s="2" t="b">
        <v>1</v>
      </c>
    </row>
    <row r="67" spans="1:14" ht="12.75" x14ac:dyDescent="0.2">
      <c r="A67" s="1">
        <v>43586.716109467598</v>
      </c>
      <c r="B67" s="2" t="s">
        <v>157</v>
      </c>
      <c r="C67" s="3">
        <v>3</v>
      </c>
      <c r="D67" s="2">
        <v>5521</v>
      </c>
      <c r="E67" s="2" t="s">
        <v>47</v>
      </c>
      <c r="F67" s="2" t="s">
        <v>16</v>
      </c>
      <c r="G67" s="2" t="s">
        <v>67</v>
      </c>
      <c r="H67" s="2" t="s">
        <v>55</v>
      </c>
      <c r="I67" s="2" t="s">
        <v>159</v>
      </c>
      <c r="J67" s="2" t="b">
        <v>1</v>
      </c>
      <c r="K67" s="2" t="s">
        <v>247</v>
      </c>
      <c r="L67" s="2" t="s">
        <v>128</v>
      </c>
      <c r="M67" s="2" t="s">
        <v>22</v>
      </c>
      <c r="N67" s="2" t="b">
        <v>1</v>
      </c>
    </row>
    <row r="68" spans="1:14" ht="12.75" x14ac:dyDescent="0.2">
      <c r="A68" s="1">
        <v>43586.723113807871</v>
      </c>
      <c r="B68" s="2" t="s">
        <v>152</v>
      </c>
      <c r="C68" s="3">
        <v>5</v>
      </c>
      <c r="D68" s="2">
        <v>5521</v>
      </c>
      <c r="E68" s="2" t="s">
        <v>256</v>
      </c>
      <c r="F68" s="2" t="s">
        <v>70</v>
      </c>
      <c r="G68" s="2" t="s">
        <v>67</v>
      </c>
      <c r="H68" s="2" t="s">
        <v>25</v>
      </c>
      <c r="I68" s="2" t="s">
        <v>50</v>
      </c>
      <c r="J68" s="2" t="b">
        <v>1</v>
      </c>
      <c r="K68" s="2" t="s">
        <v>31</v>
      </c>
      <c r="L68" s="2" t="s">
        <v>21</v>
      </c>
      <c r="M68" s="2" t="s">
        <v>22</v>
      </c>
      <c r="N68" s="2" t="b">
        <v>0</v>
      </c>
    </row>
    <row r="69" spans="1:14" ht="12.75" x14ac:dyDescent="0.2">
      <c r="A69" s="1">
        <v>43586.813657280094</v>
      </c>
      <c r="B69" s="2" t="s">
        <v>162</v>
      </c>
      <c r="C69" s="3">
        <v>3</v>
      </c>
      <c r="D69" s="2">
        <v>5521</v>
      </c>
      <c r="E69" s="2" t="s">
        <v>69</v>
      </c>
      <c r="F69" s="2" t="s">
        <v>94</v>
      </c>
      <c r="G69" s="2" t="s">
        <v>219</v>
      </c>
      <c r="H69" s="2" t="s">
        <v>42</v>
      </c>
      <c r="I69" s="2" t="s">
        <v>26</v>
      </c>
      <c r="J69" s="2" t="b">
        <v>1</v>
      </c>
      <c r="K69" s="2" t="s">
        <v>20</v>
      </c>
      <c r="L69" s="2" t="s">
        <v>128</v>
      </c>
      <c r="M69" s="2" t="s">
        <v>46</v>
      </c>
      <c r="N69" s="2" t="b">
        <v>0</v>
      </c>
    </row>
    <row r="70" spans="1:14" ht="12.75" x14ac:dyDescent="0.2">
      <c r="A70" s="1">
        <v>43586.978656261577</v>
      </c>
      <c r="B70" s="2" t="s">
        <v>154</v>
      </c>
      <c r="C70" s="3">
        <v>4</v>
      </c>
      <c r="D70" s="2">
        <v>5521</v>
      </c>
      <c r="E70" s="2" t="s">
        <v>257</v>
      </c>
      <c r="F70" s="2" t="s">
        <v>62</v>
      </c>
      <c r="G70" s="2" t="s">
        <v>110</v>
      </c>
      <c r="H70" s="2" t="s">
        <v>42</v>
      </c>
      <c r="I70" s="2" t="s">
        <v>26</v>
      </c>
      <c r="J70" s="2" t="b">
        <v>1</v>
      </c>
      <c r="K70" s="2" t="s">
        <v>20</v>
      </c>
      <c r="L70" s="2" t="s">
        <v>45</v>
      </c>
      <c r="M70" s="2" t="s">
        <v>22</v>
      </c>
      <c r="N70" s="2" t="b">
        <v>0</v>
      </c>
    </row>
    <row r="71" spans="1:14" ht="12.75" x14ac:dyDescent="0.2">
      <c r="A71" s="1">
        <v>43587.549915185184</v>
      </c>
      <c r="B71" s="2" t="s">
        <v>258</v>
      </c>
      <c r="C71" s="3">
        <v>4</v>
      </c>
      <c r="D71" s="2">
        <v>5521</v>
      </c>
      <c r="E71" s="2" t="s">
        <v>61</v>
      </c>
      <c r="F71" s="2" t="s">
        <v>16</v>
      </c>
      <c r="G71" s="2" t="s">
        <v>17</v>
      </c>
      <c r="H71" s="2" t="s">
        <v>42</v>
      </c>
      <c r="I71" s="2" t="s">
        <v>50</v>
      </c>
      <c r="J71" s="2" t="b">
        <v>1</v>
      </c>
      <c r="K71" s="2" t="s">
        <v>20</v>
      </c>
      <c r="L71" s="2" t="s">
        <v>45</v>
      </c>
      <c r="M71" s="2" t="s">
        <v>22</v>
      </c>
      <c r="N71" s="2" t="b">
        <v>0</v>
      </c>
    </row>
    <row r="72" spans="1:14" ht="12.75" x14ac:dyDescent="0.2">
      <c r="A72" s="1">
        <v>43587.992206597221</v>
      </c>
      <c r="B72" s="2" t="s">
        <v>168</v>
      </c>
      <c r="C72" s="3">
        <v>5</v>
      </c>
      <c r="D72" s="2">
        <v>5521</v>
      </c>
      <c r="E72" s="2" t="s">
        <v>61</v>
      </c>
      <c r="F72" s="2" t="s">
        <v>16</v>
      </c>
      <c r="G72" s="2" t="s">
        <v>63</v>
      </c>
      <c r="H72" s="2" t="s">
        <v>49</v>
      </c>
      <c r="I72" s="2" t="s">
        <v>72</v>
      </c>
      <c r="J72" s="2" t="b">
        <v>1</v>
      </c>
      <c r="K72" s="2" t="s">
        <v>20</v>
      </c>
      <c r="L72" s="2" t="s">
        <v>21</v>
      </c>
      <c r="M72" s="2" t="s">
        <v>22</v>
      </c>
      <c r="N72" s="2" t="b">
        <v>0</v>
      </c>
    </row>
    <row r="73" spans="1:14" ht="12.75" x14ac:dyDescent="0.2">
      <c r="A73" s="1">
        <v>43588.985462025463</v>
      </c>
      <c r="B73" s="2" t="s">
        <v>167</v>
      </c>
      <c r="C73" s="3">
        <v>3</v>
      </c>
      <c r="D73" s="2">
        <v>5521</v>
      </c>
      <c r="E73" s="2" t="s">
        <v>259</v>
      </c>
      <c r="F73" s="2" t="s">
        <v>16</v>
      </c>
      <c r="G73" s="2" t="s">
        <v>67</v>
      </c>
      <c r="H73" s="2" t="s">
        <v>42</v>
      </c>
      <c r="I73" s="2" t="s">
        <v>101</v>
      </c>
      <c r="J73" s="2" t="b">
        <v>1</v>
      </c>
      <c r="K73" s="2" t="s">
        <v>31</v>
      </c>
      <c r="L73" s="2" t="s">
        <v>21</v>
      </c>
      <c r="M73" s="2" t="s">
        <v>22</v>
      </c>
      <c r="N73" s="2" t="b">
        <v>1</v>
      </c>
    </row>
    <row r="74" spans="1:14" ht="12.75" x14ac:dyDescent="0.2">
      <c r="A74" s="1">
        <v>43585.019623032407</v>
      </c>
      <c r="B74" s="2" t="s">
        <v>179</v>
      </c>
      <c r="C74" s="3">
        <v>6</v>
      </c>
      <c r="D74" s="2">
        <v>6541</v>
      </c>
      <c r="E74" s="2" t="s">
        <v>15</v>
      </c>
      <c r="F74" s="2" t="s">
        <v>80</v>
      </c>
      <c r="G74" s="2" t="s">
        <v>67</v>
      </c>
      <c r="H74" s="2" t="s">
        <v>25</v>
      </c>
      <c r="I74" s="2" t="s">
        <v>143</v>
      </c>
      <c r="J74" s="2" t="b">
        <v>1</v>
      </c>
      <c r="K74" s="2" t="s">
        <v>20</v>
      </c>
      <c r="L74" s="2" t="s">
        <v>128</v>
      </c>
      <c r="M74" s="2" t="s">
        <v>22</v>
      </c>
      <c r="N74" s="2" t="b">
        <v>0</v>
      </c>
    </row>
    <row r="75" spans="1:14" ht="12.75" x14ac:dyDescent="0.2">
      <c r="A75" s="1">
        <v>43585.02664600694</v>
      </c>
      <c r="B75" s="2" t="s">
        <v>183</v>
      </c>
      <c r="C75" s="3">
        <v>2</v>
      </c>
      <c r="D75" s="2">
        <v>6541</v>
      </c>
      <c r="E75" s="2" t="s">
        <v>260</v>
      </c>
      <c r="F75" s="2" t="s">
        <v>16</v>
      </c>
      <c r="G75" s="2" t="s">
        <v>24</v>
      </c>
      <c r="H75" s="2" t="s">
        <v>74</v>
      </c>
      <c r="I75" s="2" t="s">
        <v>43</v>
      </c>
      <c r="J75" s="2" t="b">
        <v>1</v>
      </c>
      <c r="K75" s="2" t="s">
        <v>37</v>
      </c>
      <c r="L75" s="2" t="s">
        <v>128</v>
      </c>
      <c r="M75" s="2" t="s">
        <v>22</v>
      </c>
      <c r="N75" s="2" t="b">
        <v>1</v>
      </c>
    </row>
    <row r="76" spans="1:14" ht="12.75" x14ac:dyDescent="0.2">
      <c r="A76" s="1">
        <v>43585.075777256949</v>
      </c>
      <c r="B76" s="2" t="s">
        <v>180</v>
      </c>
      <c r="C76" s="3">
        <v>5</v>
      </c>
      <c r="D76" s="2">
        <v>6541</v>
      </c>
      <c r="E76" s="2" t="s">
        <v>252</v>
      </c>
      <c r="F76" s="2" t="s">
        <v>16</v>
      </c>
      <c r="G76" s="2" t="s">
        <v>67</v>
      </c>
      <c r="H76" s="2" t="s">
        <v>42</v>
      </c>
      <c r="I76" s="2" t="s">
        <v>26</v>
      </c>
      <c r="J76" s="2" t="b">
        <v>1</v>
      </c>
      <c r="K76" s="2" t="s">
        <v>20</v>
      </c>
      <c r="L76" s="2" t="s">
        <v>128</v>
      </c>
      <c r="M76" s="2" t="s">
        <v>22</v>
      </c>
      <c r="N76" s="2" t="b">
        <v>0</v>
      </c>
    </row>
    <row r="77" spans="1:14" ht="12.75" x14ac:dyDescent="0.2">
      <c r="A77" s="1">
        <v>43585.743143981483</v>
      </c>
      <c r="B77" s="2" t="s">
        <v>175</v>
      </c>
      <c r="C77" s="3">
        <v>3</v>
      </c>
      <c r="D77" s="2">
        <v>6541</v>
      </c>
      <c r="E77" s="2" t="s">
        <v>261</v>
      </c>
      <c r="F77" s="2" t="s">
        <v>39</v>
      </c>
      <c r="G77" s="2" t="s">
        <v>219</v>
      </c>
      <c r="H77" s="2" t="s">
        <v>55</v>
      </c>
      <c r="I77" s="2" t="s">
        <v>50</v>
      </c>
      <c r="J77" s="2" t="b">
        <v>1</v>
      </c>
      <c r="K77" s="2" t="s">
        <v>20</v>
      </c>
      <c r="L77" s="2" t="s">
        <v>45</v>
      </c>
      <c r="M77" s="2" t="s">
        <v>22</v>
      </c>
      <c r="N77" s="2" t="b">
        <v>1</v>
      </c>
    </row>
    <row r="78" spans="1:14" ht="12.75" x14ac:dyDescent="0.2">
      <c r="A78" s="1">
        <v>43585.747281354168</v>
      </c>
      <c r="B78" s="2" t="s">
        <v>173</v>
      </c>
      <c r="C78" s="3">
        <v>5</v>
      </c>
      <c r="D78" s="2">
        <v>6541</v>
      </c>
      <c r="E78" s="2" t="s">
        <v>109</v>
      </c>
      <c r="F78" s="2" t="s">
        <v>62</v>
      </c>
      <c r="G78" s="2" t="s">
        <v>54</v>
      </c>
      <c r="H78" s="2" t="s">
        <v>42</v>
      </c>
      <c r="I78" s="2" t="s">
        <v>143</v>
      </c>
      <c r="J78" s="2" t="b">
        <v>1</v>
      </c>
      <c r="K78" s="2" t="s">
        <v>20</v>
      </c>
      <c r="L78" s="2" t="s">
        <v>64</v>
      </c>
      <c r="M78" s="2" t="s">
        <v>22</v>
      </c>
      <c r="N78" s="2" t="b">
        <v>0</v>
      </c>
    </row>
    <row r="79" spans="1:14" ht="12.75" x14ac:dyDescent="0.2">
      <c r="A79" s="1">
        <v>43586.825954965279</v>
      </c>
      <c r="B79" s="2" t="s">
        <v>176</v>
      </c>
      <c r="C79" s="3">
        <v>5</v>
      </c>
      <c r="D79" s="2">
        <v>6541</v>
      </c>
      <c r="E79" s="2" t="s">
        <v>177</v>
      </c>
      <c r="F79" s="2" t="s">
        <v>16</v>
      </c>
      <c r="G79" s="2" t="s">
        <v>67</v>
      </c>
      <c r="H79" s="2" t="s">
        <v>42</v>
      </c>
      <c r="I79" s="2" t="s">
        <v>26</v>
      </c>
      <c r="J79" s="2" t="b">
        <v>1</v>
      </c>
      <c r="K79" s="2" t="s">
        <v>20</v>
      </c>
      <c r="L79" s="2" t="s">
        <v>21</v>
      </c>
      <c r="M79" s="2" t="s">
        <v>22</v>
      </c>
      <c r="N79" s="2" t="b">
        <v>0</v>
      </c>
    </row>
    <row r="80" spans="1:14" ht="12.75" x14ac:dyDescent="0.2">
      <c r="A80" s="1">
        <v>43586.884727303244</v>
      </c>
      <c r="B80" s="2" t="s">
        <v>182</v>
      </c>
      <c r="C80" s="3">
        <v>4</v>
      </c>
      <c r="D80" s="2">
        <v>6541</v>
      </c>
      <c r="E80" s="2" t="s">
        <v>262</v>
      </c>
      <c r="F80" s="2" t="s">
        <v>166</v>
      </c>
      <c r="G80" s="2" t="s">
        <v>115</v>
      </c>
      <c r="H80" s="2" t="s">
        <v>55</v>
      </c>
      <c r="I80" s="2" t="s">
        <v>72</v>
      </c>
      <c r="J80" s="2" t="b">
        <v>1</v>
      </c>
      <c r="K80" s="2" t="s">
        <v>31</v>
      </c>
      <c r="L80" s="2" t="s">
        <v>64</v>
      </c>
      <c r="M80" s="2" t="s">
        <v>46</v>
      </c>
      <c r="N80" s="2" t="b">
        <v>0</v>
      </c>
    </row>
    <row r="81" spans="1:14" ht="12.75" x14ac:dyDescent="0.2">
      <c r="A81" s="1">
        <v>43587.052570856482</v>
      </c>
      <c r="B81" s="2" t="s">
        <v>181</v>
      </c>
      <c r="C81" s="3">
        <v>5</v>
      </c>
      <c r="D81" s="2">
        <v>6541</v>
      </c>
      <c r="E81" s="2" t="s">
        <v>222</v>
      </c>
      <c r="F81" s="2" t="s">
        <v>16</v>
      </c>
      <c r="G81" s="2" t="s">
        <v>86</v>
      </c>
      <c r="H81" s="2" t="s">
        <v>42</v>
      </c>
      <c r="I81" s="2" t="s">
        <v>72</v>
      </c>
      <c r="J81" s="2" t="b">
        <v>1</v>
      </c>
      <c r="K81" s="2" t="s">
        <v>20</v>
      </c>
      <c r="L81" s="2" t="s">
        <v>64</v>
      </c>
      <c r="M81" s="2" t="s">
        <v>32</v>
      </c>
      <c r="N81" s="2" t="b">
        <v>0</v>
      </c>
    </row>
    <row r="82" spans="1:14" ht="12.75" x14ac:dyDescent="0.2">
      <c r="A82" s="1">
        <v>43587.841133541668</v>
      </c>
      <c r="B82" s="2" t="s">
        <v>170</v>
      </c>
      <c r="C82" s="3">
        <v>3</v>
      </c>
      <c r="D82" s="2">
        <v>6541</v>
      </c>
      <c r="E82" s="2" t="s">
        <v>61</v>
      </c>
      <c r="F82" s="2" t="s">
        <v>114</v>
      </c>
      <c r="G82" s="2" t="s">
        <v>17</v>
      </c>
      <c r="H82" s="2" t="s">
        <v>74</v>
      </c>
      <c r="I82" s="2" t="s">
        <v>122</v>
      </c>
      <c r="J82" s="2" t="b">
        <v>1</v>
      </c>
      <c r="K82" s="2" t="s">
        <v>31</v>
      </c>
      <c r="L82" s="2" t="s">
        <v>128</v>
      </c>
      <c r="M82" s="2" t="s">
        <v>22</v>
      </c>
      <c r="N82" s="2" t="b">
        <v>0</v>
      </c>
    </row>
    <row r="83" spans="1:14" ht="12.75" x14ac:dyDescent="0.2">
      <c r="A83" s="1">
        <v>43588.566203634255</v>
      </c>
      <c r="B83" s="2" t="s">
        <v>184</v>
      </c>
      <c r="C83" s="3">
        <v>5</v>
      </c>
      <c r="D83" s="2">
        <v>6541</v>
      </c>
      <c r="E83" s="2" t="s">
        <v>229</v>
      </c>
      <c r="F83" s="2" t="s">
        <v>70</v>
      </c>
      <c r="G83" s="2" t="s">
        <v>24</v>
      </c>
      <c r="H83" s="2" t="s">
        <v>25</v>
      </c>
      <c r="I83" s="2" t="s">
        <v>26</v>
      </c>
      <c r="J83" s="2" t="b">
        <v>1</v>
      </c>
      <c r="K83" s="2" t="s">
        <v>20</v>
      </c>
      <c r="L83" s="2" t="s">
        <v>45</v>
      </c>
      <c r="M83" s="2" t="s">
        <v>22</v>
      </c>
      <c r="N83" s="2" t="b">
        <v>0</v>
      </c>
    </row>
    <row r="84" spans="1:14" ht="12.75" x14ac:dyDescent="0.2">
      <c r="A84" s="1">
        <v>43588.608976203701</v>
      </c>
      <c r="B84" s="2" t="s">
        <v>172</v>
      </c>
      <c r="C84" s="3">
        <v>1</v>
      </c>
      <c r="D84" s="2">
        <v>6541</v>
      </c>
      <c r="E84" s="2" t="s">
        <v>252</v>
      </c>
      <c r="F84" s="2" t="s">
        <v>62</v>
      </c>
      <c r="G84" s="2" t="s">
        <v>24</v>
      </c>
      <c r="H84" s="2" t="s">
        <v>74</v>
      </c>
      <c r="I84" s="2" t="s">
        <v>50</v>
      </c>
      <c r="J84" s="2" t="b">
        <v>1</v>
      </c>
      <c r="K84" s="2" t="s">
        <v>37</v>
      </c>
      <c r="L84" s="2" t="s">
        <v>21</v>
      </c>
      <c r="M84" s="2" t="s">
        <v>81</v>
      </c>
      <c r="N84" s="2" t="b">
        <v>1</v>
      </c>
    </row>
    <row r="85" spans="1:14" ht="12.75" x14ac:dyDescent="0.2">
      <c r="A85" s="1">
        <v>43588.770130590274</v>
      </c>
      <c r="B85" s="2" t="s">
        <v>185</v>
      </c>
      <c r="C85" s="3">
        <v>4</v>
      </c>
      <c r="D85" s="2">
        <v>6541</v>
      </c>
      <c r="E85" s="2" t="s">
        <v>222</v>
      </c>
      <c r="F85" s="2" t="s">
        <v>80</v>
      </c>
      <c r="G85" s="2" t="s">
        <v>24</v>
      </c>
      <c r="H85" s="2" t="s">
        <v>42</v>
      </c>
      <c r="I85" s="2" t="s">
        <v>106</v>
      </c>
      <c r="J85" s="2" t="b">
        <v>1</v>
      </c>
      <c r="K85" s="2" t="s">
        <v>20</v>
      </c>
      <c r="L85" s="2" t="s">
        <v>128</v>
      </c>
      <c r="M85" s="2" t="s">
        <v>22</v>
      </c>
      <c r="N85" s="2" t="b">
        <v>0</v>
      </c>
    </row>
    <row r="86" spans="1:14" ht="12.75" x14ac:dyDescent="0.2">
      <c r="A86" s="1">
        <v>43588.912717395833</v>
      </c>
      <c r="B86" s="2" t="s">
        <v>263</v>
      </c>
      <c r="C86" s="3">
        <v>5</v>
      </c>
      <c r="D86" s="2">
        <v>6541</v>
      </c>
      <c r="E86" s="2" t="s">
        <v>138</v>
      </c>
      <c r="F86" s="2" t="s">
        <v>16</v>
      </c>
      <c r="G86" s="2" t="s">
        <v>54</v>
      </c>
      <c r="H86" s="2" t="s">
        <v>25</v>
      </c>
      <c r="I86" s="2" t="s">
        <v>143</v>
      </c>
      <c r="J86" s="2" t="b">
        <v>1</v>
      </c>
      <c r="K86" s="2" t="s">
        <v>20</v>
      </c>
      <c r="L86" s="2" t="s">
        <v>21</v>
      </c>
      <c r="M86" s="2" t="s">
        <v>22</v>
      </c>
      <c r="N86" s="2" t="b">
        <v>0</v>
      </c>
    </row>
    <row r="87" spans="1:14" ht="12.75" x14ac:dyDescent="0.2">
      <c r="A87" s="1"/>
      <c r="B87" s="2"/>
      <c r="C87" s="3"/>
      <c r="D87" s="2"/>
      <c r="E87" s="2"/>
      <c r="F87" s="2"/>
      <c r="G87" s="2"/>
      <c r="H87" s="2"/>
      <c r="I87" s="2"/>
      <c r="J87" s="2"/>
      <c r="K87" s="2"/>
      <c r="L87" s="2"/>
      <c r="M87" s="2"/>
      <c r="N87"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92"/>
  <sheetViews>
    <sheetView topLeftCell="F1" workbookViewId="0">
      <pane ySplit="1" topLeftCell="A52" activePane="bottomLeft" state="frozen"/>
      <selection activeCell="K1" sqref="K1"/>
      <selection pane="bottomLeft" activeCell="X91" sqref="X91"/>
    </sheetView>
  </sheetViews>
  <sheetFormatPr defaultRowHeight="12.75" x14ac:dyDescent="0.2"/>
  <cols>
    <col min="1" max="1" width="9.140625" style="4"/>
    <col min="13" max="13" width="14.140625" customWidth="1"/>
    <col min="17" max="17" width="12.140625" bestFit="1" customWidth="1"/>
    <col min="19" max="19" width="9.140625" style="7"/>
    <col min="25" max="25" width="9.140625" style="7"/>
    <col min="31" max="31" width="9.140625" style="7"/>
    <col min="38" max="38" width="9.140625" style="7"/>
    <col min="40" max="40" width="9.140625" style="7"/>
    <col min="46" max="46" width="9.140625" style="7"/>
    <col min="49" max="49" width="9.140625" style="7"/>
    <col min="54" max="54" width="9.140625" style="7"/>
    <col min="56" max="56" width="9.140625" style="7"/>
  </cols>
  <sheetData>
    <row r="1" spans="1:56" x14ac:dyDescent="0.2">
      <c r="A1" s="31" t="s">
        <v>186</v>
      </c>
      <c r="B1" s="31" t="s">
        <v>187</v>
      </c>
      <c r="C1" s="31"/>
      <c r="D1" s="31"/>
      <c r="E1" s="31"/>
      <c r="F1" s="31"/>
      <c r="G1" s="31"/>
      <c r="H1" s="31"/>
      <c r="I1" s="31"/>
      <c r="J1" s="31"/>
      <c r="K1" s="31"/>
      <c r="L1" s="31"/>
      <c r="M1" s="31" t="s">
        <v>188</v>
      </c>
      <c r="N1" s="31"/>
      <c r="O1" s="31"/>
      <c r="P1" s="31"/>
      <c r="Q1" s="31"/>
      <c r="R1" s="31"/>
      <c r="S1" s="31"/>
      <c r="T1" s="31" t="s">
        <v>189</v>
      </c>
      <c r="U1" s="31"/>
      <c r="V1" s="31"/>
      <c r="W1" s="31"/>
      <c r="X1" s="31"/>
      <c r="Y1" s="31"/>
      <c r="Z1" s="31" t="s">
        <v>190</v>
      </c>
      <c r="AA1" s="31"/>
      <c r="AB1" s="31"/>
      <c r="AC1" s="31"/>
      <c r="AD1" s="31"/>
      <c r="AE1" s="31"/>
      <c r="AF1" s="30" t="s">
        <v>191</v>
      </c>
      <c r="AG1" s="31"/>
      <c r="AH1" s="31"/>
      <c r="AI1" s="31"/>
      <c r="AJ1" s="31"/>
      <c r="AK1" s="31"/>
      <c r="AL1" s="31"/>
      <c r="AM1" s="30" t="s">
        <v>192</v>
      </c>
      <c r="AN1" s="30"/>
      <c r="AO1" s="30" t="s">
        <v>193</v>
      </c>
      <c r="AP1" s="30"/>
      <c r="AQ1" s="30"/>
      <c r="AR1" s="30"/>
      <c r="AS1" s="30"/>
      <c r="AT1" s="30"/>
      <c r="AU1" s="30" t="s">
        <v>194</v>
      </c>
      <c r="AV1" s="31"/>
      <c r="AW1" s="31"/>
      <c r="AX1" s="30" t="s">
        <v>195</v>
      </c>
      <c r="AY1" s="30"/>
      <c r="AZ1" s="30"/>
      <c r="BA1" s="30"/>
      <c r="BB1" s="31"/>
      <c r="BC1" s="30" t="s">
        <v>196</v>
      </c>
      <c r="BD1" s="31"/>
    </row>
    <row r="2" spans="1:56" x14ac:dyDescent="0.2">
      <c r="A2" s="31"/>
      <c r="B2" s="12" t="s">
        <v>113</v>
      </c>
      <c r="C2" s="12" t="s">
        <v>41</v>
      </c>
      <c r="D2" s="11" t="s">
        <v>138</v>
      </c>
      <c r="E2" s="11" t="s">
        <v>197</v>
      </c>
      <c r="F2" s="12" t="s">
        <v>91</v>
      </c>
      <c r="G2" s="11" t="s">
        <v>47</v>
      </c>
      <c r="H2" s="12" t="s">
        <v>66</v>
      </c>
      <c r="I2" s="11" t="s">
        <v>61</v>
      </c>
      <c r="J2" s="11" t="s">
        <v>177</v>
      </c>
      <c r="K2" s="9" t="s">
        <v>198</v>
      </c>
      <c r="L2" s="7" t="s">
        <v>201</v>
      </c>
      <c r="M2" s="10" t="s">
        <v>202</v>
      </c>
      <c r="N2" s="13" t="s">
        <v>203</v>
      </c>
      <c r="O2" s="13" t="s">
        <v>204</v>
      </c>
      <c r="P2" s="13" t="s">
        <v>205</v>
      </c>
      <c r="Q2" s="13" t="s">
        <v>207</v>
      </c>
      <c r="R2" s="9" t="s">
        <v>198</v>
      </c>
      <c r="S2" s="7" t="s">
        <v>201</v>
      </c>
      <c r="T2" s="10" t="s">
        <v>208</v>
      </c>
      <c r="U2" s="13" t="s">
        <v>209</v>
      </c>
      <c r="V2" s="10" t="s">
        <v>210</v>
      </c>
      <c r="W2" s="13" t="s">
        <v>211</v>
      </c>
      <c r="X2" s="14" t="s">
        <v>198</v>
      </c>
      <c r="Y2" s="15" t="s">
        <v>201</v>
      </c>
      <c r="Z2" s="12">
        <v>16</v>
      </c>
      <c r="AA2" s="11">
        <v>1.5</v>
      </c>
      <c r="AB2" s="12">
        <v>0.2</v>
      </c>
      <c r="AC2" s="13" t="s">
        <v>74</v>
      </c>
      <c r="AD2" t="s">
        <v>198</v>
      </c>
      <c r="AE2" s="7" t="s">
        <v>201</v>
      </c>
      <c r="AF2" s="13" t="s">
        <v>212</v>
      </c>
      <c r="AG2" s="10" t="s">
        <v>213</v>
      </c>
      <c r="AH2" s="10" t="s">
        <v>214</v>
      </c>
      <c r="AI2" s="13" t="s">
        <v>215</v>
      </c>
      <c r="AJ2" s="13" t="s">
        <v>216</v>
      </c>
      <c r="AK2" s="9" t="s">
        <v>198</v>
      </c>
      <c r="AL2" s="7" t="s">
        <v>201</v>
      </c>
      <c r="AM2" s="11" t="b">
        <v>1</v>
      </c>
      <c r="AN2" s="7" t="s">
        <v>201</v>
      </c>
      <c r="AO2" s="10" t="s">
        <v>217</v>
      </c>
      <c r="AP2" s="21" t="s">
        <v>267</v>
      </c>
      <c r="AQ2" s="21" t="s">
        <v>268</v>
      </c>
      <c r="AR2" s="21" t="s">
        <v>269</v>
      </c>
      <c r="AS2" s="21" t="s">
        <v>270</v>
      </c>
      <c r="AT2" s="7" t="s">
        <v>201</v>
      </c>
      <c r="AU2" s="10" t="s">
        <v>64</v>
      </c>
      <c r="AV2" s="9" t="s">
        <v>218</v>
      </c>
      <c r="AW2" s="15" t="s">
        <v>201</v>
      </c>
      <c r="AX2" s="14" t="s">
        <v>271</v>
      </c>
      <c r="AY2" s="14" t="s">
        <v>272</v>
      </c>
      <c r="AZ2" s="14" t="s">
        <v>273</v>
      </c>
      <c r="BA2" s="14" t="s">
        <v>274</v>
      </c>
      <c r="BB2" s="15" t="s">
        <v>201</v>
      </c>
      <c r="BC2" t="b">
        <v>0</v>
      </c>
      <c r="BD2" s="15" t="s">
        <v>201</v>
      </c>
    </row>
    <row r="3" spans="1:56" x14ac:dyDescent="0.2">
      <c r="A3" s="4">
        <v>1</v>
      </c>
      <c r="B3">
        <f>IF(ISNUMBER(SEARCH("Line 4", 'Form Responses 1'!E2)), -1, 0)</f>
        <v>0</v>
      </c>
      <c r="C3">
        <f>IF(ISNUMBER(SEARCH("Line 5", 'Form Responses 1'!E2)), -1, 0)</f>
        <v>0</v>
      </c>
      <c r="D3">
        <f>IF(ISNUMBER(SEARCH("Line 8", 'Form Responses 1'!E2)), 1, 0)</f>
        <v>0</v>
      </c>
      <c r="E3">
        <f>IF(ISNUMBER(SEARCH("Line 13", 'Form Responses 1'!E2)), 1, 0)</f>
        <v>0</v>
      </c>
      <c r="F3">
        <f>IF(ISNUMBER(SEARCH("Line 14", 'Form Responses 1'!E2)), -1, 0)</f>
        <v>0</v>
      </c>
      <c r="G3">
        <f>IF(ISNUMBER(SEARCH("Line 15", 'Form Responses 1'!E2)), 1, 0)</f>
        <v>1</v>
      </c>
      <c r="H3">
        <f>IF(ISNUMBER(SEARCH("Line 16", 'Form Responses 1'!E2)), -1, 0)</f>
        <v>0</v>
      </c>
      <c r="I3">
        <f>IF(ISNUMBER(SEARCH("Line 17", 'Form Responses 1'!E2)), 1, 0)</f>
        <v>1</v>
      </c>
      <c r="J3">
        <f>IF(ISNUMBER(SEARCH("Line 19", 'Form Responses 1'!E2)), 1, 0)</f>
        <v>0</v>
      </c>
      <c r="K3">
        <f>SUM(B3:J3)</f>
        <v>2</v>
      </c>
      <c r="L3" s="8">
        <f>MIN(4,MAX(0,B3+C3+D3+E3*2+F3+G3+H3+I3+2*J3))</f>
        <v>2</v>
      </c>
      <c r="M3">
        <f>IF(ISNUMBER(SEARCH("Transmit data", 'Form Responses 1'!F2)), 1, 0)</f>
        <v>1</v>
      </c>
      <c r="N3">
        <f>IF(ISNUMBER(SEARCH("Alter", 'Form Responses 1'!F2)), -1, 0)</f>
        <v>0</v>
      </c>
      <c r="O3">
        <f>IF(ISNUMBER(SEARCH("Change", 'Form Responses 1'!F2)), -1, 0)</f>
        <v>0</v>
      </c>
      <c r="P3">
        <f>IF(ISNUMBER(SEARCH("Remove", 'Form Responses 1'!F2)), -1, 0)</f>
        <v>0</v>
      </c>
      <c r="Q3">
        <f>IF(ISNUMBER(SEARCH("unintelligible", 'Form Responses 1'!F2)), -1, 0)</f>
        <v>-1</v>
      </c>
      <c r="R3">
        <f>M3*4+0.75*SUM(N3:Q3)</f>
        <v>3.25</v>
      </c>
      <c r="S3" s="7">
        <f>+MAX(0,R3)</f>
        <v>3.25</v>
      </c>
      <c r="T3">
        <f>IF(ISNUMBER(SEARCH("sensors", 'Form Responses 1'!G2)), 1, 0)</f>
        <v>1</v>
      </c>
      <c r="U3">
        <f>IF(ISNUMBER(SEARCH("actuators", 'Form Responses 1'!G2)), -1, 0)</f>
        <v>-1</v>
      </c>
      <c r="V3">
        <f>IF(ISNUMBER(SEARCH("Switch", 'Form Responses 1'!G2)), 1, 0)</f>
        <v>0</v>
      </c>
      <c r="W3">
        <f>IF(ISNUMBER(SEARCH("PID", 'Form Responses 1'!G2)), -1, 0)</f>
        <v>-1</v>
      </c>
      <c r="X3">
        <f>T3*2+U3*1+V3*2+W3*1</f>
        <v>0</v>
      </c>
      <c r="Y3" s="7">
        <f>MAX(0,X3)</f>
        <v>0</v>
      </c>
      <c r="Z3">
        <f>IF(ISNUMBER(SEARCH("16", 'Form Responses 1'!H2)), -1, 0)</f>
        <v>-1</v>
      </c>
      <c r="AA3">
        <f>IF(ISNUMBER(SEARCH("1.5", 'Form Responses 1'!H2)), 1, 0)</f>
        <v>0</v>
      </c>
      <c r="AB3">
        <f>IF(ISNUMBER(SEARCH("0.2", 'Form Responses 1'!H2)), -1, 0)</f>
        <v>-1</v>
      </c>
      <c r="AC3">
        <f>IF(ISNUMBER(SEARCH("None", 'Form Responses 1'!H2)), -1, 0)</f>
        <v>0</v>
      </c>
      <c r="AD3">
        <f>Z3+AB3*2+AC3*(-2)+4*AA3</f>
        <v>-3</v>
      </c>
      <c r="AE3" s="7">
        <f>MAX(0,AD3)</f>
        <v>0</v>
      </c>
      <c r="AF3">
        <f>IF(ISNUMBER(SEARCH("Small", 'Form Responses 1'!I2)), -1, 0)</f>
        <v>0</v>
      </c>
      <c r="AG3">
        <f>IF(ISNUMBER(SEARCH("IMU", 'Form Responses 1'!I2)), 1, 0)</f>
        <v>1</v>
      </c>
      <c r="AH3">
        <f>IF(ISNUMBER(SEARCH("CAN", 'Form Responses 1'!I2)), 1, 0)</f>
        <v>1</v>
      </c>
      <c r="AI3">
        <f>IF(ISNUMBER(SEARCH("High", 'Form Responses 1'!I2)), -1, 0)</f>
        <v>0</v>
      </c>
      <c r="AJ3">
        <f>IF(ISNUMBER(SEARCH("Spoofing", 'Form Responses 1'!I2)), -1, 0)</f>
        <v>0</v>
      </c>
      <c r="AK3">
        <f>-1*AF3+AG3*2+AH3*2+AI3+AJ3</f>
        <v>4</v>
      </c>
      <c r="AL3" s="7">
        <f>MIN(4,MAX(AK3,0))</f>
        <v>4</v>
      </c>
      <c r="AM3">
        <f>IF('Form Responses 1'!J2, 1, 0)</f>
        <v>1</v>
      </c>
      <c r="AN3" s="7">
        <f>AM3*4</f>
        <v>4</v>
      </c>
      <c r="AO3">
        <f>IF(ISNUMBER(SEARCH("Increase the integral gain", 'Form Responses 1'!K2)), 1, 0)</f>
        <v>0</v>
      </c>
      <c r="AP3">
        <f>IF(ISNUMBER(SEARCH("Increase the proportional gain", 'Form Responses 1'!K2)), 1, 0)</f>
        <v>0</v>
      </c>
      <c r="AQ3">
        <f>IF(ISNUMBER(SEARCH("increasing the integral gain", 'Form Responses 1'!K2)), 1, 0)</f>
        <v>0</v>
      </c>
      <c r="AR3">
        <f>IF(ISNUMBER(SEARCH("Decrease the proportional gain (Kp) and increase the derivative gain (Kd)", 'Form Responses 1'!K2)), 1, 0)</f>
        <v>1</v>
      </c>
      <c r="AS3">
        <f>IF(ISNUMBER(SEARCH("Decrease the proportional gain", 'Form Responses 1'!K2)), 1, 0)</f>
        <v>1</v>
      </c>
      <c r="AT3" s="7">
        <f>4*AO3+AP3*1+AQ3*1.3+AR3*1+AS3*1</f>
        <v>2</v>
      </c>
      <c r="AU3">
        <f>IF(ISNUMBER(SEARCH("Measurement", 'Form Responses 1'!L2)), 1, 0)</f>
        <v>0</v>
      </c>
      <c r="AV3">
        <f>IF(ISNUMBER(SEARCH("All of the above",'Form Responses 1'!L2)),1,0)</f>
        <v>0</v>
      </c>
      <c r="AW3" s="7">
        <f>AU3*4+AV3*2</f>
        <v>0</v>
      </c>
      <c r="AX3">
        <f>IF(ISNUMBER(SEARCH("recorded sensor data to the controller", 'Form Responses 1'!M2)), 1, 0)</f>
        <v>1</v>
      </c>
      <c r="AY3">
        <f>IF(ISNUMBER(SEARCH("record sensor data from", 'Form Responses 1'!M2)), 1, 0)</f>
        <v>0</v>
      </c>
      <c r="AZ3">
        <f>IF(ISNUMBER(SEARCH("record actuator data from",'Form Responses 1'!M2)),1,0)</f>
        <v>0</v>
      </c>
      <c r="BA3">
        <f>IF(ISNUMBER(SEARCH("recorded actuator data to the controller", 'Form Responses 1'!M2)), 1, 0)</f>
        <v>0</v>
      </c>
      <c r="BB3" s="7">
        <f>AX3*4+AY3*2+AZ3*2+BA3*0</f>
        <v>4</v>
      </c>
      <c r="BC3">
        <f>IF('Form Responses 1'!N2, 0, 1)</f>
        <v>1</v>
      </c>
      <c r="BD3" s="7">
        <f>BC3*4</f>
        <v>4</v>
      </c>
    </row>
    <row r="4" spans="1:56" x14ac:dyDescent="0.2">
      <c r="A4" s="4">
        <v>2</v>
      </c>
      <c r="B4">
        <f>IF(ISNUMBER(SEARCH("Line 4", 'Form Responses 1'!E3)), -1, 0)</f>
        <v>0</v>
      </c>
      <c r="C4">
        <f>IF(ISNUMBER(SEARCH("Line 5", 'Form Responses 1'!E3)), -1, 0)</f>
        <v>0</v>
      </c>
      <c r="D4">
        <f>IF(ISNUMBER(SEARCH("Line 8", 'Form Responses 1'!E3)), 1, 0)</f>
        <v>0</v>
      </c>
      <c r="E4">
        <f>IF(ISNUMBER(SEARCH("Line 13", 'Form Responses 1'!E3)), 1, 0)</f>
        <v>0</v>
      </c>
      <c r="F4">
        <f>IF(ISNUMBER(SEARCH("Line 14", 'Form Responses 1'!E3)), -1, 0)</f>
        <v>0</v>
      </c>
      <c r="G4">
        <f>IF(ISNUMBER(SEARCH("Line 15", 'Form Responses 1'!E3)), 1, 0)</f>
        <v>0</v>
      </c>
      <c r="H4">
        <f>IF(ISNUMBER(SEARCH("Line 16", 'Form Responses 1'!E3)), -1, 0)</f>
        <v>0</v>
      </c>
      <c r="I4">
        <f>IF(ISNUMBER(SEARCH("Line 17", 'Form Responses 1'!E3)), 1, 0)</f>
        <v>1</v>
      </c>
      <c r="J4">
        <f>IF(ISNUMBER(SEARCH("Line 19", 'Form Responses 1'!E3)), 1, 0)</f>
        <v>1</v>
      </c>
      <c r="K4">
        <f t="shared" ref="K4:K67" si="0">SUM(B4:J4)</f>
        <v>2</v>
      </c>
      <c r="L4" s="8">
        <f t="shared" ref="L4:L67" si="1">MIN(4,MAX(0,B4+C4+D4+E4*2+F4+G4+H4+I4+2*J4))</f>
        <v>3</v>
      </c>
      <c r="M4">
        <f>IF(ISNUMBER(SEARCH("Transmit data", 'Form Responses 1'!F3)), 1, 0)</f>
        <v>1</v>
      </c>
      <c r="N4">
        <f>IF(ISNUMBER(SEARCH("Alter", 'Form Responses 1'!F3)), -1, 0)</f>
        <v>0</v>
      </c>
      <c r="O4">
        <f>IF(ISNUMBER(SEARCH("Change", 'Form Responses 1'!F3)), -1, 0)</f>
        <v>0</v>
      </c>
      <c r="P4">
        <f>IF(ISNUMBER(SEARCH("Remove", 'Form Responses 1'!F3)), -1, 0)</f>
        <v>0</v>
      </c>
      <c r="Q4">
        <f>IF(ISNUMBER(SEARCH("unintelligible", 'Form Responses 1'!F3)), -1, 0)</f>
        <v>-1</v>
      </c>
      <c r="R4">
        <f t="shared" ref="R4:R67" si="2">M4*4+0.75*SUM(N4:Q4)</f>
        <v>3.25</v>
      </c>
      <c r="S4" s="7">
        <f t="shared" ref="S4:S67" si="3">+MAX(0,R4)</f>
        <v>3.25</v>
      </c>
      <c r="T4">
        <f>IF(ISNUMBER(SEARCH("sensors", 'Form Responses 1'!G3)), 1, 0)</f>
        <v>1</v>
      </c>
      <c r="U4">
        <f>IF(ISNUMBER(SEARCH("actuators", 'Form Responses 1'!G3)), -1, 0)</f>
        <v>0</v>
      </c>
      <c r="V4">
        <f>IF(ISNUMBER(SEARCH("Switch", 'Form Responses 1'!G3)), 1, 0)</f>
        <v>0</v>
      </c>
      <c r="W4">
        <f>IF(ISNUMBER(SEARCH("PID", 'Form Responses 1'!G3)), -1, 0)</f>
        <v>-1</v>
      </c>
      <c r="X4">
        <f t="shared" ref="X4:X67" si="4">T4*2+U4*1+V4*2+W4*1</f>
        <v>1</v>
      </c>
      <c r="Y4" s="7">
        <f t="shared" ref="Y4:Y67" si="5">MAX(0,X4)</f>
        <v>1</v>
      </c>
      <c r="Z4">
        <f>IF(ISNUMBER(SEARCH("16", 'Form Responses 1'!H3)), -1, 0)</f>
        <v>-1</v>
      </c>
      <c r="AA4">
        <f>IF(ISNUMBER(SEARCH("1.5", 'Form Responses 1'!H3)), 1, 0)</f>
        <v>1</v>
      </c>
      <c r="AB4">
        <f>IF(ISNUMBER(SEARCH("0.2", 'Form Responses 1'!H3)), -1, 0)</f>
        <v>-1</v>
      </c>
      <c r="AC4">
        <f>IF(ISNUMBER(SEARCH("None", 'Form Responses 1'!H3)), -1, 0)</f>
        <v>0</v>
      </c>
      <c r="AD4">
        <f t="shared" ref="AD4:AD67" si="6">Z4+AB4*2+AC4*(-2)+4*AA4</f>
        <v>1</v>
      </c>
      <c r="AE4" s="7">
        <f t="shared" ref="AE4:AE67" si="7">MAX(0,AD4)</f>
        <v>1</v>
      </c>
      <c r="AF4">
        <f>IF(ISNUMBER(SEARCH("Small", 'Form Responses 1'!I3)), -1, 0)</f>
        <v>-1</v>
      </c>
      <c r="AG4">
        <f>IF(ISNUMBER(SEARCH("IMU", 'Form Responses 1'!I3)), 1, 0)</f>
        <v>0</v>
      </c>
      <c r="AH4">
        <f>IF(ISNUMBER(SEARCH("CAN", 'Form Responses 1'!I3)), 1, 0)</f>
        <v>1</v>
      </c>
      <c r="AI4">
        <f>IF(ISNUMBER(SEARCH("High", 'Form Responses 1'!I3)), -1, 0)</f>
        <v>0</v>
      </c>
      <c r="AJ4">
        <f>IF(ISNUMBER(SEARCH("Spoofing", 'Form Responses 1'!I3)), -1, 0)</f>
        <v>0</v>
      </c>
      <c r="AK4">
        <f t="shared" ref="AK4:AK67" si="8">-1*AF4+AG4*2+AH4*2+AI4+AJ4</f>
        <v>3</v>
      </c>
      <c r="AL4" s="7">
        <f t="shared" ref="AL4:AL67" si="9">MIN(4,MAX(AK4,0))</f>
        <v>3</v>
      </c>
      <c r="AM4">
        <f>IF('Form Responses 1'!J3, 1, 0)</f>
        <v>1</v>
      </c>
      <c r="AN4" s="7">
        <f t="shared" ref="AN4:AN67" si="10">AM4*4</f>
        <v>4</v>
      </c>
      <c r="AO4">
        <f>IF(ISNUMBER(SEARCH("Increase the integral gain", 'Form Responses 1'!K3)), 1, 0)</f>
        <v>1</v>
      </c>
      <c r="AP4">
        <f>IF(ISNUMBER(SEARCH("Increase the proportional gain", 'Form Responses 1'!K3)), 1, 0)</f>
        <v>0</v>
      </c>
      <c r="AQ4">
        <f>IF(ISNUMBER(SEARCH("increasing the integral gain", 'Form Responses 1'!K3)), 1, 0)</f>
        <v>0</v>
      </c>
      <c r="AR4">
        <f>IF(ISNUMBER(SEARCH("Decrease the proportional gain (Kp) and increase the derivative gain (Kd)", 'Form Responses 1'!K3)), 1, 0)</f>
        <v>0</v>
      </c>
      <c r="AS4">
        <f>IF(ISNUMBER(SEARCH("Decrease the proportional gain", 'Form Responses 1'!K3)), 1, 0)</f>
        <v>0</v>
      </c>
      <c r="AT4" s="7">
        <f t="shared" ref="AT4:AT67" si="11">4*AO4+AP4*1+AQ4*1.3+AR4*1+AS4*1</f>
        <v>4</v>
      </c>
      <c r="AU4">
        <f>IF(ISNUMBER(SEARCH("Measurement", 'Form Responses 1'!L3)), 1, 0)</f>
        <v>0</v>
      </c>
      <c r="AV4">
        <f>IF(ISNUMBER(SEARCH("All of the above",'Form Responses 1'!L3)),1,0)</f>
        <v>0</v>
      </c>
      <c r="AW4" s="7">
        <f t="shared" ref="AW4:AW67" si="12">AU4*4+AV4*2</f>
        <v>0</v>
      </c>
      <c r="AX4">
        <f>IF(ISNUMBER(SEARCH("recorded sensor data to the controller", 'Form Responses 1'!M3)), 1, 0)</f>
        <v>0</v>
      </c>
      <c r="AY4">
        <f>IF(ISNUMBER(SEARCH("record sensor data from", 'Form Responses 1'!M3)), 1, 0)</f>
        <v>0</v>
      </c>
      <c r="AZ4">
        <f>IF(ISNUMBER(SEARCH("record actuator data from",'Form Responses 1'!M3)),1,0)</f>
        <v>0</v>
      </c>
      <c r="BA4">
        <f>IF(ISNUMBER(SEARCH("recorded actuator data to the controller", 'Form Responses 1'!M3)), 1, 0)</f>
        <v>1</v>
      </c>
      <c r="BB4" s="7">
        <f t="shared" ref="BB4:BB67" si="13">AX4*4+AY4*2+AZ4*2+BA4*0</f>
        <v>0</v>
      </c>
      <c r="BC4">
        <f>IF('Form Responses 1'!N3, 0, 1)</f>
        <v>0</v>
      </c>
      <c r="BD4" s="7">
        <f t="shared" ref="BD4:BD67" si="14">BC4*4</f>
        <v>0</v>
      </c>
    </row>
    <row r="5" spans="1:56" x14ac:dyDescent="0.2">
      <c r="A5" s="4">
        <v>3</v>
      </c>
      <c r="B5">
        <f>IF(ISNUMBER(SEARCH("Line 4", 'Form Responses 1'!E4)), -1, 0)</f>
        <v>0</v>
      </c>
      <c r="C5">
        <f>IF(ISNUMBER(SEARCH("Line 5", 'Form Responses 1'!E4)), -1, 0)</f>
        <v>0</v>
      </c>
      <c r="D5">
        <f>IF(ISNUMBER(SEARCH("Line 8", 'Form Responses 1'!E4)), 1, 0)</f>
        <v>0</v>
      </c>
      <c r="E5">
        <f>IF(ISNUMBER(SEARCH("Line 13", 'Form Responses 1'!E4)), 1, 0)</f>
        <v>0</v>
      </c>
      <c r="F5">
        <f>IF(ISNUMBER(SEARCH("Line 14", 'Form Responses 1'!E4)), -1, 0)</f>
        <v>0</v>
      </c>
      <c r="G5">
        <f>IF(ISNUMBER(SEARCH("Line 15", 'Form Responses 1'!E4)), 1, 0)</f>
        <v>1</v>
      </c>
      <c r="H5">
        <f>IF(ISNUMBER(SEARCH("Line 16", 'Form Responses 1'!E4)), -1, 0)</f>
        <v>0</v>
      </c>
      <c r="I5">
        <f>IF(ISNUMBER(SEARCH("Line 17", 'Form Responses 1'!E4)), 1, 0)</f>
        <v>0</v>
      </c>
      <c r="J5">
        <f>IF(ISNUMBER(SEARCH("Line 19", 'Form Responses 1'!E4)), 1, 0)</f>
        <v>1</v>
      </c>
      <c r="K5">
        <f t="shared" si="0"/>
        <v>2</v>
      </c>
      <c r="L5" s="8">
        <f t="shared" si="1"/>
        <v>3</v>
      </c>
      <c r="M5">
        <f>IF(ISNUMBER(SEARCH("Transmit data", 'Form Responses 1'!F4)), 1, 0)</f>
        <v>1</v>
      </c>
      <c r="N5">
        <f>IF(ISNUMBER(SEARCH("Alter", 'Form Responses 1'!F4)), -1, 0)</f>
        <v>0</v>
      </c>
      <c r="O5">
        <f>IF(ISNUMBER(SEARCH("Change", 'Form Responses 1'!F4)), -1, 0)</f>
        <v>0</v>
      </c>
      <c r="P5">
        <f>IF(ISNUMBER(SEARCH("Remove", 'Form Responses 1'!F4)), -1, 0)</f>
        <v>0</v>
      </c>
      <c r="Q5">
        <f>IF(ISNUMBER(SEARCH("unintelligible", 'Form Responses 1'!F4)), -1, 0)</f>
        <v>-1</v>
      </c>
      <c r="R5">
        <f t="shared" si="2"/>
        <v>3.25</v>
      </c>
      <c r="S5" s="7">
        <f t="shared" si="3"/>
        <v>3.25</v>
      </c>
      <c r="T5">
        <f>IF(ISNUMBER(SEARCH("sensors", 'Form Responses 1'!G4)), 1, 0)</f>
        <v>1</v>
      </c>
      <c r="U5">
        <f>IF(ISNUMBER(SEARCH("actuators", 'Form Responses 1'!G4)), -1, 0)</f>
        <v>0</v>
      </c>
      <c r="V5">
        <f>IF(ISNUMBER(SEARCH("Switch", 'Form Responses 1'!G4)), 1, 0)</f>
        <v>0</v>
      </c>
      <c r="W5">
        <f>IF(ISNUMBER(SEARCH("PID", 'Form Responses 1'!G4)), -1, 0)</f>
        <v>0</v>
      </c>
      <c r="X5">
        <f t="shared" si="4"/>
        <v>2</v>
      </c>
      <c r="Y5" s="7">
        <f t="shared" si="5"/>
        <v>2</v>
      </c>
      <c r="Z5">
        <f>IF(ISNUMBER(SEARCH("16", 'Form Responses 1'!H4)), -1, 0)</f>
        <v>0</v>
      </c>
      <c r="AA5">
        <f>IF(ISNUMBER(SEARCH("1.5", 'Form Responses 1'!H4)), 1, 0)</f>
        <v>1</v>
      </c>
      <c r="AB5">
        <f>IF(ISNUMBER(SEARCH("0.2", 'Form Responses 1'!H4)), -1, 0)</f>
        <v>0</v>
      </c>
      <c r="AC5">
        <f>IF(ISNUMBER(SEARCH("None", 'Form Responses 1'!H4)), -1, 0)</f>
        <v>0</v>
      </c>
      <c r="AD5">
        <f t="shared" si="6"/>
        <v>4</v>
      </c>
      <c r="AE5" s="7">
        <f t="shared" si="7"/>
        <v>4</v>
      </c>
      <c r="AF5">
        <f>IF(ISNUMBER(SEARCH("Small", 'Form Responses 1'!I4)), -1, 0)</f>
        <v>-1</v>
      </c>
      <c r="AG5">
        <f>IF(ISNUMBER(SEARCH("IMU", 'Form Responses 1'!I4)), 1, 0)</f>
        <v>1</v>
      </c>
      <c r="AH5">
        <f>IF(ISNUMBER(SEARCH("CAN", 'Form Responses 1'!I4)), 1, 0)</f>
        <v>1</v>
      </c>
      <c r="AI5">
        <f>IF(ISNUMBER(SEARCH("High", 'Form Responses 1'!I4)), -1, 0)</f>
        <v>0</v>
      </c>
      <c r="AJ5">
        <f>IF(ISNUMBER(SEARCH("Spoofing", 'Form Responses 1'!I4)), -1, 0)</f>
        <v>0</v>
      </c>
      <c r="AK5">
        <f t="shared" si="8"/>
        <v>5</v>
      </c>
      <c r="AL5" s="7">
        <f t="shared" si="9"/>
        <v>4</v>
      </c>
      <c r="AM5">
        <f>IF('Form Responses 1'!J4, 1, 0)</f>
        <v>1</v>
      </c>
      <c r="AN5" s="7">
        <f t="shared" si="10"/>
        <v>4</v>
      </c>
      <c r="AO5">
        <f>IF(ISNUMBER(SEARCH("Increase the integral gain", 'Form Responses 1'!K4)), 1, 0)</f>
        <v>0</v>
      </c>
      <c r="AP5">
        <f>IF(ISNUMBER(SEARCH("Increase the proportional gain", 'Form Responses 1'!K4)), 1, 0)</f>
        <v>1</v>
      </c>
      <c r="AQ5">
        <f>IF(ISNUMBER(SEARCH("increasing the integral gain", 'Form Responses 1'!K4)), 1, 0)</f>
        <v>1</v>
      </c>
      <c r="AR5">
        <f>IF(ISNUMBER(SEARCH("Decrease the proportional gain (Kp) and increase the derivative gain (Kd)", 'Form Responses 1'!K4)), 1, 0)</f>
        <v>0</v>
      </c>
      <c r="AS5">
        <f>IF(ISNUMBER(SEARCH("Decrease the proportional gain", 'Form Responses 1'!K4)), 1, 0)</f>
        <v>0</v>
      </c>
      <c r="AT5" s="7">
        <f t="shared" si="11"/>
        <v>2.2999999999999998</v>
      </c>
      <c r="AU5">
        <f>IF(ISNUMBER(SEARCH("Measurement", 'Form Responses 1'!L4)), 1, 0)</f>
        <v>0</v>
      </c>
      <c r="AV5">
        <f>IF(ISNUMBER(SEARCH("All of the above",'Form Responses 1'!L4)),1,0)</f>
        <v>1</v>
      </c>
      <c r="AW5" s="7">
        <f t="shared" si="12"/>
        <v>2</v>
      </c>
      <c r="AX5">
        <f>IF(ISNUMBER(SEARCH("recorded sensor data to the controller", 'Form Responses 1'!M4)), 1, 0)</f>
        <v>1</v>
      </c>
      <c r="AY5">
        <f>IF(ISNUMBER(SEARCH("record sensor data from", 'Form Responses 1'!M4)), 1, 0)</f>
        <v>0</v>
      </c>
      <c r="AZ5">
        <f>IF(ISNUMBER(SEARCH("record actuator data from",'Form Responses 1'!M4)),1,0)</f>
        <v>0</v>
      </c>
      <c r="BA5">
        <f>IF(ISNUMBER(SEARCH("recorded actuator data to the controller", 'Form Responses 1'!M4)), 1, 0)</f>
        <v>0</v>
      </c>
      <c r="BB5" s="7">
        <f t="shared" si="13"/>
        <v>4</v>
      </c>
      <c r="BC5">
        <f>IF('Form Responses 1'!N4, 0, 1)</f>
        <v>1</v>
      </c>
      <c r="BD5" s="7">
        <f t="shared" si="14"/>
        <v>4</v>
      </c>
    </row>
    <row r="6" spans="1:56" x14ac:dyDescent="0.2">
      <c r="A6" s="4">
        <v>4</v>
      </c>
      <c r="B6">
        <f>IF(ISNUMBER(SEARCH("Line 4", 'Form Responses 1'!E5)), -1, 0)</f>
        <v>0</v>
      </c>
      <c r="C6">
        <f>IF(ISNUMBER(SEARCH("Line 5", 'Form Responses 1'!E5)), -1, 0)</f>
        <v>-1</v>
      </c>
      <c r="D6">
        <f>IF(ISNUMBER(SEARCH("Line 8", 'Form Responses 1'!E5)), 1, 0)</f>
        <v>0</v>
      </c>
      <c r="E6">
        <f>IF(ISNUMBER(SEARCH("Line 13", 'Form Responses 1'!E5)), 1, 0)</f>
        <v>1</v>
      </c>
      <c r="F6">
        <f>IF(ISNUMBER(SEARCH("Line 14", 'Form Responses 1'!E5)), -1, 0)</f>
        <v>0</v>
      </c>
      <c r="G6">
        <f>IF(ISNUMBER(SEARCH("Line 15", 'Form Responses 1'!E5)), 1, 0)</f>
        <v>0</v>
      </c>
      <c r="H6">
        <f>IF(ISNUMBER(SEARCH("Line 16", 'Form Responses 1'!E5)), -1, 0)</f>
        <v>0</v>
      </c>
      <c r="I6">
        <f>IF(ISNUMBER(SEARCH("Line 17", 'Form Responses 1'!E5)), 1, 0)</f>
        <v>1</v>
      </c>
      <c r="J6">
        <f>IF(ISNUMBER(SEARCH("Line 19", 'Form Responses 1'!E5)), 1, 0)</f>
        <v>1</v>
      </c>
      <c r="K6">
        <f t="shared" si="0"/>
        <v>2</v>
      </c>
      <c r="L6" s="8">
        <f t="shared" si="1"/>
        <v>4</v>
      </c>
      <c r="M6">
        <f>IF(ISNUMBER(SEARCH("Transmit data", 'Form Responses 1'!F5)), 1, 0)</f>
        <v>1</v>
      </c>
      <c r="N6">
        <f>IF(ISNUMBER(SEARCH("Alter", 'Form Responses 1'!F5)), -1, 0)</f>
        <v>0</v>
      </c>
      <c r="O6">
        <f>IF(ISNUMBER(SEARCH("Change", 'Form Responses 1'!F5)), -1, 0)</f>
        <v>0</v>
      </c>
      <c r="P6">
        <f>IF(ISNUMBER(SEARCH("Remove", 'Form Responses 1'!F5)), -1, 0)</f>
        <v>0</v>
      </c>
      <c r="Q6">
        <f>IF(ISNUMBER(SEARCH("unintelligible", 'Form Responses 1'!F5)), -1, 0)</f>
        <v>-1</v>
      </c>
      <c r="R6">
        <f t="shared" si="2"/>
        <v>3.25</v>
      </c>
      <c r="S6" s="7">
        <f t="shared" si="3"/>
        <v>3.25</v>
      </c>
      <c r="T6">
        <f>IF(ISNUMBER(SEARCH("sensors", 'Form Responses 1'!G5)), 1, 0)</f>
        <v>1</v>
      </c>
      <c r="U6">
        <f>IF(ISNUMBER(SEARCH("actuators", 'Form Responses 1'!G5)), -1, 0)</f>
        <v>-1</v>
      </c>
      <c r="V6">
        <f>IF(ISNUMBER(SEARCH("Switch", 'Form Responses 1'!G5)), 1, 0)</f>
        <v>1</v>
      </c>
      <c r="W6">
        <f>IF(ISNUMBER(SEARCH("PID", 'Form Responses 1'!G5)), -1, 0)</f>
        <v>0</v>
      </c>
      <c r="X6">
        <f t="shared" si="4"/>
        <v>3</v>
      </c>
      <c r="Y6" s="7">
        <f t="shared" si="5"/>
        <v>3</v>
      </c>
      <c r="Z6">
        <f>IF(ISNUMBER(SEARCH("16", 'Form Responses 1'!H5)), -1, 0)</f>
        <v>-1</v>
      </c>
      <c r="AA6">
        <f>IF(ISNUMBER(SEARCH("1.5", 'Form Responses 1'!H5)), 1, 0)</f>
        <v>1</v>
      </c>
      <c r="AB6">
        <f>IF(ISNUMBER(SEARCH("0.2", 'Form Responses 1'!H5)), -1, 0)</f>
        <v>0</v>
      </c>
      <c r="AC6">
        <f>IF(ISNUMBER(SEARCH("None", 'Form Responses 1'!H5)), -1, 0)</f>
        <v>0</v>
      </c>
      <c r="AD6">
        <f t="shared" si="6"/>
        <v>3</v>
      </c>
      <c r="AE6" s="7">
        <f t="shared" si="7"/>
        <v>3</v>
      </c>
      <c r="AF6">
        <f>IF(ISNUMBER(SEARCH("Small", 'Form Responses 1'!I5)), -1, 0)</f>
        <v>0</v>
      </c>
      <c r="AG6">
        <f>IF(ISNUMBER(SEARCH("IMU", 'Form Responses 1'!I5)), 1, 0)</f>
        <v>1</v>
      </c>
      <c r="AH6">
        <f>IF(ISNUMBER(SEARCH("CAN", 'Form Responses 1'!I5)), 1, 0)</f>
        <v>1</v>
      </c>
      <c r="AI6">
        <f>IF(ISNUMBER(SEARCH("High", 'Form Responses 1'!I5)), -1, 0)</f>
        <v>0</v>
      </c>
      <c r="AJ6">
        <f>IF(ISNUMBER(SEARCH("Spoofing", 'Form Responses 1'!I5)), -1, 0)</f>
        <v>0</v>
      </c>
      <c r="AK6">
        <f t="shared" si="8"/>
        <v>4</v>
      </c>
      <c r="AL6" s="7">
        <f t="shared" si="9"/>
        <v>4</v>
      </c>
      <c r="AM6">
        <f>IF('Form Responses 1'!J5, 1, 0)</f>
        <v>1</v>
      </c>
      <c r="AN6" s="7">
        <f t="shared" si="10"/>
        <v>4</v>
      </c>
      <c r="AO6">
        <f>IF(ISNUMBER(SEARCH("Increase the integral gain", 'Form Responses 1'!K5)), 1, 0)</f>
        <v>1</v>
      </c>
      <c r="AP6">
        <f>IF(ISNUMBER(SEARCH("Increase the proportional gain", 'Form Responses 1'!K5)), 1, 0)</f>
        <v>0</v>
      </c>
      <c r="AQ6">
        <f>IF(ISNUMBER(SEARCH("increasing the integral gain", 'Form Responses 1'!K5)), 1, 0)</f>
        <v>0</v>
      </c>
      <c r="AR6">
        <f>IF(ISNUMBER(SEARCH("Decrease the proportional gain (Kp) and increase the derivative gain (Kd)", 'Form Responses 1'!K5)), 1, 0)</f>
        <v>0</v>
      </c>
      <c r="AS6">
        <f>IF(ISNUMBER(SEARCH("Decrease the proportional gain", 'Form Responses 1'!K5)), 1, 0)</f>
        <v>0</v>
      </c>
      <c r="AT6" s="7">
        <f t="shared" si="11"/>
        <v>4</v>
      </c>
      <c r="AU6">
        <f>IF(ISNUMBER(SEARCH("Measurement", 'Form Responses 1'!L5)), 1, 0)</f>
        <v>0</v>
      </c>
      <c r="AV6">
        <f>IF(ISNUMBER(SEARCH("All of the above",'Form Responses 1'!L5)),1,0)</f>
        <v>1</v>
      </c>
      <c r="AW6" s="7">
        <f t="shared" si="12"/>
        <v>2</v>
      </c>
      <c r="AX6">
        <f>IF(ISNUMBER(SEARCH("recorded sensor data to the controller", 'Form Responses 1'!M5)), 1, 0)</f>
        <v>1</v>
      </c>
      <c r="AY6">
        <f>IF(ISNUMBER(SEARCH("record sensor data from", 'Form Responses 1'!M5)), 1, 0)</f>
        <v>0</v>
      </c>
      <c r="AZ6">
        <f>IF(ISNUMBER(SEARCH("record actuator data from",'Form Responses 1'!M5)),1,0)</f>
        <v>0</v>
      </c>
      <c r="BA6">
        <f>IF(ISNUMBER(SEARCH("recorded actuator data to the controller", 'Form Responses 1'!M5)), 1, 0)</f>
        <v>0</v>
      </c>
      <c r="BB6" s="7">
        <f t="shared" si="13"/>
        <v>4</v>
      </c>
      <c r="BC6">
        <f>IF('Form Responses 1'!N5, 0, 1)</f>
        <v>1</v>
      </c>
      <c r="BD6" s="7">
        <f t="shared" si="14"/>
        <v>4</v>
      </c>
    </row>
    <row r="7" spans="1:56" x14ac:dyDescent="0.2">
      <c r="A7" s="4">
        <v>5</v>
      </c>
      <c r="B7">
        <f>IF(ISNUMBER(SEARCH("Line 4", 'Form Responses 1'!E6)), -1, 0)</f>
        <v>-1</v>
      </c>
      <c r="C7">
        <f>IF(ISNUMBER(SEARCH("Line 5", 'Form Responses 1'!E6)), -1, 0)</f>
        <v>0</v>
      </c>
      <c r="D7">
        <f>IF(ISNUMBER(SEARCH("Line 8", 'Form Responses 1'!E6)), 1, 0)</f>
        <v>0</v>
      </c>
      <c r="E7">
        <f>IF(ISNUMBER(SEARCH("Line 13", 'Form Responses 1'!E6)), 1, 0)</f>
        <v>0</v>
      </c>
      <c r="F7">
        <f>IF(ISNUMBER(SEARCH("Line 14", 'Form Responses 1'!E6)), -1, 0)</f>
        <v>0</v>
      </c>
      <c r="G7">
        <f>IF(ISNUMBER(SEARCH("Line 15", 'Form Responses 1'!E6)), 1, 0)</f>
        <v>1</v>
      </c>
      <c r="H7">
        <f>IF(ISNUMBER(SEARCH("Line 16", 'Form Responses 1'!E6)), -1, 0)</f>
        <v>0</v>
      </c>
      <c r="I7">
        <f>IF(ISNUMBER(SEARCH("Line 17", 'Form Responses 1'!E6)), 1, 0)</f>
        <v>1</v>
      </c>
      <c r="J7">
        <f>IF(ISNUMBER(SEARCH("Line 19", 'Form Responses 1'!E6)), 1, 0)</f>
        <v>0</v>
      </c>
      <c r="K7">
        <f t="shared" si="0"/>
        <v>1</v>
      </c>
      <c r="L7" s="8">
        <f t="shared" si="1"/>
        <v>1</v>
      </c>
      <c r="M7">
        <f>IF(ISNUMBER(SEARCH("Transmit data", 'Form Responses 1'!F6)), 1, 0)</f>
        <v>1</v>
      </c>
      <c r="N7">
        <f>IF(ISNUMBER(SEARCH("Alter", 'Form Responses 1'!F6)), -1, 0)</f>
        <v>0</v>
      </c>
      <c r="O7">
        <f>IF(ISNUMBER(SEARCH("Change", 'Form Responses 1'!F6)), -1, 0)</f>
        <v>0</v>
      </c>
      <c r="P7">
        <f>IF(ISNUMBER(SEARCH("Remove", 'Form Responses 1'!F6)), -1, 0)</f>
        <v>0</v>
      </c>
      <c r="Q7">
        <f>IF(ISNUMBER(SEARCH("unintelligible", 'Form Responses 1'!F6)), -1, 0)</f>
        <v>-1</v>
      </c>
      <c r="R7">
        <f t="shared" si="2"/>
        <v>3.25</v>
      </c>
      <c r="S7" s="7">
        <f t="shared" si="3"/>
        <v>3.25</v>
      </c>
      <c r="T7">
        <f>IF(ISNUMBER(SEARCH("sensors", 'Form Responses 1'!G6)), 1, 0)</f>
        <v>1</v>
      </c>
      <c r="U7">
        <f>IF(ISNUMBER(SEARCH("actuators", 'Form Responses 1'!G6)), -1, 0)</f>
        <v>-1</v>
      </c>
      <c r="V7">
        <f>IF(ISNUMBER(SEARCH("Switch", 'Form Responses 1'!G6)), 1, 0)</f>
        <v>1</v>
      </c>
      <c r="W7">
        <f>IF(ISNUMBER(SEARCH("PID", 'Form Responses 1'!G6)), -1, 0)</f>
        <v>-1</v>
      </c>
      <c r="X7">
        <f t="shared" si="4"/>
        <v>2</v>
      </c>
      <c r="Y7" s="7">
        <f t="shared" si="5"/>
        <v>2</v>
      </c>
      <c r="Z7">
        <f>IF(ISNUMBER(SEARCH("16", 'Form Responses 1'!H6)), -1, 0)</f>
        <v>-1</v>
      </c>
      <c r="AA7">
        <f>IF(ISNUMBER(SEARCH("1.5", 'Form Responses 1'!H6)), 1, 0)</f>
        <v>1</v>
      </c>
      <c r="AB7">
        <f>IF(ISNUMBER(SEARCH("0.2", 'Form Responses 1'!H6)), -1, 0)</f>
        <v>0</v>
      </c>
      <c r="AC7">
        <f>IF(ISNUMBER(SEARCH("None", 'Form Responses 1'!H6)), -1, 0)</f>
        <v>0</v>
      </c>
      <c r="AD7">
        <f t="shared" si="6"/>
        <v>3</v>
      </c>
      <c r="AE7" s="7">
        <f t="shared" si="7"/>
        <v>3</v>
      </c>
      <c r="AF7">
        <f>IF(ISNUMBER(SEARCH("Small", 'Form Responses 1'!I6)), -1, 0)</f>
        <v>0</v>
      </c>
      <c r="AG7">
        <f>IF(ISNUMBER(SEARCH("IMU", 'Form Responses 1'!I6)), 1, 0)</f>
        <v>1</v>
      </c>
      <c r="AH7">
        <f>IF(ISNUMBER(SEARCH("CAN", 'Form Responses 1'!I6)), 1, 0)</f>
        <v>1</v>
      </c>
      <c r="AI7">
        <f>IF(ISNUMBER(SEARCH("High", 'Form Responses 1'!I6)), -1, 0)</f>
        <v>0</v>
      </c>
      <c r="AJ7">
        <f>IF(ISNUMBER(SEARCH("Spoofing", 'Form Responses 1'!I6)), -1, 0)</f>
        <v>0</v>
      </c>
      <c r="AK7">
        <f t="shared" si="8"/>
        <v>4</v>
      </c>
      <c r="AL7" s="7">
        <f t="shared" si="9"/>
        <v>4</v>
      </c>
      <c r="AM7">
        <f>IF('Form Responses 1'!J6, 1, 0)</f>
        <v>1</v>
      </c>
      <c r="AN7" s="7">
        <f t="shared" si="10"/>
        <v>4</v>
      </c>
      <c r="AO7">
        <f>IF(ISNUMBER(SEARCH("Increase the integral gain", 'Form Responses 1'!K6)), 1, 0)</f>
        <v>1</v>
      </c>
      <c r="AP7">
        <f>IF(ISNUMBER(SEARCH("Increase the proportional gain", 'Form Responses 1'!K6)), 1, 0)</f>
        <v>0</v>
      </c>
      <c r="AQ7">
        <f>IF(ISNUMBER(SEARCH("increasing the integral gain", 'Form Responses 1'!K6)), 1, 0)</f>
        <v>0</v>
      </c>
      <c r="AR7">
        <f>IF(ISNUMBER(SEARCH("Decrease the proportional gain (Kp) and increase the derivative gain (Kd)", 'Form Responses 1'!K6)), 1, 0)</f>
        <v>0</v>
      </c>
      <c r="AS7">
        <f>IF(ISNUMBER(SEARCH("Decrease the proportional gain", 'Form Responses 1'!K6)), 1, 0)</f>
        <v>0</v>
      </c>
      <c r="AT7" s="7">
        <f t="shared" si="11"/>
        <v>4</v>
      </c>
      <c r="AU7">
        <f>IF(ISNUMBER(SEARCH("Measurement", 'Form Responses 1'!L6)), 1, 0)</f>
        <v>0</v>
      </c>
      <c r="AV7">
        <f>IF(ISNUMBER(SEARCH("All of the above",'Form Responses 1'!L6)),1,0)</f>
        <v>0</v>
      </c>
      <c r="AW7" s="7">
        <f t="shared" si="12"/>
        <v>0</v>
      </c>
      <c r="AX7">
        <f>IF(ISNUMBER(SEARCH("recorded sensor data to the controller", 'Form Responses 1'!M6)), 1, 0)</f>
        <v>1</v>
      </c>
      <c r="AY7">
        <f>IF(ISNUMBER(SEARCH("record sensor data from", 'Form Responses 1'!M6)), 1, 0)</f>
        <v>0</v>
      </c>
      <c r="AZ7">
        <f>IF(ISNUMBER(SEARCH("record actuator data from",'Form Responses 1'!M6)),1,0)</f>
        <v>0</v>
      </c>
      <c r="BA7">
        <f>IF(ISNUMBER(SEARCH("recorded actuator data to the controller", 'Form Responses 1'!M6)), 1, 0)</f>
        <v>0</v>
      </c>
      <c r="BB7" s="7">
        <f t="shared" si="13"/>
        <v>4</v>
      </c>
      <c r="BC7">
        <f>IF('Form Responses 1'!N6, 0, 1)</f>
        <v>1</v>
      </c>
      <c r="BD7" s="7">
        <f t="shared" si="14"/>
        <v>4</v>
      </c>
    </row>
    <row r="8" spans="1:56" x14ac:dyDescent="0.2">
      <c r="A8" s="4">
        <v>6</v>
      </c>
      <c r="B8">
        <f>IF(ISNUMBER(SEARCH("Line 4", 'Form Responses 1'!E7)), -1, 0)</f>
        <v>0</v>
      </c>
      <c r="C8">
        <f>IF(ISNUMBER(SEARCH("Line 5", 'Form Responses 1'!E7)), -1, 0)</f>
        <v>0</v>
      </c>
      <c r="D8">
        <f>IF(ISNUMBER(SEARCH("Line 8", 'Form Responses 1'!E7)), 1, 0)</f>
        <v>0</v>
      </c>
      <c r="E8">
        <f>IF(ISNUMBER(SEARCH("Line 13", 'Form Responses 1'!E7)), 1, 0)</f>
        <v>1</v>
      </c>
      <c r="F8">
        <f>IF(ISNUMBER(SEARCH("Line 14", 'Form Responses 1'!E7)), -1, 0)</f>
        <v>0</v>
      </c>
      <c r="G8">
        <f>IF(ISNUMBER(SEARCH("Line 15", 'Form Responses 1'!E7)), 1, 0)</f>
        <v>0</v>
      </c>
      <c r="H8">
        <f>IF(ISNUMBER(SEARCH("Line 16", 'Form Responses 1'!E7)), -1, 0)</f>
        <v>-1</v>
      </c>
      <c r="I8">
        <f>IF(ISNUMBER(SEARCH("Line 17", 'Form Responses 1'!E7)), 1, 0)</f>
        <v>1</v>
      </c>
      <c r="J8">
        <f>IF(ISNUMBER(SEARCH("Line 19", 'Form Responses 1'!E7)), 1, 0)</f>
        <v>0</v>
      </c>
      <c r="K8">
        <f t="shared" si="0"/>
        <v>1</v>
      </c>
      <c r="L8" s="8">
        <f t="shared" si="1"/>
        <v>2</v>
      </c>
      <c r="M8">
        <f>IF(ISNUMBER(SEARCH("Transmit data", 'Form Responses 1'!F7)), 1, 0)</f>
        <v>1</v>
      </c>
      <c r="N8">
        <f>IF(ISNUMBER(SEARCH("Alter", 'Form Responses 1'!F7)), -1, 0)</f>
        <v>0</v>
      </c>
      <c r="O8">
        <f>IF(ISNUMBER(SEARCH("Change", 'Form Responses 1'!F7)), -1, 0)</f>
        <v>-1</v>
      </c>
      <c r="P8">
        <f>IF(ISNUMBER(SEARCH("Remove", 'Form Responses 1'!F7)), -1, 0)</f>
        <v>-1</v>
      </c>
      <c r="Q8">
        <f>IF(ISNUMBER(SEARCH("unintelligible", 'Form Responses 1'!F7)), -1, 0)</f>
        <v>-1</v>
      </c>
      <c r="R8">
        <f t="shared" si="2"/>
        <v>1.75</v>
      </c>
      <c r="S8" s="7">
        <f t="shared" si="3"/>
        <v>1.75</v>
      </c>
      <c r="T8">
        <f>IF(ISNUMBER(SEARCH("sensors", 'Form Responses 1'!G7)), 1, 0)</f>
        <v>1</v>
      </c>
      <c r="U8">
        <f>IF(ISNUMBER(SEARCH("actuators", 'Form Responses 1'!G7)), -1, 0)</f>
        <v>0</v>
      </c>
      <c r="V8">
        <f>IF(ISNUMBER(SEARCH("Switch", 'Form Responses 1'!G7)), 1, 0)</f>
        <v>0</v>
      </c>
      <c r="W8">
        <f>IF(ISNUMBER(SEARCH("PID", 'Form Responses 1'!G7)), -1, 0)</f>
        <v>0</v>
      </c>
      <c r="X8">
        <f t="shared" si="4"/>
        <v>2</v>
      </c>
      <c r="Y8" s="7">
        <f t="shared" si="5"/>
        <v>2</v>
      </c>
      <c r="Z8">
        <f>IF(ISNUMBER(SEARCH("16", 'Form Responses 1'!H7)), -1, 0)</f>
        <v>0</v>
      </c>
      <c r="AA8">
        <f>IF(ISNUMBER(SEARCH("1.5", 'Form Responses 1'!H7)), 1, 0)</f>
        <v>1</v>
      </c>
      <c r="AB8">
        <f>IF(ISNUMBER(SEARCH("0.2", 'Form Responses 1'!H7)), -1, 0)</f>
        <v>0</v>
      </c>
      <c r="AC8">
        <f>IF(ISNUMBER(SEARCH("None", 'Form Responses 1'!H7)), -1, 0)</f>
        <v>0</v>
      </c>
      <c r="AD8">
        <f t="shared" si="6"/>
        <v>4</v>
      </c>
      <c r="AE8" s="7">
        <f t="shared" si="7"/>
        <v>4</v>
      </c>
      <c r="AF8">
        <f>IF(ISNUMBER(SEARCH("Small", 'Form Responses 1'!I7)), -1, 0)</f>
        <v>-1</v>
      </c>
      <c r="AG8">
        <f>IF(ISNUMBER(SEARCH("IMU", 'Form Responses 1'!I7)), 1, 0)</f>
        <v>1</v>
      </c>
      <c r="AH8">
        <f>IF(ISNUMBER(SEARCH("CAN", 'Form Responses 1'!I7)), 1, 0)</f>
        <v>1</v>
      </c>
      <c r="AI8">
        <f>IF(ISNUMBER(SEARCH("High", 'Form Responses 1'!I7)), -1, 0)</f>
        <v>-1</v>
      </c>
      <c r="AJ8">
        <f>IF(ISNUMBER(SEARCH("Spoofing", 'Form Responses 1'!I7)), -1, 0)</f>
        <v>0</v>
      </c>
      <c r="AK8">
        <f t="shared" si="8"/>
        <v>4</v>
      </c>
      <c r="AL8" s="7">
        <f t="shared" si="9"/>
        <v>4</v>
      </c>
      <c r="AM8">
        <f>IF('Form Responses 1'!J7, 1, 0)</f>
        <v>1</v>
      </c>
      <c r="AN8" s="7">
        <f t="shared" si="10"/>
        <v>4</v>
      </c>
      <c r="AO8">
        <f>IF(ISNUMBER(SEARCH("Increase the integral gain", 'Form Responses 1'!K7)), 1, 0)</f>
        <v>1</v>
      </c>
      <c r="AP8">
        <f>IF(ISNUMBER(SEARCH("Increase the proportional gain", 'Form Responses 1'!K7)), 1, 0)</f>
        <v>0</v>
      </c>
      <c r="AQ8">
        <f>IF(ISNUMBER(SEARCH("increasing the integral gain", 'Form Responses 1'!K7)), 1, 0)</f>
        <v>0</v>
      </c>
      <c r="AR8">
        <f>IF(ISNUMBER(SEARCH("Decrease the proportional gain (Kp) and increase the derivative gain (Kd)", 'Form Responses 1'!K7)), 1, 0)</f>
        <v>0</v>
      </c>
      <c r="AS8">
        <f>IF(ISNUMBER(SEARCH("Decrease the proportional gain", 'Form Responses 1'!K7)), 1, 0)</f>
        <v>0</v>
      </c>
      <c r="AT8" s="7">
        <f t="shared" si="11"/>
        <v>4</v>
      </c>
      <c r="AU8">
        <f>IF(ISNUMBER(SEARCH("Measurement", 'Form Responses 1'!L7)), 1, 0)</f>
        <v>0</v>
      </c>
      <c r="AV8">
        <f>IF(ISNUMBER(SEARCH("All of the above",'Form Responses 1'!L7)),1,0)</f>
        <v>1</v>
      </c>
      <c r="AW8" s="7">
        <f t="shared" si="12"/>
        <v>2</v>
      </c>
      <c r="AX8">
        <f>IF(ISNUMBER(SEARCH("recorded sensor data to the controller", 'Form Responses 1'!M7)), 1, 0)</f>
        <v>1</v>
      </c>
      <c r="AY8">
        <f>IF(ISNUMBER(SEARCH("record sensor data from", 'Form Responses 1'!M7)), 1, 0)</f>
        <v>0</v>
      </c>
      <c r="AZ8">
        <f>IF(ISNUMBER(SEARCH("record actuator data from",'Form Responses 1'!M7)),1,0)</f>
        <v>0</v>
      </c>
      <c r="BA8">
        <f>IF(ISNUMBER(SEARCH("recorded actuator data to the controller", 'Form Responses 1'!M7)), 1, 0)</f>
        <v>0</v>
      </c>
      <c r="BB8" s="7">
        <f t="shared" si="13"/>
        <v>4</v>
      </c>
      <c r="BC8">
        <f>IF('Form Responses 1'!N7, 0, 1)</f>
        <v>1</v>
      </c>
      <c r="BD8" s="7">
        <f t="shared" si="14"/>
        <v>4</v>
      </c>
    </row>
    <row r="9" spans="1:56" x14ac:dyDescent="0.2">
      <c r="A9" s="4">
        <v>7</v>
      </c>
      <c r="B9">
        <f>IF(ISNUMBER(SEARCH("Line 4", 'Form Responses 1'!E8)), -1, 0)</f>
        <v>0</v>
      </c>
      <c r="C9">
        <f>IF(ISNUMBER(SEARCH("Line 5", 'Form Responses 1'!E8)), -1, 0)</f>
        <v>0</v>
      </c>
      <c r="D9">
        <f>IF(ISNUMBER(SEARCH("Line 8", 'Form Responses 1'!E8)), 1, 0)</f>
        <v>0</v>
      </c>
      <c r="E9">
        <f>IF(ISNUMBER(SEARCH("Line 13", 'Form Responses 1'!E8)), 1, 0)</f>
        <v>1</v>
      </c>
      <c r="F9">
        <f>IF(ISNUMBER(SEARCH("Line 14", 'Form Responses 1'!E8)), -1, 0)</f>
        <v>-1</v>
      </c>
      <c r="G9">
        <f>IF(ISNUMBER(SEARCH("Line 15", 'Form Responses 1'!E8)), 1, 0)</f>
        <v>1</v>
      </c>
      <c r="H9">
        <f>IF(ISNUMBER(SEARCH("Line 16", 'Form Responses 1'!E8)), -1, 0)</f>
        <v>0</v>
      </c>
      <c r="I9">
        <f>IF(ISNUMBER(SEARCH("Line 17", 'Form Responses 1'!E8)), 1, 0)</f>
        <v>0</v>
      </c>
      <c r="J9">
        <f>IF(ISNUMBER(SEARCH("Line 19", 'Form Responses 1'!E8)), 1, 0)</f>
        <v>0</v>
      </c>
      <c r="K9">
        <f t="shared" si="0"/>
        <v>1</v>
      </c>
      <c r="L9" s="8">
        <f t="shared" si="1"/>
        <v>2</v>
      </c>
      <c r="M9">
        <f>IF(ISNUMBER(SEARCH("Transmit data", 'Form Responses 1'!F8)), 1, 0)</f>
        <v>0</v>
      </c>
      <c r="N9">
        <f>IF(ISNUMBER(SEARCH("Alter", 'Form Responses 1'!F8)), -1, 0)</f>
        <v>-1</v>
      </c>
      <c r="O9">
        <f>IF(ISNUMBER(SEARCH("Change", 'Form Responses 1'!F8)), -1, 0)</f>
        <v>0</v>
      </c>
      <c r="P9">
        <f>IF(ISNUMBER(SEARCH("Remove", 'Form Responses 1'!F8)), -1, 0)</f>
        <v>0</v>
      </c>
      <c r="Q9">
        <f>IF(ISNUMBER(SEARCH("unintelligible", 'Form Responses 1'!F8)), -1, 0)</f>
        <v>-1</v>
      </c>
      <c r="R9">
        <f t="shared" si="2"/>
        <v>-1.5</v>
      </c>
      <c r="S9" s="7">
        <f t="shared" si="3"/>
        <v>0</v>
      </c>
      <c r="T9">
        <f>IF(ISNUMBER(SEARCH("sensors", 'Form Responses 1'!G8)), 1, 0)</f>
        <v>1</v>
      </c>
      <c r="U9">
        <f>IF(ISNUMBER(SEARCH("actuators", 'Form Responses 1'!G8)), -1, 0)</f>
        <v>0</v>
      </c>
      <c r="V9">
        <f>IF(ISNUMBER(SEARCH("Switch", 'Form Responses 1'!G8)), 1, 0)</f>
        <v>0</v>
      </c>
      <c r="W9">
        <f>IF(ISNUMBER(SEARCH("PID", 'Form Responses 1'!G8)), -1, 0)</f>
        <v>-1</v>
      </c>
      <c r="X9">
        <f t="shared" si="4"/>
        <v>1</v>
      </c>
      <c r="Y9" s="7">
        <f t="shared" si="5"/>
        <v>1</v>
      </c>
      <c r="Z9">
        <f>IF(ISNUMBER(SEARCH("16", 'Form Responses 1'!H8)), -1, 0)</f>
        <v>-1</v>
      </c>
      <c r="AA9">
        <f>IF(ISNUMBER(SEARCH("1.5", 'Form Responses 1'!H8)), 1, 0)</f>
        <v>1</v>
      </c>
      <c r="AB9">
        <f>IF(ISNUMBER(SEARCH("0.2", 'Form Responses 1'!H8)), -1, 0)</f>
        <v>0</v>
      </c>
      <c r="AC9">
        <f>IF(ISNUMBER(SEARCH("None", 'Form Responses 1'!H8)), -1, 0)</f>
        <v>0</v>
      </c>
      <c r="AD9">
        <f t="shared" si="6"/>
        <v>3</v>
      </c>
      <c r="AE9" s="7">
        <f t="shared" si="7"/>
        <v>3</v>
      </c>
      <c r="AF9">
        <f>IF(ISNUMBER(SEARCH("Small", 'Form Responses 1'!I8)), -1, 0)</f>
        <v>0</v>
      </c>
      <c r="AG9">
        <f>IF(ISNUMBER(SEARCH("IMU", 'Form Responses 1'!I8)), 1, 0)</f>
        <v>1</v>
      </c>
      <c r="AH9">
        <f>IF(ISNUMBER(SEARCH("CAN", 'Form Responses 1'!I8)), 1, 0)</f>
        <v>0</v>
      </c>
      <c r="AI9">
        <f>IF(ISNUMBER(SEARCH("High", 'Form Responses 1'!I8)), -1, 0)</f>
        <v>0</v>
      </c>
      <c r="AJ9">
        <f>IF(ISNUMBER(SEARCH("Spoofing", 'Form Responses 1'!I8)), -1, 0)</f>
        <v>-1</v>
      </c>
      <c r="AK9">
        <f t="shared" si="8"/>
        <v>1</v>
      </c>
      <c r="AL9" s="7">
        <f t="shared" si="9"/>
        <v>1</v>
      </c>
      <c r="AM9">
        <f>IF('Form Responses 1'!J8, 1, 0)</f>
        <v>1</v>
      </c>
      <c r="AN9" s="7">
        <f t="shared" si="10"/>
        <v>4</v>
      </c>
      <c r="AO9">
        <f>IF(ISNUMBER(SEARCH("Increase the integral gain", 'Form Responses 1'!K8)), 1, 0)</f>
        <v>1</v>
      </c>
      <c r="AP9">
        <f>IF(ISNUMBER(SEARCH("Increase the proportional gain", 'Form Responses 1'!K8)), 1, 0)</f>
        <v>0</v>
      </c>
      <c r="AQ9">
        <f>IF(ISNUMBER(SEARCH("increasing the integral gain", 'Form Responses 1'!K8)), 1, 0)</f>
        <v>0</v>
      </c>
      <c r="AR9">
        <f>IF(ISNUMBER(SEARCH("Decrease the proportional gain (Kp) and increase the derivative gain (Kd)", 'Form Responses 1'!K8)), 1, 0)</f>
        <v>0</v>
      </c>
      <c r="AS9">
        <f>IF(ISNUMBER(SEARCH("Decrease the proportional gain", 'Form Responses 1'!K8)), 1, 0)</f>
        <v>0</v>
      </c>
      <c r="AT9" s="7">
        <f t="shared" si="11"/>
        <v>4</v>
      </c>
      <c r="AU9">
        <f>IF(ISNUMBER(SEARCH("Measurement", 'Form Responses 1'!L8)), 1, 0)</f>
        <v>0</v>
      </c>
      <c r="AV9">
        <f>IF(ISNUMBER(SEARCH("All of the above",'Form Responses 1'!L8)),1,0)</f>
        <v>0</v>
      </c>
      <c r="AW9" s="7">
        <f t="shared" si="12"/>
        <v>0</v>
      </c>
      <c r="AX9">
        <f>IF(ISNUMBER(SEARCH("recorded sensor data to the controller", 'Form Responses 1'!M8)), 1, 0)</f>
        <v>0</v>
      </c>
      <c r="AY9">
        <f>IF(ISNUMBER(SEARCH("record sensor data from", 'Form Responses 1'!M8)), 1, 0)</f>
        <v>0</v>
      </c>
      <c r="AZ9">
        <f>IF(ISNUMBER(SEARCH("record actuator data from",'Form Responses 1'!M8)),1,0)</f>
        <v>0</v>
      </c>
      <c r="BA9">
        <f>IF(ISNUMBER(SEARCH("recorded actuator data to the controller", 'Form Responses 1'!M8)), 1, 0)</f>
        <v>0</v>
      </c>
      <c r="BB9" s="7">
        <f t="shared" si="13"/>
        <v>0</v>
      </c>
      <c r="BC9">
        <f>IF('Form Responses 1'!N8, 0, 1)</f>
        <v>1</v>
      </c>
      <c r="BD9" s="7">
        <f t="shared" si="14"/>
        <v>4</v>
      </c>
    </row>
    <row r="10" spans="1:56" x14ac:dyDescent="0.2">
      <c r="A10" s="4">
        <v>8</v>
      </c>
      <c r="B10">
        <f>IF(ISNUMBER(SEARCH("Line 4", 'Form Responses 1'!E9)), -1, 0)</f>
        <v>0</v>
      </c>
      <c r="C10">
        <f>IF(ISNUMBER(SEARCH("Line 5", 'Form Responses 1'!E9)), -1, 0)</f>
        <v>0</v>
      </c>
      <c r="D10">
        <f>IF(ISNUMBER(SEARCH("Line 8", 'Form Responses 1'!E9)), 1, 0)</f>
        <v>0</v>
      </c>
      <c r="E10">
        <f>IF(ISNUMBER(SEARCH("Line 13", 'Form Responses 1'!E9)), 1, 0)</f>
        <v>1</v>
      </c>
      <c r="F10">
        <f>IF(ISNUMBER(SEARCH("Line 14", 'Form Responses 1'!E9)), -1, 0)</f>
        <v>0</v>
      </c>
      <c r="G10">
        <f>IF(ISNUMBER(SEARCH("Line 15", 'Form Responses 1'!E9)), 1, 0)</f>
        <v>1</v>
      </c>
      <c r="H10">
        <f>IF(ISNUMBER(SEARCH("Line 16", 'Form Responses 1'!E9)), -1, 0)</f>
        <v>-1</v>
      </c>
      <c r="I10">
        <f>IF(ISNUMBER(SEARCH("Line 17", 'Form Responses 1'!E9)), 1, 0)</f>
        <v>0</v>
      </c>
      <c r="J10">
        <f>IF(ISNUMBER(SEARCH("Line 19", 'Form Responses 1'!E9)), 1, 0)</f>
        <v>0</v>
      </c>
      <c r="K10">
        <f t="shared" si="0"/>
        <v>1</v>
      </c>
      <c r="L10" s="8">
        <f t="shared" si="1"/>
        <v>2</v>
      </c>
      <c r="M10">
        <f>IF(ISNUMBER(SEARCH("Transmit data", 'Form Responses 1'!F9)), 1, 0)</f>
        <v>1</v>
      </c>
      <c r="N10">
        <f>IF(ISNUMBER(SEARCH("Alter", 'Form Responses 1'!F9)), -1, 0)</f>
        <v>0</v>
      </c>
      <c r="O10">
        <f>IF(ISNUMBER(SEARCH("Change", 'Form Responses 1'!F9)), -1, 0)</f>
        <v>-1</v>
      </c>
      <c r="P10">
        <f>IF(ISNUMBER(SEARCH("Remove", 'Form Responses 1'!F9)), -1, 0)</f>
        <v>0</v>
      </c>
      <c r="Q10">
        <f>IF(ISNUMBER(SEARCH("unintelligible", 'Form Responses 1'!F9)), -1, 0)</f>
        <v>0</v>
      </c>
      <c r="R10">
        <f t="shared" si="2"/>
        <v>3.25</v>
      </c>
      <c r="S10" s="7">
        <f t="shared" si="3"/>
        <v>3.25</v>
      </c>
      <c r="T10">
        <f>IF(ISNUMBER(SEARCH("sensors", 'Form Responses 1'!G9)), 1, 0)</f>
        <v>1</v>
      </c>
      <c r="U10">
        <f>IF(ISNUMBER(SEARCH("actuators", 'Form Responses 1'!G9)), -1, 0)</f>
        <v>-1</v>
      </c>
      <c r="V10">
        <f>IF(ISNUMBER(SEARCH("Switch", 'Form Responses 1'!G9)), 1, 0)</f>
        <v>1</v>
      </c>
      <c r="W10">
        <f>IF(ISNUMBER(SEARCH("PID", 'Form Responses 1'!G9)), -1, 0)</f>
        <v>-1</v>
      </c>
      <c r="X10">
        <f t="shared" si="4"/>
        <v>2</v>
      </c>
      <c r="Y10" s="7">
        <f t="shared" si="5"/>
        <v>2</v>
      </c>
      <c r="Z10">
        <f>IF(ISNUMBER(SEARCH("16", 'Form Responses 1'!H9)), -1, 0)</f>
        <v>0</v>
      </c>
      <c r="AA10">
        <f>IF(ISNUMBER(SEARCH("1.5", 'Form Responses 1'!H9)), 1, 0)</f>
        <v>1</v>
      </c>
      <c r="AB10">
        <f>IF(ISNUMBER(SEARCH("0.2", 'Form Responses 1'!H9)), -1, 0)</f>
        <v>0</v>
      </c>
      <c r="AC10">
        <f>IF(ISNUMBER(SEARCH("None", 'Form Responses 1'!H9)), -1, 0)</f>
        <v>0</v>
      </c>
      <c r="AD10">
        <f t="shared" si="6"/>
        <v>4</v>
      </c>
      <c r="AE10" s="7">
        <f t="shared" si="7"/>
        <v>4</v>
      </c>
      <c r="AF10">
        <f>IF(ISNUMBER(SEARCH("Small", 'Form Responses 1'!I9)), -1, 0)</f>
        <v>-1</v>
      </c>
      <c r="AG10">
        <f>IF(ISNUMBER(SEARCH("IMU", 'Form Responses 1'!I9)), 1, 0)</f>
        <v>0</v>
      </c>
      <c r="AH10">
        <f>IF(ISNUMBER(SEARCH("CAN", 'Form Responses 1'!I9)), 1, 0)</f>
        <v>1</v>
      </c>
      <c r="AI10">
        <f>IF(ISNUMBER(SEARCH("High", 'Form Responses 1'!I9)), -1, 0)</f>
        <v>-1</v>
      </c>
      <c r="AJ10">
        <f>IF(ISNUMBER(SEARCH("Spoofing", 'Form Responses 1'!I9)), -1, 0)</f>
        <v>-1</v>
      </c>
      <c r="AK10">
        <f t="shared" si="8"/>
        <v>1</v>
      </c>
      <c r="AL10" s="7">
        <f t="shared" si="9"/>
        <v>1</v>
      </c>
      <c r="AM10">
        <f>IF('Form Responses 1'!J9, 1, 0)</f>
        <v>1</v>
      </c>
      <c r="AN10" s="7">
        <f t="shared" si="10"/>
        <v>4</v>
      </c>
      <c r="AO10">
        <f>IF(ISNUMBER(SEARCH("Increase the integral gain", 'Form Responses 1'!K9)), 1, 0)</f>
        <v>0</v>
      </c>
      <c r="AP10">
        <f>IF(ISNUMBER(SEARCH("Increase the proportional gain", 'Form Responses 1'!K9)), 1, 0)</f>
        <v>1</v>
      </c>
      <c r="AQ10">
        <f>IF(ISNUMBER(SEARCH("increasing the integral gain", 'Form Responses 1'!K9)), 1, 0)</f>
        <v>1</v>
      </c>
      <c r="AR10">
        <f>IF(ISNUMBER(SEARCH("Decrease the proportional gain (Kp) and increase the derivative gain (Kd)", 'Form Responses 1'!K9)), 1, 0)</f>
        <v>0</v>
      </c>
      <c r="AS10">
        <f>IF(ISNUMBER(SEARCH("Decrease the proportional gain", 'Form Responses 1'!K9)), 1, 0)</f>
        <v>0</v>
      </c>
      <c r="AT10" s="7">
        <f t="shared" si="11"/>
        <v>2.2999999999999998</v>
      </c>
      <c r="AU10">
        <f>IF(ISNUMBER(SEARCH("Measurement", 'Form Responses 1'!L9)), 1, 0)</f>
        <v>0</v>
      </c>
      <c r="AV10">
        <f>IF(ISNUMBER(SEARCH("All of the above",'Form Responses 1'!L9)),1,0)</f>
        <v>1</v>
      </c>
      <c r="AW10" s="7">
        <f t="shared" si="12"/>
        <v>2</v>
      </c>
      <c r="AX10">
        <f>IF(ISNUMBER(SEARCH("recorded sensor data to the controller", 'Form Responses 1'!M9)), 1, 0)</f>
        <v>0</v>
      </c>
      <c r="AY10">
        <f>IF(ISNUMBER(SEARCH("record sensor data from", 'Form Responses 1'!M9)), 1, 0)</f>
        <v>0</v>
      </c>
      <c r="AZ10">
        <f>IF(ISNUMBER(SEARCH("record actuator data from",'Form Responses 1'!M9)),1,0)</f>
        <v>0</v>
      </c>
      <c r="BA10">
        <f>IF(ISNUMBER(SEARCH("recorded actuator data to the controller", 'Form Responses 1'!M9)), 1, 0)</f>
        <v>0</v>
      </c>
      <c r="BB10" s="7">
        <f t="shared" si="13"/>
        <v>0</v>
      </c>
      <c r="BC10">
        <f>IF('Form Responses 1'!N9, 0, 1)</f>
        <v>0</v>
      </c>
      <c r="BD10" s="7">
        <f t="shared" si="14"/>
        <v>0</v>
      </c>
    </row>
    <row r="11" spans="1:56" x14ac:dyDescent="0.2">
      <c r="A11" s="4">
        <v>9</v>
      </c>
      <c r="B11">
        <f>IF(ISNUMBER(SEARCH("Line 4", 'Form Responses 1'!E10)), -1, 0)</f>
        <v>-1</v>
      </c>
      <c r="C11">
        <f>IF(ISNUMBER(SEARCH("Line 5", 'Form Responses 1'!E10)), -1, 0)</f>
        <v>0</v>
      </c>
      <c r="D11">
        <f>IF(ISNUMBER(SEARCH("Line 8", 'Form Responses 1'!E10)), 1, 0)</f>
        <v>0</v>
      </c>
      <c r="E11">
        <f>IF(ISNUMBER(SEARCH("Line 13", 'Form Responses 1'!E10)), 1, 0)</f>
        <v>0</v>
      </c>
      <c r="F11">
        <f>IF(ISNUMBER(SEARCH("Line 14", 'Form Responses 1'!E10)), -1, 0)</f>
        <v>0</v>
      </c>
      <c r="G11">
        <f>IF(ISNUMBER(SEARCH("Line 15", 'Form Responses 1'!E10)), 1, 0)</f>
        <v>0</v>
      </c>
      <c r="H11">
        <f>IF(ISNUMBER(SEARCH("Line 16", 'Form Responses 1'!E10)), -1, 0)</f>
        <v>0</v>
      </c>
      <c r="I11">
        <f>IF(ISNUMBER(SEARCH("Line 17", 'Form Responses 1'!E10)), 1, 0)</f>
        <v>0</v>
      </c>
      <c r="J11">
        <f>IF(ISNUMBER(SEARCH("Line 19", 'Form Responses 1'!E10)), 1, 0)</f>
        <v>1</v>
      </c>
      <c r="K11">
        <f t="shared" si="0"/>
        <v>0</v>
      </c>
      <c r="L11" s="8">
        <f t="shared" si="1"/>
        <v>1</v>
      </c>
      <c r="M11">
        <f>IF(ISNUMBER(SEARCH("Transmit data", 'Form Responses 1'!F10)), 1, 0)</f>
        <v>1</v>
      </c>
      <c r="N11">
        <f>IF(ISNUMBER(SEARCH("Alter", 'Form Responses 1'!F10)), -1, 0)</f>
        <v>-1</v>
      </c>
      <c r="O11">
        <f>IF(ISNUMBER(SEARCH("Change", 'Form Responses 1'!F10)), -1, 0)</f>
        <v>-1</v>
      </c>
      <c r="P11">
        <f>IF(ISNUMBER(SEARCH("Remove", 'Form Responses 1'!F10)), -1, 0)</f>
        <v>0</v>
      </c>
      <c r="Q11">
        <f>IF(ISNUMBER(SEARCH("unintelligible", 'Form Responses 1'!F10)), -1, 0)</f>
        <v>0</v>
      </c>
      <c r="R11">
        <f t="shared" si="2"/>
        <v>2.5</v>
      </c>
      <c r="S11" s="7">
        <f t="shared" si="3"/>
        <v>2.5</v>
      </c>
      <c r="T11">
        <f>IF(ISNUMBER(SEARCH("sensors", 'Form Responses 1'!G10)), 1, 0)</f>
        <v>1</v>
      </c>
      <c r="U11">
        <f>IF(ISNUMBER(SEARCH("actuators", 'Form Responses 1'!G10)), -1, 0)</f>
        <v>0</v>
      </c>
      <c r="V11">
        <f>IF(ISNUMBER(SEARCH("Switch", 'Form Responses 1'!G10)), 1, 0)</f>
        <v>1</v>
      </c>
      <c r="W11">
        <f>IF(ISNUMBER(SEARCH("PID", 'Form Responses 1'!G10)), -1, 0)</f>
        <v>0</v>
      </c>
      <c r="X11">
        <f t="shared" si="4"/>
        <v>4</v>
      </c>
      <c r="Y11" s="7">
        <f t="shared" si="5"/>
        <v>4</v>
      </c>
      <c r="Z11">
        <f>IF(ISNUMBER(SEARCH("16", 'Form Responses 1'!H10)), -1, 0)</f>
        <v>0</v>
      </c>
      <c r="AA11">
        <f>IF(ISNUMBER(SEARCH("1.5", 'Form Responses 1'!H10)), 1, 0)</f>
        <v>1</v>
      </c>
      <c r="AB11">
        <f>IF(ISNUMBER(SEARCH("0.2", 'Form Responses 1'!H10)), -1, 0)</f>
        <v>0</v>
      </c>
      <c r="AC11">
        <f>IF(ISNUMBER(SEARCH("None", 'Form Responses 1'!H10)), -1, 0)</f>
        <v>0</v>
      </c>
      <c r="AD11">
        <f t="shared" si="6"/>
        <v>4</v>
      </c>
      <c r="AE11" s="7">
        <f t="shared" si="7"/>
        <v>4</v>
      </c>
      <c r="AF11">
        <f>IF(ISNUMBER(SEARCH("Small", 'Form Responses 1'!I10)), -1, 0)</f>
        <v>0</v>
      </c>
      <c r="AG11">
        <f>IF(ISNUMBER(SEARCH("IMU", 'Form Responses 1'!I10)), 1, 0)</f>
        <v>1</v>
      </c>
      <c r="AH11">
        <f>IF(ISNUMBER(SEARCH("CAN", 'Form Responses 1'!I10)), 1, 0)</f>
        <v>1</v>
      </c>
      <c r="AI11">
        <f>IF(ISNUMBER(SEARCH("High", 'Form Responses 1'!I10)), -1, 0)</f>
        <v>0</v>
      </c>
      <c r="AJ11">
        <f>IF(ISNUMBER(SEARCH("Spoofing", 'Form Responses 1'!I10)), -1, 0)</f>
        <v>0</v>
      </c>
      <c r="AK11">
        <f t="shared" si="8"/>
        <v>4</v>
      </c>
      <c r="AL11" s="7">
        <f t="shared" si="9"/>
        <v>4</v>
      </c>
      <c r="AM11">
        <f>IF('Form Responses 1'!J10, 1, 0)</f>
        <v>1</v>
      </c>
      <c r="AN11" s="7">
        <f t="shared" si="10"/>
        <v>4</v>
      </c>
      <c r="AO11">
        <f>IF(ISNUMBER(SEARCH("Increase the integral gain", 'Form Responses 1'!K10)), 1, 0)</f>
        <v>1</v>
      </c>
      <c r="AP11">
        <f>IF(ISNUMBER(SEARCH("Increase the proportional gain", 'Form Responses 1'!K10)), 1, 0)</f>
        <v>0</v>
      </c>
      <c r="AQ11">
        <f>IF(ISNUMBER(SEARCH("increasing the integral gain", 'Form Responses 1'!K10)), 1, 0)</f>
        <v>0</v>
      </c>
      <c r="AR11">
        <f>IF(ISNUMBER(SEARCH("Decrease the proportional gain (Kp) and increase the derivative gain (Kd)", 'Form Responses 1'!K10)), 1, 0)</f>
        <v>0</v>
      </c>
      <c r="AS11">
        <f>IF(ISNUMBER(SEARCH("Decrease the proportional gain", 'Form Responses 1'!K10)), 1, 0)</f>
        <v>0</v>
      </c>
      <c r="AT11" s="7">
        <f t="shared" si="11"/>
        <v>4</v>
      </c>
      <c r="AU11">
        <f>IF(ISNUMBER(SEARCH("Measurement", 'Form Responses 1'!L10)), 1, 0)</f>
        <v>1</v>
      </c>
      <c r="AV11">
        <f>IF(ISNUMBER(SEARCH("All of the above",'Form Responses 1'!L10)),1,0)</f>
        <v>0</v>
      </c>
      <c r="AW11" s="7">
        <f t="shared" si="12"/>
        <v>4</v>
      </c>
      <c r="AX11">
        <f>IF(ISNUMBER(SEARCH("recorded sensor data to the controller", 'Form Responses 1'!M10)), 1, 0)</f>
        <v>1</v>
      </c>
      <c r="AY11">
        <f>IF(ISNUMBER(SEARCH("record sensor data from", 'Form Responses 1'!M10)), 1, 0)</f>
        <v>0</v>
      </c>
      <c r="AZ11">
        <f>IF(ISNUMBER(SEARCH("record actuator data from",'Form Responses 1'!M10)),1,0)</f>
        <v>0</v>
      </c>
      <c r="BA11">
        <f>IF(ISNUMBER(SEARCH("recorded actuator data to the controller", 'Form Responses 1'!M10)), 1, 0)</f>
        <v>0</v>
      </c>
      <c r="BB11" s="7">
        <f t="shared" si="13"/>
        <v>4</v>
      </c>
      <c r="BC11">
        <f>IF('Form Responses 1'!N10, 0, 1)</f>
        <v>1</v>
      </c>
      <c r="BD11" s="7">
        <f t="shared" si="14"/>
        <v>4</v>
      </c>
    </row>
    <row r="12" spans="1:56" x14ac:dyDescent="0.2">
      <c r="A12" s="4">
        <v>10</v>
      </c>
      <c r="B12">
        <f>IF(ISNUMBER(SEARCH("Line 4", 'Form Responses 1'!E11)), -1, 0)</f>
        <v>0</v>
      </c>
      <c r="C12">
        <f>IF(ISNUMBER(SEARCH("Line 5", 'Form Responses 1'!E11)), -1, 0)</f>
        <v>0</v>
      </c>
      <c r="D12">
        <f>IF(ISNUMBER(SEARCH("Line 8", 'Form Responses 1'!E11)), 1, 0)</f>
        <v>0</v>
      </c>
      <c r="E12">
        <f>IF(ISNUMBER(SEARCH("Line 13", 'Form Responses 1'!E11)), 1, 0)</f>
        <v>1</v>
      </c>
      <c r="F12">
        <f>IF(ISNUMBER(SEARCH("Line 14", 'Form Responses 1'!E11)), -1, 0)</f>
        <v>-1</v>
      </c>
      <c r="G12">
        <f>IF(ISNUMBER(SEARCH("Line 15", 'Form Responses 1'!E11)), 1, 0)</f>
        <v>1</v>
      </c>
      <c r="H12">
        <f>IF(ISNUMBER(SEARCH("Line 16", 'Form Responses 1'!E11)), -1, 0)</f>
        <v>0</v>
      </c>
      <c r="I12">
        <f>IF(ISNUMBER(SEARCH("Line 17", 'Form Responses 1'!E11)), 1, 0)</f>
        <v>0</v>
      </c>
      <c r="J12">
        <f>IF(ISNUMBER(SEARCH("Line 19", 'Form Responses 1'!E11)), 1, 0)</f>
        <v>0</v>
      </c>
      <c r="K12">
        <f t="shared" si="0"/>
        <v>1</v>
      </c>
      <c r="L12" s="8">
        <f t="shared" si="1"/>
        <v>2</v>
      </c>
      <c r="M12">
        <f>IF(ISNUMBER(SEARCH("Transmit data", 'Form Responses 1'!F11)), 1, 0)</f>
        <v>1</v>
      </c>
      <c r="N12">
        <f>IF(ISNUMBER(SEARCH("Alter", 'Form Responses 1'!F11)), -1, 0)</f>
        <v>0</v>
      </c>
      <c r="O12">
        <f>IF(ISNUMBER(SEARCH("Change", 'Form Responses 1'!F11)), -1, 0)</f>
        <v>0</v>
      </c>
      <c r="P12">
        <f>IF(ISNUMBER(SEARCH("Remove", 'Form Responses 1'!F11)), -1, 0)</f>
        <v>0</v>
      </c>
      <c r="Q12">
        <f>IF(ISNUMBER(SEARCH("unintelligible", 'Form Responses 1'!F11)), -1, 0)</f>
        <v>0</v>
      </c>
      <c r="R12">
        <f t="shared" si="2"/>
        <v>4</v>
      </c>
      <c r="S12" s="7">
        <f t="shared" si="3"/>
        <v>4</v>
      </c>
      <c r="T12">
        <f>IF(ISNUMBER(SEARCH("sensors", 'Form Responses 1'!G11)), 1, 0)</f>
        <v>1</v>
      </c>
      <c r="U12">
        <f>IF(ISNUMBER(SEARCH("actuators", 'Form Responses 1'!G11)), -1, 0)</f>
        <v>0</v>
      </c>
      <c r="V12">
        <f>IF(ISNUMBER(SEARCH("Switch", 'Form Responses 1'!G11)), 1, 0)</f>
        <v>0</v>
      </c>
      <c r="W12">
        <f>IF(ISNUMBER(SEARCH("PID", 'Form Responses 1'!G11)), -1, 0)</f>
        <v>-1</v>
      </c>
      <c r="X12">
        <f t="shared" si="4"/>
        <v>1</v>
      </c>
      <c r="Y12" s="7">
        <f t="shared" si="5"/>
        <v>1</v>
      </c>
      <c r="Z12">
        <f>IF(ISNUMBER(SEARCH("16", 'Form Responses 1'!H11)), -1, 0)</f>
        <v>0</v>
      </c>
      <c r="AA12">
        <f>IF(ISNUMBER(SEARCH("1.5", 'Form Responses 1'!H11)), 1, 0)</f>
        <v>1</v>
      </c>
      <c r="AB12">
        <f>IF(ISNUMBER(SEARCH("0.2", 'Form Responses 1'!H11)), -1, 0)</f>
        <v>0</v>
      </c>
      <c r="AC12">
        <f>IF(ISNUMBER(SEARCH("None", 'Form Responses 1'!H11)), -1, 0)</f>
        <v>0</v>
      </c>
      <c r="AD12">
        <f t="shared" si="6"/>
        <v>4</v>
      </c>
      <c r="AE12" s="7">
        <f t="shared" si="7"/>
        <v>4</v>
      </c>
      <c r="AF12">
        <f>IF(ISNUMBER(SEARCH("Small", 'Form Responses 1'!I11)), -1, 0)</f>
        <v>-1</v>
      </c>
      <c r="AG12">
        <f>IF(ISNUMBER(SEARCH("IMU", 'Form Responses 1'!I11)), 1, 0)</f>
        <v>1</v>
      </c>
      <c r="AH12">
        <f>IF(ISNUMBER(SEARCH("CAN", 'Form Responses 1'!I11)), 1, 0)</f>
        <v>1</v>
      </c>
      <c r="AI12">
        <f>IF(ISNUMBER(SEARCH("High", 'Form Responses 1'!I11)), -1, 0)</f>
        <v>0</v>
      </c>
      <c r="AJ12">
        <f>IF(ISNUMBER(SEARCH("Spoofing", 'Form Responses 1'!I11)), -1, 0)</f>
        <v>0</v>
      </c>
      <c r="AK12">
        <f t="shared" si="8"/>
        <v>5</v>
      </c>
      <c r="AL12" s="7">
        <f t="shared" si="9"/>
        <v>4</v>
      </c>
      <c r="AM12">
        <f>IF('Form Responses 1'!J11, 1, 0)</f>
        <v>0</v>
      </c>
      <c r="AN12" s="7">
        <f t="shared" si="10"/>
        <v>0</v>
      </c>
      <c r="AO12">
        <f>IF(ISNUMBER(SEARCH("Increase the integral gain", 'Form Responses 1'!K11)), 1, 0)</f>
        <v>0</v>
      </c>
      <c r="AP12">
        <f>IF(ISNUMBER(SEARCH("Increase the proportional gain", 'Form Responses 1'!K11)), 1, 0)</f>
        <v>1</v>
      </c>
      <c r="AQ12">
        <f>IF(ISNUMBER(SEARCH("increasing the integral gain", 'Form Responses 1'!K11)), 1, 0)</f>
        <v>1</v>
      </c>
      <c r="AR12">
        <f>IF(ISNUMBER(SEARCH("Decrease the proportional gain (Kp) and increase the derivative gain (Kd)", 'Form Responses 1'!K11)), 1, 0)</f>
        <v>0</v>
      </c>
      <c r="AS12">
        <f>IF(ISNUMBER(SEARCH("Decrease the proportional gain", 'Form Responses 1'!K11)), 1, 0)</f>
        <v>0</v>
      </c>
      <c r="AT12" s="7">
        <f t="shared" si="11"/>
        <v>2.2999999999999998</v>
      </c>
      <c r="AU12">
        <f>IF(ISNUMBER(SEARCH("Measurement", 'Form Responses 1'!L11)), 1, 0)</f>
        <v>0</v>
      </c>
      <c r="AV12">
        <f>IF(ISNUMBER(SEARCH("All of the above",'Form Responses 1'!L11)),1,0)</f>
        <v>0</v>
      </c>
      <c r="AW12" s="7">
        <f t="shared" si="12"/>
        <v>0</v>
      </c>
      <c r="AX12">
        <f>IF(ISNUMBER(SEARCH("recorded sensor data to the controller", 'Form Responses 1'!M11)), 1, 0)</f>
        <v>0</v>
      </c>
      <c r="AY12">
        <f>IF(ISNUMBER(SEARCH("record sensor data from", 'Form Responses 1'!M11)), 1, 0)</f>
        <v>0</v>
      </c>
      <c r="AZ12">
        <f>IF(ISNUMBER(SEARCH("record actuator data from",'Form Responses 1'!M11)),1,0)</f>
        <v>1</v>
      </c>
      <c r="BA12">
        <f>IF(ISNUMBER(SEARCH("recorded actuator data to the controller", 'Form Responses 1'!M11)), 1, 0)</f>
        <v>0</v>
      </c>
      <c r="BB12" s="7">
        <f t="shared" si="13"/>
        <v>2</v>
      </c>
      <c r="BC12">
        <f>IF('Form Responses 1'!N11, 0, 1)</f>
        <v>0</v>
      </c>
      <c r="BD12" s="7">
        <f t="shared" si="14"/>
        <v>0</v>
      </c>
    </row>
    <row r="13" spans="1:56" x14ac:dyDescent="0.2">
      <c r="A13" s="4">
        <v>11</v>
      </c>
      <c r="B13">
        <f>IF(ISNUMBER(SEARCH("Line 4", 'Form Responses 1'!E12)), -1, 0)</f>
        <v>0</v>
      </c>
      <c r="C13">
        <f>IF(ISNUMBER(SEARCH("Line 5", 'Form Responses 1'!E12)), -1, 0)</f>
        <v>-1</v>
      </c>
      <c r="D13">
        <f>IF(ISNUMBER(SEARCH("Line 8", 'Form Responses 1'!E12)), 1, 0)</f>
        <v>1</v>
      </c>
      <c r="E13">
        <f>IF(ISNUMBER(SEARCH("Line 13", 'Form Responses 1'!E12)), 1, 0)</f>
        <v>0</v>
      </c>
      <c r="F13">
        <f>IF(ISNUMBER(SEARCH("Line 14", 'Form Responses 1'!E12)), -1, 0)</f>
        <v>0</v>
      </c>
      <c r="G13">
        <f>IF(ISNUMBER(SEARCH("Line 15", 'Form Responses 1'!E12)), 1, 0)</f>
        <v>0</v>
      </c>
      <c r="H13">
        <f>IF(ISNUMBER(SEARCH("Line 16", 'Form Responses 1'!E12)), -1, 0)</f>
        <v>0</v>
      </c>
      <c r="I13">
        <f>IF(ISNUMBER(SEARCH("Line 17", 'Form Responses 1'!E12)), 1, 0)</f>
        <v>0</v>
      </c>
      <c r="J13">
        <f>IF(ISNUMBER(SEARCH("Line 19", 'Form Responses 1'!E12)), 1, 0)</f>
        <v>1</v>
      </c>
      <c r="K13">
        <f t="shared" si="0"/>
        <v>1</v>
      </c>
      <c r="L13" s="8">
        <f t="shared" si="1"/>
        <v>2</v>
      </c>
      <c r="M13">
        <f>IF(ISNUMBER(SEARCH("Transmit data", 'Form Responses 1'!F12)), 1, 0)</f>
        <v>1</v>
      </c>
      <c r="N13">
        <f>IF(ISNUMBER(SEARCH("Alter", 'Form Responses 1'!F12)), -1, 0)</f>
        <v>0</v>
      </c>
      <c r="O13">
        <f>IF(ISNUMBER(SEARCH("Change", 'Form Responses 1'!F12)), -1, 0)</f>
        <v>0</v>
      </c>
      <c r="P13">
        <f>IF(ISNUMBER(SEARCH("Remove", 'Form Responses 1'!F12)), -1, 0)</f>
        <v>0</v>
      </c>
      <c r="Q13">
        <f>IF(ISNUMBER(SEARCH("unintelligible", 'Form Responses 1'!F12)), -1, 0)</f>
        <v>-1</v>
      </c>
      <c r="R13">
        <f t="shared" si="2"/>
        <v>3.25</v>
      </c>
      <c r="S13" s="7">
        <f t="shared" si="3"/>
        <v>3.25</v>
      </c>
      <c r="T13">
        <f>IF(ISNUMBER(SEARCH("sensors", 'Form Responses 1'!G12)), 1, 0)</f>
        <v>1</v>
      </c>
      <c r="U13">
        <f>IF(ISNUMBER(SEARCH("actuators", 'Form Responses 1'!G12)), -1, 0)</f>
        <v>0</v>
      </c>
      <c r="V13">
        <f>IF(ISNUMBER(SEARCH("Switch", 'Form Responses 1'!G12)), 1, 0)</f>
        <v>1</v>
      </c>
      <c r="W13">
        <f>IF(ISNUMBER(SEARCH("PID", 'Form Responses 1'!G12)), -1, 0)</f>
        <v>0</v>
      </c>
      <c r="X13">
        <f t="shared" si="4"/>
        <v>4</v>
      </c>
      <c r="Y13" s="7">
        <f t="shared" si="5"/>
        <v>4</v>
      </c>
      <c r="Z13">
        <f>IF(ISNUMBER(SEARCH("16", 'Form Responses 1'!H12)), -1, 0)</f>
        <v>0</v>
      </c>
      <c r="AA13">
        <f>IF(ISNUMBER(SEARCH("1.5", 'Form Responses 1'!H12)), 1, 0)</f>
        <v>0</v>
      </c>
      <c r="AB13">
        <f>IF(ISNUMBER(SEARCH("0.2", 'Form Responses 1'!H12)), -1, 0)</f>
        <v>0</v>
      </c>
      <c r="AC13">
        <f>IF(ISNUMBER(SEARCH("None", 'Form Responses 1'!H12)), -1, 0)</f>
        <v>-1</v>
      </c>
      <c r="AD13">
        <f t="shared" si="6"/>
        <v>2</v>
      </c>
      <c r="AE13" s="7">
        <f t="shared" si="7"/>
        <v>2</v>
      </c>
      <c r="AF13">
        <f>IF(ISNUMBER(SEARCH("Small", 'Form Responses 1'!I12)), -1, 0)</f>
        <v>0</v>
      </c>
      <c r="AG13">
        <f>IF(ISNUMBER(SEARCH("IMU", 'Form Responses 1'!I12)), 1, 0)</f>
        <v>0</v>
      </c>
      <c r="AH13">
        <f>IF(ISNUMBER(SEARCH("CAN", 'Form Responses 1'!I12)), 1, 0)</f>
        <v>1</v>
      </c>
      <c r="AI13">
        <f>IF(ISNUMBER(SEARCH("High", 'Form Responses 1'!I12)), -1, 0)</f>
        <v>-1</v>
      </c>
      <c r="AJ13">
        <f>IF(ISNUMBER(SEARCH("Spoofing", 'Form Responses 1'!I12)), -1, 0)</f>
        <v>0</v>
      </c>
      <c r="AK13">
        <f t="shared" si="8"/>
        <v>1</v>
      </c>
      <c r="AL13" s="7">
        <f t="shared" si="9"/>
        <v>1</v>
      </c>
      <c r="AM13">
        <f>IF('Form Responses 1'!J12, 1, 0)</f>
        <v>1</v>
      </c>
      <c r="AN13" s="7">
        <f t="shared" si="10"/>
        <v>4</v>
      </c>
      <c r="AO13">
        <f>IF(ISNUMBER(SEARCH("Increase the integral gain", 'Form Responses 1'!K12)), 1, 0)</f>
        <v>1</v>
      </c>
      <c r="AP13">
        <f>IF(ISNUMBER(SEARCH("Increase the proportional gain", 'Form Responses 1'!K12)), 1, 0)</f>
        <v>0</v>
      </c>
      <c r="AQ13">
        <f>IF(ISNUMBER(SEARCH("increasing the integral gain", 'Form Responses 1'!K12)), 1, 0)</f>
        <v>0</v>
      </c>
      <c r="AR13">
        <f>IF(ISNUMBER(SEARCH("Decrease the proportional gain (Kp) and increase the derivative gain (Kd)", 'Form Responses 1'!K12)), 1, 0)</f>
        <v>0</v>
      </c>
      <c r="AS13">
        <f>IF(ISNUMBER(SEARCH("Decrease the proportional gain", 'Form Responses 1'!K12)), 1, 0)</f>
        <v>0</v>
      </c>
      <c r="AT13" s="7">
        <f t="shared" si="11"/>
        <v>4</v>
      </c>
      <c r="AU13">
        <f>IF(ISNUMBER(SEARCH("Measurement", 'Form Responses 1'!L12)), 1, 0)</f>
        <v>0</v>
      </c>
      <c r="AV13">
        <f>IF(ISNUMBER(SEARCH("All of the above",'Form Responses 1'!L12)),1,0)</f>
        <v>1</v>
      </c>
      <c r="AW13" s="7">
        <f t="shared" si="12"/>
        <v>2</v>
      </c>
      <c r="AX13">
        <f>IF(ISNUMBER(SEARCH("recorded sensor data to the controller", 'Form Responses 1'!M12)), 1, 0)</f>
        <v>1</v>
      </c>
      <c r="AY13">
        <f>IF(ISNUMBER(SEARCH("record sensor data from", 'Form Responses 1'!M12)), 1, 0)</f>
        <v>0</v>
      </c>
      <c r="AZ13">
        <f>IF(ISNUMBER(SEARCH("record actuator data from",'Form Responses 1'!M12)),1,0)</f>
        <v>0</v>
      </c>
      <c r="BA13">
        <f>IF(ISNUMBER(SEARCH("recorded actuator data to the controller", 'Form Responses 1'!M12)), 1, 0)</f>
        <v>0</v>
      </c>
      <c r="BB13" s="7">
        <f t="shared" si="13"/>
        <v>4</v>
      </c>
      <c r="BC13">
        <f>IF('Form Responses 1'!N12, 0, 1)</f>
        <v>1</v>
      </c>
      <c r="BD13" s="7">
        <f t="shared" si="14"/>
        <v>4</v>
      </c>
    </row>
    <row r="14" spans="1:56" x14ac:dyDescent="0.2">
      <c r="A14" s="4">
        <v>12</v>
      </c>
      <c r="B14">
        <f>IF(ISNUMBER(SEARCH("Line 4", 'Form Responses 1'!E13)), -1, 0)</f>
        <v>-1</v>
      </c>
      <c r="C14">
        <f>IF(ISNUMBER(SEARCH("Line 5", 'Form Responses 1'!E13)), -1, 0)</f>
        <v>-1</v>
      </c>
      <c r="D14">
        <f>IF(ISNUMBER(SEARCH("Line 8", 'Form Responses 1'!E13)), 1, 0)</f>
        <v>0</v>
      </c>
      <c r="E14">
        <f>IF(ISNUMBER(SEARCH("Line 13", 'Form Responses 1'!E13)), 1, 0)</f>
        <v>0</v>
      </c>
      <c r="F14">
        <f>IF(ISNUMBER(SEARCH("Line 14", 'Form Responses 1'!E13)), -1, 0)</f>
        <v>0</v>
      </c>
      <c r="G14">
        <f>IF(ISNUMBER(SEARCH("Line 15", 'Form Responses 1'!E13)), 1, 0)</f>
        <v>1</v>
      </c>
      <c r="H14">
        <f>IF(ISNUMBER(SEARCH("Line 16", 'Form Responses 1'!E13)), -1, 0)</f>
        <v>0</v>
      </c>
      <c r="I14">
        <f>IF(ISNUMBER(SEARCH("Line 17", 'Form Responses 1'!E13)), 1, 0)</f>
        <v>0</v>
      </c>
      <c r="J14">
        <f>IF(ISNUMBER(SEARCH("Line 19", 'Form Responses 1'!E13)), 1, 0)</f>
        <v>0</v>
      </c>
      <c r="K14">
        <f t="shared" si="0"/>
        <v>-1</v>
      </c>
      <c r="L14" s="8">
        <f t="shared" si="1"/>
        <v>0</v>
      </c>
      <c r="M14">
        <f>IF(ISNUMBER(SEARCH("Transmit data", 'Form Responses 1'!F13)), 1, 0)</f>
        <v>1</v>
      </c>
      <c r="N14">
        <f>IF(ISNUMBER(SEARCH("Alter", 'Form Responses 1'!F13)), -1, 0)</f>
        <v>-1</v>
      </c>
      <c r="O14">
        <f>IF(ISNUMBER(SEARCH("Change", 'Form Responses 1'!F13)), -1, 0)</f>
        <v>0</v>
      </c>
      <c r="P14">
        <f>IF(ISNUMBER(SEARCH("Remove", 'Form Responses 1'!F13)), -1, 0)</f>
        <v>0</v>
      </c>
      <c r="Q14">
        <f>IF(ISNUMBER(SEARCH("unintelligible", 'Form Responses 1'!F13)), -1, 0)</f>
        <v>-1</v>
      </c>
      <c r="R14">
        <f t="shared" si="2"/>
        <v>2.5</v>
      </c>
      <c r="S14" s="7">
        <f t="shared" si="3"/>
        <v>2.5</v>
      </c>
      <c r="T14">
        <f>IF(ISNUMBER(SEARCH("sensors", 'Form Responses 1'!G13)), 1, 0)</f>
        <v>1</v>
      </c>
      <c r="U14">
        <f>IF(ISNUMBER(SEARCH("actuators", 'Form Responses 1'!G13)), -1, 0)</f>
        <v>-1</v>
      </c>
      <c r="V14">
        <f>IF(ISNUMBER(SEARCH("Switch", 'Form Responses 1'!G13)), 1, 0)</f>
        <v>1</v>
      </c>
      <c r="W14">
        <f>IF(ISNUMBER(SEARCH("PID", 'Form Responses 1'!G13)), -1, 0)</f>
        <v>0</v>
      </c>
      <c r="X14">
        <f t="shared" si="4"/>
        <v>3</v>
      </c>
      <c r="Y14" s="7">
        <f t="shared" si="5"/>
        <v>3</v>
      </c>
      <c r="Z14">
        <f>IF(ISNUMBER(SEARCH("16", 'Form Responses 1'!H13)), -1, 0)</f>
        <v>-1</v>
      </c>
      <c r="AA14">
        <f>IF(ISNUMBER(SEARCH("1.5", 'Form Responses 1'!H13)), 1, 0)</f>
        <v>1</v>
      </c>
      <c r="AB14">
        <f>IF(ISNUMBER(SEARCH("0.2", 'Form Responses 1'!H13)), -1, 0)</f>
        <v>0</v>
      </c>
      <c r="AC14">
        <f>IF(ISNUMBER(SEARCH("None", 'Form Responses 1'!H13)), -1, 0)</f>
        <v>0</v>
      </c>
      <c r="AD14">
        <f t="shared" si="6"/>
        <v>3</v>
      </c>
      <c r="AE14" s="7">
        <f t="shared" si="7"/>
        <v>3</v>
      </c>
      <c r="AF14">
        <f>IF(ISNUMBER(SEARCH("Small", 'Form Responses 1'!I13)), -1, 0)</f>
        <v>-1</v>
      </c>
      <c r="AG14">
        <f>IF(ISNUMBER(SEARCH("IMU", 'Form Responses 1'!I13)), 1, 0)</f>
        <v>1</v>
      </c>
      <c r="AH14">
        <f>IF(ISNUMBER(SEARCH("CAN", 'Form Responses 1'!I13)), 1, 0)</f>
        <v>1</v>
      </c>
      <c r="AI14">
        <f>IF(ISNUMBER(SEARCH("High", 'Form Responses 1'!I13)), -1, 0)</f>
        <v>-1</v>
      </c>
      <c r="AJ14">
        <f>IF(ISNUMBER(SEARCH("Spoofing", 'Form Responses 1'!I13)), -1, 0)</f>
        <v>0</v>
      </c>
      <c r="AK14">
        <f t="shared" si="8"/>
        <v>4</v>
      </c>
      <c r="AL14" s="7">
        <f t="shared" si="9"/>
        <v>4</v>
      </c>
      <c r="AM14">
        <f>IF('Form Responses 1'!J13, 1, 0)</f>
        <v>1</v>
      </c>
      <c r="AN14" s="7">
        <f t="shared" si="10"/>
        <v>4</v>
      </c>
      <c r="AO14">
        <f>IF(ISNUMBER(SEARCH("Increase the integral gain", 'Form Responses 1'!K13)), 1, 0)</f>
        <v>0</v>
      </c>
      <c r="AP14">
        <f>IF(ISNUMBER(SEARCH("Increase the proportional gain", 'Form Responses 1'!K13)), 1, 0)</f>
        <v>1</v>
      </c>
      <c r="AQ14">
        <f>IF(ISNUMBER(SEARCH("increasing the integral gain", 'Form Responses 1'!K13)), 1, 0)</f>
        <v>1</v>
      </c>
      <c r="AR14">
        <f>IF(ISNUMBER(SEARCH("Decrease the proportional gain (Kp) and increase the derivative gain (Kd)", 'Form Responses 1'!K13)), 1, 0)</f>
        <v>0</v>
      </c>
      <c r="AS14">
        <f>IF(ISNUMBER(SEARCH("Decrease the proportional gain", 'Form Responses 1'!K13)), 1, 0)</f>
        <v>0</v>
      </c>
      <c r="AT14" s="7">
        <f t="shared" si="11"/>
        <v>2.2999999999999998</v>
      </c>
      <c r="AU14">
        <f>IF(ISNUMBER(SEARCH("Measurement", 'Form Responses 1'!L13)), 1, 0)</f>
        <v>0</v>
      </c>
      <c r="AV14">
        <f>IF(ISNUMBER(SEARCH("All of the above",'Form Responses 1'!L13)),1,0)</f>
        <v>1</v>
      </c>
      <c r="AW14" s="7">
        <f t="shared" si="12"/>
        <v>2</v>
      </c>
      <c r="AX14">
        <f>IF(ISNUMBER(SEARCH("recorded sensor data to the controller", 'Form Responses 1'!M13)), 1, 0)</f>
        <v>1</v>
      </c>
      <c r="AY14">
        <f>IF(ISNUMBER(SEARCH("record sensor data from", 'Form Responses 1'!M13)), 1, 0)</f>
        <v>0</v>
      </c>
      <c r="AZ14">
        <f>IF(ISNUMBER(SEARCH("record actuator data from",'Form Responses 1'!M13)),1,0)</f>
        <v>0</v>
      </c>
      <c r="BA14">
        <f>IF(ISNUMBER(SEARCH("recorded actuator data to the controller", 'Form Responses 1'!M13)), 1, 0)</f>
        <v>0</v>
      </c>
      <c r="BB14" s="7">
        <f t="shared" si="13"/>
        <v>4</v>
      </c>
      <c r="BC14">
        <f>IF('Form Responses 1'!N13, 0, 1)</f>
        <v>0</v>
      </c>
      <c r="BD14" s="7">
        <f t="shared" si="14"/>
        <v>0</v>
      </c>
    </row>
    <row r="15" spans="1:56" x14ac:dyDescent="0.2">
      <c r="A15" s="4">
        <v>13</v>
      </c>
      <c r="B15">
        <f>IF(ISNUMBER(SEARCH("Line 4", 'Form Responses 1'!E14)), -1, 0)</f>
        <v>0</v>
      </c>
      <c r="C15">
        <f>IF(ISNUMBER(SEARCH("Line 5", 'Form Responses 1'!E14)), -1, 0)</f>
        <v>0</v>
      </c>
      <c r="D15">
        <f>IF(ISNUMBER(SEARCH("Line 8", 'Form Responses 1'!E14)), 1, 0)</f>
        <v>0</v>
      </c>
      <c r="E15">
        <f>IF(ISNUMBER(SEARCH("Line 13", 'Form Responses 1'!E14)), 1, 0)</f>
        <v>0</v>
      </c>
      <c r="F15">
        <f>IF(ISNUMBER(SEARCH("Line 14", 'Form Responses 1'!E14)), -1, 0)</f>
        <v>0</v>
      </c>
      <c r="G15">
        <f>IF(ISNUMBER(SEARCH("Line 15", 'Form Responses 1'!E14)), 1, 0)</f>
        <v>0</v>
      </c>
      <c r="H15">
        <f>IF(ISNUMBER(SEARCH("Line 16", 'Form Responses 1'!E14)), -1, 0)</f>
        <v>0</v>
      </c>
      <c r="I15">
        <f>IF(ISNUMBER(SEARCH("Line 17", 'Form Responses 1'!E14)), 1, 0)</f>
        <v>0</v>
      </c>
      <c r="J15">
        <f>IF(ISNUMBER(SEARCH("Line 19", 'Form Responses 1'!E14)), 1, 0)</f>
        <v>1</v>
      </c>
      <c r="K15">
        <f t="shared" si="0"/>
        <v>1</v>
      </c>
      <c r="L15" s="8">
        <f t="shared" si="1"/>
        <v>2</v>
      </c>
      <c r="M15">
        <f>IF(ISNUMBER(SEARCH("Transmit data", 'Form Responses 1'!F14)), 1, 0)</f>
        <v>1</v>
      </c>
      <c r="N15">
        <f>IF(ISNUMBER(SEARCH("Alter", 'Form Responses 1'!F14)), -1, 0)</f>
        <v>-1</v>
      </c>
      <c r="O15">
        <f>IF(ISNUMBER(SEARCH("Change", 'Form Responses 1'!F14)), -1, 0)</f>
        <v>0</v>
      </c>
      <c r="P15">
        <f>IF(ISNUMBER(SEARCH("Remove", 'Form Responses 1'!F14)), -1, 0)</f>
        <v>0</v>
      </c>
      <c r="Q15">
        <f>IF(ISNUMBER(SEARCH("unintelligible", 'Form Responses 1'!F14)), -1, 0)</f>
        <v>-1</v>
      </c>
      <c r="R15">
        <f t="shared" si="2"/>
        <v>2.5</v>
      </c>
      <c r="S15" s="7">
        <f t="shared" si="3"/>
        <v>2.5</v>
      </c>
      <c r="T15">
        <f>IF(ISNUMBER(SEARCH("sensors", 'Form Responses 1'!G14)), 1, 0)</f>
        <v>1</v>
      </c>
      <c r="U15">
        <f>IF(ISNUMBER(SEARCH("actuators", 'Form Responses 1'!G14)), -1, 0)</f>
        <v>-1</v>
      </c>
      <c r="V15">
        <f>IF(ISNUMBER(SEARCH("Switch", 'Form Responses 1'!G14)), 1, 0)</f>
        <v>0</v>
      </c>
      <c r="W15">
        <f>IF(ISNUMBER(SEARCH("PID", 'Form Responses 1'!G14)), -1, 0)</f>
        <v>0</v>
      </c>
      <c r="X15">
        <f t="shared" si="4"/>
        <v>1</v>
      </c>
      <c r="Y15" s="7">
        <f t="shared" si="5"/>
        <v>1</v>
      </c>
      <c r="Z15">
        <f>IF(ISNUMBER(SEARCH("16", 'Form Responses 1'!H14)), -1, 0)</f>
        <v>-1</v>
      </c>
      <c r="AA15">
        <f>IF(ISNUMBER(SEARCH("1.5", 'Form Responses 1'!H14)), 1, 0)</f>
        <v>1</v>
      </c>
      <c r="AB15">
        <f>IF(ISNUMBER(SEARCH("0.2", 'Form Responses 1'!H14)), -1, 0)</f>
        <v>0</v>
      </c>
      <c r="AC15">
        <f>IF(ISNUMBER(SEARCH("None", 'Form Responses 1'!H14)), -1, 0)</f>
        <v>0</v>
      </c>
      <c r="AD15">
        <f t="shared" si="6"/>
        <v>3</v>
      </c>
      <c r="AE15" s="7">
        <f t="shared" si="7"/>
        <v>3</v>
      </c>
      <c r="AF15">
        <f>IF(ISNUMBER(SEARCH("Small", 'Form Responses 1'!I14)), -1, 0)</f>
        <v>-1</v>
      </c>
      <c r="AG15">
        <f>IF(ISNUMBER(SEARCH("IMU", 'Form Responses 1'!I14)), 1, 0)</f>
        <v>0</v>
      </c>
      <c r="AH15">
        <f>IF(ISNUMBER(SEARCH("CAN", 'Form Responses 1'!I14)), 1, 0)</f>
        <v>1</v>
      </c>
      <c r="AI15">
        <f>IF(ISNUMBER(SEARCH("High", 'Form Responses 1'!I14)), -1, 0)</f>
        <v>0</v>
      </c>
      <c r="AJ15">
        <f>IF(ISNUMBER(SEARCH("Spoofing", 'Form Responses 1'!I14)), -1, 0)</f>
        <v>-1</v>
      </c>
      <c r="AK15">
        <f t="shared" si="8"/>
        <v>2</v>
      </c>
      <c r="AL15" s="7">
        <f t="shared" si="9"/>
        <v>2</v>
      </c>
      <c r="AM15">
        <f>IF('Form Responses 1'!J14, 1, 0)</f>
        <v>1</v>
      </c>
      <c r="AN15" s="7">
        <f t="shared" si="10"/>
        <v>4</v>
      </c>
      <c r="AO15">
        <f>IF(ISNUMBER(SEARCH("Increase the integral gain", 'Form Responses 1'!K14)), 1, 0)</f>
        <v>0</v>
      </c>
      <c r="AP15">
        <f>IF(ISNUMBER(SEARCH("Increase the proportional gain", 'Form Responses 1'!K14)), 1, 0)</f>
        <v>1</v>
      </c>
      <c r="AQ15">
        <f>IF(ISNUMBER(SEARCH("increasing the integral gain", 'Form Responses 1'!K14)), 1, 0)</f>
        <v>1</v>
      </c>
      <c r="AR15">
        <f>IF(ISNUMBER(SEARCH("Decrease the proportional gain (Kp) and increase the derivative gain (Kd)", 'Form Responses 1'!K14)), 1, 0)</f>
        <v>0</v>
      </c>
      <c r="AS15">
        <f>IF(ISNUMBER(SEARCH("Decrease the proportional gain", 'Form Responses 1'!K14)), 1, 0)</f>
        <v>0</v>
      </c>
      <c r="AT15" s="7">
        <f t="shared" si="11"/>
        <v>2.2999999999999998</v>
      </c>
      <c r="AU15">
        <f>IF(ISNUMBER(SEARCH("Measurement", 'Form Responses 1'!L14)), 1, 0)</f>
        <v>0</v>
      </c>
      <c r="AV15">
        <f>IF(ISNUMBER(SEARCH("All of the above",'Form Responses 1'!L14)),1,0)</f>
        <v>1</v>
      </c>
      <c r="AW15" s="7">
        <f t="shared" si="12"/>
        <v>2</v>
      </c>
      <c r="AX15">
        <f>IF(ISNUMBER(SEARCH("recorded sensor data to the controller", 'Form Responses 1'!M14)), 1, 0)</f>
        <v>0</v>
      </c>
      <c r="AY15">
        <f>IF(ISNUMBER(SEARCH("record sensor data from", 'Form Responses 1'!M14)), 1, 0)</f>
        <v>0</v>
      </c>
      <c r="AZ15">
        <f>IF(ISNUMBER(SEARCH("record actuator data from",'Form Responses 1'!M14)),1,0)</f>
        <v>0</v>
      </c>
      <c r="BA15">
        <f>IF(ISNUMBER(SEARCH("recorded actuator data to the controller", 'Form Responses 1'!M14)), 1, 0)</f>
        <v>1</v>
      </c>
      <c r="BB15" s="7">
        <f t="shared" si="13"/>
        <v>0</v>
      </c>
      <c r="BC15">
        <f>IF('Form Responses 1'!N14, 0, 1)</f>
        <v>0</v>
      </c>
      <c r="BD15" s="7">
        <f t="shared" si="14"/>
        <v>0</v>
      </c>
    </row>
    <row r="16" spans="1:56" x14ac:dyDescent="0.2">
      <c r="A16" s="4">
        <v>14</v>
      </c>
      <c r="B16">
        <f>IF(ISNUMBER(SEARCH("Line 4", 'Form Responses 1'!E15)), -1, 0)</f>
        <v>0</v>
      </c>
      <c r="C16">
        <f>IF(ISNUMBER(SEARCH("Line 5", 'Form Responses 1'!E15)), -1, 0)</f>
        <v>0</v>
      </c>
      <c r="D16">
        <f>IF(ISNUMBER(SEARCH("Line 8", 'Form Responses 1'!E15)), 1, 0)</f>
        <v>1</v>
      </c>
      <c r="E16">
        <f>IF(ISNUMBER(SEARCH("Line 13", 'Form Responses 1'!E15)), 1, 0)</f>
        <v>0</v>
      </c>
      <c r="F16">
        <f>IF(ISNUMBER(SEARCH("Line 14", 'Form Responses 1'!E15)), -1, 0)</f>
        <v>0</v>
      </c>
      <c r="G16">
        <f>IF(ISNUMBER(SEARCH("Line 15", 'Form Responses 1'!E15)), 1, 0)</f>
        <v>0</v>
      </c>
      <c r="H16">
        <f>IF(ISNUMBER(SEARCH("Line 16", 'Form Responses 1'!E15)), -1, 0)</f>
        <v>-1</v>
      </c>
      <c r="I16">
        <f>IF(ISNUMBER(SEARCH("Line 17", 'Form Responses 1'!E15)), 1, 0)</f>
        <v>1</v>
      </c>
      <c r="J16">
        <f>IF(ISNUMBER(SEARCH("Line 19", 'Form Responses 1'!E15)), 1, 0)</f>
        <v>0</v>
      </c>
      <c r="K16">
        <f t="shared" si="0"/>
        <v>1</v>
      </c>
      <c r="L16" s="8">
        <f t="shared" si="1"/>
        <v>1</v>
      </c>
      <c r="M16">
        <f>IF(ISNUMBER(SEARCH("Transmit data", 'Form Responses 1'!F15)), 1, 0)</f>
        <v>1</v>
      </c>
      <c r="N16">
        <f>IF(ISNUMBER(SEARCH("Alter", 'Form Responses 1'!F15)), -1, 0)</f>
        <v>0</v>
      </c>
      <c r="O16">
        <f>IF(ISNUMBER(SEARCH("Change", 'Form Responses 1'!F15)), -1, 0)</f>
        <v>-1</v>
      </c>
      <c r="P16">
        <f>IF(ISNUMBER(SEARCH("Remove", 'Form Responses 1'!F15)), -1, 0)</f>
        <v>-1</v>
      </c>
      <c r="Q16">
        <f>IF(ISNUMBER(SEARCH("unintelligible", 'Form Responses 1'!F15)), -1, 0)</f>
        <v>0</v>
      </c>
      <c r="R16">
        <f t="shared" si="2"/>
        <v>2.5</v>
      </c>
      <c r="S16" s="7">
        <f t="shared" si="3"/>
        <v>2.5</v>
      </c>
      <c r="T16">
        <f>IF(ISNUMBER(SEARCH("sensors", 'Form Responses 1'!G15)), 1, 0)</f>
        <v>1</v>
      </c>
      <c r="U16">
        <f>IF(ISNUMBER(SEARCH("actuators", 'Form Responses 1'!G15)), -1, 0)</f>
        <v>-1</v>
      </c>
      <c r="V16">
        <f>IF(ISNUMBER(SEARCH("Switch", 'Form Responses 1'!G15)), 1, 0)</f>
        <v>1</v>
      </c>
      <c r="W16">
        <f>IF(ISNUMBER(SEARCH("PID", 'Form Responses 1'!G15)), -1, 0)</f>
        <v>0</v>
      </c>
      <c r="X16">
        <f t="shared" si="4"/>
        <v>3</v>
      </c>
      <c r="Y16" s="7">
        <f t="shared" si="5"/>
        <v>3</v>
      </c>
      <c r="Z16">
        <f>IF(ISNUMBER(SEARCH("16", 'Form Responses 1'!H15)), -1, 0)</f>
        <v>0</v>
      </c>
      <c r="AA16">
        <f>IF(ISNUMBER(SEARCH("1.5", 'Form Responses 1'!H15)), 1, 0)</f>
        <v>1</v>
      </c>
      <c r="AB16">
        <f>IF(ISNUMBER(SEARCH("0.2", 'Form Responses 1'!H15)), -1, 0)</f>
        <v>0</v>
      </c>
      <c r="AC16">
        <f>IF(ISNUMBER(SEARCH("None", 'Form Responses 1'!H15)), -1, 0)</f>
        <v>0</v>
      </c>
      <c r="AD16">
        <f t="shared" si="6"/>
        <v>4</v>
      </c>
      <c r="AE16" s="7">
        <f t="shared" si="7"/>
        <v>4</v>
      </c>
      <c r="AF16">
        <f>IF(ISNUMBER(SEARCH("Small", 'Form Responses 1'!I15)), -1, 0)</f>
        <v>-1</v>
      </c>
      <c r="AG16">
        <f>IF(ISNUMBER(SEARCH("IMU", 'Form Responses 1'!I15)), 1, 0)</f>
        <v>1</v>
      </c>
      <c r="AH16">
        <f>IF(ISNUMBER(SEARCH("CAN", 'Form Responses 1'!I15)), 1, 0)</f>
        <v>1</v>
      </c>
      <c r="AI16">
        <f>IF(ISNUMBER(SEARCH("High", 'Form Responses 1'!I15)), -1, 0)</f>
        <v>0</v>
      </c>
      <c r="AJ16">
        <f>IF(ISNUMBER(SEARCH("Spoofing", 'Form Responses 1'!I15)), -1, 0)</f>
        <v>0</v>
      </c>
      <c r="AK16">
        <f t="shared" si="8"/>
        <v>5</v>
      </c>
      <c r="AL16" s="7">
        <f t="shared" si="9"/>
        <v>4</v>
      </c>
      <c r="AM16">
        <f>IF('Form Responses 1'!J15, 1, 0)</f>
        <v>1</v>
      </c>
      <c r="AN16" s="7">
        <f t="shared" si="10"/>
        <v>4</v>
      </c>
      <c r="AO16">
        <f>IF(ISNUMBER(SEARCH("Increase the integral gain", 'Form Responses 1'!K15)), 1, 0)</f>
        <v>0</v>
      </c>
      <c r="AP16">
        <f>IF(ISNUMBER(SEARCH("Increase the proportional gain", 'Form Responses 1'!K15)), 1, 0)</f>
        <v>1</v>
      </c>
      <c r="AQ16">
        <f>IF(ISNUMBER(SEARCH("increasing the integral gain", 'Form Responses 1'!K15)), 1, 0)</f>
        <v>1</v>
      </c>
      <c r="AR16">
        <f>IF(ISNUMBER(SEARCH("Decrease the proportional gain (Kp) and increase the derivative gain (Kd)", 'Form Responses 1'!K15)), 1, 0)</f>
        <v>0</v>
      </c>
      <c r="AS16">
        <f>IF(ISNUMBER(SEARCH("Decrease the proportional gain", 'Form Responses 1'!K15)), 1, 0)</f>
        <v>0</v>
      </c>
      <c r="AT16" s="7">
        <f t="shared" si="11"/>
        <v>2.2999999999999998</v>
      </c>
      <c r="AU16">
        <f>IF(ISNUMBER(SEARCH("Measurement", 'Form Responses 1'!L15)), 1, 0)</f>
        <v>0</v>
      </c>
      <c r="AV16">
        <f>IF(ISNUMBER(SEARCH("All of the above",'Form Responses 1'!L15)),1,0)</f>
        <v>0</v>
      </c>
      <c r="AW16" s="7">
        <f t="shared" si="12"/>
        <v>0</v>
      </c>
      <c r="AX16">
        <f>IF(ISNUMBER(SEARCH("recorded sensor data to the controller", 'Form Responses 1'!M15)), 1, 0)</f>
        <v>1</v>
      </c>
      <c r="AY16">
        <f>IF(ISNUMBER(SEARCH("record sensor data from", 'Form Responses 1'!M15)), 1, 0)</f>
        <v>0</v>
      </c>
      <c r="AZ16">
        <f>IF(ISNUMBER(SEARCH("record actuator data from",'Form Responses 1'!M15)),1,0)</f>
        <v>0</v>
      </c>
      <c r="BA16">
        <f>IF(ISNUMBER(SEARCH("recorded actuator data to the controller", 'Form Responses 1'!M15)), 1, 0)</f>
        <v>0</v>
      </c>
      <c r="BB16" s="7">
        <f t="shared" si="13"/>
        <v>4</v>
      </c>
      <c r="BC16">
        <f>IF('Form Responses 1'!N15, 0, 1)</f>
        <v>1</v>
      </c>
      <c r="BD16" s="7">
        <f t="shared" si="14"/>
        <v>4</v>
      </c>
    </row>
    <row r="17" spans="1:56" x14ac:dyDescent="0.2">
      <c r="A17" s="4">
        <v>15</v>
      </c>
      <c r="B17">
        <f>IF(ISNUMBER(SEARCH("Line 4", 'Form Responses 1'!E16)), -1, 0)</f>
        <v>0</v>
      </c>
      <c r="C17">
        <f>IF(ISNUMBER(SEARCH("Line 5", 'Form Responses 1'!E16)), -1, 0)</f>
        <v>0</v>
      </c>
      <c r="D17">
        <f>IF(ISNUMBER(SEARCH("Line 8", 'Form Responses 1'!E16)), 1, 0)</f>
        <v>0</v>
      </c>
      <c r="E17">
        <f>IF(ISNUMBER(SEARCH("Line 13", 'Form Responses 1'!E16)), 1, 0)</f>
        <v>0</v>
      </c>
      <c r="F17">
        <f>IF(ISNUMBER(SEARCH("Line 14", 'Form Responses 1'!E16)), -1, 0)</f>
        <v>0</v>
      </c>
      <c r="G17">
        <f>IF(ISNUMBER(SEARCH("Line 15", 'Form Responses 1'!E16)), 1, 0)</f>
        <v>1</v>
      </c>
      <c r="H17">
        <f>IF(ISNUMBER(SEARCH("Line 16", 'Form Responses 1'!E16)), -1, 0)</f>
        <v>0</v>
      </c>
      <c r="I17">
        <f>IF(ISNUMBER(SEARCH("Line 17", 'Form Responses 1'!E16)), 1, 0)</f>
        <v>0</v>
      </c>
      <c r="J17">
        <f>IF(ISNUMBER(SEARCH("Line 19", 'Form Responses 1'!E16)), 1, 0)</f>
        <v>0</v>
      </c>
      <c r="K17">
        <f t="shared" si="0"/>
        <v>1</v>
      </c>
      <c r="L17" s="8">
        <f t="shared" si="1"/>
        <v>1</v>
      </c>
      <c r="M17">
        <f>IF(ISNUMBER(SEARCH("Transmit data", 'Form Responses 1'!F16)), 1, 0)</f>
        <v>1</v>
      </c>
      <c r="N17">
        <f>IF(ISNUMBER(SEARCH("Alter", 'Form Responses 1'!F16)), -1, 0)</f>
        <v>0</v>
      </c>
      <c r="O17">
        <f>IF(ISNUMBER(SEARCH("Change", 'Form Responses 1'!F16)), -1, 0)</f>
        <v>0</v>
      </c>
      <c r="P17">
        <f>IF(ISNUMBER(SEARCH("Remove", 'Form Responses 1'!F16)), -1, 0)</f>
        <v>0</v>
      </c>
      <c r="Q17">
        <f>IF(ISNUMBER(SEARCH("unintelligible", 'Form Responses 1'!F16)), -1, 0)</f>
        <v>-1</v>
      </c>
      <c r="R17">
        <f t="shared" si="2"/>
        <v>3.25</v>
      </c>
      <c r="S17" s="7">
        <f t="shared" si="3"/>
        <v>3.25</v>
      </c>
      <c r="T17">
        <f>IF(ISNUMBER(SEARCH("sensors", 'Form Responses 1'!G16)), 1, 0)</f>
        <v>0</v>
      </c>
      <c r="U17">
        <f>IF(ISNUMBER(SEARCH("actuators", 'Form Responses 1'!G16)), -1, 0)</f>
        <v>0</v>
      </c>
      <c r="V17">
        <f>IF(ISNUMBER(SEARCH("Switch", 'Form Responses 1'!G16)), 1, 0)</f>
        <v>1</v>
      </c>
      <c r="W17">
        <f>IF(ISNUMBER(SEARCH("PID", 'Form Responses 1'!G16)), -1, 0)</f>
        <v>-1</v>
      </c>
      <c r="X17">
        <f t="shared" si="4"/>
        <v>1</v>
      </c>
      <c r="Y17" s="7">
        <f t="shared" si="5"/>
        <v>1</v>
      </c>
      <c r="Z17">
        <f>IF(ISNUMBER(SEARCH("16", 'Form Responses 1'!H16)), -1, 0)</f>
        <v>-1</v>
      </c>
      <c r="AA17">
        <f>IF(ISNUMBER(SEARCH("1.5", 'Form Responses 1'!H16)), 1, 0)</f>
        <v>1</v>
      </c>
      <c r="AB17">
        <f>IF(ISNUMBER(SEARCH("0.2", 'Form Responses 1'!H16)), -1, 0)</f>
        <v>0</v>
      </c>
      <c r="AC17">
        <f>IF(ISNUMBER(SEARCH("None", 'Form Responses 1'!H16)), -1, 0)</f>
        <v>0</v>
      </c>
      <c r="AD17">
        <f t="shared" si="6"/>
        <v>3</v>
      </c>
      <c r="AE17" s="7">
        <f t="shared" si="7"/>
        <v>3</v>
      </c>
      <c r="AF17">
        <f>IF(ISNUMBER(SEARCH("Small", 'Form Responses 1'!I16)), -1, 0)</f>
        <v>-1</v>
      </c>
      <c r="AG17">
        <f>IF(ISNUMBER(SEARCH("IMU", 'Form Responses 1'!I16)), 1, 0)</f>
        <v>0</v>
      </c>
      <c r="AH17">
        <f>IF(ISNUMBER(SEARCH("CAN", 'Form Responses 1'!I16)), 1, 0)</f>
        <v>1</v>
      </c>
      <c r="AI17">
        <f>IF(ISNUMBER(SEARCH("High", 'Form Responses 1'!I16)), -1, 0)</f>
        <v>0</v>
      </c>
      <c r="AJ17">
        <f>IF(ISNUMBER(SEARCH("Spoofing", 'Form Responses 1'!I16)), -1, 0)</f>
        <v>0</v>
      </c>
      <c r="AK17">
        <f t="shared" si="8"/>
        <v>3</v>
      </c>
      <c r="AL17" s="7">
        <f t="shared" si="9"/>
        <v>3</v>
      </c>
      <c r="AM17">
        <f>IF('Form Responses 1'!J16, 1, 0)</f>
        <v>1</v>
      </c>
      <c r="AN17" s="7">
        <f t="shared" si="10"/>
        <v>4</v>
      </c>
      <c r="AO17">
        <f>IF(ISNUMBER(SEARCH("Increase the integral gain", 'Form Responses 1'!K16)), 1, 0)</f>
        <v>0</v>
      </c>
      <c r="AP17">
        <f>IF(ISNUMBER(SEARCH("Increase the proportional gain", 'Form Responses 1'!K16)), 1, 0)</f>
        <v>1</v>
      </c>
      <c r="AQ17">
        <f>IF(ISNUMBER(SEARCH("increasing the integral gain", 'Form Responses 1'!K16)), 1, 0)</f>
        <v>1</v>
      </c>
      <c r="AR17">
        <f>IF(ISNUMBER(SEARCH("Decrease the proportional gain (Kp) and increase the derivative gain (Kd)", 'Form Responses 1'!K16)), 1, 0)</f>
        <v>0</v>
      </c>
      <c r="AS17">
        <f>IF(ISNUMBER(SEARCH("Decrease the proportional gain", 'Form Responses 1'!K16)), 1, 0)</f>
        <v>0</v>
      </c>
      <c r="AT17" s="7">
        <f t="shared" si="11"/>
        <v>2.2999999999999998</v>
      </c>
      <c r="AU17">
        <f>IF(ISNUMBER(SEARCH("Measurement", 'Form Responses 1'!L16)), 1, 0)</f>
        <v>0</v>
      </c>
      <c r="AV17">
        <f>IF(ISNUMBER(SEARCH("All of the above",'Form Responses 1'!L16)),1,0)</f>
        <v>1</v>
      </c>
      <c r="AW17" s="7">
        <f t="shared" si="12"/>
        <v>2</v>
      </c>
      <c r="AX17">
        <f>IF(ISNUMBER(SEARCH("recorded sensor data to the controller", 'Form Responses 1'!M16)), 1, 0)</f>
        <v>1</v>
      </c>
      <c r="AY17">
        <f>IF(ISNUMBER(SEARCH("record sensor data from", 'Form Responses 1'!M16)), 1, 0)</f>
        <v>0</v>
      </c>
      <c r="AZ17">
        <f>IF(ISNUMBER(SEARCH("record actuator data from",'Form Responses 1'!M16)),1,0)</f>
        <v>0</v>
      </c>
      <c r="BA17">
        <f>IF(ISNUMBER(SEARCH("recorded actuator data to the controller", 'Form Responses 1'!M16)), 1, 0)</f>
        <v>0</v>
      </c>
      <c r="BB17" s="7">
        <f t="shared" si="13"/>
        <v>4</v>
      </c>
      <c r="BC17">
        <f>IF('Form Responses 1'!N16, 0, 1)</f>
        <v>1</v>
      </c>
      <c r="BD17" s="7">
        <f t="shared" si="14"/>
        <v>4</v>
      </c>
    </row>
    <row r="18" spans="1:56" x14ac:dyDescent="0.2">
      <c r="A18" s="4">
        <v>16</v>
      </c>
      <c r="B18">
        <f>IF(ISNUMBER(SEARCH("Line 4", 'Form Responses 1'!E17)), -1, 0)</f>
        <v>0</v>
      </c>
      <c r="C18">
        <f>IF(ISNUMBER(SEARCH("Line 5", 'Form Responses 1'!E17)), -1, 0)</f>
        <v>0</v>
      </c>
      <c r="D18">
        <f>IF(ISNUMBER(SEARCH("Line 8", 'Form Responses 1'!E17)), 1, 0)</f>
        <v>1</v>
      </c>
      <c r="E18">
        <f>IF(ISNUMBER(SEARCH("Line 13", 'Form Responses 1'!E17)), 1, 0)</f>
        <v>0</v>
      </c>
      <c r="F18">
        <f>IF(ISNUMBER(SEARCH("Line 14", 'Form Responses 1'!E17)), -1, 0)</f>
        <v>0</v>
      </c>
      <c r="G18">
        <f>IF(ISNUMBER(SEARCH("Line 15", 'Form Responses 1'!E17)), 1, 0)</f>
        <v>0</v>
      </c>
      <c r="H18">
        <f>IF(ISNUMBER(SEARCH("Line 16", 'Form Responses 1'!E17)), -1, 0)</f>
        <v>0</v>
      </c>
      <c r="I18">
        <f>IF(ISNUMBER(SEARCH("Line 17", 'Form Responses 1'!E17)), 1, 0)</f>
        <v>1</v>
      </c>
      <c r="J18">
        <f>IF(ISNUMBER(SEARCH("Line 19", 'Form Responses 1'!E17)), 1, 0)</f>
        <v>1</v>
      </c>
      <c r="K18">
        <f t="shared" si="0"/>
        <v>3</v>
      </c>
      <c r="L18" s="8">
        <f t="shared" si="1"/>
        <v>4</v>
      </c>
      <c r="M18">
        <f>IF(ISNUMBER(SEARCH("Transmit data", 'Form Responses 1'!F17)), 1, 0)</f>
        <v>1</v>
      </c>
      <c r="N18">
        <f>IF(ISNUMBER(SEARCH("Alter", 'Form Responses 1'!F17)), -1, 0)</f>
        <v>0</v>
      </c>
      <c r="O18">
        <f>IF(ISNUMBER(SEARCH("Change", 'Form Responses 1'!F17)), -1, 0)</f>
        <v>0</v>
      </c>
      <c r="P18">
        <f>IF(ISNUMBER(SEARCH("Remove", 'Form Responses 1'!F17)), -1, 0)</f>
        <v>0</v>
      </c>
      <c r="Q18">
        <f>IF(ISNUMBER(SEARCH("unintelligible", 'Form Responses 1'!F17)), -1, 0)</f>
        <v>0</v>
      </c>
      <c r="R18">
        <f t="shared" si="2"/>
        <v>4</v>
      </c>
      <c r="S18" s="7">
        <f t="shared" si="3"/>
        <v>4</v>
      </c>
      <c r="T18">
        <f>IF(ISNUMBER(SEARCH("sensors", 'Form Responses 1'!G17)), 1, 0)</f>
        <v>1</v>
      </c>
      <c r="U18">
        <f>IF(ISNUMBER(SEARCH("actuators", 'Form Responses 1'!G17)), -1, 0)</f>
        <v>0</v>
      </c>
      <c r="V18">
        <f>IF(ISNUMBER(SEARCH("Switch", 'Form Responses 1'!G17)), 1, 0)</f>
        <v>1</v>
      </c>
      <c r="W18">
        <f>IF(ISNUMBER(SEARCH("PID", 'Form Responses 1'!G17)), -1, 0)</f>
        <v>0</v>
      </c>
      <c r="X18">
        <f t="shared" si="4"/>
        <v>4</v>
      </c>
      <c r="Y18" s="7">
        <f t="shared" si="5"/>
        <v>4</v>
      </c>
      <c r="Z18">
        <f>IF(ISNUMBER(SEARCH("16", 'Form Responses 1'!H17)), -1, 0)</f>
        <v>0</v>
      </c>
      <c r="AA18">
        <f>IF(ISNUMBER(SEARCH("1.5", 'Form Responses 1'!H17)), 1, 0)</f>
        <v>1</v>
      </c>
      <c r="AB18">
        <f>IF(ISNUMBER(SEARCH("0.2", 'Form Responses 1'!H17)), -1, 0)</f>
        <v>0</v>
      </c>
      <c r="AC18">
        <f>IF(ISNUMBER(SEARCH("None", 'Form Responses 1'!H17)), -1, 0)</f>
        <v>0</v>
      </c>
      <c r="AD18">
        <f t="shared" si="6"/>
        <v>4</v>
      </c>
      <c r="AE18" s="7">
        <f t="shared" si="7"/>
        <v>4</v>
      </c>
      <c r="AF18">
        <f>IF(ISNUMBER(SEARCH("Small", 'Form Responses 1'!I17)), -1, 0)</f>
        <v>-1</v>
      </c>
      <c r="AG18">
        <f>IF(ISNUMBER(SEARCH("IMU", 'Form Responses 1'!I17)), 1, 0)</f>
        <v>1</v>
      </c>
      <c r="AH18">
        <f>IF(ISNUMBER(SEARCH("CAN", 'Form Responses 1'!I17)), 1, 0)</f>
        <v>1</v>
      </c>
      <c r="AI18">
        <f>IF(ISNUMBER(SEARCH("High", 'Form Responses 1'!I17)), -1, 0)</f>
        <v>0</v>
      </c>
      <c r="AJ18">
        <f>IF(ISNUMBER(SEARCH("Spoofing", 'Form Responses 1'!I17)), -1, 0)</f>
        <v>0</v>
      </c>
      <c r="AK18">
        <f t="shared" si="8"/>
        <v>5</v>
      </c>
      <c r="AL18" s="7">
        <f t="shared" si="9"/>
        <v>4</v>
      </c>
      <c r="AM18">
        <f>IF('Form Responses 1'!J17, 1, 0)</f>
        <v>1</v>
      </c>
      <c r="AN18" s="7">
        <f t="shared" si="10"/>
        <v>4</v>
      </c>
      <c r="AO18">
        <f>IF(ISNUMBER(SEARCH("Increase the integral gain", 'Form Responses 1'!K17)), 1, 0)</f>
        <v>1</v>
      </c>
      <c r="AP18">
        <f>IF(ISNUMBER(SEARCH("Increase the proportional gain", 'Form Responses 1'!K17)), 1, 0)</f>
        <v>0</v>
      </c>
      <c r="AQ18">
        <f>IF(ISNUMBER(SEARCH("increasing the integral gain", 'Form Responses 1'!K17)), 1, 0)</f>
        <v>0</v>
      </c>
      <c r="AR18">
        <f>IF(ISNUMBER(SEARCH("Decrease the proportional gain (Kp) and increase the derivative gain (Kd)", 'Form Responses 1'!K17)), 1, 0)</f>
        <v>0</v>
      </c>
      <c r="AS18">
        <f>IF(ISNUMBER(SEARCH("Decrease the proportional gain", 'Form Responses 1'!K17)), 1, 0)</f>
        <v>0</v>
      </c>
      <c r="AT18" s="7">
        <f t="shared" si="11"/>
        <v>4</v>
      </c>
      <c r="AU18">
        <f>IF(ISNUMBER(SEARCH("Measurement", 'Form Responses 1'!L17)), 1, 0)</f>
        <v>0</v>
      </c>
      <c r="AV18">
        <f>IF(ISNUMBER(SEARCH("All of the above",'Form Responses 1'!L17)),1,0)</f>
        <v>1</v>
      </c>
      <c r="AW18" s="7">
        <f t="shared" si="12"/>
        <v>2</v>
      </c>
      <c r="AX18">
        <f>IF(ISNUMBER(SEARCH("recorded sensor data to the controller", 'Form Responses 1'!M17)), 1, 0)</f>
        <v>1</v>
      </c>
      <c r="AY18">
        <f>IF(ISNUMBER(SEARCH("record sensor data from", 'Form Responses 1'!M17)), 1, 0)</f>
        <v>0</v>
      </c>
      <c r="AZ18">
        <f>IF(ISNUMBER(SEARCH("record actuator data from",'Form Responses 1'!M17)),1,0)</f>
        <v>0</v>
      </c>
      <c r="BA18">
        <f>IF(ISNUMBER(SEARCH("recorded actuator data to the controller", 'Form Responses 1'!M17)), 1, 0)</f>
        <v>0</v>
      </c>
      <c r="BB18" s="7">
        <f t="shared" si="13"/>
        <v>4</v>
      </c>
      <c r="BC18">
        <f>IF('Form Responses 1'!N17, 0, 1)</f>
        <v>1</v>
      </c>
      <c r="BD18" s="7">
        <f t="shared" si="14"/>
        <v>4</v>
      </c>
    </row>
    <row r="19" spans="1:56" x14ac:dyDescent="0.2">
      <c r="A19" s="4">
        <v>17</v>
      </c>
      <c r="B19">
        <f>IF(ISNUMBER(SEARCH("Line 4", 'Form Responses 1'!E18)), -1, 0)</f>
        <v>0</v>
      </c>
      <c r="C19">
        <f>IF(ISNUMBER(SEARCH("Line 5", 'Form Responses 1'!E18)), -1, 0)</f>
        <v>-1</v>
      </c>
      <c r="D19">
        <f>IF(ISNUMBER(SEARCH("Line 8", 'Form Responses 1'!E18)), 1, 0)</f>
        <v>1</v>
      </c>
      <c r="E19">
        <f>IF(ISNUMBER(SEARCH("Line 13", 'Form Responses 1'!E18)), 1, 0)</f>
        <v>1</v>
      </c>
      <c r="F19">
        <f>IF(ISNUMBER(SEARCH("Line 14", 'Form Responses 1'!E18)), -1, 0)</f>
        <v>0</v>
      </c>
      <c r="G19">
        <f>IF(ISNUMBER(SEARCH("Line 15", 'Form Responses 1'!E18)), 1, 0)</f>
        <v>1</v>
      </c>
      <c r="H19">
        <f>IF(ISNUMBER(SEARCH("Line 16", 'Form Responses 1'!E18)), -1, 0)</f>
        <v>0</v>
      </c>
      <c r="I19">
        <f>IF(ISNUMBER(SEARCH("Line 17", 'Form Responses 1'!E18)), 1, 0)</f>
        <v>1</v>
      </c>
      <c r="J19">
        <f>IF(ISNUMBER(SEARCH("Line 19", 'Form Responses 1'!E18)), 1, 0)</f>
        <v>1</v>
      </c>
      <c r="K19">
        <f t="shared" si="0"/>
        <v>4</v>
      </c>
      <c r="L19" s="8">
        <f t="shared" si="1"/>
        <v>4</v>
      </c>
      <c r="M19">
        <f>IF(ISNUMBER(SEARCH("Transmit data", 'Form Responses 1'!F18)), 1, 0)</f>
        <v>1</v>
      </c>
      <c r="N19">
        <f>IF(ISNUMBER(SEARCH("Alter", 'Form Responses 1'!F18)), -1, 0)</f>
        <v>0</v>
      </c>
      <c r="O19">
        <f>IF(ISNUMBER(SEARCH("Change", 'Form Responses 1'!F18)), -1, 0)</f>
        <v>0</v>
      </c>
      <c r="P19">
        <f>IF(ISNUMBER(SEARCH("Remove", 'Form Responses 1'!F18)), -1, 0)</f>
        <v>0</v>
      </c>
      <c r="Q19">
        <f>IF(ISNUMBER(SEARCH("unintelligible", 'Form Responses 1'!F18)), -1, 0)</f>
        <v>-1</v>
      </c>
      <c r="R19">
        <f t="shared" si="2"/>
        <v>3.25</v>
      </c>
      <c r="S19" s="7">
        <f t="shared" si="3"/>
        <v>3.25</v>
      </c>
      <c r="T19">
        <f>IF(ISNUMBER(SEARCH("sensors", 'Form Responses 1'!G18)), 1, 0)</f>
        <v>1</v>
      </c>
      <c r="U19">
        <f>IF(ISNUMBER(SEARCH("actuators", 'Form Responses 1'!G18)), -1, 0)</f>
        <v>-1</v>
      </c>
      <c r="V19">
        <f>IF(ISNUMBER(SEARCH("Switch", 'Form Responses 1'!G18)), 1, 0)</f>
        <v>1</v>
      </c>
      <c r="W19">
        <f>IF(ISNUMBER(SEARCH("PID", 'Form Responses 1'!G18)), -1, 0)</f>
        <v>0</v>
      </c>
      <c r="X19">
        <f t="shared" si="4"/>
        <v>3</v>
      </c>
      <c r="Y19" s="7">
        <f t="shared" si="5"/>
        <v>3</v>
      </c>
      <c r="Z19">
        <f>IF(ISNUMBER(SEARCH("16", 'Form Responses 1'!H18)), -1, 0)</f>
        <v>-1</v>
      </c>
      <c r="AA19">
        <f>IF(ISNUMBER(SEARCH("1.5", 'Form Responses 1'!H18)), 1, 0)</f>
        <v>1</v>
      </c>
      <c r="AB19">
        <f>IF(ISNUMBER(SEARCH("0.2", 'Form Responses 1'!H18)), -1, 0)</f>
        <v>0</v>
      </c>
      <c r="AC19">
        <f>IF(ISNUMBER(SEARCH("None", 'Form Responses 1'!H18)), -1, 0)</f>
        <v>0</v>
      </c>
      <c r="AD19">
        <f t="shared" si="6"/>
        <v>3</v>
      </c>
      <c r="AE19" s="7">
        <f t="shared" si="7"/>
        <v>3</v>
      </c>
      <c r="AF19">
        <f>IF(ISNUMBER(SEARCH("Small", 'Form Responses 1'!I18)), -1, 0)</f>
        <v>0</v>
      </c>
      <c r="AG19">
        <f>IF(ISNUMBER(SEARCH("IMU", 'Form Responses 1'!I18)), 1, 0)</f>
        <v>1</v>
      </c>
      <c r="AH19">
        <f>IF(ISNUMBER(SEARCH("CAN", 'Form Responses 1'!I18)), 1, 0)</f>
        <v>1</v>
      </c>
      <c r="AI19">
        <f>IF(ISNUMBER(SEARCH("High", 'Form Responses 1'!I18)), -1, 0)</f>
        <v>0</v>
      </c>
      <c r="AJ19">
        <f>IF(ISNUMBER(SEARCH("Spoofing", 'Form Responses 1'!I18)), -1, 0)</f>
        <v>0</v>
      </c>
      <c r="AK19">
        <f t="shared" si="8"/>
        <v>4</v>
      </c>
      <c r="AL19" s="7">
        <f t="shared" si="9"/>
        <v>4</v>
      </c>
      <c r="AM19">
        <f>IF('Form Responses 1'!J18, 1, 0)</f>
        <v>1</v>
      </c>
      <c r="AN19" s="7">
        <f t="shared" si="10"/>
        <v>4</v>
      </c>
      <c r="AO19">
        <f>IF(ISNUMBER(SEARCH("Increase the integral gain", 'Form Responses 1'!K18)), 1, 0)</f>
        <v>1</v>
      </c>
      <c r="AP19">
        <f>IF(ISNUMBER(SEARCH("Increase the proportional gain", 'Form Responses 1'!K18)), 1, 0)</f>
        <v>0</v>
      </c>
      <c r="AQ19">
        <f>IF(ISNUMBER(SEARCH("increasing the integral gain", 'Form Responses 1'!K18)), 1, 0)</f>
        <v>0</v>
      </c>
      <c r="AR19">
        <f>IF(ISNUMBER(SEARCH("Decrease the proportional gain (Kp) and increase the derivative gain (Kd)", 'Form Responses 1'!K18)), 1, 0)</f>
        <v>0</v>
      </c>
      <c r="AS19">
        <f>IF(ISNUMBER(SEARCH("Decrease the proportional gain", 'Form Responses 1'!K18)), 1, 0)</f>
        <v>0</v>
      </c>
      <c r="AT19" s="7">
        <f t="shared" si="11"/>
        <v>4</v>
      </c>
      <c r="AU19">
        <f>IF(ISNUMBER(SEARCH("Measurement", 'Form Responses 1'!L18)), 1, 0)</f>
        <v>0</v>
      </c>
      <c r="AV19">
        <f>IF(ISNUMBER(SEARCH("All of the above",'Form Responses 1'!L18)),1,0)</f>
        <v>1</v>
      </c>
      <c r="AW19" s="7">
        <f t="shared" si="12"/>
        <v>2</v>
      </c>
      <c r="AX19">
        <f>IF(ISNUMBER(SEARCH("recorded sensor data to the controller", 'Form Responses 1'!M18)), 1, 0)</f>
        <v>1</v>
      </c>
      <c r="AY19">
        <f>IF(ISNUMBER(SEARCH("record sensor data from", 'Form Responses 1'!M18)), 1, 0)</f>
        <v>0</v>
      </c>
      <c r="AZ19">
        <f>IF(ISNUMBER(SEARCH("record actuator data from",'Form Responses 1'!M18)),1,0)</f>
        <v>0</v>
      </c>
      <c r="BA19">
        <f>IF(ISNUMBER(SEARCH("recorded actuator data to the controller", 'Form Responses 1'!M18)), 1, 0)</f>
        <v>0</v>
      </c>
      <c r="BB19" s="7">
        <f t="shared" si="13"/>
        <v>4</v>
      </c>
      <c r="BC19">
        <f>IF('Form Responses 1'!N18, 0, 1)</f>
        <v>1</v>
      </c>
      <c r="BD19" s="7">
        <f t="shared" si="14"/>
        <v>4</v>
      </c>
    </row>
    <row r="20" spans="1:56" x14ac:dyDescent="0.2">
      <c r="A20" s="4">
        <v>18</v>
      </c>
      <c r="B20">
        <f>IF(ISNUMBER(SEARCH("Line 4", 'Form Responses 1'!E19)), -1, 0)</f>
        <v>0</v>
      </c>
      <c r="C20">
        <f>IF(ISNUMBER(SEARCH("Line 5", 'Form Responses 1'!E19)), -1, 0)</f>
        <v>-1</v>
      </c>
      <c r="D20">
        <f>IF(ISNUMBER(SEARCH("Line 8", 'Form Responses 1'!E19)), 1, 0)</f>
        <v>0</v>
      </c>
      <c r="E20">
        <f>IF(ISNUMBER(SEARCH("Line 13", 'Form Responses 1'!E19)), 1, 0)</f>
        <v>0</v>
      </c>
      <c r="F20">
        <f>IF(ISNUMBER(SEARCH("Line 14", 'Form Responses 1'!E19)), -1, 0)</f>
        <v>0</v>
      </c>
      <c r="G20">
        <f>IF(ISNUMBER(SEARCH("Line 15", 'Form Responses 1'!E19)), 1, 0)</f>
        <v>1</v>
      </c>
      <c r="H20">
        <f>IF(ISNUMBER(SEARCH("Line 16", 'Form Responses 1'!E19)), -1, 0)</f>
        <v>0</v>
      </c>
      <c r="I20">
        <f>IF(ISNUMBER(SEARCH("Line 17", 'Form Responses 1'!E19)), 1, 0)</f>
        <v>1</v>
      </c>
      <c r="J20">
        <f>IF(ISNUMBER(SEARCH("Line 19", 'Form Responses 1'!E19)), 1, 0)</f>
        <v>0</v>
      </c>
      <c r="K20">
        <f t="shared" si="0"/>
        <v>1</v>
      </c>
      <c r="L20" s="8">
        <f t="shared" si="1"/>
        <v>1</v>
      </c>
      <c r="M20">
        <f>IF(ISNUMBER(SEARCH("Transmit data", 'Form Responses 1'!F19)), 1, 0)</f>
        <v>1</v>
      </c>
      <c r="N20">
        <f>IF(ISNUMBER(SEARCH("Alter", 'Form Responses 1'!F19)), -1, 0)</f>
        <v>0</v>
      </c>
      <c r="O20">
        <f>IF(ISNUMBER(SEARCH("Change", 'Form Responses 1'!F19)), -1, 0)</f>
        <v>0</v>
      </c>
      <c r="P20">
        <f>IF(ISNUMBER(SEARCH("Remove", 'Form Responses 1'!F19)), -1, 0)</f>
        <v>0</v>
      </c>
      <c r="Q20">
        <f>IF(ISNUMBER(SEARCH("unintelligible", 'Form Responses 1'!F19)), -1, 0)</f>
        <v>-1</v>
      </c>
      <c r="R20">
        <f t="shared" si="2"/>
        <v>3.25</v>
      </c>
      <c r="S20" s="7">
        <f t="shared" si="3"/>
        <v>3.25</v>
      </c>
      <c r="T20">
        <f>IF(ISNUMBER(SEARCH("sensors", 'Form Responses 1'!G19)), 1, 0)</f>
        <v>0</v>
      </c>
      <c r="U20">
        <f>IF(ISNUMBER(SEARCH("actuators", 'Form Responses 1'!G19)), -1, 0)</f>
        <v>-1</v>
      </c>
      <c r="V20">
        <f>IF(ISNUMBER(SEARCH("Switch", 'Form Responses 1'!G19)), 1, 0)</f>
        <v>0</v>
      </c>
      <c r="W20">
        <f>IF(ISNUMBER(SEARCH("PID", 'Form Responses 1'!G19)), -1, 0)</f>
        <v>-1</v>
      </c>
      <c r="X20">
        <f t="shared" si="4"/>
        <v>-2</v>
      </c>
      <c r="Y20" s="7">
        <f t="shared" si="5"/>
        <v>0</v>
      </c>
      <c r="Z20">
        <f>IF(ISNUMBER(SEARCH("16", 'Form Responses 1'!H19)), -1, 0)</f>
        <v>0</v>
      </c>
      <c r="AA20">
        <f>IF(ISNUMBER(SEARCH("1.5", 'Form Responses 1'!H19)), 1, 0)</f>
        <v>0</v>
      </c>
      <c r="AB20">
        <f>IF(ISNUMBER(SEARCH("0.2", 'Form Responses 1'!H19)), -1, 0)</f>
        <v>-1</v>
      </c>
      <c r="AC20">
        <f>IF(ISNUMBER(SEARCH("None", 'Form Responses 1'!H19)), -1, 0)</f>
        <v>0</v>
      </c>
      <c r="AD20">
        <f t="shared" si="6"/>
        <v>-2</v>
      </c>
      <c r="AE20" s="7">
        <f t="shared" si="7"/>
        <v>0</v>
      </c>
      <c r="AF20">
        <f>IF(ISNUMBER(SEARCH("Small", 'Form Responses 1'!I19)), -1, 0)</f>
        <v>-1</v>
      </c>
      <c r="AG20">
        <f>IF(ISNUMBER(SEARCH("IMU", 'Form Responses 1'!I19)), 1, 0)</f>
        <v>0</v>
      </c>
      <c r="AH20">
        <f>IF(ISNUMBER(SEARCH("CAN", 'Form Responses 1'!I19)), 1, 0)</f>
        <v>1</v>
      </c>
      <c r="AI20">
        <f>IF(ISNUMBER(SEARCH("High", 'Form Responses 1'!I19)), -1, 0)</f>
        <v>0</v>
      </c>
      <c r="AJ20">
        <f>IF(ISNUMBER(SEARCH("Spoofing", 'Form Responses 1'!I19)), -1, 0)</f>
        <v>0</v>
      </c>
      <c r="AK20">
        <f t="shared" si="8"/>
        <v>3</v>
      </c>
      <c r="AL20" s="7">
        <f t="shared" si="9"/>
        <v>3</v>
      </c>
      <c r="AM20">
        <f>IF('Form Responses 1'!J19, 1, 0)</f>
        <v>1</v>
      </c>
      <c r="AN20" s="7">
        <f t="shared" si="10"/>
        <v>4</v>
      </c>
      <c r="AO20">
        <f>IF(ISNUMBER(SEARCH("Increase the integral gain", 'Form Responses 1'!K19)), 1, 0)</f>
        <v>0</v>
      </c>
      <c r="AP20">
        <f>IF(ISNUMBER(SEARCH("Increase the proportional gain", 'Form Responses 1'!K19)), 1, 0)</f>
        <v>0</v>
      </c>
      <c r="AQ20">
        <f>IF(ISNUMBER(SEARCH("increasing the integral gain", 'Form Responses 1'!K19)), 1, 0)</f>
        <v>0</v>
      </c>
      <c r="AR20">
        <f>IF(ISNUMBER(SEARCH("Decrease the proportional gain (Kp) and increase the derivative gain (Kd)", 'Form Responses 1'!K19)), 1, 0)</f>
        <v>1</v>
      </c>
      <c r="AS20">
        <f>IF(ISNUMBER(SEARCH("Decrease the proportional gain", 'Form Responses 1'!K19)), 1, 0)</f>
        <v>1</v>
      </c>
      <c r="AT20" s="7">
        <f t="shared" si="11"/>
        <v>2</v>
      </c>
      <c r="AU20">
        <f>IF(ISNUMBER(SEARCH("Measurement", 'Form Responses 1'!L19)), 1, 0)</f>
        <v>0</v>
      </c>
      <c r="AV20">
        <f>IF(ISNUMBER(SEARCH("All of the above",'Form Responses 1'!L19)),1,0)</f>
        <v>1</v>
      </c>
      <c r="AW20" s="7">
        <f t="shared" si="12"/>
        <v>2</v>
      </c>
      <c r="AX20">
        <f>IF(ISNUMBER(SEARCH("recorded sensor data to the controller", 'Form Responses 1'!M19)), 1, 0)</f>
        <v>0</v>
      </c>
      <c r="AY20">
        <f>IF(ISNUMBER(SEARCH("record sensor data from", 'Form Responses 1'!M19)), 1, 0)</f>
        <v>0</v>
      </c>
      <c r="AZ20">
        <f>IF(ISNUMBER(SEARCH("record actuator data from",'Form Responses 1'!M19)),1,0)</f>
        <v>0</v>
      </c>
      <c r="BA20">
        <f>IF(ISNUMBER(SEARCH("recorded actuator data to the controller", 'Form Responses 1'!M19)), 1, 0)</f>
        <v>1</v>
      </c>
      <c r="BB20" s="7">
        <f t="shared" si="13"/>
        <v>0</v>
      </c>
      <c r="BC20">
        <f>IF('Form Responses 1'!N19, 0, 1)</f>
        <v>1</v>
      </c>
      <c r="BD20" s="7">
        <f t="shared" si="14"/>
        <v>4</v>
      </c>
    </row>
    <row r="21" spans="1:56" x14ac:dyDescent="0.2">
      <c r="A21" s="4">
        <v>19</v>
      </c>
      <c r="B21">
        <f>IF(ISNUMBER(SEARCH("Line 4", 'Form Responses 1'!E20)), -1, 0)</f>
        <v>0</v>
      </c>
      <c r="C21">
        <f>IF(ISNUMBER(SEARCH("Line 5", 'Form Responses 1'!E20)), -1, 0)</f>
        <v>0</v>
      </c>
      <c r="D21">
        <f>IF(ISNUMBER(SEARCH("Line 8", 'Form Responses 1'!E20)), 1, 0)</f>
        <v>0</v>
      </c>
      <c r="E21">
        <f>IF(ISNUMBER(SEARCH("Line 13", 'Form Responses 1'!E20)), 1, 0)</f>
        <v>0</v>
      </c>
      <c r="F21">
        <f>IF(ISNUMBER(SEARCH("Line 14", 'Form Responses 1'!E20)), -1, 0)</f>
        <v>0</v>
      </c>
      <c r="G21">
        <f>IF(ISNUMBER(SEARCH("Line 15", 'Form Responses 1'!E20)), 1, 0)</f>
        <v>0</v>
      </c>
      <c r="H21">
        <f>IF(ISNUMBER(SEARCH("Line 16", 'Form Responses 1'!E20)), -1, 0)</f>
        <v>-1</v>
      </c>
      <c r="I21">
        <f>IF(ISNUMBER(SEARCH("Line 17", 'Form Responses 1'!E20)), 1, 0)</f>
        <v>0</v>
      </c>
      <c r="J21">
        <f>IF(ISNUMBER(SEARCH("Line 19", 'Form Responses 1'!E20)), 1, 0)</f>
        <v>0</v>
      </c>
      <c r="K21">
        <f t="shared" si="0"/>
        <v>-1</v>
      </c>
      <c r="L21" s="8">
        <f t="shared" si="1"/>
        <v>0</v>
      </c>
      <c r="M21">
        <f>IF(ISNUMBER(SEARCH("Transmit data", 'Form Responses 1'!F20)), 1, 0)</f>
        <v>0</v>
      </c>
      <c r="N21">
        <f>IF(ISNUMBER(SEARCH("Alter", 'Form Responses 1'!F20)), -1, 0)</f>
        <v>0</v>
      </c>
      <c r="O21">
        <f>IF(ISNUMBER(SEARCH("Change", 'Form Responses 1'!F20)), -1, 0)</f>
        <v>-1</v>
      </c>
      <c r="P21">
        <f>IF(ISNUMBER(SEARCH("Remove", 'Form Responses 1'!F20)), -1, 0)</f>
        <v>-1</v>
      </c>
      <c r="Q21">
        <f>IF(ISNUMBER(SEARCH("unintelligible", 'Form Responses 1'!F20)), -1, 0)</f>
        <v>-1</v>
      </c>
      <c r="R21">
        <f t="shared" si="2"/>
        <v>-2.25</v>
      </c>
      <c r="S21" s="7">
        <f t="shared" si="3"/>
        <v>0</v>
      </c>
      <c r="T21">
        <f>IF(ISNUMBER(SEARCH("sensors", 'Form Responses 1'!G20)), 1, 0)</f>
        <v>0</v>
      </c>
      <c r="U21">
        <f>IF(ISNUMBER(SEARCH("actuators", 'Form Responses 1'!G20)), -1, 0)</f>
        <v>0</v>
      </c>
      <c r="V21">
        <f>IF(ISNUMBER(SEARCH("Switch", 'Form Responses 1'!G20)), 1, 0)</f>
        <v>1</v>
      </c>
      <c r="W21">
        <f>IF(ISNUMBER(SEARCH("PID", 'Form Responses 1'!G20)), -1, 0)</f>
        <v>0</v>
      </c>
      <c r="X21">
        <f t="shared" si="4"/>
        <v>2</v>
      </c>
      <c r="Y21" s="7">
        <f t="shared" si="5"/>
        <v>2</v>
      </c>
      <c r="Z21">
        <f>IF(ISNUMBER(SEARCH("16", 'Form Responses 1'!H20)), -1, 0)</f>
        <v>0</v>
      </c>
      <c r="AA21">
        <f>IF(ISNUMBER(SEARCH("1.5", 'Form Responses 1'!H20)), 1, 0)</f>
        <v>1</v>
      </c>
      <c r="AB21">
        <f>IF(ISNUMBER(SEARCH("0.2", 'Form Responses 1'!H20)), -1, 0)</f>
        <v>-1</v>
      </c>
      <c r="AC21">
        <f>IF(ISNUMBER(SEARCH("None", 'Form Responses 1'!H20)), -1, 0)</f>
        <v>0</v>
      </c>
      <c r="AD21">
        <f t="shared" si="6"/>
        <v>2</v>
      </c>
      <c r="AE21" s="7">
        <f t="shared" si="7"/>
        <v>2</v>
      </c>
      <c r="AF21">
        <f>IF(ISNUMBER(SEARCH("Small", 'Form Responses 1'!I20)), -1, 0)</f>
        <v>-1</v>
      </c>
      <c r="AG21">
        <f>IF(ISNUMBER(SEARCH("IMU", 'Form Responses 1'!I20)), 1, 0)</f>
        <v>1</v>
      </c>
      <c r="AH21">
        <f>IF(ISNUMBER(SEARCH("CAN", 'Form Responses 1'!I20)), 1, 0)</f>
        <v>0</v>
      </c>
      <c r="AI21">
        <f>IF(ISNUMBER(SEARCH("High", 'Form Responses 1'!I20)), -1, 0)</f>
        <v>0</v>
      </c>
      <c r="AJ21">
        <f>IF(ISNUMBER(SEARCH("Spoofing", 'Form Responses 1'!I20)), -1, 0)</f>
        <v>0</v>
      </c>
      <c r="AK21">
        <f t="shared" si="8"/>
        <v>3</v>
      </c>
      <c r="AL21" s="7">
        <f t="shared" si="9"/>
        <v>3</v>
      </c>
      <c r="AM21">
        <f>IF('Form Responses 1'!J20, 1, 0)</f>
        <v>1</v>
      </c>
      <c r="AN21" s="7">
        <f t="shared" si="10"/>
        <v>4</v>
      </c>
      <c r="AO21">
        <f>IF(ISNUMBER(SEARCH("Increase the integral gain", 'Form Responses 1'!K20)), 1, 0)</f>
        <v>0</v>
      </c>
      <c r="AP21">
        <f>IF(ISNUMBER(SEARCH("Increase the proportional gain", 'Form Responses 1'!K20)), 1, 0)</f>
        <v>1</v>
      </c>
      <c r="AQ21">
        <f>IF(ISNUMBER(SEARCH("increasing the integral gain", 'Form Responses 1'!K20)), 1, 0)</f>
        <v>1</v>
      </c>
      <c r="AR21">
        <f>IF(ISNUMBER(SEARCH("Decrease the proportional gain (Kp) and increase the derivative gain (Kd)", 'Form Responses 1'!K20)), 1, 0)</f>
        <v>0</v>
      </c>
      <c r="AS21">
        <f>IF(ISNUMBER(SEARCH("Decrease the proportional gain", 'Form Responses 1'!K20)), 1, 0)</f>
        <v>0</v>
      </c>
      <c r="AT21" s="7">
        <f t="shared" si="11"/>
        <v>2.2999999999999998</v>
      </c>
      <c r="AU21">
        <f>IF(ISNUMBER(SEARCH("Measurement", 'Form Responses 1'!L20)), 1, 0)</f>
        <v>0</v>
      </c>
      <c r="AV21">
        <f>IF(ISNUMBER(SEARCH("All of the above",'Form Responses 1'!L20)),1,0)</f>
        <v>1</v>
      </c>
      <c r="AW21" s="7">
        <f t="shared" si="12"/>
        <v>2</v>
      </c>
      <c r="AX21">
        <f>IF(ISNUMBER(SEARCH("recorded sensor data to the controller", 'Form Responses 1'!M20)), 1, 0)</f>
        <v>1</v>
      </c>
      <c r="AY21">
        <f>IF(ISNUMBER(SEARCH("record sensor data from", 'Form Responses 1'!M20)), 1, 0)</f>
        <v>0</v>
      </c>
      <c r="AZ21">
        <f>IF(ISNUMBER(SEARCH("record actuator data from",'Form Responses 1'!M20)),1,0)</f>
        <v>0</v>
      </c>
      <c r="BA21">
        <f>IF(ISNUMBER(SEARCH("recorded actuator data to the controller", 'Form Responses 1'!M20)), 1, 0)</f>
        <v>0</v>
      </c>
      <c r="BB21" s="7">
        <f t="shared" si="13"/>
        <v>4</v>
      </c>
      <c r="BC21">
        <f>IF('Form Responses 1'!N20, 0, 1)</f>
        <v>0</v>
      </c>
      <c r="BD21" s="7">
        <f t="shared" si="14"/>
        <v>0</v>
      </c>
    </row>
    <row r="22" spans="1:56" x14ac:dyDescent="0.2">
      <c r="A22" s="4">
        <v>20</v>
      </c>
      <c r="B22">
        <f>IF(ISNUMBER(SEARCH("Line 4", 'Form Responses 1'!E21)), -1, 0)</f>
        <v>0</v>
      </c>
      <c r="C22">
        <f>IF(ISNUMBER(SEARCH("Line 5", 'Form Responses 1'!E21)), -1, 0)</f>
        <v>0</v>
      </c>
      <c r="D22">
        <f>IF(ISNUMBER(SEARCH("Line 8", 'Form Responses 1'!E21)), 1, 0)</f>
        <v>0</v>
      </c>
      <c r="E22">
        <f>IF(ISNUMBER(SEARCH("Line 13", 'Form Responses 1'!E21)), 1, 0)</f>
        <v>1</v>
      </c>
      <c r="F22">
        <f>IF(ISNUMBER(SEARCH("Line 14", 'Form Responses 1'!E21)), -1, 0)</f>
        <v>-1</v>
      </c>
      <c r="G22">
        <f>IF(ISNUMBER(SEARCH("Line 15", 'Form Responses 1'!E21)), 1, 0)</f>
        <v>1</v>
      </c>
      <c r="H22">
        <f>IF(ISNUMBER(SEARCH("Line 16", 'Form Responses 1'!E21)), -1, 0)</f>
        <v>0</v>
      </c>
      <c r="I22">
        <f>IF(ISNUMBER(SEARCH("Line 17", 'Form Responses 1'!E21)), 1, 0)</f>
        <v>0</v>
      </c>
      <c r="J22">
        <f>IF(ISNUMBER(SEARCH("Line 19", 'Form Responses 1'!E21)), 1, 0)</f>
        <v>0</v>
      </c>
      <c r="K22">
        <f t="shared" si="0"/>
        <v>1</v>
      </c>
      <c r="L22" s="8">
        <f t="shared" si="1"/>
        <v>2</v>
      </c>
      <c r="M22">
        <f>IF(ISNUMBER(SEARCH("Transmit data", 'Form Responses 1'!F21)), 1, 0)</f>
        <v>1</v>
      </c>
      <c r="N22">
        <f>IF(ISNUMBER(SEARCH("Alter", 'Form Responses 1'!F21)), -1, 0)</f>
        <v>-1</v>
      </c>
      <c r="O22">
        <f>IF(ISNUMBER(SEARCH("Change", 'Form Responses 1'!F21)), -1, 0)</f>
        <v>-1</v>
      </c>
      <c r="P22">
        <f>IF(ISNUMBER(SEARCH("Remove", 'Form Responses 1'!F21)), -1, 0)</f>
        <v>0</v>
      </c>
      <c r="Q22">
        <f>IF(ISNUMBER(SEARCH("unintelligible", 'Form Responses 1'!F21)), -1, 0)</f>
        <v>-1</v>
      </c>
      <c r="R22">
        <f t="shared" si="2"/>
        <v>1.75</v>
      </c>
      <c r="S22" s="7">
        <f t="shared" si="3"/>
        <v>1.75</v>
      </c>
      <c r="T22">
        <f>IF(ISNUMBER(SEARCH("sensors", 'Form Responses 1'!G21)), 1, 0)</f>
        <v>0</v>
      </c>
      <c r="U22">
        <f>IF(ISNUMBER(SEARCH("actuators", 'Form Responses 1'!G21)), -1, 0)</f>
        <v>0</v>
      </c>
      <c r="V22">
        <f>IF(ISNUMBER(SEARCH("Switch", 'Form Responses 1'!G21)), 1, 0)</f>
        <v>1</v>
      </c>
      <c r="W22">
        <f>IF(ISNUMBER(SEARCH("PID", 'Form Responses 1'!G21)), -1, 0)</f>
        <v>-1</v>
      </c>
      <c r="X22">
        <f t="shared" si="4"/>
        <v>1</v>
      </c>
      <c r="Y22" s="7">
        <f t="shared" si="5"/>
        <v>1</v>
      </c>
      <c r="Z22">
        <f>IF(ISNUMBER(SEARCH("16", 'Form Responses 1'!H21)), -1, 0)</f>
        <v>0</v>
      </c>
      <c r="AA22">
        <f>IF(ISNUMBER(SEARCH("1.5", 'Form Responses 1'!H21)), 1, 0)</f>
        <v>1</v>
      </c>
      <c r="AB22">
        <f>IF(ISNUMBER(SEARCH("0.2", 'Form Responses 1'!H21)), -1, 0)</f>
        <v>0</v>
      </c>
      <c r="AC22">
        <f>IF(ISNUMBER(SEARCH("None", 'Form Responses 1'!H21)), -1, 0)</f>
        <v>0</v>
      </c>
      <c r="AD22">
        <f t="shared" si="6"/>
        <v>4</v>
      </c>
      <c r="AE22" s="7">
        <f t="shared" si="7"/>
        <v>4</v>
      </c>
      <c r="AF22">
        <f>IF(ISNUMBER(SEARCH("Small", 'Form Responses 1'!I21)), -1, 0)</f>
        <v>-1</v>
      </c>
      <c r="AG22">
        <f>IF(ISNUMBER(SEARCH("IMU", 'Form Responses 1'!I21)), 1, 0)</f>
        <v>1</v>
      </c>
      <c r="AH22">
        <f>IF(ISNUMBER(SEARCH("CAN", 'Form Responses 1'!I21)), 1, 0)</f>
        <v>1</v>
      </c>
      <c r="AI22">
        <f>IF(ISNUMBER(SEARCH("High", 'Form Responses 1'!I21)), -1, 0)</f>
        <v>-1</v>
      </c>
      <c r="AJ22">
        <f>IF(ISNUMBER(SEARCH("Spoofing", 'Form Responses 1'!I21)), -1, 0)</f>
        <v>-1</v>
      </c>
      <c r="AK22">
        <f t="shared" si="8"/>
        <v>3</v>
      </c>
      <c r="AL22" s="7">
        <f t="shared" si="9"/>
        <v>3</v>
      </c>
      <c r="AM22">
        <f>IF('Form Responses 1'!J21, 1, 0)</f>
        <v>1</v>
      </c>
      <c r="AN22" s="7">
        <f t="shared" si="10"/>
        <v>4</v>
      </c>
      <c r="AO22">
        <f>IF(ISNUMBER(SEARCH("Increase the integral gain", 'Form Responses 1'!K21)), 1, 0)</f>
        <v>1</v>
      </c>
      <c r="AP22">
        <f>IF(ISNUMBER(SEARCH("Increase the proportional gain", 'Form Responses 1'!K21)), 1, 0)</f>
        <v>0</v>
      </c>
      <c r="AQ22">
        <f>IF(ISNUMBER(SEARCH("increasing the integral gain", 'Form Responses 1'!K21)), 1, 0)</f>
        <v>0</v>
      </c>
      <c r="AR22">
        <f>IF(ISNUMBER(SEARCH("Decrease the proportional gain (Kp) and increase the derivative gain (Kd)", 'Form Responses 1'!K21)), 1, 0)</f>
        <v>0</v>
      </c>
      <c r="AS22">
        <f>IF(ISNUMBER(SEARCH("Decrease the proportional gain", 'Form Responses 1'!K21)), 1, 0)</f>
        <v>0</v>
      </c>
      <c r="AT22" s="7">
        <f t="shared" si="11"/>
        <v>4</v>
      </c>
      <c r="AU22">
        <f>IF(ISNUMBER(SEARCH("Measurement", 'Form Responses 1'!L21)), 1, 0)</f>
        <v>0</v>
      </c>
      <c r="AV22">
        <f>IF(ISNUMBER(SEARCH("All of the above",'Form Responses 1'!L21)),1,0)</f>
        <v>1</v>
      </c>
      <c r="AW22" s="7">
        <f t="shared" si="12"/>
        <v>2</v>
      </c>
      <c r="AX22">
        <f>IF(ISNUMBER(SEARCH("recorded sensor data to the controller", 'Form Responses 1'!M21)), 1, 0)</f>
        <v>0</v>
      </c>
      <c r="AY22">
        <f>IF(ISNUMBER(SEARCH("record sensor data from", 'Form Responses 1'!M21)), 1, 0)</f>
        <v>0</v>
      </c>
      <c r="AZ22">
        <f>IF(ISNUMBER(SEARCH("record actuator data from",'Form Responses 1'!M21)),1,0)</f>
        <v>0</v>
      </c>
      <c r="BA22">
        <f>IF(ISNUMBER(SEARCH("recorded actuator data to the controller", 'Form Responses 1'!M21)), 1, 0)</f>
        <v>0</v>
      </c>
      <c r="BB22" s="7">
        <f t="shared" si="13"/>
        <v>0</v>
      </c>
      <c r="BC22">
        <f>IF('Form Responses 1'!N21, 0, 1)</f>
        <v>0</v>
      </c>
      <c r="BD22" s="7">
        <f t="shared" si="14"/>
        <v>0</v>
      </c>
    </row>
    <row r="23" spans="1:56" x14ac:dyDescent="0.2">
      <c r="A23" s="4">
        <v>21</v>
      </c>
      <c r="B23">
        <f>IF(ISNUMBER(SEARCH("Line 4", 'Form Responses 1'!E22)), -1, 0)</f>
        <v>0</v>
      </c>
      <c r="C23">
        <f>IF(ISNUMBER(SEARCH("Line 5", 'Form Responses 1'!E22)), -1, 0)</f>
        <v>0</v>
      </c>
      <c r="D23">
        <f>IF(ISNUMBER(SEARCH("Line 8", 'Form Responses 1'!E22)), 1, 0)</f>
        <v>0</v>
      </c>
      <c r="E23">
        <f>IF(ISNUMBER(SEARCH("Line 13", 'Form Responses 1'!E22)), 1, 0)</f>
        <v>1</v>
      </c>
      <c r="F23">
        <f>IF(ISNUMBER(SEARCH("Line 14", 'Form Responses 1'!E22)), -1, 0)</f>
        <v>-1</v>
      </c>
      <c r="G23">
        <f>IF(ISNUMBER(SEARCH("Line 15", 'Form Responses 1'!E22)), 1, 0)</f>
        <v>1</v>
      </c>
      <c r="H23">
        <f>IF(ISNUMBER(SEARCH("Line 16", 'Form Responses 1'!E22)), -1, 0)</f>
        <v>0</v>
      </c>
      <c r="I23">
        <f>IF(ISNUMBER(SEARCH("Line 17", 'Form Responses 1'!E22)), 1, 0)</f>
        <v>0</v>
      </c>
      <c r="J23">
        <f>IF(ISNUMBER(SEARCH("Line 19", 'Form Responses 1'!E22)), 1, 0)</f>
        <v>0</v>
      </c>
      <c r="K23">
        <f t="shared" si="0"/>
        <v>1</v>
      </c>
      <c r="L23" s="8">
        <f t="shared" si="1"/>
        <v>2</v>
      </c>
      <c r="M23">
        <f>IF(ISNUMBER(SEARCH("Transmit data", 'Form Responses 1'!F22)), 1, 0)</f>
        <v>1</v>
      </c>
      <c r="N23">
        <f>IF(ISNUMBER(SEARCH("Alter", 'Form Responses 1'!F22)), -1, 0)</f>
        <v>-1</v>
      </c>
      <c r="O23">
        <f>IF(ISNUMBER(SEARCH("Change", 'Form Responses 1'!F22)), -1, 0)</f>
        <v>0</v>
      </c>
      <c r="P23">
        <f>IF(ISNUMBER(SEARCH("Remove", 'Form Responses 1'!F22)), -1, 0)</f>
        <v>0</v>
      </c>
      <c r="Q23">
        <f>IF(ISNUMBER(SEARCH("unintelligible", 'Form Responses 1'!F22)), -1, 0)</f>
        <v>-1</v>
      </c>
      <c r="R23">
        <f t="shared" si="2"/>
        <v>2.5</v>
      </c>
      <c r="S23" s="7">
        <f t="shared" si="3"/>
        <v>2.5</v>
      </c>
      <c r="T23">
        <f>IF(ISNUMBER(SEARCH("sensors", 'Form Responses 1'!G22)), 1, 0)</f>
        <v>1</v>
      </c>
      <c r="U23">
        <f>IF(ISNUMBER(SEARCH("actuators", 'Form Responses 1'!G22)), -1, 0)</f>
        <v>0</v>
      </c>
      <c r="V23">
        <f>IF(ISNUMBER(SEARCH("Switch", 'Form Responses 1'!G22)), 1, 0)</f>
        <v>1</v>
      </c>
      <c r="W23">
        <f>IF(ISNUMBER(SEARCH("PID", 'Form Responses 1'!G22)), -1, 0)</f>
        <v>0</v>
      </c>
      <c r="X23">
        <f t="shared" si="4"/>
        <v>4</v>
      </c>
      <c r="Y23" s="7">
        <f t="shared" si="5"/>
        <v>4</v>
      </c>
      <c r="Z23">
        <f>IF(ISNUMBER(SEARCH("16", 'Form Responses 1'!H22)), -1, 0)</f>
        <v>0</v>
      </c>
      <c r="AA23">
        <f>IF(ISNUMBER(SEARCH("1.5", 'Form Responses 1'!H22)), 1, 0)</f>
        <v>1</v>
      </c>
      <c r="AB23">
        <f>IF(ISNUMBER(SEARCH("0.2", 'Form Responses 1'!H22)), -1, 0)</f>
        <v>0</v>
      </c>
      <c r="AC23">
        <f>IF(ISNUMBER(SEARCH("None", 'Form Responses 1'!H22)), -1, 0)</f>
        <v>0</v>
      </c>
      <c r="AD23">
        <f t="shared" si="6"/>
        <v>4</v>
      </c>
      <c r="AE23" s="7">
        <f t="shared" si="7"/>
        <v>4</v>
      </c>
      <c r="AF23">
        <f>IF(ISNUMBER(SEARCH("Small", 'Form Responses 1'!I22)), -1, 0)</f>
        <v>-1</v>
      </c>
      <c r="AG23">
        <f>IF(ISNUMBER(SEARCH("IMU", 'Form Responses 1'!I22)), 1, 0)</f>
        <v>1</v>
      </c>
      <c r="AH23">
        <f>IF(ISNUMBER(SEARCH("CAN", 'Form Responses 1'!I22)), 1, 0)</f>
        <v>1</v>
      </c>
      <c r="AI23">
        <f>IF(ISNUMBER(SEARCH("High", 'Form Responses 1'!I22)), -1, 0)</f>
        <v>-1</v>
      </c>
      <c r="AJ23">
        <f>IF(ISNUMBER(SEARCH("Spoofing", 'Form Responses 1'!I22)), -1, 0)</f>
        <v>-1</v>
      </c>
      <c r="AK23">
        <f t="shared" si="8"/>
        <v>3</v>
      </c>
      <c r="AL23" s="7">
        <f t="shared" si="9"/>
        <v>3</v>
      </c>
      <c r="AM23">
        <f>IF('Form Responses 1'!J22, 1, 0)</f>
        <v>1</v>
      </c>
      <c r="AN23" s="7">
        <f t="shared" si="10"/>
        <v>4</v>
      </c>
      <c r="AO23">
        <f>IF(ISNUMBER(SEARCH("Increase the integral gain", 'Form Responses 1'!K22)), 1, 0)</f>
        <v>0</v>
      </c>
      <c r="AP23">
        <f>IF(ISNUMBER(SEARCH("Increase the proportional gain", 'Form Responses 1'!K22)), 1, 0)</f>
        <v>1</v>
      </c>
      <c r="AQ23">
        <f>IF(ISNUMBER(SEARCH("increasing the integral gain", 'Form Responses 1'!K22)), 1, 0)</f>
        <v>1</v>
      </c>
      <c r="AR23">
        <f>IF(ISNUMBER(SEARCH("Decrease the proportional gain (Kp) and increase the derivative gain (Kd)", 'Form Responses 1'!K22)), 1, 0)</f>
        <v>0</v>
      </c>
      <c r="AS23">
        <f>IF(ISNUMBER(SEARCH("Decrease the proportional gain", 'Form Responses 1'!K22)), 1, 0)</f>
        <v>0</v>
      </c>
      <c r="AT23" s="7">
        <f t="shared" si="11"/>
        <v>2.2999999999999998</v>
      </c>
      <c r="AU23">
        <f>IF(ISNUMBER(SEARCH("Measurement", 'Form Responses 1'!L22)), 1, 0)</f>
        <v>0</v>
      </c>
      <c r="AV23">
        <f>IF(ISNUMBER(SEARCH("All of the above",'Form Responses 1'!L22)),1,0)</f>
        <v>1</v>
      </c>
      <c r="AW23" s="7">
        <f t="shared" si="12"/>
        <v>2</v>
      </c>
      <c r="AX23">
        <f>IF(ISNUMBER(SEARCH("recorded sensor data to the controller", 'Form Responses 1'!M22)), 1, 0)</f>
        <v>0</v>
      </c>
      <c r="AY23">
        <f>IF(ISNUMBER(SEARCH("record sensor data from", 'Form Responses 1'!M22)), 1, 0)</f>
        <v>0</v>
      </c>
      <c r="AZ23">
        <f>IF(ISNUMBER(SEARCH("record actuator data from",'Form Responses 1'!M22)),1,0)</f>
        <v>0</v>
      </c>
      <c r="BA23">
        <f>IF(ISNUMBER(SEARCH("recorded actuator data to the controller", 'Form Responses 1'!M22)), 1, 0)</f>
        <v>0</v>
      </c>
      <c r="BB23" s="7">
        <f t="shared" si="13"/>
        <v>0</v>
      </c>
      <c r="BC23">
        <f>IF('Form Responses 1'!N22, 0, 1)</f>
        <v>0</v>
      </c>
      <c r="BD23" s="7">
        <f t="shared" si="14"/>
        <v>0</v>
      </c>
    </row>
    <row r="24" spans="1:56" x14ac:dyDescent="0.2">
      <c r="A24" s="4">
        <v>22</v>
      </c>
      <c r="B24">
        <f>IF(ISNUMBER(SEARCH("Line 4", 'Form Responses 1'!E23)), -1, 0)</f>
        <v>0</v>
      </c>
      <c r="C24">
        <f>IF(ISNUMBER(SEARCH("Line 5", 'Form Responses 1'!E23)), -1, 0)</f>
        <v>-1</v>
      </c>
      <c r="D24">
        <f>IF(ISNUMBER(SEARCH("Line 8", 'Form Responses 1'!E23)), 1, 0)</f>
        <v>0</v>
      </c>
      <c r="E24">
        <f>IF(ISNUMBER(SEARCH("Line 13", 'Form Responses 1'!E23)), 1, 0)</f>
        <v>0</v>
      </c>
      <c r="F24">
        <f>IF(ISNUMBER(SEARCH("Line 14", 'Form Responses 1'!E23)), -1, 0)</f>
        <v>0</v>
      </c>
      <c r="G24">
        <f>IF(ISNUMBER(SEARCH("Line 15", 'Form Responses 1'!E23)), 1, 0)</f>
        <v>0</v>
      </c>
      <c r="H24">
        <f>IF(ISNUMBER(SEARCH("Line 16", 'Form Responses 1'!E23)), -1, 0)</f>
        <v>0</v>
      </c>
      <c r="I24">
        <f>IF(ISNUMBER(SEARCH("Line 17", 'Form Responses 1'!E23)), 1, 0)</f>
        <v>1</v>
      </c>
      <c r="J24">
        <f>IF(ISNUMBER(SEARCH("Line 19", 'Form Responses 1'!E23)), 1, 0)</f>
        <v>1</v>
      </c>
      <c r="K24">
        <f t="shared" si="0"/>
        <v>1</v>
      </c>
      <c r="L24" s="8">
        <f t="shared" si="1"/>
        <v>2</v>
      </c>
      <c r="M24">
        <f>IF(ISNUMBER(SEARCH("Transmit data", 'Form Responses 1'!F23)), 1, 0)</f>
        <v>1</v>
      </c>
      <c r="N24">
        <f>IF(ISNUMBER(SEARCH("Alter", 'Form Responses 1'!F23)), -1, 0)</f>
        <v>-1</v>
      </c>
      <c r="O24">
        <f>IF(ISNUMBER(SEARCH("Change", 'Form Responses 1'!F23)), -1, 0)</f>
        <v>0</v>
      </c>
      <c r="P24">
        <f>IF(ISNUMBER(SEARCH("Remove", 'Form Responses 1'!F23)), -1, 0)</f>
        <v>0</v>
      </c>
      <c r="Q24">
        <f>IF(ISNUMBER(SEARCH("unintelligible", 'Form Responses 1'!F23)), -1, 0)</f>
        <v>0</v>
      </c>
      <c r="R24">
        <f t="shared" si="2"/>
        <v>3.25</v>
      </c>
      <c r="S24" s="7">
        <f t="shared" si="3"/>
        <v>3.25</v>
      </c>
      <c r="T24">
        <f>IF(ISNUMBER(SEARCH("sensors", 'Form Responses 1'!G23)), 1, 0)</f>
        <v>1</v>
      </c>
      <c r="U24">
        <f>IF(ISNUMBER(SEARCH("actuators", 'Form Responses 1'!G23)), -1, 0)</f>
        <v>-1</v>
      </c>
      <c r="V24">
        <f>IF(ISNUMBER(SEARCH("Switch", 'Form Responses 1'!G23)), 1, 0)</f>
        <v>1</v>
      </c>
      <c r="W24">
        <f>IF(ISNUMBER(SEARCH("PID", 'Form Responses 1'!G23)), -1, 0)</f>
        <v>-1</v>
      </c>
      <c r="X24">
        <f t="shared" si="4"/>
        <v>2</v>
      </c>
      <c r="Y24" s="7">
        <f t="shared" si="5"/>
        <v>2</v>
      </c>
      <c r="Z24">
        <f>IF(ISNUMBER(SEARCH("16", 'Form Responses 1'!H23)), -1, 0)</f>
        <v>-1</v>
      </c>
      <c r="AA24">
        <f>IF(ISNUMBER(SEARCH("1.5", 'Form Responses 1'!H23)), 1, 0)</f>
        <v>1</v>
      </c>
      <c r="AB24">
        <f>IF(ISNUMBER(SEARCH("0.2", 'Form Responses 1'!H23)), -1, 0)</f>
        <v>0</v>
      </c>
      <c r="AC24">
        <f>IF(ISNUMBER(SEARCH("None", 'Form Responses 1'!H23)), -1, 0)</f>
        <v>0</v>
      </c>
      <c r="AD24">
        <f t="shared" si="6"/>
        <v>3</v>
      </c>
      <c r="AE24" s="7">
        <f t="shared" si="7"/>
        <v>3</v>
      </c>
      <c r="AF24">
        <f>IF(ISNUMBER(SEARCH("Small", 'Form Responses 1'!I23)), -1, 0)</f>
        <v>-1</v>
      </c>
      <c r="AG24">
        <f>IF(ISNUMBER(SEARCH("IMU", 'Form Responses 1'!I23)), 1, 0)</f>
        <v>1</v>
      </c>
      <c r="AH24">
        <f>IF(ISNUMBER(SEARCH("CAN", 'Form Responses 1'!I23)), 1, 0)</f>
        <v>1</v>
      </c>
      <c r="AI24">
        <f>IF(ISNUMBER(SEARCH("High", 'Form Responses 1'!I23)), -1, 0)</f>
        <v>0</v>
      </c>
      <c r="AJ24">
        <f>IF(ISNUMBER(SEARCH("Spoofing", 'Form Responses 1'!I23)), -1, 0)</f>
        <v>0</v>
      </c>
      <c r="AK24">
        <f t="shared" si="8"/>
        <v>5</v>
      </c>
      <c r="AL24" s="7">
        <f t="shared" si="9"/>
        <v>4</v>
      </c>
      <c r="AM24">
        <f>IF('Form Responses 1'!J23, 1, 0)</f>
        <v>1</v>
      </c>
      <c r="AN24" s="7">
        <f t="shared" si="10"/>
        <v>4</v>
      </c>
      <c r="AO24">
        <f>IF(ISNUMBER(SEARCH("Increase the integral gain", 'Form Responses 1'!K23)), 1, 0)</f>
        <v>1</v>
      </c>
      <c r="AP24">
        <f>IF(ISNUMBER(SEARCH("Increase the proportional gain", 'Form Responses 1'!K23)), 1, 0)</f>
        <v>0</v>
      </c>
      <c r="AQ24">
        <f>IF(ISNUMBER(SEARCH("increasing the integral gain", 'Form Responses 1'!K23)), 1, 0)</f>
        <v>0</v>
      </c>
      <c r="AR24">
        <f>IF(ISNUMBER(SEARCH("Decrease the proportional gain (Kp) and increase the derivative gain (Kd)", 'Form Responses 1'!K23)), 1, 0)</f>
        <v>0</v>
      </c>
      <c r="AS24">
        <f>IF(ISNUMBER(SEARCH("Decrease the proportional gain", 'Form Responses 1'!K23)), 1, 0)</f>
        <v>0</v>
      </c>
      <c r="AT24" s="7">
        <f t="shared" si="11"/>
        <v>4</v>
      </c>
      <c r="AU24">
        <f>IF(ISNUMBER(SEARCH("Measurement", 'Form Responses 1'!L23)), 1, 0)</f>
        <v>0</v>
      </c>
      <c r="AV24">
        <f>IF(ISNUMBER(SEARCH("All of the above",'Form Responses 1'!L23)),1,0)</f>
        <v>0</v>
      </c>
      <c r="AW24" s="7">
        <f t="shared" si="12"/>
        <v>0</v>
      </c>
      <c r="AX24">
        <f>IF(ISNUMBER(SEARCH("recorded sensor data to the controller", 'Form Responses 1'!M23)), 1, 0)</f>
        <v>0</v>
      </c>
      <c r="AY24">
        <f>IF(ISNUMBER(SEARCH("record sensor data from", 'Form Responses 1'!M23)), 1, 0)</f>
        <v>0</v>
      </c>
      <c r="AZ24">
        <f>IF(ISNUMBER(SEARCH("record actuator data from",'Form Responses 1'!M23)),1,0)</f>
        <v>0</v>
      </c>
      <c r="BA24">
        <f>IF(ISNUMBER(SEARCH("recorded actuator data to the controller", 'Form Responses 1'!M23)), 1, 0)</f>
        <v>0</v>
      </c>
      <c r="BB24" s="7">
        <f t="shared" si="13"/>
        <v>0</v>
      </c>
      <c r="BC24">
        <f>IF('Form Responses 1'!N23, 0, 1)</f>
        <v>1</v>
      </c>
      <c r="BD24" s="7">
        <f t="shared" si="14"/>
        <v>4</v>
      </c>
    </row>
    <row r="25" spans="1:56" x14ac:dyDescent="0.2">
      <c r="A25" s="4">
        <v>23</v>
      </c>
      <c r="B25">
        <f>IF(ISNUMBER(SEARCH("Line 4", 'Form Responses 1'!E24)), -1, 0)</f>
        <v>-1</v>
      </c>
      <c r="C25">
        <f>IF(ISNUMBER(SEARCH("Line 5", 'Form Responses 1'!E24)), -1, 0)</f>
        <v>0</v>
      </c>
      <c r="D25">
        <f>IF(ISNUMBER(SEARCH("Line 8", 'Form Responses 1'!E24)), 1, 0)</f>
        <v>0</v>
      </c>
      <c r="E25">
        <f>IF(ISNUMBER(SEARCH("Line 13", 'Form Responses 1'!E24)), 1, 0)</f>
        <v>0</v>
      </c>
      <c r="F25">
        <f>IF(ISNUMBER(SEARCH("Line 14", 'Form Responses 1'!E24)), -1, 0)</f>
        <v>0</v>
      </c>
      <c r="G25">
        <f>IF(ISNUMBER(SEARCH("Line 15", 'Form Responses 1'!E24)), 1, 0)</f>
        <v>1</v>
      </c>
      <c r="H25">
        <f>IF(ISNUMBER(SEARCH("Line 16", 'Form Responses 1'!E24)), -1, 0)</f>
        <v>0</v>
      </c>
      <c r="I25">
        <f>IF(ISNUMBER(SEARCH("Line 17", 'Form Responses 1'!E24)), 1, 0)</f>
        <v>0</v>
      </c>
      <c r="J25">
        <f>IF(ISNUMBER(SEARCH("Line 19", 'Form Responses 1'!E24)), 1, 0)</f>
        <v>0</v>
      </c>
      <c r="K25">
        <f t="shared" si="0"/>
        <v>0</v>
      </c>
      <c r="L25" s="8">
        <f t="shared" si="1"/>
        <v>0</v>
      </c>
      <c r="M25">
        <f>IF(ISNUMBER(SEARCH("Transmit data", 'Form Responses 1'!F24)), 1, 0)</f>
        <v>1</v>
      </c>
      <c r="N25">
        <f>IF(ISNUMBER(SEARCH("Alter", 'Form Responses 1'!F24)), -1, 0)</f>
        <v>-1</v>
      </c>
      <c r="O25">
        <f>IF(ISNUMBER(SEARCH("Change", 'Form Responses 1'!F24)), -1, 0)</f>
        <v>0</v>
      </c>
      <c r="P25">
        <f>IF(ISNUMBER(SEARCH("Remove", 'Form Responses 1'!F24)), -1, 0)</f>
        <v>0</v>
      </c>
      <c r="Q25">
        <f>IF(ISNUMBER(SEARCH("unintelligible", 'Form Responses 1'!F24)), -1, 0)</f>
        <v>0</v>
      </c>
      <c r="R25">
        <f t="shared" si="2"/>
        <v>3.25</v>
      </c>
      <c r="S25" s="7">
        <f t="shared" si="3"/>
        <v>3.25</v>
      </c>
      <c r="T25">
        <f>IF(ISNUMBER(SEARCH("sensors", 'Form Responses 1'!G24)), 1, 0)</f>
        <v>0</v>
      </c>
      <c r="U25">
        <f>IF(ISNUMBER(SEARCH("actuators", 'Form Responses 1'!G24)), -1, 0)</f>
        <v>0</v>
      </c>
      <c r="V25">
        <f>IF(ISNUMBER(SEARCH("Switch", 'Form Responses 1'!G24)), 1, 0)</f>
        <v>1</v>
      </c>
      <c r="W25">
        <f>IF(ISNUMBER(SEARCH("PID", 'Form Responses 1'!G24)), -1, 0)</f>
        <v>-1</v>
      </c>
      <c r="X25">
        <f t="shared" si="4"/>
        <v>1</v>
      </c>
      <c r="Y25" s="7">
        <f t="shared" si="5"/>
        <v>1</v>
      </c>
      <c r="Z25">
        <f>IF(ISNUMBER(SEARCH("16", 'Form Responses 1'!H24)), -1, 0)</f>
        <v>0</v>
      </c>
      <c r="AA25">
        <f>IF(ISNUMBER(SEARCH("1.5", 'Form Responses 1'!H24)), 1, 0)</f>
        <v>0</v>
      </c>
      <c r="AB25">
        <f>IF(ISNUMBER(SEARCH("0.2", 'Form Responses 1'!H24)), -1, 0)</f>
        <v>-1</v>
      </c>
      <c r="AC25">
        <f>IF(ISNUMBER(SEARCH("None", 'Form Responses 1'!H24)), -1, 0)</f>
        <v>0</v>
      </c>
      <c r="AD25">
        <f t="shared" si="6"/>
        <v>-2</v>
      </c>
      <c r="AE25" s="7">
        <f t="shared" si="7"/>
        <v>0</v>
      </c>
      <c r="AF25">
        <f>IF(ISNUMBER(SEARCH("Small", 'Form Responses 1'!I24)), -1, 0)</f>
        <v>0</v>
      </c>
      <c r="AG25">
        <f>IF(ISNUMBER(SEARCH("IMU", 'Form Responses 1'!I24)), 1, 0)</f>
        <v>1</v>
      </c>
      <c r="AH25">
        <f>IF(ISNUMBER(SEARCH("CAN", 'Form Responses 1'!I24)), 1, 0)</f>
        <v>1</v>
      </c>
      <c r="AI25">
        <f>IF(ISNUMBER(SEARCH("High", 'Form Responses 1'!I24)), -1, 0)</f>
        <v>-1</v>
      </c>
      <c r="AJ25">
        <f>IF(ISNUMBER(SEARCH("Spoofing", 'Form Responses 1'!I24)), -1, 0)</f>
        <v>0</v>
      </c>
      <c r="AK25">
        <f t="shared" si="8"/>
        <v>3</v>
      </c>
      <c r="AL25" s="7">
        <f t="shared" si="9"/>
        <v>3</v>
      </c>
      <c r="AM25">
        <f>IF('Form Responses 1'!J24, 1, 0)</f>
        <v>1</v>
      </c>
      <c r="AN25" s="7">
        <f t="shared" si="10"/>
        <v>4</v>
      </c>
      <c r="AO25">
        <f>IF(ISNUMBER(SEARCH("Increase the integral gain", 'Form Responses 1'!K24)), 1, 0)</f>
        <v>0</v>
      </c>
      <c r="AP25">
        <f>IF(ISNUMBER(SEARCH("Increase the proportional gain", 'Form Responses 1'!K24)), 1, 0)</f>
        <v>1</v>
      </c>
      <c r="AQ25">
        <f>IF(ISNUMBER(SEARCH("increasing the integral gain", 'Form Responses 1'!K24)), 1, 0)</f>
        <v>1</v>
      </c>
      <c r="AR25">
        <f>IF(ISNUMBER(SEARCH("Decrease the proportional gain (Kp) and increase the derivative gain (Kd)", 'Form Responses 1'!K24)), 1, 0)</f>
        <v>0</v>
      </c>
      <c r="AS25">
        <f>IF(ISNUMBER(SEARCH("Decrease the proportional gain", 'Form Responses 1'!K24)), 1, 0)</f>
        <v>0</v>
      </c>
      <c r="AT25" s="7">
        <f t="shared" si="11"/>
        <v>2.2999999999999998</v>
      </c>
      <c r="AU25">
        <f>IF(ISNUMBER(SEARCH("Measurement", 'Form Responses 1'!L24)), 1, 0)</f>
        <v>0</v>
      </c>
      <c r="AV25">
        <f>IF(ISNUMBER(SEARCH("All of the above",'Form Responses 1'!L24)),1,0)</f>
        <v>1</v>
      </c>
      <c r="AW25" s="7">
        <f t="shared" si="12"/>
        <v>2</v>
      </c>
      <c r="AX25">
        <f>IF(ISNUMBER(SEARCH("recorded sensor data to the controller", 'Form Responses 1'!M24)), 1, 0)</f>
        <v>0</v>
      </c>
      <c r="AY25">
        <f>IF(ISNUMBER(SEARCH("record sensor data from", 'Form Responses 1'!M24)), 1, 0)</f>
        <v>0</v>
      </c>
      <c r="AZ25">
        <f>IF(ISNUMBER(SEARCH("record actuator data from",'Form Responses 1'!M24)),1,0)</f>
        <v>1</v>
      </c>
      <c r="BA25">
        <f>IF(ISNUMBER(SEARCH("recorded actuator data to the controller", 'Form Responses 1'!M24)), 1, 0)</f>
        <v>0</v>
      </c>
      <c r="BB25" s="7">
        <f t="shared" si="13"/>
        <v>2</v>
      </c>
      <c r="BC25">
        <f>IF('Form Responses 1'!N24, 0, 1)</f>
        <v>1</v>
      </c>
      <c r="BD25" s="7">
        <f t="shared" si="14"/>
        <v>4</v>
      </c>
    </row>
    <row r="26" spans="1:56" x14ac:dyDescent="0.2">
      <c r="A26" s="4">
        <v>24</v>
      </c>
      <c r="B26">
        <f>IF(ISNUMBER(SEARCH("Line 4", 'Form Responses 1'!E25)), -1, 0)</f>
        <v>0</v>
      </c>
      <c r="C26">
        <f>IF(ISNUMBER(SEARCH("Line 5", 'Form Responses 1'!E25)), -1, 0)</f>
        <v>0</v>
      </c>
      <c r="D26">
        <f>IF(ISNUMBER(SEARCH("Line 8", 'Form Responses 1'!E25)), 1, 0)</f>
        <v>0</v>
      </c>
      <c r="E26">
        <f>IF(ISNUMBER(SEARCH("Line 13", 'Form Responses 1'!E25)), 1, 0)</f>
        <v>1</v>
      </c>
      <c r="F26">
        <f>IF(ISNUMBER(SEARCH("Line 14", 'Form Responses 1'!E25)), -1, 0)</f>
        <v>-1</v>
      </c>
      <c r="G26">
        <f>IF(ISNUMBER(SEARCH("Line 15", 'Form Responses 1'!E25)), 1, 0)</f>
        <v>0</v>
      </c>
      <c r="H26">
        <f>IF(ISNUMBER(SEARCH("Line 16", 'Form Responses 1'!E25)), -1, 0)</f>
        <v>0</v>
      </c>
      <c r="I26">
        <f>IF(ISNUMBER(SEARCH("Line 17", 'Form Responses 1'!E25)), 1, 0)</f>
        <v>0</v>
      </c>
      <c r="J26">
        <f>IF(ISNUMBER(SEARCH("Line 19", 'Form Responses 1'!E25)), 1, 0)</f>
        <v>0</v>
      </c>
      <c r="K26">
        <f t="shared" si="0"/>
        <v>0</v>
      </c>
      <c r="L26" s="8">
        <f t="shared" si="1"/>
        <v>1</v>
      </c>
      <c r="M26">
        <f>IF(ISNUMBER(SEARCH("Transmit data", 'Form Responses 1'!F25)), 1, 0)</f>
        <v>0</v>
      </c>
      <c r="N26">
        <f>IF(ISNUMBER(SEARCH("Alter", 'Form Responses 1'!F25)), -1, 0)</f>
        <v>0</v>
      </c>
      <c r="O26">
        <f>IF(ISNUMBER(SEARCH("Change", 'Form Responses 1'!F25)), -1, 0)</f>
        <v>0</v>
      </c>
      <c r="P26">
        <f>IF(ISNUMBER(SEARCH("Remove", 'Form Responses 1'!F25)), -1, 0)</f>
        <v>0</v>
      </c>
      <c r="Q26">
        <f>IF(ISNUMBER(SEARCH("unintelligible", 'Form Responses 1'!F25)), -1, 0)</f>
        <v>-1</v>
      </c>
      <c r="R26">
        <f t="shared" si="2"/>
        <v>-0.75</v>
      </c>
      <c r="S26" s="7">
        <f t="shared" si="3"/>
        <v>0</v>
      </c>
      <c r="T26">
        <f>IF(ISNUMBER(SEARCH("sensors", 'Form Responses 1'!G25)), 1, 0)</f>
        <v>0</v>
      </c>
      <c r="U26">
        <f>IF(ISNUMBER(SEARCH("actuators", 'Form Responses 1'!G25)), -1, 0)</f>
        <v>0</v>
      </c>
      <c r="V26">
        <f>IF(ISNUMBER(SEARCH("Switch", 'Form Responses 1'!G25)), 1, 0)</f>
        <v>1</v>
      </c>
      <c r="W26">
        <f>IF(ISNUMBER(SEARCH("PID", 'Form Responses 1'!G25)), -1, 0)</f>
        <v>-1</v>
      </c>
      <c r="X26">
        <f t="shared" si="4"/>
        <v>1</v>
      </c>
      <c r="Y26" s="7">
        <f t="shared" si="5"/>
        <v>1</v>
      </c>
      <c r="Z26">
        <f>IF(ISNUMBER(SEARCH("16", 'Form Responses 1'!H25)), -1, 0)</f>
        <v>0</v>
      </c>
      <c r="AA26">
        <f>IF(ISNUMBER(SEARCH("1.5", 'Form Responses 1'!H25)), 1, 0)</f>
        <v>0</v>
      </c>
      <c r="AB26">
        <f>IF(ISNUMBER(SEARCH("0.2", 'Form Responses 1'!H25)), -1, 0)</f>
        <v>-1</v>
      </c>
      <c r="AC26">
        <f>IF(ISNUMBER(SEARCH("None", 'Form Responses 1'!H25)), -1, 0)</f>
        <v>0</v>
      </c>
      <c r="AD26">
        <f t="shared" si="6"/>
        <v>-2</v>
      </c>
      <c r="AE26" s="7">
        <f t="shared" si="7"/>
        <v>0</v>
      </c>
      <c r="AF26">
        <f>IF(ISNUMBER(SEARCH("Small", 'Form Responses 1'!I25)), -1, 0)</f>
        <v>0</v>
      </c>
      <c r="AG26">
        <f>IF(ISNUMBER(SEARCH("IMU", 'Form Responses 1'!I25)), 1, 0)</f>
        <v>1</v>
      </c>
      <c r="AH26">
        <f>IF(ISNUMBER(SEARCH("CAN", 'Form Responses 1'!I25)), 1, 0)</f>
        <v>0</v>
      </c>
      <c r="AI26">
        <f>IF(ISNUMBER(SEARCH("High", 'Form Responses 1'!I25)), -1, 0)</f>
        <v>0</v>
      </c>
      <c r="AJ26">
        <f>IF(ISNUMBER(SEARCH("Spoofing", 'Form Responses 1'!I25)), -1, 0)</f>
        <v>-1</v>
      </c>
      <c r="AK26">
        <f t="shared" si="8"/>
        <v>1</v>
      </c>
      <c r="AL26" s="7">
        <f t="shared" si="9"/>
        <v>1</v>
      </c>
      <c r="AM26">
        <f>IF('Form Responses 1'!J25, 1, 0)</f>
        <v>1</v>
      </c>
      <c r="AN26" s="7">
        <f t="shared" si="10"/>
        <v>4</v>
      </c>
      <c r="AO26">
        <f>IF(ISNUMBER(SEARCH("Increase the integral gain", 'Form Responses 1'!K25)), 1, 0)</f>
        <v>0</v>
      </c>
      <c r="AP26">
        <f>IF(ISNUMBER(SEARCH("Increase the proportional gain", 'Form Responses 1'!K25)), 1, 0)</f>
        <v>0</v>
      </c>
      <c r="AQ26">
        <f>IF(ISNUMBER(SEARCH("increasing the integral gain", 'Form Responses 1'!K25)), 1, 0)</f>
        <v>0</v>
      </c>
      <c r="AR26">
        <f>IF(ISNUMBER(SEARCH("Decrease the proportional gain (Kp) and increase the derivative gain (Kd)", 'Form Responses 1'!K25)), 1, 0)</f>
        <v>1</v>
      </c>
      <c r="AS26">
        <f>IF(ISNUMBER(SEARCH("Decrease the proportional gain", 'Form Responses 1'!K25)), 1, 0)</f>
        <v>1</v>
      </c>
      <c r="AT26" s="7">
        <f t="shared" si="11"/>
        <v>2</v>
      </c>
      <c r="AU26">
        <f>IF(ISNUMBER(SEARCH("Measurement", 'Form Responses 1'!L25)), 1, 0)</f>
        <v>0</v>
      </c>
      <c r="AV26">
        <f>IF(ISNUMBER(SEARCH("All of the above",'Form Responses 1'!L25)),1,0)</f>
        <v>1</v>
      </c>
      <c r="AW26" s="7">
        <f t="shared" si="12"/>
        <v>2</v>
      </c>
      <c r="AX26">
        <f>IF(ISNUMBER(SEARCH("recorded sensor data to the controller", 'Form Responses 1'!M25)), 1, 0)</f>
        <v>1</v>
      </c>
      <c r="AY26">
        <f>IF(ISNUMBER(SEARCH("record sensor data from", 'Form Responses 1'!M25)), 1, 0)</f>
        <v>0</v>
      </c>
      <c r="AZ26">
        <f>IF(ISNUMBER(SEARCH("record actuator data from",'Form Responses 1'!M25)),1,0)</f>
        <v>0</v>
      </c>
      <c r="BA26">
        <f>IF(ISNUMBER(SEARCH("recorded actuator data to the controller", 'Form Responses 1'!M25)), 1, 0)</f>
        <v>0</v>
      </c>
      <c r="BB26" s="7">
        <f t="shared" si="13"/>
        <v>4</v>
      </c>
      <c r="BC26">
        <f>IF('Form Responses 1'!N25, 0, 1)</f>
        <v>0</v>
      </c>
      <c r="BD26" s="7">
        <f t="shared" si="14"/>
        <v>0</v>
      </c>
    </row>
    <row r="27" spans="1:56" x14ac:dyDescent="0.2">
      <c r="A27" s="4">
        <v>25</v>
      </c>
      <c r="B27">
        <f>IF(ISNUMBER(SEARCH("Line 4", 'Form Responses 1'!E26)), -1, 0)</f>
        <v>-1</v>
      </c>
      <c r="C27">
        <f>IF(ISNUMBER(SEARCH("Line 5", 'Form Responses 1'!E26)), -1, 0)</f>
        <v>-1</v>
      </c>
      <c r="D27">
        <f>IF(ISNUMBER(SEARCH("Line 8", 'Form Responses 1'!E26)), 1, 0)</f>
        <v>1</v>
      </c>
      <c r="E27">
        <f>IF(ISNUMBER(SEARCH("Line 13", 'Form Responses 1'!E26)), 1, 0)</f>
        <v>0</v>
      </c>
      <c r="F27">
        <f>IF(ISNUMBER(SEARCH("Line 14", 'Form Responses 1'!E26)), -1, 0)</f>
        <v>0</v>
      </c>
      <c r="G27">
        <f>IF(ISNUMBER(SEARCH("Line 15", 'Form Responses 1'!E26)), 1, 0)</f>
        <v>0</v>
      </c>
      <c r="H27">
        <f>IF(ISNUMBER(SEARCH("Line 16", 'Form Responses 1'!E26)), -1, 0)</f>
        <v>0</v>
      </c>
      <c r="I27">
        <f>IF(ISNUMBER(SEARCH("Line 17", 'Form Responses 1'!E26)), 1, 0)</f>
        <v>1</v>
      </c>
      <c r="J27">
        <f>IF(ISNUMBER(SEARCH("Line 19", 'Form Responses 1'!E26)), 1, 0)</f>
        <v>0</v>
      </c>
      <c r="K27">
        <f t="shared" si="0"/>
        <v>0</v>
      </c>
      <c r="L27" s="8">
        <f t="shared" si="1"/>
        <v>0</v>
      </c>
      <c r="M27">
        <f>IF(ISNUMBER(SEARCH("Transmit data", 'Form Responses 1'!F26)), 1, 0)</f>
        <v>1</v>
      </c>
      <c r="N27">
        <f>IF(ISNUMBER(SEARCH("Alter", 'Form Responses 1'!F26)), -1, 0)</f>
        <v>0</v>
      </c>
      <c r="O27">
        <f>IF(ISNUMBER(SEARCH("Change", 'Form Responses 1'!F26)), -1, 0)</f>
        <v>-1</v>
      </c>
      <c r="P27">
        <f>IF(ISNUMBER(SEARCH("Remove", 'Form Responses 1'!F26)), -1, 0)</f>
        <v>0</v>
      </c>
      <c r="Q27">
        <f>IF(ISNUMBER(SEARCH("unintelligible", 'Form Responses 1'!F26)), -1, 0)</f>
        <v>-1</v>
      </c>
      <c r="R27">
        <f t="shared" si="2"/>
        <v>2.5</v>
      </c>
      <c r="S27" s="7">
        <f t="shared" si="3"/>
        <v>2.5</v>
      </c>
      <c r="T27">
        <f>IF(ISNUMBER(SEARCH("sensors", 'Form Responses 1'!G26)), 1, 0)</f>
        <v>1</v>
      </c>
      <c r="U27">
        <f>IF(ISNUMBER(SEARCH("actuators", 'Form Responses 1'!G26)), -1, 0)</f>
        <v>0</v>
      </c>
      <c r="V27">
        <f>IF(ISNUMBER(SEARCH("Switch", 'Form Responses 1'!G26)), 1, 0)</f>
        <v>1</v>
      </c>
      <c r="W27">
        <f>IF(ISNUMBER(SEARCH("PID", 'Form Responses 1'!G26)), -1, 0)</f>
        <v>0</v>
      </c>
      <c r="X27">
        <f t="shared" si="4"/>
        <v>4</v>
      </c>
      <c r="Y27" s="7">
        <f t="shared" si="5"/>
        <v>4</v>
      </c>
      <c r="Z27">
        <f>IF(ISNUMBER(SEARCH("16", 'Form Responses 1'!H26)), -1, 0)</f>
        <v>0</v>
      </c>
      <c r="AA27">
        <f>IF(ISNUMBER(SEARCH("1.5", 'Form Responses 1'!H26)), 1, 0)</f>
        <v>0</v>
      </c>
      <c r="AB27">
        <f>IF(ISNUMBER(SEARCH("0.2", 'Form Responses 1'!H26)), -1, 0)</f>
        <v>0</v>
      </c>
      <c r="AC27">
        <f>IF(ISNUMBER(SEARCH("None", 'Form Responses 1'!H26)), -1, 0)</f>
        <v>-1</v>
      </c>
      <c r="AD27">
        <f t="shared" si="6"/>
        <v>2</v>
      </c>
      <c r="AE27" s="7">
        <f t="shared" si="7"/>
        <v>2</v>
      </c>
      <c r="AF27">
        <f>IF(ISNUMBER(SEARCH("Small", 'Form Responses 1'!I26)), -1, 0)</f>
        <v>-1</v>
      </c>
      <c r="AG27">
        <f>IF(ISNUMBER(SEARCH("IMU", 'Form Responses 1'!I26)), 1, 0)</f>
        <v>1</v>
      </c>
      <c r="AH27">
        <f>IF(ISNUMBER(SEARCH("CAN", 'Form Responses 1'!I26)), 1, 0)</f>
        <v>1</v>
      </c>
      <c r="AI27">
        <f>IF(ISNUMBER(SEARCH("High", 'Form Responses 1'!I26)), -1, 0)</f>
        <v>0</v>
      </c>
      <c r="AJ27">
        <f>IF(ISNUMBER(SEARCH("Spoofing", 'Form Responses 1'!I26)), -1, 0)</f>
        <v>0</v>
      </c>
      <c r="AK27">
        <f t="shared" si="8"/>
        <v>5</v>
      </c>
      <c r="AL27" s="7">
        <f t="shared" si="9"/>
        <v>4</v>
      </c>
      <c r="AM27">
        <f>IF('Form Responses 1'!J26, 1, 0)</f>
        <v>1</v>
      </c>
      <c r="AN27" s="7">
        <f t="shared" si="10"/>
        <v>4</v>
      </c>
      <c r="AO27">
        <f>IF(ISNUMBER(SEARCH("Increase the integral gain", 'Form Responses 1'!K26)), 1, 0)</f>
        <v>1</v>
      </c>
      <c r="AP27">
        <f>IF(ISNUMBER(SEARCH("Increase the proportional gain", 'Form Responses 1'!K26)), 1, 0)</f>
        <v>0</v>
      </c>
      <c r="AQ27">
        <f>IF(ISNUMBER(SEARCH("increasing the integral gain", 'Form Responses 1'!K26)), 1, 0)</f>
        <v>0</v>
      </c>
      <c r="AR27">
        <f>IF(ISNUMBER(SEARCH("Decrease the proportional gain (Kp) and increase the derivative gain (Kd)", 'Form Responses 1'!K26)), 1, 0)</f>
        <v>0</v>
      </c>
      <c r="AS27">
        <f>IF(ISNUMBER(SEARCH("Decrease the proportional gain", 'Form Responses 1'!K26)), 1, 0)</f>
        <v>0</v>
      </c>
      <c r="AT27" s="7">
        <f t="shared" si="11"/>
        <v>4</v>
      </c>
      <c r="AU27">
        <f>IF(ISNUMBER(SEARCH("Measurement", 'Form Responses 1'!L26)), 1, 0)</f>
        <v>0</v>
      </c>
      <c r="AV27">
        <f>IF(ISNUMBER(SEARCH("All of the above",'Form Responses 1'!L26)),1,0)</f>
        <v>1</v>
      </c>
      <c r="AW27" s="7">
        <f t="shared" si="12"/>
        <v>2</v>
      </c>
      <c r="AX27">
        <f>IF(ISNUMBER(SEARCH("recorded sensor data to the controller", 'Form Responses 1'!M26)), 1, 0)</f>
        <v>1</v>
      </c>
      <c r="AY27">
        <f>IF(ISNUMBER(SEARCH("record sensor data from", 'Form Responses 1'!M26)), 1, 0)</f>
        <v>0</v>
      </c>
      <c r="AZ27">
        <f>IF(ISNUMBER(SEARCH("record actuator data from",'Form Responses 1'!M26)),1,0)</f>
        <v>0</v>
      </c>
      <c r="BA27">
        <f>IF(ISNUMBER(SEARCH("recorded actuator data to the controller", 'Form Responses 1'!M26)), 1, 0)</f>
        <v>0</v>
      </c>
      <c r="BB27" s="7">
        <f t="shared" si="13"/>
        <v>4</v>
      </c>
      <c r="BC27">
        <f>IF('Form Responses 1'!N26, 0, 1)</f>
        <v>0</v>
      </c>
      <c r="BD27" s="7">
        <f t="shared" si="14"/>
        <v>0</v>
      </c>
    </row>
    <row r="28" spans="1:56" x14ac:dyDescent="0.2">
      <c r="A28" s="4">
        <v>26</v>
      </c>
      <c r="B28">
        <f>IF(ISNUMBER(SEARCH("Line 4", 'Form Responses 1'!E27)), -1, 0)</f>
        <v>0</v>
      </c>
      <c r="C28">
        <f>IF(ISNUMBER(SEARCH("Line 5", 'Form Responses 1'!E27)), -1, 0)</f>
        <v>0</v>
      </c>
      <c r="D28">
        <f>IF(ISNUMBER(SEARCH("Line 8", 'Form Responses 1'!E27)), 1, 0)</f>
        <v>1</v>
      </c>
      <c r="E28">
        <f>IF(ISNUMBER(SEARCH("Line 13", 'Form Responses 1'!E27)), 1, 0)</f>
        <v>0</v>
      </c>
      <c r="F28">
        <f>IF(ISNUMBER(SEARCH("Line 14", 'Form Responses 1'!E27)), -1, 0)</f>
        <v>0</v>
      </c>
      <c r="G28">
        <f>IF(ISNUMBER(SEARCH("Line 15", 'Form Responses 1'!E27)), 1, 0)</f>
        <v>1</v>
      </c>
      <c r="H28">
        <f>IF(ISNUMBER(SEARCH("Line 16", 'Form Responses 1'!E27)), -1, 0)</f>
        <v>0</v>
      </c>
      <c r="I28">
        <f>IF(ISNUMBER(SEARCH("Line 17", 'Form Responses 1'!E27)), 1, 0)</f>
        <v>0</v>
      </c>
      <c r="J28">
        <f>IF(ISNUMBER(SEARCH("Line 19", 'Form Responses 1'!E27)), 1, 0)</f>
        <v>0</v>
      </c>
      <c r="K28">
        <f t="shared" si="0"/>
        <v>2</v>
      </c>
      <c r="L28" s="8">
        <f t="shared" si="1"/>
        <v>2</v>
      </c>
      <c r="M28">
        <f>IF(ISNUMBER(SEARCH("Transmit data", 'Form Responses 1'!F27)), 1, 0)</f>
        <v>1</v>
      </c>
      <c r="N28">
        <f>IF(ISNUMBER(SEARCH("Alter", 'Form Responses 1'!F27)), -1, 0)</f>
        <v>0</v>
      </c>
      <c r="O28">
        <f>IF(ISNUMBER(SEARCH("Change", 'Form Responses 1'!F27)), -1, 0)</f>
        <v>0</v>
      </c>
      <c r="P28">
        <f>IF(ISNUMBER(SEARCH("Remove", 'Form Responses 1'!F27)), -1, 0)</f>
        <v>-1</v>
      </c>
      <c r="Q28">
        <f>IF(ISNUMBER(SEARCH("unintelligible", 'Form Responses 1'!F27)), -1, 0)</f>
        <v>-1</v>
      </c>
      <c r="R28">
        <f t="shared" si="2"/>
        <v>2.5</v>
      </c>
      <c r="S28" s="7">
        <f t="shared" si="3"/>
        <v>2.5</v>
      </c>
      <c r="T28">
        <f>IF(ISNUMBER(SEARCH("sensors", 'Form Responses 1'!G27)), 1, 0)</f>
        <v>1</v>
      </c>
      <c r="U28">
        <f>IF(ISNUMBER(SEARCH("actuators", 'Form Responses 1'!G27)), -1, 0)</f>
        <v>0</v>
      </c>
      <c r="V28">
        <f>IF(ISNUMBER(SEARCH("Switch", 'Form Responses 1'!G27)), 1, 0)</f>
        <v>1</v>
      </c>
      <c r="W28">
        <f>IF(ISNUMBER(SEARCH("PID", 'Form Responses 1'!G27)), -1, 0)</f>
        <v>0</v>
      </c>
      <c r="X28">
        <f t="shared" si="4"/>
        <v>4</v>
      </c>
      <c r="Y28" s="7">
        <f t="shared" si="5"/>
        <v>4</v>
      </c>
      <c r="Z28">
        <f>IF(ISNUMBER(SEARCH("16", 'Form Responses 1'!H27)), -1, 0)</f>
        <v>-1</v>
      </c>
      <c r="AA28">
        <f>IF(ISNUMBER(SEARCH("1.5", 'Form Responses 1'!H27)), 1, 0)</f>
        <v>1</v>
      </c>
      <c r="AB28">
        <f>IF(ISNUMBER(SEARCH("0.2", 'Form Responses 1'!H27)), -1, 0)</f>
        <v>0</v>
      </c>
      <c r="AC28">
        <f>IF(ISNUMBER(SEARCH("None", 'Form Responses 1'!H27)), -1, 0)</f>
        <v>0</v>
      </c>
      <c r="AD28">
        <f t="shared" si="6"/>
        <v>3</v>
      </c>
      <c r="AE28" s="7">
        <f t="shared" si="7"/>
        <v>3</v>
      </c>
      <c r="AF28">
        <f>IF(ISNUMBER(SEARCH("Small", 'Form Responses 1'!I27)), -1, 0)</f>
        <v>-1</v>
      </c>
      <c r="AG28">
        <f>IF(ISNUMBER(SEARCH("IMU", 'Form Responses 1'!I27)), 1, 0)</f>
        <v>0</v>
      </c>
      <c r="AH28">
        <f>IF(ISNUMBER(SEARCH("CAN", 'Form Responses 1'!I27)), 1, 0)</f>
        <v>1</v>
      </c>
      <c r="AI28">
        <f>IF(ISNUMBER(SEARCH("High", 'Form Responses 1'!I27)), -1, 0)</f>
        <v>0</v>
      </c>
      <c r="AJ28">
        <f>IF(ISNUMBER(SEARCH("Spoofing", 'Form Responses 1'!I27)), -1, 0)</f>
        <v>0</v>
      </c>
      <c r="AK28">
        <f t="shared" si="8"/>
        <v>3</v>
      </c>
      <c r="AL28" s="7">
        <f t="shared" si="9"/>
        <v>3</v>
      </c>
      <c r="AM28">
        <f>IF('Form Responses 1'!J27, 1, 0)</f>
        <v>1</v>
      </c>
      <c r="AN28" s="7">
        <f t="shared" si="10"/>
        <v>4</v>
      </c>
      <c r="AO28">
        <f>IF(ISNUMBER(SEARCH("Increase the integral gain", 'Form Responses 1'!K27)), 1, 0)</f>
        <v>1</v>
      </c>
      <c r="AP28">
        <f>IF(ISNUMBER(SEARCH("Increase the proportional gain", 'Form Responses 1'!K27)), 1, 0)</f>
        <v>0</v>
      </c>
      <c r="AQ28">
        <f>IF(ISNUMBER(SEARCH("increasing the integral gain", 'Form Responses 1'!K27)), 1, 0)</f>
        <v>0</v>
      </c>
      <c r="AR28">
        <f>IF(ISNUMBER(SEARCH("Decrease the proportional gain (Kp) and increase the derivative gain (Kd)", 'Form Responses 1'!K27)), 1, 0)</f>
        <v>0</v>
      </c>
      <c r="AS28">
        <f>IF(ISNUMBER(SEARCH("Decrease the proportional gain", 'Form Responses 1'!K27)), 1, 0)</f>
        <v>0</v>
      </c>
      <c r="AT28" s="7">
        <f t="shared" si="11"/>
        <v>4</v>
      </c>
      <c r="AU28">
        <f>IF(ISNUMBER(SEARCH("Measurement", 'Form Responses 1'!L27)), 1, 0)</f>
        <v>0</v>
      </c>
      <c r="AV28">
        <f>IF(ISNUMBER(SEARCH("All of the above",'Form Responses 1'!L27)),1,0)</f>
        <v>1</v>
      </c>
      <c r="AW28" s="7">
        <f t="shared" si="12"/>
        <v>2</v>
      </c>
      <c r="AX28">
        <f>IF(ISNUMBER(SEARCH("recorded sensor data to the controller", 'Form Responses 1'!M27)), 1, 0)</f>
        <v>1</v>
      </c>
      <c r="AY28">
        <f>IF(ISNUMBER(SEARCH("record sensor data from", 'Form Responses 1'!M27)), 1, 0)</f>
        <v>0</v>
      </c>
      <c r="AZ28">
        <f>IF(ISNUMBER(SEARCH("record actuator data from",'Form Responses 1'!M27)),1,0)</f>
        <v>0</v>
      </c>
      <c r="BA28">
        <f>IF(ISNUMBER(SEARCH("recorded actuator data to the controller", 'Form Responses 1'!M27)), 1, 0)</f>
        <v>0</v>
      </c>
      <c r="BB28" s="7">
        <f t="shared" si="13"/>
        <v>4</v>
      </c>
      <c r="BC28">
        <f>IF('Form Responses 1'!N27, 0, 1)</f>
        <v>1</v>
      </c>
      <c r="BD28" s="7">
        <f t="shared" si="14"/>
        <v>4</v>
      </c>
    </row>
    <row r="29" spans="1:56" x14ac:dyDescent="0.2">
      <c r="A29" s="4">
        <v>27</v>
      </c>
      <c r="B29">
        <f>IF(ISNUMBER(SEARCH("Line 4", 'Form Responses 1'!E28)), -1, 0)</f>
        <v>0</v>
      </c>
      <c r="C29">
        <f>IF(ISNUMBER(SEARCH("Line 5", 'Form Responses 1'!E28)), -1, 0)</f>
        <v>0</v>
      </c>
      <c r="D29">
        <f>IF(ISNUMBER(SEARCH("Line 8", 'Form Responses 1'!E28)), 1, 0)</f>
        <v>1</v>
      </c>
      <c r="E29">
        <f>IF(ISNUMBER(SEARCH("Line 13", 'Form Responses 1'!E28)), 1, 0)</f>
        <v>0</v>
      </c>
      <c r="F29">
        <f>IF(ISNUMBER(SEARCH("Line 14", 'Form Responses 1'!E28)), -1, 0)</f>
        <v>0</v>
      </c>
      <c r="G29">
        <f>IF(ISNUMBER(SEARCH("Line 15", 'Form Responses 1'!E28)), 1, 0)</f>
        <v>1</v>
      </c>
      <c r="H29">
        <f>IF(ISNUMBER(SEARCH("Line 16", 'Form Responses 1'!E28)), -1, 0)</f>
        <v>0</v>
      </c>
      <c r="I29">
        <f>IF(ISNUMBER(SEARCH("Line 17", 'Form Responses 1'!E28)), 1, 0)</f>
        <v>1</v>
      </c>
      <c r="J29">
        <f>IF(ISNUMBER(SEARCH("Line 19", 'Form Responses 1'!E28)), 1, 0)</f>
        <v>0</v>
      </c>
      <c r="K29">
        <f t="shared" si="0"/>
        <v>3</v>
      </c>
      <c r="L29" s="8">
        <f t="shared" si="1"/>
        <v>3</v>
      </c>
      <c r="M29">
        <f>IF(ISNUMBER(SEARCH("Transmit data", 'Form Responses 1'!F28)), 1, 0)</f>
        <v>1</v>
      </c>
      <c r="N29">
        <f>IF(ISNUMBER(SEARCH("Alter", 'Form Responses 1'!F28)), -1, 0)</f>
        <v>0</v>
      </c>
      <c r="O29">
        <f>IF(ISNUMBER(SEARCH("Change", 'Form Responses 1'!F28)), -1, 0)</f>
        <v>0</v>
      </c>
      <c r="P29">
        <f>IF(ISNUMBER(SEARCH("Remove", 'Form Responses 1'!F28)), -1, 0)</f>
        <v>-1</v>
      </c>
      <c r="Q29">
        <f>IF(ISNUMBER(SEARCH("unintelligible", 'Form Responses 1'!F28)), -1, 0)</f>
        <v>-1</v>
      </c>
      <c r="R29">
        <f t="shared" si="2"/>
        <v>2.5</v>
      </c>
      <c r="S29" s="7">
        <f t="shared" si="3"/>
        <v>2.5</v>
      </c>
      <c r="T29">
        <f>IF(ISNUMBER(SEARCH("sensors", 'Form Responses 1'!G28)), 1, 0)</f>
        <v>1</v>
      </c>
      <c r="U29">
        <f>IF(ISNUMBER(SEARCH("actuators", 'Form Responses 1'!G28)), -1, 0)</f>
        <v>-1</v>
      </c>
      <c r="V29">
        <f>IF(ISNUMBER(SEARCH("Switch", 'Form Responses 1'!G28)), 1, 0)</f>
        <v>0</v>
      </c>
      <c r="W29">
        <f>IF(ISNUMBER(SEARCH("PID", 'Form Responses 1'!G28)), -1, 0)</f>
        <v>-1</v>
      </c>
      <c r="X29">
        <f t="shared" si="4"/>
        <v>0</v>
      </c>
      <c r="Y29" s="7">
        <f t="shared" si="5"/>
        <v>0</v>
      </c>
      <c r="Z29">
        <f>IF(ISNUMBER(SEARCH("16", 'Form Responses 1'!H28)), -1, 0)</f>
        <v>0</v>
      </c>
      <c r="AA29">
        <f>IF(ISNUMBER(SEARCH("1.5", 'Form Responses 1'!H28)), 1, 0)</f>
        <v>1</v>
      </c>
      <c r="AB29">
        <f>IF(ISNUMBER(SEARCH("0.2", 'Form Responses 1'!H28)), -1, 0)</f>
        <v>0</v>
      </c>
      <c r="AC29">
        <f>IF(ISNUMBER(SEARCH("None", 'Form Responses 1'!H28)), -1, 0)</f>
        <v>0</v>
      </c>
      <c r="AD29">
        <f t="shared" si="6"/>
        <v>4</v>
      </c>
      <c r="AE29" s="7">
        <f t="shared" si="7"/>
        <v>4</v>
      </c>
      <c r="AF29">
        <f>IF(ISNUMBER(SEARCH("Small", 'Form Responses 1'!I28)), -1, 0)</f>
        <v>-1</v>
      </c>
      <c r="AG29">
        <f>IF(ISNUMBER(SEARCH("IMU", 'Form Responses 1'!I28)), 1, 0)</f>
        <v>0</v>
      </c>
      <c r="AH29">
        <f>IF(ISNUMBER(SEARCH("CAN", 'Form Responses 1'!I28)), 1, 0)</f>
        <v>1</v>
      </c>
      <c r="AI29">
        <f>IF(ISNUMBER(SEARCH("High", 'Form Responses 1'!I28)), -1, 0)</f>
        <v>0</v>
      </c>
      <c r="AJ29">
        <f>IF(ISNUMBER(SEARCH("Spoofing", 'Form Responses 1'!I28)), -1, 0)</f>
        <v>0</v>
      </c>
      <c r="AK29">
        <f t="shared" si="8"/>
        <v>3</v>
      </c>
      <c r="AL29" s="7">
        <f t="shared" si="9"/>
        <v>3</v>
      </c>
      <c r="AM29">
        <f>IF('Form Responses 1'!J28, 1, 0)</f>
        <v>1</v>
      </c>
      <c r="AN29" s="7">
        <f t="shared" si="10"/>
        <v>4</v>
      </c>
      <c r="AO29">
        <f>IF(ISNUMBER(SEARCH("Increase the integral gain", 'Form Responses 1'!K28)), 1, 0)</f>
        <v>1</v>
      </c>
      <c r="AP29">
        <f>IF(ISNUMBER(SEARCH("Increase the proportional gain", 'Form Responses 1'!K28)), 1, 0)</f>
        <v>0</v>
      </c>
      <c r="AQ29">
        <f>IF(ISNUMBER(SEARCH("increasing the integral gain", 'Form Responses 1'!K28)), 1, 0)</f>
        <v>0</v>
      </c>
      <c r="AR29">
        <f>IF(ISNUMBER(SEARCH("Decrease the proportional gain (Kp) and increase the derivative gain (Kd)", 'Form Responses 1'!K28)), 1, 0)</f>
        <v>0</v>
      </c>
      <c r="AS29">
        <f>IF(ISNUMBER(SEARCH("Decrease the proportional gain", 'Form Responses 1'!K28)), 1, 0)</f>
        <v>0</v>
      </c>
      <c r="AT29" s="7">
        <f t="shared" si="11"/>
        <v>4</v>
      </c>
      <c r="AU29">
        <f>IF(ISNUMBER(SEARCH("Measurement", 'Form Responses 1'!L28)), 1, 0)</f>
        <v>0</v>
      </c>
      <c r="AV29">
        <f>IF(ISNUMBER(SEARCH("All of the above",'Form Responses 1'!L28)),1,0)</f>
        <v>1</v>
      </c>
      <c r="AW29" s="7">
        <f t="shared" si="12"/>
        <v>2</v>
      </c>
      <c r="AX29">
        <f>IF(ISNUMBER(SEARCH("recorded sensor data to the controller", 'Form Responses 1'!M28)), 1, 0)</f>
        <v>0</v>
      </c>
      <c r="AY29">
        <f>IF(ISNUMBER(SEARCH("record sensor data from", 'Form Responses 1'!M28)), 1, 0)</f>
        <v>0</v>
      </c>
      <c r="AZ29">
        <f>IF(ISNUMBER(SEARCH("record actuator data from",'Form Responses 1'!M28)),1,0)</f>
        <v>0</v>
      </c>
      <c r="BA29">
        <f>IF(ISNUMBER(SEARCH("recorded actuator data to the controller", 'Form Responses 1'!M28)), 1, 0)</f>
        <v>0</v>
      </c>
      <c r="BB29" s="7">
        <f t="shared" si="13"/>
        <v>0</v>
      </c>
      <c r="BC29">
        <f>IF('Form Responses 1'!N28, 0, 1)</f>
        <v>1</v>
      </c>
      <c r="BD29" s="7">
        <f t="shared" si="14"/>
        <v>4</v>
      </c>
    </row>
    <row r="30" spans="1:56" x14ac:dyDescent="0.2">
      <c r="A30" s="4">
        <v>28</v>
      </c>
      <c r="B30">
        <f>IF(ISNUMBER(SEARCH("Line 4", 'Form Responses 1'!E29)), -1, 0)</f>
        <v>-1</v>
      </c>
      <c r="C30">
        <f>IF(ISNUMBER(SEARCH("Line 5", 'Form Responses 1'!E29)), -1, 0)</f>
        <v>-1</v>
      </c>
      <c r="D30">
        <f>IF(ISNUMBER(SEARCH("Line 8", 'Form Responses 1'!E29)), 1, 0)</f>
        <v>0</v>
      </c>
      <c r="E30">
        <f>IF(ISNUMBER(SEARCH("Line 13", 'Form Responses 1'!E29)), 1, 0)</f>
        <v>0</v>
      </c>
      <c r="F30">
        <f>IF(ISNUMBER(SEARCH("Line 14", 'Form Responses 1'!E29)), -1, 0)</f>
        <v>0</v>
      </c>
      <c r="G30">
        <f>IF(ISNUMBER(SEARCH("Line 15", 'Form Responses 1'!E29)), 1, 0)</f>
        <v>1</v>
      </c>
      <c r="H30">
        <f>IF(ISNUMBER(SEARCH("Line 16", 'Form Responses 1'!E29)), -1, 0)</f>
        <v>-1</v>
      </c>
      <c r="I30">
        <f>IF(ISNUMBER(SEARCH("Line 17", 'Form Responses 1'!E29)), 1, 0)</f>
        <v>0</v>
      </c>
      <c r="J30">
        <f>IF(ISNUMBER(SEARCH("Line 19", 'Form Responses 1'!E29)), 1, 0)</f>
        <v>0</v>
      </c>
      <c r="K30">
        <f t="shared" si="0"/>
        <v>-2</v>
      </c>
      <c r="L30" s="8">
        <f t="shared" si="1"/>
        <v>0</v>
      </c>
      <c r="M30">
        <f>IF(ISNUMBER(SEARCH("Transmit data", 'Form Responses 1'!F29)), 1, 0)</f>
        <v>1</v>
      </c>
      <c r="N30">
        <f>IF(ISNUMBER(SEARCH("Alter", 'Form Responses 1'!F29)), -1, 0)</f>
        <v>0</v>
      </c>
      <c r="O30">
        <f>IF(ISNUMBER(SEARCH("Change", 'Form Responses 1'!F29)), -1, 0)</f>
        <v>0</v>
      </c>
      <c r="P30">
        <f>IF(ISNUMBER(SEARCH("Remove", 'Form Responses 1'!F29)), -1, 0)</f>
        <v>0</v>
      </c>
      <c r="Q30">
        <f>IF(ISNUMBER(SEARCH("unintelligible", 'Form Responses 1'!F29)), -1, 0)</f>
        <v>-1</v>
      </c>
      <c r="R30">
        <f t="shared" si="2"/>
        <v>3.25</v>
      </c>
      <c r="S30" s="7">
        <f t="shared" si="3"/>
        <v>3.25</v>
      </c>
      <c r="T30">
        <f>IF(ISNUMBER(SEARCH("sensors", 'Form Responses 1'!G29)), 1, 0)</f>
        <v>1</v>
      </c>
      <c r="U30">
        <f>IF(ISNUMBER(SEARCH("actuators", 'Form Responses 1'!G29)), -1, 0)</f>
        <v>0</v>
      </c>
      <c r="V30">
        <f>IF(ISNUMBER(SEARCH("Switch", 'Form Responses 1'!G29)), 1, 0)</f>
        <v>1</v>
      </c>
      <c r="W30">
        <f>IF(ISNUMBER(SEARCH("PID", 'Form Responses 1'!G29)), -1, 0)</f>
        <v>-1</v>
      </c>
      <c r="X30">
        <f t="shared" si="4"/>
        <v>3</v>
      </c>
      <c r="Y30" s="7">
        <f t="shared" si="5"/>
        <v>3</v>
      </c>
      <c r="Z30">
        <f>IF(ISNUMBER(SEARCH("16", 'Form Responses 1'!H29)), -1, 0)</f>
        <v>-1</v>
      </c>
      <c r="AA30">
        <f>IF(ISNUMBER(SEARCH("1.5", 'Form Responses 1'!H29)), 1, 0)</f>
        <v>1</v>
      </c>
      <c r="AB30">
        <f>IF(ISNUMBER(SEARCH("0.2", 'Form Responses 1'!H29)), -1, 0)</f>
        <v>-1</v>
      </c>
      <c r="AC30">
        <f>IF(ISNUMBER(SEARCH("None", 'Form Responses 1'!H29)), -1, 0)</f>
        <v>0</v>
      </c>
      <c r="AD30">
        <f t="shared" si="6"/>
        <v>1</v>
      </c>
      <c r="AE30" s="7">
        <f t="shared" si="7"/>
        <v>1</v>
      </c>
      <c r="AF30">
        <f>IF(ISNUMBER(SEARCH("Small", 'Form Responses 1'!I29)), -1, 0)</f>
        <v>-1</v>
      </c>
      <c r="AG30">
        <f>IF(ISNUMBER(SEARCH("IMU", 'Form Responses 1'!I29)), 1, 0)</f>
        <v>1</v>
      </c>
      <c r="AH30">
        <f>IF(ISNUMBER(SEARCH("CAN", 'Form Responses 1'!I29)), 1, 0)</f>
        <v>1</v>
      </c>
      <c r="AI30">
        <f>IF(ISNUMBER(SEARCH("High", 'Form Responses 1'!I29)), -1, 0)</f>
        <v>-1</v>
      </c>
      <c r="AJ30">
        <f>IF(ISNUMBER(SEARCH("Spoofing", 'Form Responses 1'!I29)), -1, 0)</f>
        <v>-1</v>
      </c>
      <c r="AK30">
        <f t="shared" si="8"/>
        <v>3</v>
      </c>
      <c r="AL30" s="7">
        <f t="shared" si="9"/>
        <v>3</v>
      </c>
      <c r="AM30">
        <f>IF('Form Responses 1'!J29, 1, 0)</f>
        <v>1</v>
      </c>
      <c r="AN30" s="7">
        <f t="shared" si="10"/>
        <v>4</v>
      </c>
      <c r="AO30">
        <f>IF(ISNUMBER(SEARCH("Increase the integral gain", 'Form Responses 1'!K29)), 1, 0)</f>
        <v>0</v>
      </c>
      <c r="AP30">
        <f>IF(ISNUMBER(SEARCH("Increase the proportional gain", 'Form Responses 1'!K29)), 1, 0)</f>
        <v>1</v>
      </c>
      <c r="AQ30">
        <f>IF(ISNUMBER(SEARCH("increasing the integral gain", 'Form Responses 1'!K29)), 1, 0)</f>
        <v>1</v>
      </c>
      <c r="AR30">
        <f>IF(ISNUMBER(SEARCH("Decrease the proportional gain (Kp) and increase the derivative gain (Kd)", 'Form Responses 1'!K29)), 1, 0)</f>
        <v>0</v>
      </c>
      <c r="AS30">
        <f>IF(ISNUMBER(SEARCH("Decrease the proportional gain", 'Form Responses 1'!K29)), 1, 0)</f>
        <v>0</v>
      </c>
      <c r="AT30" s="7">
        <f t="shared" si="11"/>
        <v>2.2999999999999998</v>
      </c>
      <c r="AU30">
        <f>IF(ISNUMBER(SEARCH("Measurement", 'Form Responses 1'!L29)), 1, 0)</f>
        <v>0</v>
      </c>
      <c r="AV30">
        <f>IF(ISNUMBER(SEARCH("All of the above",'Form Responses 1'!L29)),1,0)</f>
        <v>1</v>
      </c>
      <c r="AW30" s="7">
        <f t="shared" si="12"/>
        <v>2</v>
      </c>
      <c r="AX30">
        <f>IF(ISNUMBER(SEARCH("recorded sensor data to the controller", 'Form Responses 1'!M29)), 1, 0)</f>
        <v>0</v>
      </c>
      <c r="AY30">
        <f>IF(ISNUMBER(SEARCH("record sensor data from", 'Form Responses 1'!M29)), 1, 0)</f>
        <v>0</v>
      </c>
      <c r="AZ30">
        <f>IF(ISNUMBER(SEARCH("record actuator data from",'Form Responses 1'!M29)),1,0)</f>
        <v>0</v>
      </c>
      <c r="BA30">
        <f>IF(ISNUMBER(SEARCH("recorded actuator data to the controller", 'Form Responses 1'!M29)), 1, 0)</f>
        <v>0</v>
      </c>
      <c r="BB30" s="7">
        <f t="shared" si="13"/>
        <v>0</v>
      </c>
      <c r="BC30">
        <f>IF('Form Responses 1'!N29, 0, 1)</f>
        <v>1</v>
      </c>
      <c r="BD30" s="7">
        <f t="shared" si="14"/>
        <v>4</v>
      </c>
    </row>
    <row r="31" spans="1:56" x14ac:dyDescent="0.2">
      <c r="A31" s="4">
        <v>29</v>
      </c>
      <c r="B31">
        <f>IF(ISNUMBER(SEARCH("Line 4", 'Form Responses 1'!E30)), -1, 0)</f>
        <v>0</v>
      </c>
      <c r="C31">
        <f>IF(ISNUMBER(SEARCH("Line 5", 'Form Responses 1'!E30)), -1, 0)</f>
        <v>0</v>
      </c>
      <c r="D31">
        <f>IF(ISNUMBER(SEARCH("Line 8", 'Form Responses 1'!E30)), 1, 0)</f>
        <v>1</v>
      </c>
      <c r="E31">
        <f>IF(ISNUMBER(SEARCH("Line 13", 'Form Responses 1'!E30)), 1, 0)</f>
        <v>0</v>
      </c>
      <c r="F31">
        <f>IF(ISNUMBER(SEARCH("Line 14", 'Form Responses 1'!E30)), -1, 0)</f>
        <v>0</v>
      </c>
      <c r="G31">
        <f>IF(ISNUMBER(SEARCH("Line 15", 'Form Responses 1'!E30)), 1, 0)</f>
        <v>1</v>
      </c>
      <c r="H31">
        <f>IF(ISNUMBER(SEARCH("Line 16", 'Form Responses 1'!E30)), -1, 0)</f>
        <v>0</v>
      </c>
      <c r="I31">
        <f>IF(ISNUMBER(SEARCH("Line 17", 'Form Responses 1'!E30)), 1, 0)</f>
        <v>0</v>
      </c>
      <c r="J31">
        <f>IF(ISNUMBER(SEARCH("Line 19", 'Form Responses 1'!E30)), 1, 0)</f>
        <v>0</v>
      </c>
      <c r="K31">
        <f t="shared" si="0"/>
        <v>2</v>
      </c>
      <c r="L31" s="8">
        <f t="shared" si="1"/>
        <v>2</v>
      </c>
      <c r="M31">
        <f>IF(ISNUMBER(SEARCH("Transmit data", 'Form Responses 1'!F30)), 1, 0)</f>
        <v>1</v>
      </c>
      <c r="N31">
        <f>IF(ISNUMBER(SEARCH("Alter", 'Form Responses 1'!F30)), -1, 0)</f>
        <v>0</v>
      </c>
      <c r="O31">
        <f>IF(ISNUMBER(SEARCH("Change", 'Form Responses 1'!F30)), -1, 0)</f>
        <v>0</v>
      </c>
      <c r="P31">
        <f>IF(ISNUMBER(SEARCH("Remove", 'Form Responses 1'!F30)), -1, 0)</f>
        <v>0</v>
      </c>
      <c r="Q31">
        <f>IF(ISNUMBER(SEARCH("unintelligible", 'Form Responses 1'!F30)), -1, 0)</f>
        <v>-1</v>
      </c>
      <c r="R31">
        <f t="shared" si="2"/>
        <v>3.25</v>
      </c>
      <c r="S31" s="7">
        <f t="shared" si="3"/>
        <v>3.25</v>
      </c>
      <c r="T31">
        <f>IF(ISNUMBER(SEARCH("sensors", 'Form Responses 1'!G30)), 1, 0)</f>
        <v>1</v>
      </c>
      <c r="U31">
        <f>IF(ISNUMBER(SEARCH("actuators", 'Form Responses 1'!G30)), -1, 0)</f>
        <v>-1</v>
      </c>
      <c r="V31">
        <f>IF(ISNUMBER(SEARCH("Switch", 'Form Responses 1'!G30)), 1, 0)</f>
        <v>1</v>
      </c>
      <c r="W31">
        <f>IF(ISNUMBER(SEARCH("PID", 'Form Responses 1'!G30)), -1, 0)</f>
        <v>0</v>
      </c>
      <c r="X31">
        <f t="shared" si="4"/>
        <v>3</v>
      </c>
      <c r="Y31" s="7">
        <f t="shared" si="5"/>
        <v>3</v>
      </c>
      <c r="Z31">
        <f>IF(ISNUMBER(SEARCH("16", 'Form Responses 1'!H30)), -1, 0)</f>
        <v>-1</v>
      </c>
      <c r="AA31">
        <f>IF(ISNUMBER(SEARCH("1.5", 'Form Responses 1'!H30)), 1, 0)</f>
        <v>1</v>
      </c>
      <c r="AB31">
        <f>IF(ISNUMBER(SEARCH("0.2", 'Form Responses 1'!H30)), -1, 0)</f>
        <v>-1</v>
      </c>
      <c r="AC31">
        <f>IF(ISNUMBER(SEARCH("None", 'Form Responses 1'!H30)), -1, 0)</f>
        <v>0</v>
      </c>
      <c r="AD31">
        <f t="shared" si="6"/>
        <v>1</v>
      </c>
      <c r="AE31" s="7">
        <f t="shared" si="7"/>
        <v>1</v>
      </c>
      <c r="AF31">
        <f>IF(ISNUMBER(SEARCH("Small", 'Form Responses 1'!I30)), -1, 0)</f>
        <v>0</v>
      </c>
      <c r="AG31">
        <f>IF(ISNUMBER(SEARCH("IMU", 'Form Responses 1'!I30)), 1, 0)</f>
        <v>1</v>
      </c>
      <c r="AH31">
        <f>IF(ISNUMBER(SEARCH("CAN", 'Form Responses 1'!I30)), 1, 0)</f>
        <v>1</v>
      </c>
      <c r="AI31">
        <f>IF(ISNUMBER(SEARCH("High", 'Form Responses 1'!I30)), -1, 0)</f>
        <v>0</v>
      </c>
      <c r="AJ31">
        <f>IF(ISNUMBER(SEARCH("Spoofing", 'Form Responses 1'!I30)), -1, 0)</f>
        <v>-1</v>
      </c>
      <c r="AK31">
        <f t="shared" si="8"/>
        <v>3</v>
      </c>
      <c r="AL31" s="7">
        <f t="shared" si="9"/>
        <v>3</v>
      </c>
      <c r="AM31">
        <f>IF('Form Responses 1'!J30, 1, 0)</f>
        <v>1</v>
      </c>
      <c r="AN31" s="7">
        <f t="shared" si="10"/>
        <v>4</v>
      </c>
      <c r="AO31">
        <f>IF(ISNUMBER(SEARCH("Increase the integral gain", 'Form Responses 1'!K30)), 1, 0)</f>
        <v>0</v>
      </c>
      <c r="AP31">
        <f>IF(ISNUMBER(SEARCH("Increase the proportional gain", 'Form Responses 1'!K30)), 1, 0)</f>
        <v>1</v>
      </c>
      <c r="AQ31">
        <f>IF(ISNUMBER(SEARCH("increasing the integral gain", 'Form Responses 1'!K30)), 1, 0)</f>
        <v>1</v>
      </c>
      <c r="AR31">
        <f>IF(ISNUMBER(SEARCH("Decrease the proportional gain (Kp) and increase the derivative gain (Kd)", 'Form Responses 1'!K30)), 1, 0)</f>
        <v>0</v>
      </c>
      <c r="AS31">
        <f>IF(ISNUMBER(SEARCH("Decrease the proportional gain", 'Form Responses 1'!K30)), 1, 0)</f>
        <v>0</v>
      </c>
      <c r="AT31" s="7">
        <f t="shared" si="11"/>
        <v>2.2999999999999998</v>
      </c>
      <c r="AU31">
        <f>IF(ISNUMBER(SEARCH("Measurement", 'Form Responses 1'!L30)), 1, 0)</f>
        <v>0</v>
      </c>
      <c r="AV31">
        <f>IF(ISNUMBER(SEARCH("All of the above",'Form Responses 1'!L30)),1,0)</f>
        <v>0</v>
      </c>
      <c r="AW31" s="7">
        <f t="shared" si="12"/>
        <v>0</v>
      </c>
      <c r="AX31">
        <f>IF(ISNUMBER(SEARCH("recorded sensor data to the controller", 'Form Responses 1'!M30)), 1, 0)</f>
        <v>1</v>
      </c>
      <c r="AY31">
        <f>IF(ISNUMBER(SEARCH("record sensor data from", 'Form Responses 1'!M30)), 1, 0)</f>
        <v>0</v>
      </c>
      <c r="AZ31">
        <f>IF(ISNUMBER(SEARCH("record actuator data from",'Form Responses 1'!M30)),1,0)</f>
        <v>0</v>
      </c>
      <c r="BA31">
        <f>IF(ISNUMBER(SEARCH("recorded actuator data to the controller", 'Form Responses 1'!M30)), 1, 0)</f>
        <v>0</v>
      </c>
      <c r="BB31" s="7">
        <f t="shared" si="13"/>
        <v>4</v>
      </c>
      <c r="BC31">
        <f>IF('Form Responses 1'!N30, 0, 1)</f>
        <v>0</v>
      </c>
      <c r="BD31" s="7">
        <f t="shared" si="14"/>
        <v>0</v>
      </c>
    </row>
    <row r="32" spans="1:56" x14ac:dyDescent="0.2">
      <c r="A32" s="4">
        <v>30</v>
      </c>
      <c r="B32">
        <f>IF(ISNUMBER(SEARCH("Line 4", 'Form Responses 1'!E31)), -1, 0)</f>
        <v>0</v>
      </c>
      <c r="C32">
        <f>IF(ISNUMBER(SEARCH("Line 5", 'Form Responses 1'!E31)), -1, 0)</f>
        <v>0</v>
      </c>
      <c r="D32">
        <f>IF(ISNUMBER(SEARCH("Line 8", 'Form Responses 1'!E31)), 1, 0)</f>
        <v>0</v>
      </c>
      <c r="E32">
        <f>IF(ISNUMBER(SEARCH("Line 13", 'Form Responses 1'!E31)), 1, 0)</f>
        <v>0</v>
      </c>
      <c r="F32">
        <f>IF(ISNUMBER(SEARCH("Line 14", 'Form Responses 1'!E31)), -1, 0)</f>
        <v>0</v>
      </c>
      <c r="G32">
        <f>IF(ISNUMBER(SEARCH("Line 15", 'Form Responses 1'!E31)), 1, 0)</f>
        <v>1</v>
      </c>
      <c r="H32">
        <f>IF(ISNUMBER(SEARCH("Line 16", 'Form Responses 1'!E31)), -1, 0)</f>
        <v>0</v>
      </c>
      <c r="I32">
        <f>IF(ISNUMBER(SEARCH("Line 17", 'Form Responses 1'!E31)), 1, 0)</f>
        <v>0</v>
      </c>
      <c r="J32">
        <f>IF(ISNUMBER(SEARCH("Line 19", 'Form Responses 1'!E31)), 1, 0)</f>
        <v>0</v>
      </c>
      <c r="K32">
        <f t="shared" si="0"/>
        <v>1</v>
      </c>
      <c r="L32" s="8">
        <f t="shared" si="1"/>
        <v>1</v>
      </c>
      <c r="M32">
        <f>IF(ISNUMBER(SEARCH("Transmit data", 'Form Responses 1'!F31)), 1, 0)</f>
        <v>1</v>
      </c>
      <c r="N32">
        <f>IF(ISNUMBER(SEARCH("Alter", 'Form Responses 1'!F31)), -1, 0)</f>
        <v>-1</v>
      </c>
      <c r="O32">
        <f>IF(ISNUMBER(SEARCH("Change", 'Form Responses 1'!F31)), -1, 0)</f>
        <v>-1</v>
      </c>
      <c r="P32">
        <f>IF(ISNUMBER(SEARCH("Remove", 'Form Responses 1'!F31)), -1, 0)</f>
        <v>0</v>
      </c>
      <c r="Q32">
        <f>IF(ISNUMBER(SEARCH("unintelligible", 'Form Responses 1'!F31)), -1, 0)</f>
        <v>-1</v>
      </c>
      <c r="R32">
        <f t="shared" si="2"/>
        <v>1.75</v>
      </c>
      <c r="S32" s="7">
        <f t="shared" si="3"/>
        <v>1.75</v>
      </c>
      <c r="T32">
        <f>IF(ISNUMBER(SEARCH("sensors", 'Form Responses 1'!G31)), 1, 0)</f>
        <v>1</v>
      </c>
      <c r="U32">
        <f>IF(ISNUMBER(SEARCH("actuators", 'Form Responses 1'!G31)), -1, 0)</f>
        <v>0</v>
      </c>
      <c r="V32">
        <f>IF(ISNUMBER(SEARCH("Switch", 'Form Responses 1'!G31)), 1, 0)</f>
        <v>1</v>
      </c>
      <c r="W32">
        <f>IF(ISNUMBER(SEARCH("PID", 'Form Responses 1'!G31)), -1, 0)</f>
        <v>0</v>
      </c>
      <c r="X32">
        <f t="shared" si="4"/>
        <v>4</v>
      </c>
      <c r="Y32" s="7">
        <f t="shared" si="5"/>
        <v>4</v>
      </c>
      <c r="Z32">
        <f>IF(ISNUMBER(SEARCH("16", 'Form Responses 1'!H31)), -1, 0)</f>
        <v>-1</v>
      </c>
      <c r="AA32">
        <f>IF(ISNUMBER(SEARCH("1.5", 'Form Responses 1'!H31)), 1, 0)</f>
        <v>1</v>
      </c>
      <c r="AB32">
        <f>IF(ISNUMBER(SEARCH("0.2", 'Form Responses 1'!H31)), -1, 0)</f>
        <v>0</v>
      </c>
      <c r="AC32">
        <f>IF(ISNUMBER(SEARCH("None", 'Form Responses 1'!H31)), -1, 0)</f>
        <v>0</v>
      </c>
      <c r="AD32">
        <f t="shared" si="6"/>
        <v>3</v>
      </c>
      <c r="AE32" s="7">
        <f t="shared" si="7"/>
        <v>3</v>
      </c>
      <c r="AF32">
        <f>IF(ISNUMBER(SEARCH("Small", 'Form Responses 1'!I31)), -1, 0)</f>
        <v>-1</v>
      </c>
      <c r="AG32">
        <f>IF(ISNUMBER(SEARCH("IMU", 'Form Responses 1'!I31)), 1, 0)</f>
        <v>1</v>
      </c>
      <c r="AH32">
        <f>IF(ISNUMBER(SEARCH("CAN", 'Form Responses 1'!I31)), 1, 0)</f>
        <v>1</v>
      </c>
      <c r="AI32">
        <f>IF(ISNUMBER(SEARCH("High", 'Form Responses 1'!I31)), -1, 0)</f>
        <v>0</v>
      </c>
      <c r="AJ32">
        <f>IF(ISNUMBER(SEARCH("Spoofing", 'Form Responses 1'!I31)), -1, 0)</f>
        <v>0</v>
      </c>
      <c r="AK32">
        <f t="shared" si="8"/>
        <v>5</v>
      </c>
      <c r="AL32" s="7">
        <f t="shared" si="9"/>
        <v>4</v>
      </c>
      <c r="AM32">
        <f>IF('Form Responses 1'!J31, 1, 0)</f>
        <v>1</v>
      </c>
      <c r="AN32" s="7">
        <f t="shared" si="10"/>
        <v>4</v>
      </c>
      <c r="AO32">
        <f>IF(ISNUMBER(SEARCH("Increase the integral gain", 'Form Responses 1'!K31)), 1, 0)</f>
        <v>1</v>
      </c>
      <c r="AP32">
        <f>IF(ISNUMBER(SEARCH("Increase the proportional gain", 'Form Responses 1'!K31)), 1, 0)</f>
        <v>0</v>
      </c>
      <c r="AQ32">
        <f>IF(ISNUMBER(SEARCH("increasing the integral gain", 'Form Responses 1'!K31)), 1, 0)</f>
        <v>0</v>
      </c>
      <c r="AR32">
        <f>IF(ISNUMBER(SEARCH("Decrease the proportional gain (Kp) and increase the derivative gain (Kd)", 'Form Responses 1'!K31)), 1, 0)</f>
        <v>0</v>
      </c>
      <c r="AS32">
        <f>IF(ISNUMBER(SEARCH("Decrease the proportional gain", 'Form Responses 1'!K31)), 1, 0)</f>
        <v>0</v>
      </c>
      <c r="AT32" s="7">
        <f t="shared" si="11"/>
        <v>4</v>
      </c>
      <c r="AU32">
        <f>IF(ISNUMBER(SEARCH("Measurement", 'Form Responses 1'!L31)), 1, 0)</f>
        <v>0</v>
      </c>
      <c r="AV32">
        <f>IF(ISNUMBER(SEARCH("All of the above",'Form Responses 1'!L31)),1,0)</f>
        <v>1</v>
      </c>
      <c r="AW32" s="7">
        <f t="shared" si="12"/>
        <v>2</v>
      </c>
      <c r="AX32">
        <f>IF(ISNUMBER(SEARCH("recorded sensor data to the controller", 'Form Responses 1'!M31)), 1, 0)</f>
        <v>1</v>
      </c>
      <c r="AY32">
        <f>IF(ISNUMBER(SEARCH("record sensor data from", 'Form Responses 1'!M31)), 1, 0)</f>
        <v>0</v>
      </c>
      <c r="AZ32">
        <f>IF(ISNUMBER(SEARCH("record actuator data from",'Form Responses 1'!M31)),1,0)</f>
        <v>0</v>
      </c>
      <c r="BA32">
        <f>IF(ISNUMBER(SEARCH("recorded actuator data to the controller", 'Form Responses 1'!M31)), 1, 0)</f>
        <v>0</v>
      </c>
      <c r="BB32" s="7">
        <f t="shared" si="13"/>
        <v>4</v>
      </c>
      <c r="BC32">
        <f>IF('Form Responses 1'!N31, 0, 1)</f>
        <v>1</v>
      </c>
      <c r="BD32" s="7">
        <f t="shared" si="14"/>
        <v>4</v>
      </c>
    </row>
    <row r="33" spans="1:56" x14ac:dyDescent="0.2">
      <c r="A33" s="4">
        <v>31</v>
      </c>
      <c r="B33">
        <f>IF(ISNUMBER(SEARCH("Line 4", 'Form Responses 1'!E32)), -1, 0)</f>
        <v>-1</v>
      </c>
      <c r="C33">
        <f>IF(ISNUMBER(SEARCH("Line 5", 'Form Responses 1'!E32)), -1, 0)</f>
        <v>-1</v>
      </c>
      <c r="D33">
        <f>IF(ISNUMBER(SEARCH("Line 8", 'Form Responses 1'!E32)), 1, 0)</f>
        <v>0</v>
      </c>
      <c r="E33">
        <f>IF(ISNUMBER(SEARCH("Line 13", 'Form Responses 1'!E32)), 1, 0)</f>
        <v>0</v>
      </c>
      <c r="F33">
        <f>IF(ISNUMBER(SEARCH("Line 14", 'Form Responses 1'!E32)), -1, 0)</f>
        <v>0</v>
      </c>
      <c r="G33">
        <f>IF(ISNUMBER(SEARCH("Line 15", 'Form Responses 1'!E32)), 1, 0)</f>
        <v>0</v>
      </c>
      <c r="H33">
        <f>IF(ISNUMBER(SEARCH("Line 16", 'Form Responses 1'!E32)), -1, 0)</f>
        <v>0</v>
      </c>
      <c r="I33">
        <f>IF(ISNUMBER(SEARCH("Line 17", 'Form Responses 1'!E32)), 1, 0)</f>
        <v>0</v>
      </c>
      <c r="J33">
        <f>IF(ISNUMBER(SEARCH("Line 19", 'Form Responses 1'!E32)), 1, 0)</f>
        <v>0</v>
      </c>
      <c r="K33">
        <f t="shared" si="0"/>
        <v>-2</v>
      </c>
      <c r="L33" s="8">
        <f t="shared" si="1"/>
        <v>0</v>
      </c>
      <c r="M33">
        <f>IF(ISNUMBER(SEARCH("Transmit data", 'Form Responses 1'!F32)), 1, 0)</f>
        <v>1</v>
      </c>
      <c r="N33">
        <f>IF(ISNUMBER(SEARCH("Alter", 'Form Responses 1'!F32)), -1, 0)</f>
        <v>0</v>
      </c>
      <c r="O33">
        <f>IF(ISNUMBER(SEARCH("Change", 'Form Responses 1'!F32)), -1, 0)</f>
        <v>-1</v>
      </c>
      <c r="P33">
        <f>IF(ISNUMBER(SEARCH("Remove", 'Form Responses 1'!F32)), -1, 0)</f>
        <v>0</v>
      </c>
      <c r="Q33">
        <f>IF(ISNUMBER(SEARCH("unintelligible", 'Form Responses 1'!F32)), -1, 0)</f>
        <v>0</v>
      </c>
      <c r="R33">
        <f t="shared" si="2"/>
        <v>3.25</v>
      </c>
      <c r="S33" s="7">
        <f t="shared" si="3"/>
        <v>3.25</v>
      </c>
      <c r="T33">
        <f>IF(ISNUMBER(SEARCH("sensors", 'Form Responses 1'!G32)), 1, 0)</f>
        <v>0</v>
      </c>
      <c r="U33">
        <f>IF(ISNUMBER(SEARCH("actuators", 'Form Responses 1'!G32)), -1, 0)</f>
        <v>0</v>
      </c>
      <c r="V33">
        <f>IF(ISNUMBER(SEARCH("Switch", 'Form Responses 1'!G32)), 1, 0)</f>
        <v>1</v>
      </c>
      <c r="W33">
        <f>IF(ISNUMBER(SEARCH("PID", 'Form Responses 1'!G32)), -1, 0)</f>
        <v>-1</v>
      </c>
      <c r="X33">
        <f t="shared" si="4"/>
        <v>1</v>
      </c>
      <c r="Y33" s="7">
        <f t="shared" si="5"/>
        <v>1</v>
      </c>
      <c r="Z33">
        <f>IF(ISNUMBER(SEARCH("16", 'Form Responses 1'!H32)), -1, 0)</f>
        <v>0</v>
      </c>
      <c r="AA33">
        <f>IF(ISNUMBER(SEARCH("1.5", 'Form Responses 1'!H32)), 1, 0)</f>
        <v>0</v>
      </c>
      <c r="AB33">
        <f>IF(ISNUMBER(SEARCH("0.2", 'Form Responses 1'!H32)), -1, 0)</f>
        <v>0</v>
      </c>
      <c r="AC33">
        <f>IF(ISNUMBER(SEARCH("None", 'Form Responses 1'!H32)), -1, 0)</f>
        <v>-1</v>
      </c>
      <c r="AD33">
        <f t="shared" si="6"/>
        <v>2</v>
      </c>
      <c r="AE33" s="7">
        <f t="shared" si="7"/>
        <v>2</v>
      </c>
      <c r="AF33">
        <f>IF(ISNUMBER(SEARCH("Small", 'Form Responses 1'!I32)), -1, 0)</f>
        <v>0</v>
      </c>
      <c r="AG33">
        <f>IF(ISNUMBER(SEARCH("IMU", 'Form Responses 1'!I32)), 1, 0)</f>
        <v>0</v>
      </c>
      <c r="AH33">
        <f>IF(ISNUMBER(SEARCH("CAN", 'Form Responses 1'!I32)), 1, 0)</f>
        <v>1</v>
      </c>
      <c r="AI33">
        <f>IF(ISNUMBER(SEARCH("High", 'Form Responses 1'!I32)), -1, 0)</f>
        <v>0</v>
      </c>
      <c r="AJ33">
        <f>IF(ISNUMBER(SEARCH("Spoofing", 'Form Responses 1'!I32)), -1, 0)</f>
        <v>0</v>
      </c>
      <c r="AK33">
        <f t="shared" si="8"/>
        <v>2</v>
      </c>
      <c r="AL33" s="7">
        <f t="shared" si="9"/>
        <v>2</v>
      </c>
      <c r="AM33">
        <f>IF('Form Responses 1'!J32, 1, 0)</f>
        <v>0</v>
      </c>
      <c r="AN33" s="7">
        <f t="shared" si="10"/>
        <v>0</v>
      </c>
      <c r="AO33">
        <f>IF(ISNUMBER(SEARCH("Increase the integral gain", 'Form Responses 1'!K32)), 1, 0)</f>
        <v>0</v>
      </c>
      <c r="AP33">
        <f>IF(ISNUMBER(SEARCH("Increase the proportional gain", 'Form Responses 1'!K32)), 1, 0)</f>
        <v>0</v>
      </c>
      <c r="AQ33">
        <f>IF(ISNUMBER(SEARCH("increasing the integral gain", 'Form Responses 1'!K32)), 1, 0)</f>
        <v>0</v>
      </c>
      <c r="AR33">
        <f>IF(ISNUMBER(SEARCH("Decrease the proportional gain (Kp) and increase the derivative gain (Kd)", 'Form Responses 1'!K32)), 1, 0)</f>
        <v>1</v>
      </c>
      <c r="AS33">
        <f>IF(ISNUMBER(SEARCH("Decrease the proportional gain", 'Form Responses 1'!K32)), 1, 0)</f>
        <v>1</v>
      </c>
      <c r="AT33" s="7">
        <f t="shared" si="11"/>
        <v>2</v>
      </c>
      <c r="AU33">
        <f>IF(ISNUMBER(SEARCH("Measurement", 'Form Responses 1'!L32)), 1, 0)</f>
        <v>0</v>
      </c>
      <c r="AV33">
        <f>IF(ISNUMBER(SEARCH("All of the above",'Form Responses 1'!L32)),1,0)</f>
        <v>1</v>
      </c>
      <c r="AW33" s="7">
        <f t="shared" si="12"/>
        <v>2</v>
      </c>
      <c r="AX33">
        <f>IF(ISNUMBER(SEARCH("recorded sensor data to the controller", 'Form Responses 1'!M32)), 1, 0)</f>
        <v>0</v>
      </c>
      <c r="AY33">
        <f>IF(ISNUMBER(SEARCH("record sensor data from", 'Form Responses 1'!M32)), 1, 0)</f>
        <v>0</v>
      </c>
      <c r="AZ33">
        <f>IF(ISNUMBER(SEARCH("record actuator data from",'Form Responses 1'!M32)),1,0)</f>
        <v>0</v>
      </c>
      <c r="BA33">
        <f>IF(ISNUMBER(SEARCH("recorded actuator data to the controller", 'Form Responses 1'!M32)), 1, 0)</f>
        <v>1</v>
      </c>
      <c r="BB33" s="7">
        <f t="shared" si="13"/>
        <v>0</v>
      </c>
      <c r="BC33">
        <f>IF('Form Responses 1'!N32, 0, 1)</f>
        <v>1</v>
      </c>
      <c r="BD33" s="7">
        <f t="shared" si="14"/>
        <v>4</v>
      </c>
    </row>
    <row r="34" spans="1:56" x14ac:dyDescent="0.2">
      <c r="A34" s="4">
        <v>32</v>
      </c>
      <c r="B34">
        <f>IF(ISNUMBER(SEARCH("Line 4", 'Form Responses 1'!E33)), -1, 0)</f>
        <v>0</v>
      </c>
      <c r="C34">
        <f>IF(ISNUMBER(SEARCH("Line 5", 'Form Responses 1'!E33)), -1, 0)</f>
        <v>0</v>
      </c>
      <c r="D34">
        <f>IF(ISNUMBER(SEARCH("Line 8", 'Form Responses 1'!E33)), 1, 0)</f>
        <v>0</v>
      </c>
      <c r="E34">
        <f>IF(ISNUMBER(SEARCH("Line 13", 'Form Responses 1'!E33)), 1, 0)</f>
        <v>1</v>
      </c>
      <c r="F34">
        <f>IF(ISNUMBER(SEARCH("Line 14", 'Form Responses 1'!E33)), -1, 0)</f>
        <v>0</v>
      </c>
      <c r="G34">
        <f>IF(ISNUMBER(SEARCH("Line 15", 'Form Responses 1'!E33)), 1, 0)</f>
        <v>1</v>
      </c>
      <c r="H34">
        <f>IF(ISNUMBER(SEARCH("Line 16", 'Form Responses 1'!E33)), -1, 0)</f>
        <v>0</v>
      </c>
      <c r="I34">
        <f>IF(ISNUMBER(SEARCH("Line 17", 'Form Responses 1'!E33)), 1, 0)</f>
        <v>1</v>
      </c>
      <c r="J34">
        <f>IF(ISNUMBER(SEARCH("Line 19", 'Form Responses 1'!E33)), 1, 0)</f>
        <v>0</v>
      </c>
      <c r="K34">
        <f t="shared" si="0"/>
        <v>3</v>
      </c>
      <c r="L34" s="8">
        <f t="shared" si="1"/>
        <v>4</v>
      </c>
      <c r="M34">
        <f>IF(ISNUMBER(SEARCH("Transmit data", 'Form Responses 1'!F33)), 1, 0)</f>
        <v>1</v>
      </c>
      <c r="N34">
        <f>IF(ISNUMBER(SEARCH("Alter", 'Form Responses 1'!F33)), -1, 0)</f>
        <v>0</v>
      </c>
      <c r="O34">
        <f>IF(ISNUMBER(SEARCH("Change", 'Form Responses 1'!F33)), -1, 0)</f>
        <v>0</v>
      </c>
      <c r="P34">
        <f>IF(ISNUMBER(SEARCH("Remove", 'Form Responses 1'!F33)), -1, 0)</f>
        <v>0</v>
      </c>
      <c r="Q34">
        <f>IF(ISNUMBER(SEARCH("unintelligible", 'Form Responses 1'!F33)), -1, 0)</f>
        <v>-1</v>
      </c>
      <c r="R34">
        <f t="shared" si="2"/>
        <v>3.25</v>
      </c>
      <c r="S34" s="7">
        <f t="shared" si="3"/>
        <v>3.25</v>
      </c>
      <c r="T34">
        <f>IF(ISNUMBER(SEARCH("sensors", 'Form Responses 1'!G33)), 1, 0)</f>
        <v>1</v>
      </c>
      <c r="U34">
        <f>IF(ISNUMBER(SEARCH("actuators", 'Form Responses 1'!G33)), -1, 0)</f>
        <v>0</v>
      </c>
      <c r="V34">
        <f>IF(ISNUMBER(SEARCH("Switch", 'Form Responses 1'!G33)), 1, 0)</f>
        <v>1</v>
      </c>
      <c r="W34">
        <f>IF(ISNUMBER(SEARCH("PID", 'Form Responses 1'!G33)), -1, 0)</f>
        <v>0</v>
      </c>
      <c r="X34">
        <f t="shared" si="4"/>
        <v>4</v>
      </c>
      <c r="Y34" s="7">
        <f t="shared" si="5"/>
        <v>4</v>
      </c>
      <c r="Z34">
        <f>IF(ISNUMBER(SEARCH("16", 'Form Responses 1'!H33)), -1, 0)</f>
        <v>-1</v>
      </c>
      <c r="AA34">
        <f>IF(ISNUMBER(SEARCH("1.5", 'Form Responses 1'!H33)), 1, 0)</f>
        <v>1</v>
      </c>
      <c r="AB34">
        <f>IF(ISNUMBER(SEARCH("0.2", 'Form Responses 1'!H33)), -1, 0)</f>
        <v>0</v>
      </c>
      <c r="AC34">
        <f>IF(ISNUMBER(SEARCH("None", 'Form Responses 1'!H33)), -1, 0)</f>
        <v>0</v>
      </c>
      <c r="AD34">
        <f t="shared" si="6"/>
        <v>3</v>
      </c>
      <c r="AE34" s="7">
        <f t="shared" si="7"/>
        <v>3</v>
      </c>
      <c r="AF34">
        <f>IF(ISNUMBER(SEARCH("Small", 'Form Responses 1'!I33)), -1, 0)</f>
        <v>0</v>
      </c>
      <c r="AG34">
        <f>IF(ISNUMBER(SEARCH("IMU", 'Form Responses 1'!I33)), 1, 0)</f>
        <v>0</v>
      </c>
      <c r="AH34">
        <f>IF(ISNUMBER(SEARCH("CAN", 'Form Responses 1'!I33)), 1, 0)</f>
        <v>1</v>
      </c>
      <c r="AI34">
        <f>IF(ISNUMBER(SEARCH("High", 'Form Responses 1'!I33)), -1, 0)</f>
        <v>0</v>
      </c>
      <c r="AJ34">
        <f>IF(ISNUMBER(SEARCH("Spoofing", 'Form Responses 1'!I33)), -1, 0)</f>
        <v>0</v>
      </c>
      <c r="AK34">
        <f t="shared" si="8"/>
        <v>2</v>
      </c>
      <c r="AL34" s="7">
        <f t="shared" si="9"/>
        <v>2</v>
      </c>
      <c r="AM34">
        <f>IF('Form Responses 1'!J33, 1, 0)</f>
        <v>1</v>
      </c>
      <c r="AN34" s="7">
        <f t="shared" si="10"/>
        <v>4</v>
      </c>
      <c r="AO34">
        <f>IF(ISNUMBER(SEARCH("Increase the integral gain", 'Form Responses 1'!K33)), 1, 0)</f>
        <v>0</v>
      </c>
      <c r="AP34">
        <f>IF(ISNUMBER(SEARCH("Increase the proportional gain", 'Form Responses 1'!K33)), 1, 0)</f>
        <v>1</v>
      </c>
      <c r="AQ34">
        <f>IF(ISNUMBER(SEARCH("increasing the integral gain", 'Form Responses 1'!K33)), 1, 0)</f>
        <v>1</v>
      </c>
      <c r="AR34">
        <f>IF(ISNUMBER(SEARCH("Decrease the proportional gain (Kp) and increase the derivative gain (Kd)", 'Form Responses 1'!K33)), 1, 0)</f>
        <v>0</v>
      </c>
      <c r="AS34">
        <f>IF(ISNUMBER(SEARCH("Decrease the proportional gain", 'Form Responses 1'!K33)), 1, 0)</f>
        <v>0</v>
      </c>
      <c r="AT34" s="7">
        <f t="shared" si="11"/>
        <v>2.2999999999999998</v>
      </c>
      <c r="AU34">
        <f>IF(ISNUMBER(SEARCH("Measurement", 'Form Responses 1'!L33)), 1, 0)</f>
        <v>0</v>
      </c>
      <c r="AV34">
        <f>IF(ISNUMBER(SEARCH("All of the above",'Form Responses 1'!L33)),1,0)</f>
        <v>0</v>
      </c>
      <c r="AW34" s="7">
        <f t="shared" si="12"/>
        <v>0</v>
      </c>
      <c r="AX34">
        <f>IF(ISNUMBER(SEARCH("recorded sensor data to the controller", 'Form Responses 1'!M33)), 1, 0)</f>
        <v>0</v>
      </c>
      <c r="AY34">
        <f>IF(ISNUMBER(SEARCH("record sensor data from", 'Form Responses 1'!M33)), 1, 0)</f>
        <v>1</v>
      </c>
      <c r="AZ34">
        <f>IF(ISNUMBER(SEARCH("record actuator data from",'Form Responses 1'!M33)),1,0)</f>
        <v>0</v>
      </c>
      <c r="BA34">
        <f>IF(ISNUMBER(SEARCH("recorded actuator data to the controller", 'Form Responses 1'!M33)), 1, 0)</f>
        <v>0</v>
      </c>
      <c r="BB34" s="7">
        <f t="shared" si="13"/>
        <v>2</v>
      </c>
      <c r="BC34">
        <f>IF('Form Responses 1'!N33, 0, 1)</f>
        <v>1</v>
      </c>
      <c r="BD34" s="7">
        <f t="shared" si="14"/>
        <v>4</v>
      </c>
    </row>
    <row r="35" spans="1:56" x14ac:dyDescent="0.2">
      <c r="A35" s="4">
        <v>33</v>
      </c>
      <c r="B35">
        <f>IF(ISNUMBER(SEARCH("Line 4", 'Form Responses 1'!E34)), -1, 0)</f>
        <v>-1</v>
      </c>
      <c r="C35">
        <f>IF(ISNUMBER(SEARCH("Line 5", 'Form Responses 1'!E34)), -1, 0)</f>
        <v>-1</v>
      </c>
      <c r="D35">
        <f>IF(ISNUMBER(SEARCH("Line 8", 'Form Responses 1'!E34)), 1, 0)</f>
        <v>0</v>
      </c>
      <c r="E35">
        <f>IF(ISNUMBER(SEARCH("Line 13", 'Form Responses 1'!E34)), 1, 0)</f>
        <v>0</v>
      </c>
      <c r="F35">
        <f>IF(ISNUMBER(SEARCH("Line 14", 'Form Responses 1'!E34)), -1, 0)</f>
        <v>0</v>
      </c>
      <c r="G35">
        <f>IF(ISNUMBER(SEARCH("Line 15", 'Form Responses 1'!E34)), 1, 0)</f>
        <v>0</v>
      </c>
      <c r="H35">
        <f>IF(ISNUMBER(SEARCH("Line 16", 'Form Responses 1'!E34)), -1, 0)</f>
        <v>0</v>
      </c>
      <c r="I35">
        <f>IF(ISNUMBER(SEARCH("Line 17", 'Form Responses 1'!E34)), 1, 0)</f>
        <v>1</v>
      </c>
      <c r="J35">
        <f>IF(ISNUMBER(SEARCH("Line 19", 'Form Responses 1'!E34)), 1, 0)</f>
        <v>0</v>
      </c>
      <c r="K35">
        <f t="shared" si="0"/>
        <v>-1</v>
      </c>
      <c r="L35" s="8">
        <f t="shared" si="1"/>
        <v>0</v>
      </c>
      <c r="M35">
        <f>IF(ISNUMBER(SEARCH("Transmit data", 'Form Responses 1'!F34)), 1, 0)</f>
        <v>1</v>
      </c>
      <c r="N35">
        <f>IF(ISNUMBER(SEARCH("Alter", 'Form Responses 1'!F34)), -1, 0)</f>
        <v>0</v>
      </c>
      <c r="O35">
        <f>IF(ISNUMBER(SEARCH("Change", 'Form Responses 1'!F34)), -1, 0)</f>
        <v>0</v>
      </c>
      <c r="P35">
        <f>IF(ISNUMBER(SEARCH("Remove", 'Form Responses 1'!F34)), -1, 0)</f>
        <v>0</v>
      </c>
      <c r="Q35">
        <f>IF(ISNUMBER(SEARCH("unintelligible", 'Form Responses 1'!F34)), -1, 0)</f>
        <v>-1</v>
      </c>
      <c r="R35">
        <f t="shared" si="2"/>
        <v>3.25</v>
      </c>
      <c r="S35" s="7">
        <f t="shared" si="3"/>
        <v>3.25</v>
      </c>
      <c r="T35">
        <f>IF(ISNUMBER(SEARCH("sensors", 'Form Responses 1'!G34)), 1, 0)</f>
        <v>0</v>
      </c>
      <c r="U35">
        <f>IF(ISNUMBER(SEARCH("actuators", 'Form Responses 1'!G34)), -1, 0)</f>
        <v>0</v>
      </c>
      <c r="V35">
        <f>IF(ISNUMBER(SEARCH("Switch", 'Form Responses 1'!G34)), 1, 0)</f>
        <v>0</v>
      </c>
      <c r="W35">
        <f>IF(ISNUMBER(SEARCH("PID", 'Form Responses 1'!G34)), -1, 0)</f>
        <v>-1</v>
      </c>
      <c r="X35">
        <f t="shared" si="4"/>
        <v>-1</v>
      </c>
      <c r="Y35" s="7">
        <f t="shared" si="5"/>
        <v>0</v>
      </c>
      <c r="Z35">
        <f>IF(ISNUMBER(SEARCH("16", 'Form Responses 1'!H34)), -1, 0)</f>
        <v>-1</v>
      </c>
      <c r="AA35">
        <f>IF(ISNUMBER(SEARCH("1.5", 'Form Responses 1'!H34)), 1, 0)</f>
        <v>0</v>
      </c>
      <c r="AB35">
        <f>IF(ISNUMBER(SEARCH("0.2", 'Form Responses 1'!H34)), -1, 0)</f>
        <v>0</v>
      </c>
      <c r="AC35">
        <f>IF(ISNUMBER(SEARCH("None", 'Form Responses 1'!H34)), -1, 0)</f>
        <v>0</v>
      </c>
      <c r="AD35">
        <f t="shared" si="6"/>
        <v>-1</v>
      </c>
      <c r="AE35" s="7">
        <f t="shared" si="7"/>
        <v>0</v>
      </c>
      <c r="AF35">
        <f>IF(ISNUMBER(SEARCH("Small", 'Form Responses 1'!I34)), -1, 0)</f>
        <v>-1</v>
      </c>
      <c r="AG35">
        <f>IF(ISNUMBER(SEARCH("IMU", 'Form Responses 1'!I34)), 1, 0)</f>
        <v>1</v>
      </c>
      <c r="AH35">
        <f>IF(ISNUMBER(SEARCH("CAN", 'Form Responses 1'!I34)), 1, 0)</f>
        <v>0</v>
      </c>
      <c r="AI35">
        <f>IF(ISNUMBER(SEARCH("High", 'Form Responses 1'!I34)), -1, 0)</f>
        <v>0</v>
      </c>
      <c r="AJ35">
        <f>IF(ISNUMBER(SEARCH("Spoofing", 'Form Responses 1'!I34)), -1, 0)</f>
        <v>0</v>
      </c>
      <c r="AK35">
        <f t="shared" si="8"/>
        <v>3</v>
      </c>
      <c r="AL35" s="7">
        <f t="shared" si="9"/>
        <v>3</v>
      </c>
      <c r="AM35">
        <f>IF('Form Responses 1'!J34, 1, 0)</f>
        <v>1</v>
      </c>
      <c r="AN35" s="7">
        <f t="shared" si="10"/>
        <v>4</v>
      </c>
      <c r="AO35">
        <f>IF(ISNUMBER(SEARCH("Increase the integral gain", 'Form Responses 1'!K34)), 1, 0)</f>
        <v>0</v>
      </c>
      <c r="AP35">
        <f>IF(ISNUMBER(SEARCH("Increase the proportional gain", 'Form Responses 1'!K34)), 1, 0)</f>
        <v>1</v>
      </c>
      <c r="AQ35">
        <f>IF(ISNUMBER(SEARCH("increasing the integral gain", 'Form Responses 1'!K34)), 1, 0)</f>
        <v>1</v>
      </c>
      <c r="AR35">
        <f>IF(ISNUMBER(SEARCH("Decrease the proportional gain (Kp) and increase the derivative gain (Kd)", 'Form Responses 1'!K34)), 1, 0)</f>
        <v>0</v>
      </c>
      <c r="AS35">
        <f>IF(ISNUMBER(SEARCH("Decrease the proportional gain", 'Form Responses 1'!K34)), 1, 0)</f>
        <v>0</v>
      </c>
      <c r="AT35" s="7">
        <f t="shared" si="11"/>
        <v>2.2999999999999998</v>
      </c>
      <c r="AU35">
        <f>IF(ISNUMBER(SEARCH("Measurement", 'Form Responses 1'!L34)), 1, 0)</f>
        <v>0</v>
      </c>
      <c r="AV35">
        <f>IF(ISNUMBER(SEARCH("All of the above",'Form Responses 1'!L34)),1,0)</f>
        <v>0</v>
      </c>
      <c r="AW35" s="7">
        <f t="shared" si="12"/>
        <v>0</v>
      </c>
      <c r="AX35">
        <f>IF(ISNUMBER(SEARCH("recorded sensor data to the controller", 'Form Responses 1'!M34)), 1, 0)</f>
        <v>1</v>
      </c>
      <c r="AY35">
        <f>IF(ISNUMBER(SEARCH("record sensor data from", 'Form Responses 1'!M34)), 1, 0)</f>
        <v>0</v>
      </c>
      <c r="AZ35">
        <f>IF(ISNUMBER(SEARCH("record actuator data from",'Form Responses 1'!M34)),1,0)</f>
        <v>0</v>
      </c>
      <c r="BA35">
        <f>IF(ISNUMBER(SEARCH("recorded actuator data to the controller", 'Form Responses 1'!M34)), 1, 0)</f>
        <v>0</v>
      </c>
      <c r="BB35" s="7">
        <f t="shared" si="13"/>
        <v>4</v>
      </c>
      <c r="BC35">
        <f>IF('Form Responses 1'!N34, 0, 1)</f>
        <v>0</v>
      </c>
      <c r="BD35" s="7">
        <f t="shared" si="14"/>
        <v>0</v>
      </c>
    </row>
    <row r="36" spans="1:56" x14ac:dyDescent="0.2">
      <c r="A36" s="4">
        <v>34</v>
      </c>
      <c r="B36">
        <f>IF(ISNUMBER(SEARCH("Line 4", 'Form Responses 1'!E35)), -1, 0)</f>
        <v>-1</v>
      </c>
      <c r="C36">
        <f>IF(ISNUMBER(SEARCH("Line 5", 'Form Responses 1'!E35)), -1, 0)</f>
        <v>0</v>
      </c>
      <c r="D36">
        <f>IF(ISNUMBER(SEARCH("Line 8", 'Form Responses 1'!E35)), 1, 0)</f>
        <v>0</v>
      </c>
      <c r="E36">
        <f>IF(ISNUMBER(SEARCH("Line 13", 'Form Responses 1'!E35)), 1, 0)</f>
        <v>1</v>
      </c>
      <c r="F36">
        <f>IF(ISNUMBER(SEARCH("Line 14", 'Form Responses 1'!E35)), -1, 0)</f>
        <v>0</v>
      </c>
      <c r="G36">
        <f>IF(ISNUMBER(SEARCH("Line 15", 'Form Responses 1'!E35)), 1, 0)</f>
        <v>0</v>
      </c>
      <c r="H36">
        <f>IF(ISNUMBER(SEARCH("Line 16", 'Form Responses 1'!E35)), -1, 0)</f>
        <v>0</v>
      </c>
      <c r="I36">
        <f>IF(ISNUMBER(SEARCH("Line 17", 'Form Responses 1'!E35)), 1, 0)</f>
        <v>1</v>
      </c>
      <c r="J36">
        <f>IF(ISNUMBER(SEARCH("Line 19", 'Form Responses 1'!E35)), 1, 0)</f>
        <v>0</v>
      </c>
      <c r="K36">
        <f t="shared" si="0"/>
        <v>1</v>
      </c>
      <c r="L36" s="8">
        <f t="shared" si="1"/>
        <v>2</v>
      </c>
      <c r="M36">
        <f>IF(ISNUMBER(SEARCH("Transmit data", 'Form Responses 1'!F35)), 1, 0)</f>
        <v>0</v>
      </c>
      <c r="N36">
        <f>IF(ISNUMBER(SEARCH("Alter", 'Form Responses 1'!F35)), -1, 0)</f>
        <v>0</v>
      </c>
      <c r="O36">
        <f>IF(ISNUMBER(SEARCH("Change", 'Form Responses 1'!F35)), -1, 0)</f>
        <v>-1</v>
      </c>
      <c r="P36">
        <f>IF(ISNUMBER(SEARCH("Remove", 'Form Responses 1'!F35)), -1, 0)</f>
        <v>0</v>
      </c>
      <c r="Q36">
        <f>IF(ISNUMBER(SEARCH("unintelligible", 'Form Responses 1'!F35)), -1, 0)</f>
        <v>-1</v>
      </c>
      <c r="R36">
        <f t="shared" si="2"/>
        <v>-1.5</v>
      </c>
      <c r="S36" s="7">
        <f t="shared" si="3"/>
        <v>0</v>
      </c>
      <c r="T36">
        <f>IF(ISNUMBER(SEARCH("sensors", 'Form Responses 1'!G35)), 1, 0)</f>
        <v>1</v>
      </c>
      <c r="U36">
        <f>IF(ISNUMBER(SEARCH("actuators", 'Form Responses 1'!G35)), -1, 0)</f>
        <v>-1</v>
      </c>
      <c r="V36">
        <f>IF(ISNUMBER(SEARCH("Switch", 'Form Responses 1'!G35)), 1, 0)</f>
        <v>1</v>
      </c>
      <c r="W36">
        <f>IF(ISNUMBER(SEARCH("PID", 'Form Responses 1'!G35)), -1, 0)</f>
        <v>0</v>
      </c>
      <c r="X36">
        <f t="shared" si="4"/>
        <v>3</v>
      </c>
      <c r="Y36" s="7">
        <f t="shared" si="5"/>
        <v>3</v>
      </c>
      <c r="Z36">
        <f>IF(ISNUMBER(SEARCH("16", 'Form Responses 1'!H35)), -1, 0)</f>
        <v>-1</v>
      </c>
      <c r="AA36">
        <f>IF(ISNUMBER(SEARCH("1.5", 'Form Responses 1'!H35)), 1, 0)</f>
        <v>0</v>
      </c>
      <c r="AB36">
        <f>IF(ISNUMBER(SEARCH("0.2", 'Form Responses 1'!H35)), -1, 0)</f>
        <v>0</v>
      </c>
      <c r="AC36">
        <f>IF(ISNUMBER(SEARCH("None", 'Form Responses 1'!H35)), -1, 0)</f>
        <v>0</v>
      </c>
      <c r="AD36">
        <f t="shared" si="6"/>
        <v>-1</v>
      </c>
      <c r="AE36" s="7">
        <f t="shared" si="7"/>
        <v>0</v>
      </c>
      <c r="AF36">
        <f>IF(ISNUMBER(SEARCH("Small", 'Form Responses 1'!I35)), -1, 0)</f>
        <v>0</v>
      </c>
      <c r="AG36">
        <f>IF(ISNUMBER(SEARCH("IMU", 'Form Responses 1'!I35)), 1, 0)</f>
        <v>1</v>
      </c>
      <c r="AH36">
        <f>IF(ISNUMBER(SEARCH("CAN", 'Form Responses 1'!I35)), 1, 0)</f>
        <v>1</v>
      </c>
      <c r="AI36">
        <f>IF(ISNUMBER(SEARCH("High", 'Form Responses 1'!I35)), -1, 0)</f>
        <v>0</v>
      </c>
      <c r="AJ36">
        <f>IF(ISNUMBER(SEARCH("Spoofing", 'Form Responses 1'!I35)), -1, 0)</f>
        <v>-1</v>
      </c>
      <c r="AK36">
        <f t="shared" si="8"/>
        <v>3</v>
      </c>
      <c r="AL36" s="7">
        <f t="shared" si="9"/>
        <v>3</v>
      </c>
      <c r="AM36">
        <f>IF('Form Responses 1'!J35, 1, 0)</f>
        <v>1</v>
      </c>
      <c r="AN36" s="7">
        <f t="shared" si="10"/>
        <v>4</v>
      </c>
      <c r="AO36">
        <f>IF(ISNUMBER(SEARCH("Increase the integral gain", 'Form Responses 1'!K35)), 1, 0)</f>
        <v>0</v>
      </c>
      <c r="AP36">
        <f>IF(ISNUMBER(SEARCH("Increase the proportional gain", 'Form Responses 1'!K35)), 1, 0)</f>
        <v>1</v>
      </c>
      <c r="AQ36">
        <f>IF(ISNUMBER(SEARCH("increasing the integral gain", 'Form Responses 1'!K35)), 1, 0)</f>
        <v>1</v>
      </c>
      <c r="AR36">
        <f>IF(ISNUMBER(SEARCH("Decrease the proportional gain (Kp) and increase the derivative gain (Kd)", 'Form Responses 1'!K35)), 1, 0)</f>
        <v>0</v>
      </c>
      <c r="AS36">
        <f>IF(ISNUMBER(SEARCH("Decrease the proportional gain", 'Form Responses 1'!K35)), 1, 0)</f>
        <v>0</v>
      </c>
      <c r="AT36" s="7">
        <f t="shared" si="11"/>
        <v>2.2999999999999998</v>
      </c>
      <c r="AU36">
        <f>IF(ISNUMBER(SEARCH("Measurement", 'Form Responses 1'!L35)), 1, 0)</f>
        <v>0</v>
      </c>
      <c r="AV36">
        <f>IF(ISNUMBER(SEARCH("All of the above",'Form Responses 1'!L35)),1,0)</f>
        <v>0</v>
      </c>
      <c r="AW36" s="7">
        <f t="shared" si="12"/>
        <v>0</v>
      </c>
      <c r="AX36">
        <f>IF(ISNUMBER(SEARCH("recorded sensor data to the controller", 'Form Responses 1'!M35)), 1, 0)</f>
        <v>1</v>
      </c>
      <c r="AY36">
        <f>IF(ISNUMBER(SEARCH("record sensor data from", 'Form Responses 1'!M35)), 1, 0)</f>
        <v>0</v>
      </c>
      <c r="AZ36">
        <f>IF(ISNUMBER(SEARCH("record actuator data from",'Form Responses 1'!M35)),1,0)</f>
        <v>0</v>
      </c>
      <c r="BA36">
        <f>IF(ISNUMBER(SEARCH("recorded actuator data to the controller", 'Form Responses 1'!M35)), 1, 0)</f>
        <v>0</v>
      </c>
      <c r="BB36" s="7">
        <f t="shared" si="13"/>
        <v>4</v>
      </c>
      <c r="BC36">
        <f>IF('Form Responses 1'!N35, 0, 1)</f>
        <v>1</v>
      </c>
      <c r="BD36" s="7">
        <f t="shared" si="14"/>
        <v>4</v>
      </c>
    </row>
    <row r="37" spans="1:56" x14ac:dyDescent="0.2">
      <c r="A37" s="4">
        <v>35</v>
      </c>
      <c r="B37">
        <f>IF(ISNUMBER(SEARCH("Line 4", 'Form Responses 1'!E36)), -1, 0)</f>
        <v>0</v>
      </c>
      <c r="C37">
        <f>IF(ISNUMBER(SEARCH("Line 5", 'Form Responses 1'!E36)), -1, 0)</f>
        <v>-1</v>
      </c>
      <c r="D37">
        <f>IF(ISNUMBER(SEARCH("Line 8", 'Form Responses 1'!E36)), 1, 0)</f>
        <v>0</v>
      </c>
      <c r="E37">
        <f>IF(ISNUMBER(SEARCH("Line 13", 'Form Responses 1'!E36)), 1, 0)</f>
        <v>0</v>
      </c>
      <c r="F37">
        <f>IF(ISNUMBER(SEARCH("Line 14", 'Form Responses 1'!E36)), -1, 0)</f>
        <v>0</v>
      </c>
      <c r="G37">
        <f>IF(ISNUMBER(SEARCH("Line 15", 'Form Responses 1'!E36)), 1, 0)</f>
        <v>0</v>
      </c>
      <c r="H37">
        <f>IF(ISNUMBER(SEARCH("Line 16", 'Form Responses 1'!E36)), -1, 0)</f>
        <v>0</v>
      </c>
      <c r="I37">
        <f>IF(ISNUMBER(SEARCH("Line 17", 'Form Responses 1'!E36)), 1, 0)</f>
        <v>0</v>
      </c>
      <c r="J37">
        <f>IF(ISNUMBER(SEARCH("Line 19", 'Form Responses 1'!E36)), 1, 0)</f>
        <v>0</v>
      </c>
      <c r="K37">
        <f t="shared" si="0"/>
        <v>-1</v>
      </c>
      <c r="L37" s="8">
        <f t="shared" si="1"/>
        <v>0</v>
      </c>
      <c r="M37">
        <f>IF(ISNUMBER(SEARCH("Transmit data", 'Form Responses 1'!F36)), 1, 0)</f>
        <v>1</v>
      </c>
      <c r="N37">
        <f>IF(ISNUMBER(SEARCH("Alter", 'Form Responses 1'!F36)), -1, 0)</f>
        <v>0</v>
      </c>
      <c r="O37">
        <f>IF(ISNUMBER(SEARCH("Change", 'Form Responses 1'!F36)), -1, 0)</f>
        <v>0</v>
      </c>
      <c r="P37">
        <f>IF(ISNUMBER(SEARCH("Remove", 'Form Responses 1'!F36)), -1, 0)</f>
        <v>0</v>
      </c>
      <c r="Q37">
        <f>IF(ISNUMBER(SEARCH("unintelligible", 'Form Responses 1'!F36)), -1, 0)</f>
        <v>-1</v>
      </c>
      <c r="R37">
        <f t="shared" si="2"/>
        <v>3.25</v>
      </c>
      <c r="S37" s="7">
        <f t="shared" si="3"/>
        <v>3.25</v>
      </c>
      <c r="T37">
        <f>IF(ISNUMBER(SEARCH("sensors", 'Form Responses 1'!G36)), 1, 0)</f>
        <v>1</v>
      </c>
      <c r="U37">
        <f>IF(ISNUMBER(SEARCH("actuators", 'Form Responses 1'!G36)), -1, 0)</f>
        <v>0</v>
      </c>
      <c r="V37">
        <f>IF(ISNUMBER(SEARCH("Switch", 'Form Responses 1'!G36)), 1, 0)</f>
        <v>0</v>
      </c>
      <c r="W37">
        <f>IF(ISNUMBER(SEARCH("PID", 'Form Responses 1'!G36)), -1, 0)</f>
        <v>0</v>
      </c>
      <c r="X37">
        <f t="shared" si="4"/>
        <v>2</v>
      </c>
      <c r="Y37" s="7">
        <f t="shared" si="5"/>
        <v>2</v>
      </c>
      <c r="Z37">
        <f>IF(ISNUMBER(SEARCH("16", 'Form Responses 1'!H36)), -1, 0)</f>
        <v>-1</v>
      </c>
      <c r="AA37">
        <f>IF(ISNUMBER(SEARCH("1.5", 'Form Responses 1'!H36)), 1, 0)</f>
        <v>1</v>
      </c>
      <c r="AB37">
        <f>IF(ISNUMBER(SEARCH("0.2", 'Form Responses 1'!H36)), -1, 0)</f>
        <v>0</v>
      </c>
      <c r="AC37">
        <f>IF(ISNUMBER(SEARCH("None", 'Form Responses 1'!H36)), -1, 0)</f>
        <v>0</v>
      </c>
      <c r="AD37">
        <f t="shared" si="6"/>
        <v>3</v>
      </c>
      <c r="AE37" s="7">
        <f t="shared" si="7"/>
        <v>3</v>
      </c>
      <c r="AF37">
        <f>IF(ISNUMBER(SEARCH("Small", 'Form Responses 1'!I36)), -1, 0)</f>
        <v>0</v>
      </c>
      <c r="AG37">
        <f>IF(ISNUMBER(SEARCH("IMU", 'Form Responses 1'!I36)), 1, 0)</f>
        <v>1</v>
      </c>
      <c r="AH37">
        <f>IF(ISNUMBER(SEARCH("CAN", 'Form Responses 1'!I36)), 1, 0)</f>
        <v>1</v>
      </c>
      <c r="AI37">
        <f>IF(ISNUMBER(SEARCH("High", 'Form Responses 1'!I36)), -1, 0)</f>
        <v>0</v>
      </c>
      <c r="AJ37">
        <f>IF(ISNUMBER(SEARCH("Spoofing", 'Form Responses 1'!I36)), -1, 0)</f>
        <v>0</v>
      </c>
      <c r="AK37">
        <f t="shared" si="8"/>
        <v>4</v>
      </c>
      <c r="AL37" s="7">
        <f t="shared" si="9"/>
        <v>4</v>
      </c>
      <c r="AM37">
        <f>IF('Form Responses 1'!J36, 1, 0)</f>
        <v>1</v>
      </c>
      <c r="AN37" s="7">
        <f t="shared" si="10"/>
        <v>4</v>
      </c>
      <c r="AO37">
        <f>IF(ISNUMBER(SEARCH("Increase the integral gain", 'Form Responses 1'!K36)), 1, 0)</f>
        <v>0</v>
      </c>
      <c r="AP37">
        <f>IF(ISNUMBER(SEARCH("Increase the proportional gain", 'Form Responses 1'!K36)), 1, 0)</f>
        <v>0</v>
      </c>
      <c r="AQ37">
        <f>IF(ISNUMBER(SEARCH("increasing the integral gain", 'Form Responses 1'!K36)), 1, 0)</f>
        <v>0</v>
      </c>
      <c r="AR37">
        <f>IF(ISNUMBER(SEARCH("Decrease the proportional gain (Kp) and increase the derivative gain (Kd)", 'Form Responses 1'!K36)), 1, 0)</f>
        <v>1</v>
      </c>
      <c r="AS37">
        <f>IF(ISNUMBER(SEARCH("Decrease the proportional gain", 'Form Responses 1'!K36)), 1, 0)</f>
        <v>1</v>
      </c>
      <c r="AT37" s="7">
        <f t="shared" si="11"/>
        <v>2</v>
      </c>
      <c r="AU37">
        <f>IF(ISNUMBER(SEARCH("Measurement", 'Form Responses 1'!L36)), 1, 0)</f>
        <v>0</v>
      </c>
      <c r="AV37">
        <f>IF(ISNUMBER(SEARCH("All of the above",'Form Responses 1'!L36)),1,0)</f>
        <v>0</v>
      </c>
      <c r="AW37" s="7">
        <f t="shared" si="12"/>
        <v>0</v>
      </c>
      <c r="AX37">
        <f>IF(ISNUMBER(SEARCH("recorded sensor data to the controller", 'Form Responses 1'!M36)), 1, 0)</f>
        <v>1</v>
      </c>
      <c r="AY37">
        <f>IF(ISNUMBER(SEARCH("record sensor data from", 'Form Responses 1'!M36)), 1, 0)</f>
        <v>0</v>
      </c>
      <c r="AZ37">
        <f>IF(ISNUMBER(SEARCH("record actuator data from",'Form Responses 1'!M36)),1,0)</f>
        <v>0</v>
      </c>
      <c r="BA37">
        <f>IF(ISNUMBER(SEARCH("recorded actuator data to the controller", 'Form Responses 1'!M36)), 1, 0)</f>
        <v>0</v>
      </c>
      <c r="BB37" s="7">
        <f t="shared" si="13"/>
        <v>4</v>
      </c>
      <c r="BC37">
        <f>IF('Form Responses 1'!N36, 0, 1)</f>
        <v>1</v>
      </c>
      <c r="BD37" s="7">
        <f t="shared" si="14"/>
        <v>4</v>
      </c>
    </row>
    <row r="38" spans="1:56" x14ac:dyDescent="0.2">
      <c r="A38" s="4">
        <v>36</v>
      </c>
      <c r="B38">
        <f>IF(ISNUMBER(SEARCH("Line 4", 'Form Responses 1'!E37)), -1, 0)</f>
        <v>0</v>
      </c>
      <c r="C38">
        <f>IF(ISNUMBER(SEARCH("Line 5", 'Form Responses 1'!E37)), -1, 0)</f>
        <v>0</v>
      </c>
      <c r="D38">
        <f>IF(ISNUMBER(SEARCH("Line 8", 'Form Responses 1'!E37)), 1, 0)</f>
        <v>1</v>
      </c>
      <c r="E38">
        <f>IF(ISNUMBER(SEARCH("Line 13", 'Form Responses 1'!E37)), 1, 0)</f>
        <v>0</v>
      </c>
      <c r="F38">
        <f>IF(ISNUMBER(SEARCH("Line 14", 'Form Responses 1'!E37)), -1, 0)</f>
        <v>0</v>
      </c>
      <c r="G38">
        <f>IF(ISNUMBER(SEARCH("Line 15", 'Form Responses 1'!E37)), 1, 0)</f>
        <v>1</v>
      </c>
      <c r="H38">
        <f>IF(ISNUMBER(SEARCH("Line 16", 'Form Responses 1'!E37)), -1, 0)</f>
        <v>0</v>
      </c>
      <c r="I38">
        <f>IF(ISNUMBER(SEARCH("Line 17", 'Form Responses 1'!E37)), 1, 0)</f>
        <v>0</v>
      </c>
      <c r="J38">
        <f>IF(ISNUMBER(SEARCH("Line 19", 'Form Responses 1'!E37)), 1, 0)</f>
        <v>0</v>
      </c>
      <c r="K38">
        <f t="shared" si="0"/>
        <v>2</v>
      </c>
      <c r="L38" s="8">
        <f t="shared" si="1"/>
        <v>2</v>
      </c>
      <c r="M38">
        <f>IF(ISNUMBER(SEARCH("Transmit data", 'Form Responses 1'!F37)), 1, 0)</f>
        <v>0</v>
      </c>
      <c r="N38">
        <f>IF(ISNUMBER(SEARCH("Alter", 'Form Responses 1'!F37)), -1, 0)</f>
        <v>0</v>
      </c>
      <c r="O38">
        <f>IF(ISNUMBER(SEARCH("Change", 'Form Responses 1'!F37)), -1, 0)</f>
        <v>0</v>
      </c>
      <c r="P38">
        <f>IF(ISNUMBER(SEARCH("Remove", 'Form Responses 1'!F37)), -1, 0)</f>
        <v>-1</v>
      </c>
      <c r="Q38">
        <f>IF(ISNUMBER(SEARCH("unintelligible", 'Form Responses 1'!F37)), -1, 0)</f>
        <v>0</v>
      </c>
      <c r="R38">
        <f t="shared" si="2"/>
        <v>-0.75</v>
      </c>
      <c r="S38" s="7">
        <f t="shared" si="3"/>
        <v>0</v>
      </c>
      <c r="T38">
        <f>IF(ISNUMBER(SEARCH("sensors", 'Form Responses 1'!G37)), 1, 0)</f>
        <v>1</v>
      </c>
      <c r="U38">
        <f>IF(ISNUMBER(SEARCH("actuators", 'Form Responses 1'!G37)), -1, 0)</f>
        <v>-1</v>
      </c>
      <c r="V38">
        <f>IF(ISNUMBER(SEARCH("Switch", 'Form Responses 1'!G37)), 1, 0)</f>
        <v>1</v>
      </c>
      <c r="W38">
        <f>IF(ISNUMBER(SEARCH("PID", 'Form Responses 1'!G37)), -1, 0)</f>
        <v>0</v>
      </c>
      <c r="X38">
        <f t="shared" si="4"/>
        <v>3</v>
      </c>
      <c r="Y38" s="7">
        <f t="shared" si="5"/>
        <v>3</v>
      </c>
      <c r="Z38">
        <f>IF(ISNUMBER(SEARCH("16", 'Form Responses 1'!H37)), -1, 0)</f>
        <v>-1</v>
      </c>
      <c r="AA38">
        <f>IF(ISNUMBER(SEARCH("1.5", 'Form Responses 1'!H37)), 1, 0)</f>
        <v>1</v>
      </c>
      <c r="AB38">
        <f>IF(ISNUMBER(SEARCH("0.2", 'Form Responses 1'!H37)), -1, 0)</f>
        <v>0</v>
      </c>
      <c r="AC38">
        <f>IF(ISNUMBER(SEARCH("None", 'Form Responses 1'!H37)), -1, 0)</f>
        <v>0</v>
      </c>
      <c r="AD38">
        <f t="shared" si="6"/>
        <v>3</v>
      </c>
      <c r="AE38" s="7">
        <f t="shared" si="7"/>
        <v>3</v>
      </c>
      <c r="AF38">
        <f>IF(ISNUMBER(SEARCH("Small", 'Form Responses 1'!I37)), -1, 0)</f>
        <v>-1</v>
      </c>
      <c r="AG38">
        <f>IF(ISNUMBER(SEARCH("IMU", 'Form Responses 1'!I37)), 1, 0)</f>
        <v>1</v>
      </c>
      <c r="AH38">
        <f>IF(ISNUMBER(SEARCH("CAN", 'Form Responses 1'!I37)), 1, 0)</f>
        <v>1</v>
      </c>
      <c r="AI38">
        <f>IF(ISNUMBER(SEARCH("High", 'Form Responses 1'!I37)), -1, 0)</f>
        <v>-1</v>
      </c>
      <c r="AJ38">
        <f>IF(ISNUMBER(SEARCH("Spoofing", 'Form Responses 1'!I37)), -1, 0)</f>
        <v>-1</v>
      </c>
      <c r="AK38">
        <f t="shared" si="8"/>
        <v>3</v>
      </c>
      <c r="AL38" s="7">
        <f t="shared" si="9"/>
        <v>3</v>
      </c>
      <c r="AM38">
        <f>IF('Form Responses 1'!J37, 1, 0)</f>
        <v>1</v>
      </c>
      <c r="AN38" s="7">
        <f t="shared" si="10"/>
        <v>4</v>
      </c>
      <c r="AO38">
        <f>IF(ISNUMBER(SEARCH("Increase the integral gain", 'Form Responses 1'!K37)), 1, 0)</f>
        <v>1</v>
      </c>
      <c r="AP38">
        <f>IF(ISNUMBER(SEARCH("Increase the proportional gain", 'Form Responses 1'!K37)), 1, 0)</f>
        <v>0</v>
      </c>
      <c r="AQ38">
        <f>IF(ISNUMBER(SEARCH("increasing the integral gain", 'Form Responses 1'!K37)), 1, 0)</f>
        <v>0</v>
      </c>
      <c r="AR38">
        <f>IF(ISNUMBER(SEARCH("Decrease the proportional gain (Kp) and increase the derivative gain (Kd)", 'Form Responses 1'!K37)), 1, 0)</f>
        <v>0</v>
      </c>
      <c r="AS38">
        <f>IF(ISNUMBER(SEARCH("Decrease the proportional gain", 'Form Responses 1'!K37)), 1, 0)</f>
        <v>0</v>
      </c>
      <c r="AT38" s="7">
        <f t="shared" si="11"/>
        <v>4</v>
      </c>
      <c r="AU38">
        <f>IF(ISNUMBER(SEARCH("Measurement", 'Form Responses 1'!L37)), 1, 0)</f>
        <v>0</v>
      </c>
      <c r="AV38">
        <f>IF(ISNUMBER(SEARCH("All of the above",'Form Responses 1'!L37)),1,0)</f>
        <v>0</v>
      </c>
      <c r="AW38" s="7">
        <f t="shared" si="12"/>
        <v>0</v>
      </c>
      <c r="AX38">
        <f>IF(ISNUMBER(SEARCH("recorded sensor data to the controller", 'Form Responses 1'!M37)), 1, 0)</f>
        <v>1</v>
      </c>
      <c r="AY38">
        <f>IF(ISNUMBER(SEARCH("record sensor data from", 'Form Responses 1'!M37)), 1, 0)</f>
        <v>0</v>
      </c>
      <c r="AZ38">
        <f>IF(ISNUMBER(SEARCH("record actuator data from",'Form Responses 1'!M37)),1,0)</f>
        <v>0</v>
      </c>
      <c r="BA38">
        <f>IF(ISNUMBER(SEARCH("recorded actuator data to the controller", 'Form Responses 1'!M37)), 1, 0)</f>
        <v>0</v>
      </c>
      <c r="BB38" s="7">
        <f t="shared" si="13"/>
        <v>4</v>
      </c>
      <c r="BC38">
        <f>IF('Form Responses 1'!N37, 0, 1)</f>
        <v>1</v>
      </c>
      <c r="BD38" s="7">
        <f t="shared" si="14"/>
        <v>4</v>
      </c>
    </row>
    <row r="39" spans="1:56" x14ac:dyDescent="0.2">
      <c r="A39" s="4">
        <v>37</v>
      </c>
      <c r="B39">
        <f>IF(ISNUMBER(SEARCH("Line 4", 'Form Responses 1'!E38)), -1, 0)</f>
        <v>0</v>
      </c>
      <c r="C39">
        <f>IF(ISNUMBER(SEARCH("Line 5", 'Form Responses 1'!E38)), -1, 0)</f>
        <v>0</v>
      </c>
      <c r="D39">
        <f>IF(ISNUMBER(SEARCH("Line 8", 'Form Responses 1'!E38)), 1, 0)</f>
        <v>0</v>
      </c>
      <c r="E39">
        <f>IF(ISNUMBER(SEARCH("Line 13", 'Form Responses 1'!E38)), 1, 0)</f>
        <v>0</v>
      </c>
      <c r="F39">
        <f>IF(ISNUMBER(SEARCH("Line 14", 'Form Responses 1'!E38)), -1, 0)</f>
        <v>0</v>
      </c>
      <c r="G39">
        <f>IF(ISNUMBER(SEARCH("Line 15", 'Form Responses 1'!E38)), 1, 0)</f>
        <v>1</v>
      </c>
      <c r="H39">
        <f>IF(ISNUMBER(SEARCH("Line 16", 'Form Responses 1'!E38)), -1, 0)</f>
        <v>0</v>
      </c>
      <c r="I39">
        <f>IF(ISNUMBER(SEARCH("Line 17", 'Form Responses 1'!E38)), 1, 0)</f>
        <v>0</v>
      </c>
      <c r="J39">
        <f>IF(ISNUMBER(SEARCH("Line 19", 'Form Responses 1'!E38)), 1, 0)</f>
        <v>0</v>
      </c>
      <c r="K39">
        <f t="shared" si="0"/>
        <v>1</v>
      </c>
      <c r="L39" s="8">
        <f t="shared" si="1"/>
        <v>1</v>
      </c>
      <c r="M39">
        <f>IF(ISNUMBER(SEARCH("Transmit data", 'Form Responses 1'!F38)), 1, 0)</f>
        <v>0</v>
      </c>
      <c r="N39">
        <f>IF(ISNUMBER(SEARCH("Alter", 'Form Responses 1'!F38)), -1, 0)</f>
        <v>0</v>
      </c>
      <c r="O39">
        <f>IF(ISNUMBER(SEARCH("Change", 'Form Responses 1'!F38)), -1, 0)</f>
        <v>-1</v>
      </c>
      <c r="P39">
        <f>IF(ISNUMBER(SEARCH("Remove", 'Form Responses 1'!F38)), -1, 0)</f>
        <v>0</v>
      </c>
      <c r="Q39">
        <f>IF(ISNUMBER(SEARCH("unintelligible", 'Form Responses 1'!F38)), -1, 0)</f>
        <v>-1</v>
      </c>
      <c r="R39">
        <f t="shared" si="2"/>
        <v>-1.5</v>
      </c>
      <c r="S39" s="7">
        <f t="shared" si="3"/>
        <v>0</v>
      </c>
      <c r="T39">
        <f>IF(ISNUMBER(SEARCH("sensors", 'Form Responses 1'!G38)), 1, 0)</f>
        <v>0</v>
      </c>
      <c r="U39">
        <f>IF(ISNUMBER(SEARCH("actuators", 'Form Responses 1'!G38)), -1, 0)</f>
        <v>-1</v>
      </c>
      <c r="V39">
        <f>IF(ISNUMBER(SEARCH("Switch", 'Form Responses 1'!G38)), 1, 0)</f>
        <v>1</v>
      </c>
      <c r="W39">
        <f>IF(ISNUMBER(SEARCH("PID", 'Form Responses 1'!G38)), -1, 0)</f>
        <v>0</v>
      </c>
      <c r="X39">
        <f t="shared" si="4"/>
        <v>1</v>
      </c>
      <c r="Y39" s="7">
        <f t="shared" si="5"/>
        <v>1</v>
      </c>
      <c r="Z39">
        <f>IF(ISNUMBER(SEARCH("16", 'Form Responses 1'!H38)), -1, 0)</f>
        <v>-1</v>
      </c>
      <c r="AA39">
        <f>IF(ISNUMBER(SEARCH("1.5", 'Form Responses 1'!H38)), 1, 0)</f>
        <v>1</v>
      </c>
      <c r="AB39">
        <f>IF(ISNUMBER(SEARCH("0.2", 'Form Responses 1'!H38)), -1, 0)</f>
        <v>0</v>
      </c>
      <c r="AC39">
        <f>IF(ISNUMBER(SEARCH("None", 'Form Responses 1'!H38)), -1, 0)</f>
        <v>0</v>
      </c>
      <c r="AD39">
        <f t="shared" si="6"/>
        <v>3</v>
      </c>
      <c r="AE39" s="7">
        <f t="shared" si="7"/>
        <v>3</v>
      </c>
      <c r="AF39">
        <f>IF(ISNUMBER(SEARCH("Small", 'Form Responses 1'!I38)), -1, 0)</f>
        <v>-1</v>
      </c>
      <c r="AG39">
        <f>IF(ISNUMBER(SEARCH("IMU", 'Form Responses 1'!I38)), 1, 0)</f>
        <v>1</v>
      </c>
      <c r="AH39">
        <f>IF(ISNUMBER(SEARCH("CAN", 'Form Responses 1'!I38)), 1, 0)</f>
        <v>1</v>
      </c>
      <c r="AI39">
        <f>IF(ISNUMBER(SEARCH("High", 'Form Responses 1'!I38)), -1, 0)</f>
        <v>0</v>
      </c>
      <c r="AJ39">
        <f>IF(ISNUMBER(SEARCH("Spoofing", 'Form Responses 1'!I38)), -1, 0)</f>
        <v>0</v>
      </c>
      <c r="AK39">
        <f t="shared" si="8"/>
        <v>5</v>
      </c>
      <c r="AL39" s="7">
        <f t="shared" si="9"/>
        <v>4</v>
      </c>
      <c r="AM39">
        <f>IF('Form Responses 1'!J38, 1, 0)</f>
        <v>1</v>
      </c>
      <c r="AN39" s="7">
        <f t="shared" si="10"/>
        <v>4</v>
      </c>
      <c r="AO39">
        <f>IF(ISNUMBER(SEARCH("Increase the integral gain", 'Form Responses 1'!K38)), 1, 0)</f>
        <v>0</v>
      </c>
      <c r="AP39">
        <f>IF(ISNUMBER(SEARCH("Increase the proportional gain", 'Form Responses 1'!K38)), 1, 0)</f>
        <v>1</v>
      </c>
      <c r="AQ39">
        <f>IF(ISNUMBER(SEARCH("increasing the integral gain", 'Form Responses 1'!K38)), 1, 0)</f>
        <v>1</v>
      </c>
      <c r="AR39">
        <f>IF(ISNUMBER(SEARCH("Decrease the proportional gain (Kp) and increase the derivative gain (Kd)", 'Form Responses 1'!K38)), 1, 0)</f>
        <v>0</v>
      </c>
      <c r="AS39">
        <f>IF(ISNUMBER(SEARCH("Decrease the proportional gain", 'Form Responses 1'!K38)), 1, 0)</f>
        <v>0</v>
      </c>
      <c r="AT39" s="7">
        <f t="shared" si="11"/>
        <v>2.2999999999999998</v>
      </c>
      <c r="AU39">
        <f>IF(ISNUMBER(SEARCH("Measurement", 'Form Responses 1'!L38)), 1, 0)</f>
        <v>0</v>
      </c>
      <c r="AV39">
        <f>IF(ISNUMBER(SEARCH("All of the above",'Form Responses 1'!L38)),1,0)</f>
        <v>0</v>
      </c>
      <c r="AW39" s="7">
        <f t="shared" si="12"/>
        <v>0</v>
      </c>
      <c r="AX39">
        <f>IF(ISNUMBER(SEARCH("recorded sensor data to the controller", 'Form Responses 1'!M38)), 1, 0)</f>
        <v>1</v>
      </c>
      <c r="AY39">
        <f>IF(ISNUMBER(SEARCH("record sensor data from", 'Form Responses 1'!M38)), 1, 0)</f>
        <v>0</v>
      </c>
      <c r="AZ39">
        <f>IF(ISNUMBER(SEARCH("record actuator data from",'Form Responses 1'!M38)),1,0)</f>
        <v>0</v>
      </c>
      <c r="BA39">
        <f>IF(ISNUMBER(SEARCH("recorded actuator data to the controller", 'Form Responses 1'!M38)), 1, 0)</f>
        <v>0</v>
      </c>
      <c r="BB39" s="7">
        <f t="shared" si="13"/>
        <v>4</v>
      </c>
      <c r="BC39">
        <f>IF('Form Responses 1'!N38, 0, 1)</f>
        <v>1</v>
      </c>
      <c r="BD39" s="7">
        <f t="shared" si="14"/>
        <v>4</v>
      </c>
    </row>
    <row r="40" spans="1:56" x14ac:dyDescent="0.2">
      <c r="A40" s="4">
        <v>38</v>
      </c>
      <c r="B40">
        <f>IF(ISNUMBER(SEARCH("Line 4", 'Form Responses 1'!E39)), -1, 0)</f>
        <v>0</v>
      </c>
      <c r="C40">
        <f>IF(ISNUMBER(SEARCH("Line 5", 'Form Responses 1'!E39)), -1, 0)</f>
        <v>0</v>
      </c>
      <c r="D40">
        <f>IF(ISNUMBER(SEARCH("Line 8", 'Form Responses 1'!E39)), 1, 0)</f>
        <v>1</v>
      </c>
      <c r="E40">
        <f>IF(ISNUMBER(SEARCH("Line 13", 'Form Responses 1'!E39)), 1, 0)</f>
        <v>0</v>
      </c>
      <c r="F40">
        <f>IF(ISNUMBER(SEARCH("Line 14", 'Form Responses 1'!E39)), -1, 0)</f>
        <v>0</v>
      </c>
      <c r="G40">
        <f>IF(ISNUMBER(SEARCH("Line 15", 'Form Responses 1'!E39)), 1, 0)</f>
        <v>0</v>
      </c>
      <c r="H40">
        <f>IF(ISNUMBER(SEARCH("Line 16", 'Form Responses 1'!E39)), -1, 0)</f>
        <v>0</v>
      </c>
      <c r="I40">
        <f>IF(ISNUMBER(SEARCH("Line 17", 'Form Responses 1'!E39)), 1, 0)</f>
        <v>0</v>
      </c>
      <c r="J40">
        <f>IF(ISNUMBER(SEARCH("Line 19", 'Form Responses 1'!E39)), 1, 0)</f>
        <v>1</v>
      </c>
      <c r="K40">
        <f t="shared" si="0"/>
        <v>2</v>
      </c>
      <c r="L40" s="8">
        <f t="shared" si="1"/>
        <v>3</v>
      </c>
      <c r="M40">
        <f>IF(ISNUMBER(SEARCH("Transmit data", 'Form Responses 1'!F39)), 1, 0)</f>
        <v>1</v>
      </c>
      <c r="N40">
        <f>IF(ISNUMBER(SEARCH("Alter", 'Form Responses 1'!F39)), -1, 0)</f>
        <v>-1</v>
      </c>
      <c r="O40">
        <f>IF(ISNUMBER(SEARCH("Change", 'Form Responses 1'!F39)), -1, 0)</f>
        <v>0</v>
      </c>
      <c r="P40">
        <f>IF(ISNUMBER(SEARCH("Remove", 'Form Responses 1'!F39)), -1, 0)</f>
        <v>0</v>
      </c>
      <c r="Q40">
        <f>IF(ISNUMBER(SEARCH("unintelligible", 'Form Responses 1'!F39)), -1, 0)</f>
        <v>0</v>
      </c>
      <c r="R40">
        <f t="shared" si="2"/>
        <v>3.25</v>
      </c>
      <c r="S40" s="7">
        <f t="shared" si="3"/>
        <v>3.25</v>
      </c>
      <c r="T40">
        <f>IF(ISNUMBER(SEARCH("sensors", 'Form Responses 1'!G39)), 1, 0)</f>
        <v>1</v>
      </c>
      <c r="U40">
        <f>IF(ISNUMBER(SEARCH("actuators", 'Form Responses 1'!G39)), -1, 0)</f>
        <v>-1</v>
      </c>
      <c r="V40">
        <f>IF(ISNUMBER(SEARCH("Switch", 'Form Responses 1'!G39)), 1, 0)</f>
        <v>1</v>
      </c>
      <c r="W40">
        <f>IF(ISNUMBER(SEARCH("PID", 'Form Responses 1'!G39)), -1, 0)</f>
        <v>0</v>
      </c>
      <c r="X40">
        <f t="shared" si="4"/>
        <v>3</v>
      </c>
      <c r="Y40" s="7">
        <f t="shared" si="5"/>
        <v>3</v>
      </c>
      <c r="Z40">
        <f>IF(ISNUMBER(SEARCH("16", 'Form Responses 1'!H39)), -1, 0)</f>
        <v>-1</v>
      </c>
      <c r="AA40">
        <f>IF(ISNUMBER(SEARCH("1.5", 'Form Responses 1'!H39)), 1, 0)</f>
        <v>1</v>
      </c>
      <c r="AB40">
        <f>IF(ISNUMBER(SEARCH("0.2", 'Form Responses 1'!H39)), -1, 0)</f>
        <v>0</v>
      </c>
      <c r="AC40">
        <f>IF(ISNUMBER(SEARCH("None", 'Form Responses 1'!H39)), -1, 0)</f>
        <v>0</v>
      </c>
      <c r="AD40">
        <f t="shared" si="6"/>
        <v>3</v>
      </c>
      <c r="AE40" s="7">
        <f t="shared" si="7"/>
        <v>3</v>
      </c>
      <c r="AF40">
        <f>IF(ISNUMBER(SEARCH("Small", 'Form Responses 1'!I39)), -1, 0)</f>
        <v>-1</v>
      </c>
      <c r="AG40">
        <f>IF(ISNUMBER(SEARCH("IMU", 'Form Responses 1'!I39)), 1, 0)</f>
        <v>1</v>
      </c>
      <c r="AH40">
        <f>IF(ISNUMBER(SEARCH("CAN", 'Form Responses 1'!I39)), 1, 0)</f>
        <v>1</v>
      </c>
      <c r="AI40">
        <f>IF(ISNUMBER(SEARCH("High", 'Form Responses 1'!I39)), -1, 0)</f>
        <v>-1</v>
      </c>
      <c r="AJ40">
        <f>IF(ISNUMBER(SEARCH("Spoofing", 'Form Responses 1'!I39)), -1, 0)</f>
        <v>0</v>
      </c>
      <c r="AK40">
        <f t="shared" si="8"/>
        <v>4</v>
      </c>
      <c r="AL40" s="7">
        <f t="shared" si="9"/>
        <v>4</v>
      </c>
      <c r="AM40">
        <f>IF('Form Responses 1'!J39, 1, 0)</f>
        <v>1</v>
      </c>
      <c r="AN40" s="7">
        <f t="shared" si="10"/>
        <v>4</v>
      </c>
      <c r="AO40">
        <f>IF(ISNUMBER(SEARCH("Increase the integral gain", 'Form Responses 1'!K39)), 1, 0)</f>
        <v>1</v>
      </c>
      <c r="AP40">
        <f>IF(ISNUMBER(SEARCH("Increase the proportional gain", 'Form Responses 1'!K39)), 1, 0)</f>
        <v>0</v>
      </c>
      <c r="AQ40">
        <f>IF(ISNUMBER(SEARCH("increasing the integral gain", 'Form Responses 1'!K39)), 1, 0)</f>
        <v>0</v>
      </c>
      <c r="AR40">
        <f>IF(ISNUMBER(SEARCH("Decrease the proportional gain (Kp) and increase the derivative gain (Kd)", 'Form Responses 1'!K39)), 1, 0)</f>
        <v>0</v>
      </c>
      <c r="AS40">
        <f>IF(ISNUMBER(SEARCH("Decrease the proportional gain", 'Form Responses 1'!K39)), 1, 0)</f>
        <v>0</v>
      </c>
      <c r="AT40" s="7">
        <f t="shared" si="11"/>
        <v>4</v>
      </c>
      <c r="AU40">
        <f>IF(ISNUMBER(SEARCH("Measurement", 'Form Responses 1'!L39)), 1, 0)</f>
        <v>0</v>
      </c>
      <c r="AV40">
        <f>IF(ISNUMBER(SEARCH("All of the above",'Form Responses 1'!L39)),1,0)</f>
        <v>1</v>
      </c>
      <c r="AW40" s="7">
        <f t="shared" si="12"/>
        <v>2</v>
      </c>
      <c r="AX40">
        <f>IF(ISNUMBER(SEARCH("recorded sensor data to the controller", 'Form Responses 1'!M39)), 1, 0)</f>
        <v>1</v>
      </c>
      <c r="AY40">
        <f>IF(ISNUMBER(SEARCH("record sensor data from", 'Form Responses 1'!M39)), 1, 0)</f>
        <v>0</v>
      </c>
      <c r="AZ40">
        <f>IF(ISNUMBER(SEARCH("record actuator data from",'Form Responses 1'!M39)),1,0)</f>
        <v>0</v>
      </c>
      <c r="BA40">
        <f>IF(ISNUMBER(SEARCH("recorded actuator data to the controller", 'Form Responses 1'!M39)), 1, 0)</f>
        <v>0</v>
      </c>
      <c r="BB40" s="7">
        <f t="shared" si="13"/>
        <v>4</v>
      </c>
      <c r="BC40">
        <f>IF('Form Responses 1'!N39, 0, 1)</f>
        <v>1</v>
      </c>
      <c r="BD40" s="7">
        <f t="shared" si="14"/>
        <v>4</v>
      </c>
    </row>
    <row r="41" spans="1:56" x14ac:dyDescent="0.2">
      <c r="A41" s="4">
        <v>39</v>
      </c>
      <c r="B41">
        <f>IF(ISNUMBER(SEARCH("Line 4", 'Form Responses 1'!E40)), -1, 0)</f>
        <v>-1</v>
      </c>
      <c r="C41">
        <f>IF(ISNUMBER(SEARCH("Line 5", 'Form Responses 1'!E40)), -1, 0)</f>
        <v>0</v>
      </c>
      <c r="D41">
        <f>IF(ISNUMBER(SEARCH("Line 8", 'Form Responses 1'!E40)), 1, 0)</f>
        <v>0</v>
      </c>
      <c r="E41">
        <f>IF(ISNUMBER(SEARCH("Line 13", 'Form Responses 1'!E40)), 1, 0)</f>
        <v>0</v>
      </c>
      <c r="F41">
        <f>IF(ISNUMBER(SEARCH("Line 14", 'Form Responses 1'!E40)), -1, 0)</f>
        <v>0</v>
      </c>
      <c r="G41">
        <f>IF(ISNUMBER(SEARCH("Line 15", 'Form Responses 1'!E40)), 1, 0)</f>
        <v>1</v>
      </c>
      <c r="H41">
        <f>IF(ISNUMBER(SEARCH("Line 16", 'Form Responses 1'!E40)), -1, 0)</f>
        <v>0</v>
      </c>
      <c r="I41">
        <f>IF(ISNUMBER(SEARCH("Line 17", 'Form Responses 1'!E40)), 1, 0)</f>
        <v>1</v>
      </c>
      <c r="J41">
        <f>IF(ISNUMBER(SEARCH("Line 19", 'Form Responses 1'!E40)), 1, 0)</f>
        <v>0</v>
      </c>
      <c r="K41">
        <f t="shared" si="0"/>
        <v>1</v>
      </c>
      <c r="L41" s="8">
        <f t="shared" si="1"/>
        <v>1</v>
      </c>
      <c r="M41">
        <f>IF(ISNUMBER(SEARCH("Transmit data", 'Form Responses 1'!F40)), 1, 0)</f>
        <v>1</v>
      </c>
      <c r="N41">
        <f>IF(ISNUMBER(SEARCH("Alter", 'Form Responses 1'!F40)), -1, 0)</f>
        <v>0</v>
      </c>
      <c r="O41">
        <f>IF(ISNUMBER(SEARCH("Change", 'Form Responses 1'!F40)), -1, 0)</f>
        <v>0</v>
      </c>
      <c r="P41">
        <f>IF(ISNUMBER(SEARCH("Remove", 'Form Responses 1'!F40)), -1, 0)</f>
        <v>0</v>
      </c>
      <c r="Q41">
        <f>IF(ISNUMBER(SEARCH("unintelligible", 'Form Responses 1'!F40)), -1, 0)</f>
        <v>-1</v>
      </c>
      <c r="R41">
        <f t="shared" si="2"/>
        <v>3.25</v>
      </c>
      <c r="S41" s="7">
        <f t="shared" si="3"/>
        <v>3.25</v>
      </c>
      <c r="T41">
        <f>IF(ISNUMBER(SEARCH("sensors", 'Form Responses 1'!G40)), 1, 0)</f>
        <v>1</v>
      </c>
      <c r="U41">
        <f>IF(ISNUMBER(SEARCH("actuators", 'Form Responses 1'!G40)), -1, 0)</f>
        <v>-1</v>
      </c>
      <c r="V41">
        <f>IF(ISNUMBER(SEARCH("Switch", 'Form Responses 1'!G40)), 1, 0)</f>
        <v>1</v>
      </c>
      <c r="W41">
        <f>IF(ISNUMBER(SEARCH("PID", 'Form Responses 1'!G40)), -1, 0)</f>
        <v>-1</v>
      </c>
      <c r="X41">
        <f t="shared" si="4"/>
        <v>2</v>
      </c>
      <c r="Y41" s="7">
        <f t="shared" si="5"/>
        <v>2</v>
      </c>
      <c r="Z41">
        <f>IF(ISNUMBER(SEARCH("16", 'Form Responses 1'!H40)), -1, 0)</f>
        <v>-1</v>
      </c>
      <c r="AA41">
        <f>IF(ISNUMBER(SEARCH("1.5", 'Form Responses 1'!H40)), 1, 0)</f>
        <v>1</v>
      </c>
      <c r="AB41">
        <f>IF(ISNUMBER(SEARCH("0.2", 'Form Responses 1'!H40)), -1, 0)</f>
        <v>0</v>
      </c>
      <c r="AC41">
        <f>IF(ISNUMBER(SEARCH("None", 'Form Responses 1'!H40)), -1, 0)</f>
        <v>0</v>
      </c>
      <c r="AD41">
        <f t="shared" si="6"/>
        <v>3</v>
      </c>
      <c r="AE41" s="7">
        <f t="shared" si="7"/>
        <v>3</v>
      </c>
      <c r="AF41">
        <f>IF(ISNUMBER(SEARCH("Small", 'Form Responses 1'!I40)), -1, 0)</f>
        <v>0</v>
      </c>
      <c r="AG41">
        <f>IF(ISNUMBER(SEARCH("IMU", 'Form Responses 1'!I40)), 1, 0)</f>
        <v>1</v>
      </c>
      <c r="AH41">
        <f>IF(ISNUMBER(SEARCH("CAN", 'Form Responses 1'!I40)), 1, 0)</f>
        <v>1</v>
      </c>
      <c r="AI41">
        <f>IF(ISNUMBER(SEARCH("High", 'Form Responses 1'!I40)), -1, 0)</f>
        <v>0</v>
      </c>
      <c r="AJ41">
        <f>IF(ISNUMBER(SEARCH("Spoofing", 'Form Responses 1'!I40)), -1, 0)</f>
        <v>0</v>
      </c>
      <c r="AK41">
        <f t="shared" si="8"/>
        <v>4</v>
      </c>
      <c r="AL41" s="7">
        <f t="shared" si="9"/>
        <v>4</v>
      </c>
      <c r="AM41">
        <f>IF('Form Responses 1'!J40, 1, 0)</f>
        <v>1</v>
      </c>
      <c r="AN41" s="7">
        <f t="shared" si="10"/>
        <v>4</v>
      </c>
      <c r="AO41">
        <f>IF(ISNUMBER(SEARCH("Increase the integral gain", 'Form Responses 1'!K40)), 1, 0)</f>
        <v>1</v>
      </c>
      <c r="AP41">
        <f>IF(ISNUMBER(SEARCH("Increase the proportional gain", 'Form Responses 1'!K40)), 1, 0)</f>
        <v>0</v>
      </c>
      <c r="AQ41">
        <f>IF(ISNUMBER(SEARCH("increasing the integral gain", 'Form Responses 1'!K40)), 1, 0)</f>
        <v>0</v>
      </c>
      <c r="AR41">
        <f>IF(ISNUMBER(SEARCH("Decrease the proportional gain (Kp) and increase the derivative gain (Kd)", 'Form Responses 1'!K40)), 1, 0)</f>
        <v>0</v>
      </c>
      <c r="AS41">
        <f>IF(ISNUMBER(SEARCH("Decrease the proportional gain", 'Form Responses 1'!K40)), 1, 0)</f>
        <v>0</v>
      </c>
      <c r="AT41" s="7">
        <f t="shared" si="11"/>
        <v>4</v>
      </c>
      <c r="AU41">
        <f>IF(ISNUMBER(SEARCH("Measurement", 'Form Responses 1'!L40)), 1, 0)</f>
        <v>1</v>
      </c>
      <c r="AV41">
        <f>IF(ISNUMBER(SEARCH("All of the above",'Form Responses 1'!L40)),1,0)</f>
        <v>0</v>
      </c>
      <c r="AW41" s="7">
        <f t="shared" si="12"/>
        <v>4</v>
      </c>
      <c r="AX41">
        <f>IF(ISNUMBER(SEARCH("recorded sensor data to the controller", 'Form Responses 1'!M40)), 1, 0)</f>
        <v>1</v>
      </c>
      <c r="AY41">
        <f>IF(ISNUMBER(SEARCH("record sensor data from", 'Form Responses 1'!M40)), 1, 0)</f>
        <v>0</v>
      </c>
      <c r="AZ41">
        <f>IF(ISNUMBER(SEARCH("record actuator data from",'Form Responses 1'!M40)),1,0)</f>
        <v>0</v>
      </c>
      <c r="BA41">
        <f>IF(ISNUMBER(SEARCH("recorded actuator data to the controller", 'Form Responses 1'!M40)), 1, 0)</f>
        <v>0</v>
      </c>
      <c r="BB41" s="7">
        <f t="shared" si="13"/>
        <v>4</v>
      </c>
      <c r="BC41">
        <f>IF('Form Responses 1'!N40, 0, 1)</f>
        <v>1</v>
      </c>
      <c r="BD41" s="7">
        <f t="shared" si="14"/>
        <v>4</v>
      </c>
    </row>
    <row r="42" spans="1:56" x14ac:dyDescent="0.2">
      <c r="A42" s="4">
        <v>40</v>
      </c>
      <c r="B42">
        <f>IF(ISNUMBER(SEARCH("Line 4", 'Form Responses 1'!E41)), -1, 0)</f>
        <v>0</v>
      </c>
      <c r="C42">
        <f>IF(ISNUMBER(SEARCH("Line 5", 'Form Responses 1'!E41)), -1, 0)</f>
        <v>0</v>
      </c>
      <c r="D42">
        <f>IF(ISNUMBER(SEARCH("Line 8", 'Form Responses 1'!E41)), 1, 0)</f>
        <v>0</v>
      </c>
      <c r="E42">
        <f>IF(ISNUMBER(SEARCH("Line 13", 'Form Responses 1'!E41)), 1, 0)</f>
        <v>0</v>
      </c>
      <c r="F42">
        <f>IF(ISNUMBER(SEARCH("Line 14", 'Form Responses 1'!E41)), -1, 0)</f>
        <v>0</v>
      </c>
      <c r="G42">
        <f>IF(ISNUMBER(SEARCH("Line 15", 'Form Responses 1'!E41)), 1, 0)</f>
        <v>1</v>
      </c>
      <c r="H42">
        <f>IF(ISNUMBER(SEARCH("Line 16", 'Form Responses 1'!E41)), -1, 0)</f>
        <v>0</v>
      </c>
      <c r="I42">
        <f>IF(ISNUMBER(SEARCH("Line 17", 'Form Responses 1'!E41)), 1, 0)</f>
        <v>0</v>
      </c>
      <c r="J42">
        <f>IF(ISNUMBER(SEARCH("Line 19", 'Form Responses 1'!E41)), 1, 0)</f>
        <v>1</v>
      </c>
      <c r="K42">
        <f t="shared" si="0"/>
        <v>2</v>
      </c>
      <c r="L42" s="8">
        <f t="shared" si="1"/>
        <v>3</v>
      </c>
      <c r="M42">
        <f>IF(ISNUMBER(SEARCH("Transmit data", 'Form Responses 1'!F41)), 1, 0)</f>
        <v>1</v>
      </c>
      <c r="N42">
        <f>IF(ISNUMBER(SEARCH("Alter", 'Form Responses 1'!F41)), -1, 0)</f>
        <v>0</v>
      </c>
      <c r="O42">
        <f>IF(ISNUMBER(SEARCH("Change", 'Form Responses 1'!F41)), -1, 0)</f>
        <v>-1</v>
      </c>
      <c r="P42">
        <f>IF(ISNUMBER(SEARCH("Remove", 'Form Responses 1'!F41)), -1, 0)</f>
        <v>0</v>
      </c>
      <c r="Q42">
        <f>IF(ISNUMBER(SEARCH("unintelligible", 'Form Responses 1'!F41)), -1, 0)</f>
        <v>0</v>
      </c>
      <c r="R42">
        <f t="shared" si="2"/>
        <v>3.25</v>
      </c>
      <c r="S42" s="7">
        <f t="shared" si="3"/>
        <v>3.25</v>
      </c>
      <c r="T42">
        <f>IF(ISNUMBER(SEARCH("sensors", 'Form Responses 1'!G41)), 1, 0)</f>
        <v>1</v>
      </c>
      <c r="U42">
        <f>IF(ISNUMBER(SEARCH("actuators", 'Form Responses 1'!G41)), -1, 0)</f>
        <v>-1</v>
      </c>
      <c r="V42">
        <f>IF(ISNUMBER(SEARCH("Switch", 'Form Responses 1'!G41)), 1, 0)</f>
        <v>1</v>
      </c>
      <c r="W42">
        <f>IF(ISNUMBER(SEARCH("PID", 'Form Responses 1'!G41)), -1, 0)</f>
        <v>0</v>
      </c>
      <c r="X42">
        <f t="shared" si="4"/>
        <v>3</v>
      </c>
      <c r="Y42" s="7">
        <f t="shared" si="5"/>
        <v>3</v>
      </c>
      <c r="Z42">
        <f>IF(ISNUMBER(SEARCH("16", 'Form Responses 1'!H41)), -1, 0)</f>
        <v>-1</v>
      </c>
      <c r="AA42">
        <f>IF(ISNUMBER(SEARCH("1.5", 'Form Responses 1'!H41)), 1, 0)</f>
        <v>1</v>
      </c>
      <c r="AB42">
        <f>IF(ISNUMBER(SEARCH("0.2", 'Form Responses 1'!H41)), -1, 0)</f>
        <v>0</v>
      </c>
      <c r="AC42">
        <f>IF(ISNUMBER(SEARCH("None", 'Form Responses 1'!H41)), -1, 0)</f>
        <v>0</v>
      </c>
      <c r="AD42">
        <f t="shared" si="6"/>
        <v>3</v>
      </c>
      <c r="AE42" s="7">
        <f t="shared" si="7"/>
        <v>3</v>
      </c>
      <c r="AF42">
        <f>IF(ISNUMBER(SEARCH("Small", 'Form Responses 1'!I41)), -1, 0)</f>
        <v>0</v>
      </c>
      <c r="AG42">
        <f>IF(ISNUMBER(SEARCH("IMU", 'Form Responses 1'!I41)), 1, 0)</f>
        <v>1</v>
      </c>
      <c r="AH42">
        <f>IF(ISNUMBER(SEARCH("CAN", 'Form Responses 1'!I41)), 1, 0)</f>
        <v>1</v>
      </c>
      <c r="AI42">
        <f>IF(ISNUMBER(SEARCH("High", 'Form Responses 1'!I41)), -1, 0)</f>
        <v>-1</v>
      </c>
      <c r="AJ42">
        <f>IF(ISNUMBER(SEARCH("Spoofing", 'Form Responses 1'!I41)), -1, 0)</f>
        <v>-1</v>
      </c>
      <c r="AK42">
        <f t="shared" si="8"/>
        <v>2</v>
      </c>
      <c r="AL42" s="7">
        <f t="shared" si="9"/>
        <v>2</v>
      </c>
      <c r="AM42">
        <f>IF('Form Responses 1'!J41, 1, 0)</f>
        <v>1</v>
      </c>
      <c r="AN42" s="7">
        <f t="shared" si="10"/>
        <v>4</v>
      </c>
      <c r="AO42">
        <f>IF(ISNUMBER(SEARCH("Increase the integral gain", 'Form Responses 1'!K41)), 1, 0)</f>
        <v>1</v>
      </c>
      <c r="AP42">
        <f>IF(ISNUMBER(SEARCH("Increase the proportional gain", 'Form Responses 1'!K41)), 1, 0)</f>
        <v>0</v>
      </c>
      <c r="AQ42">
        <f>IF(ISNUMBER(SEARCH("increasing the integral gain", 'Form Responses 1'!K41)), 1, 0)</f>
        <v>0</v>
      </c>
      <c r="AR42">
        <f>IF(ISNUMBER(SEARCH("Decrease the proportional gain (Kp) and increase the derivative gain (Kd)", 'Form Responses 1'!K41)), 1, 0)</f>
        <v>0</v>
      </c>
      <c r="AS42">
        <f>IF(ISNUMBER(SEARCH("Decrease the proportional gain", 'Form Responses 1'!K41)), 1, 0)</f>
        <v>0</v>
      </c>
      <c r="AT42" s="7">
        <f t="shared" si="11"/>
        <v>4</v>
      </c>
      <c r="AU42">
        <f>IF(ISNUMBER(SEARCH("Measurement", 'Form Responses 1'!L41)), 1, 0)</f>
        <v>0</v>
      </c>
      <c r="AV42">
        <f>IF(ISNUMBER(SEARCH("All of the above",'Form Responses 1'!L41)),1,0)</f>
        <v>1</v>
      </c>
      <c r="AW42" s="7">
        <f t="shared" si="12"/>
        <v>2</v>
      </c>
      <c r="AX42">
        <f>IF(ISNUMBER(SEARCH("recorded sensor data to the controller", 'Form Responses 1'!M41)), 1, 0)</f>
        <v>1</v>
      </c>
      <c r="AY42">
        <f>IF(ISNUMBER(SEARCH("record sensor data from", 'Form Responses 1'!M41)), 1, 0)</f>
        <v>0</v>
      </c>
      <c r="AZ42">
        <f>IF(ISNUMBER(SEARCH("record actuator data from",'Form Responses 1'!M41)),1,0)</f>
        <v>0</v>
      </c>
      <c r="BA42">
        <f>IF(ISNUMBER(SEARCH("recorded actuator data to the controller", 'Form Responses 1'!M41)), 1, 0)</f>
        <v>0</v>
      </c>
      <c r="BB42" s="7">
        <f t="shared" si="13"/>
        <v>4</v>
      </c>
      <c r="BC42">
        <f>IF('Form Responses 1'!N41, 0, 1)</f>
        <v>1</v>
      </c>
      <c r="BD42" s="7">
        <f t="shared" si="14"/>
        <v>4</v>
      </c>
    </row>
    <row r="43" spans="1:56" x14ac:dyDescent="0.2">
      <c r="A43" s="4">
        <v>41</v>
      </c>
      <c r="B43">
        <f>IF(ISNUMBER(SEARCH("Line 4", 'Form Responses 1'!E42)), -1, 0)</f>
        <v>0</v>
      </c>
      <c r="C43">
        <f>IF(ISNUMBER(SEARCH("Line 5", 'Form Responses 1'!E42)), -1, 0)</f>
        <v>0</v>
      </c>
      <c r="D43">
        <f>IF(ISNUMBER(SEARCH("Line 8", 'Form Responses 1'!E42)), 1, 0)</f>
        <v>0</v>
      </c>
      <c r="E43">
        <f>IF(ISNUMBER(SEARCH("Line 13", 'Form Responses 1'!E42)), 1, 0)</f>
        <v>0</v>
      </c>
      <c r="F43">
        <f>IF(ISNUMBER(SEARCH("Line 14", 'Form Responses 1'!E42)), -1, 0)</f>
        <v>0</v>
      </c>
      <c r="G43">
        <f>IF(ISNUMBER(SEARCH("Line 15", 'Form Responses 1'!E42)), 1, 0)</f>
        <v>0</v>
      </c>
      <c r="H43">
        <f>IF(ISNUMBER(SEARCH("Line 16", 'Form Responses 1'!E42)), -1, 0)</f>
        <v>-1</v>
      </c>
      <c r="I43">
        <f>IF(ISNUMBER(SEARCH("Line 17", 'Form Responses 1'!E42)), 1, 0)</f>
        <v>1</v>
      </c>
      <c r="J43">
        <f>IF(ISNUMBER(SEARCH("Line 19", 'Form Responses 1'!E42)), 1, 0)</f>
        <v>1</v>
      </c>
      <c r="K43">
        <f t="shared" si="0"/>
        <v>1</v>
      </c>
      <c r="L43" s="8">
        <f t="shared" si="1"/>
        <v>2</v>
      </c>
      <c r="M43">
        <f>IF(ISNUMBER(SEARCH("Transmit data", 'Form Responses 1'!F42)), 1, 0)</f>
        <v>0</v>
      </c>
      <c r="N43">
        <f>IF(ISNUMBER(SEARCH("Alter", 'Form Responses 1'!F42)), -1, 0)</f>
        <v>0</v>
      </c>
      <c r="O43">
        <f>IF(ISNUMBER(SEARCH("Change", 'Form Responses 1'!F42)), -1, 0)</f>
        <v>0</v>
      </c>
      <c r="P43">
        <f>IF(ISNUMBER(SEARCH("Remove", 'Form Responses 1'!F42)), -1, 0)</f>
        <v>-1</v>
      </c>
      <c r="Q43">
        <f>IF(ISNUMBER(SEARCH("unintelligible", 'Form Responses 1'!F42)), -1, 0)</f>
        <v>-1</v>
      </c>
      <c r="R43">
        <f t="shared" si="2"/>
        <v>-1.5</v>
      </c>
      <c r="S43" s="7">
        <f t="shared" si="3"/>
        <v>0</v>
      </c>
      <c r="T43">
        <f>IF(ISNUMBER(SEARCH("sensors", 'Form Responses 1'!G42)), 1, 0)</f>
        <v>1</v>
      </c>
      <c r="U43">
        <f>IF(ISNUMBER(SEARCH("actuators", 'Form Responses 1'!G42)), -1, 0)</f>
        <v>0</v>
      </c>
      <c r="V43">
        <f>IF(ISNUMBER(SEARCH("Switch", 'Form Responses 1'!G42)), 1, 0)</f>
        <v>1</v>
      </c>
      <c r="W43">
        <f>IF(ISNUMBER(SEARCH("PID", 'Form Responses 1'!G42)), -1, 0)</f>
        <v>0</v>
      </c>
      <c r="X43">
        <f t="shared" si="4"/>
        <v>4</v>
      </c>
      <c r="Y43" s="7">
        <f t="shared" si="5"/>
        <v>4</v>
      </c>
      <c r="Z43">
        <f>IF(ISNUMBER(SEARCH("16", 'Form Responses 1'!H42)), -1, 0)</f>
        <v>0</v>
      </c>
      <c r="AA43">
        <f>IF(ISNUMBER(SEARCH("1.5", 'Form Responses 1'!H42)), 1, 0)</f>
        <v>0</v>
      </c>
      <c r="AB43">
        <f>IF(ISNUMBER(SEARCH("0.2", 'Form Responses 1'!H42)), -1, 0)</f>
        <v>-1</v>
      </c>
      <c r="AC43">
        <f>IF(ISNUMBER(SEARCH("None", 'Form Responses 1'!H42)), -1, 0)</f>
        <v>0</v>
      </c>
      <c r="AD43">
        <f t="shared" si="6"/>
        <v>-2</v>
      </c>
      <c r="AE43" s="7">
        <f t="shared" si="7"/>
        <v>0</v>
      </c>
      <c r="AF43">
        <f>IF(ISNUMBER(SEARCH("Small", 'Form Responses 1'!I42)), -1, 0)</f>
        <v>-1</v>
      </c>
      <c r="AG43">
        <f>IF(ISNUMBER(SEARCH("IMU", 'Form Responses 1'!I42)), 1, 0)</f>
        <v>0</v>
      </c>
      <c r="AH43">
        <f>IF(ISNUMBER(SEARCH("CAN", 'Form Responses 1'!I42)), 1, 0)</f>
        <v>0</v>
      </c>
      <c r="AI43">
        <f>IF(ISNUMBER(SEARCH("High", 'Form Responses 1'!I42)), -1, 0)</f>
        <v>0</v>
      </c>
      <c r="AJ43">
        <f>IF(ISNUMBER(SEARCH("Spoofing", 'Form Responses 1'!I42)), -1, 0)</f>
        <v>0</v>
      </c>
      <c r="AK43">
        <f t="shared" si="8"/>
        <v>1</v>
      </c>
      <c r="AL43" s="7">
        <f t="shared" si="9"/>
        <v>1</v>
      </c>
      <c r="AM43">
        <f>IF('Form Responses 1'!J42, 1, 0)</f>
        <v>0</v>
      </c>
      <c r="AN43" s="7">
        <f t="shared" si="10"/>
        <v>0</v>
      </c>
      <c r="AO43">
        <f>IF(ISNUMBER(SEARCH("Increase the integral gain", 'Form Responses 1'!K42)), 1, 0)</f>
        <v>0</v>
      </c>
      <c r="AP43">
        <f>IF(ISNUMBER(SEARCH("Increase the proportional gain", 'Form Responses 1'!K42)), 1, 0)</f>
        <v>0</v>
      </c>
      <c r="AQ43">
        <f>IF(ISNUMBER(SEARCH("increasing the integral gain", 'Form Responses 1'!K42)), 1, 0)</f>
        <v>0</v>
      </c>
      <c r="AR43">
        <f>IF(ISNUMBER(SEARCH("Decrease the proportional gain (Kp) and increase the derivative gain (Kd)", 'Form Responses 1'!K42)), 1, 0)</f>
        <v>0</v>
      </c>
      <c r="AS43">
        <f>IF(ISNUMBER(SEARCH("Decrease the proportional gain", 'Form Responses 1'!K42)), 1, 0)</f>
        <v>1</v>
      </c>
      <c r="AT43" s="7">
        <f t="shared" si="11"/>
        <v>1</v>
      </c>
      <c r="AU43">
        <f>IF(ISNUMBER(SEARCH("Measurement", 'Form Responses 1'!L42)), 1, 0)</f>
        <v>0</v>
      </c>
      <c r="AV43">
        <f>IF(ISNUMBER(SEARCH("All of the above",'Form Responses 1'!L42)),1,0)</f>
        <v>0</v>
      </c>
      <c r="AW43" s="7">
        <f t="shared" si="12"/>
        <v>0</v>
      </c>
      <c r="AX43">
        <f>IF(ISNUMBER(SEARCH("recorded sensor data to the controller", 'Form Responses 1'!M42)), 1, 0)</f>
        <v>0</v>
      </c>
      <c r="AY43">
        <f>IF(ISNUMBER(SEARCH("record sensor data from", 'Form Responses 1'!M42)), 1, 0)</f>
        <v>0</v>
      </c>
      <c r="AZ43">
        <f>IF(ISNUMBER(SEARCH("record actuator data from",'Form Responses 1'!M42)),1,0)</f>
        <v>1</v>
      </c>
      <c r="BA43">
        <f>IF(ISNUMBER(SEARCH("recorded actuator data to the controller", 'Form Responses 1'!M42)), 1, 0)</f>
        <v>0</v>
      </c>
      <c r="BB43" s="7">
        <f t="shared" si="13"/>
        <v>2</v>
      </c>
      <c r="BC43">
        <f>IF('Form Responses 1'!N42, 0, 1)</f>
        <v>0</v>
      </c>
      <c r="BD43" s="7">
        <f t="shared" si="14"/>
        <v>0</v>
      </c>
    </row>
    <row r="44" spans="1:56" x14ac:dyDescent="0.2">
      <c r="A44" s="4">
        <v>42</v>
      </c>
      <c r="B44">
        <f>IF(ISNUMBER(SEARCH("Line 4", 'Form Responses 1'!E43)), -1, 0)</f>
        <v>0</v>
      </c>
      <c r="C44">
        <f>IF(ISNUMBER(SEARCH("Line 5", 'Form Responses 1'!E43)), -1, 0)</f>
        <v>0</v>
      </c>
      <c r="D44">
        <f>IF(ISNUMBER(SEARCH("Line 8", 'Form Responses 1'!E43)), 1, 0)</f>
        <v>1</v>
      </c>
      <c r="E44">
        <f>IF(ISNUMBER(SEARCH("Line 13", 'Form Responses 1'!E43)), 1, 0)</f>
        <v>0</v>
      </c>
      <c r="F44">
        <f>IF(ISNUMBER(SEARCH("Line 14", 'Form Responses 1'!E43)), -1, 0)</f>
        <v>-1</v>
      </c>
      <c r="G44">
        <f>IF(ISNUMBER(SEARCH("Line 15", 'Form Responses 1'!E43)), 1, 0)</f>
        <v>0</v>
      </c>
      <c r="H44">
        <f>IF(ISNUMBER(SEARCH("Line 16", 'Form Responses 1'!E43)), -1, 0)</f>
        <v>0</v>
      </c>
      <c r="I44">
        <f>IF(ISNUMBER(SEARCH("Line 17", 'Form Responses 1'!E43)), 1, 0)</f>
        <v>0</v>
      </c>
      <c r="J44">
        <f>IF(ISNUMBER(SEARCH("Line 19", 'Form Responses 1'!E43)), 1, 0)</f>
        <v>0</v>
      </c>
      <c r="K44">
        <f t="shared" si="0"/>
        <v>0</v>
      </c>
      <c r="L44" s="8">
        <f t="shared" si="1"/>
        <v>0</v>
      </c>
      <c r="M44">
        <f>IF(ISNUMBER(SEARCH("Transmit data", 'Form Responses 1'!F43)), 1, 0)</f>
        <v>1</v>
      </c>
      <c r="N44">
        <f>IF(ISNUMBER(SEARCH("Alter", 'Form Responses 1'!F43)), -1, 0)</f>
        <v>0</v>
      </c>
      <c r="O44">
        <f>IF(ISNUMBER(SEARCH("Change", 'Form Responses 1'!F43)), -1, 0)</f>
        <v>0</v>
      </c>
      <c r="P44">
        <f>IF(ISNUMBER(SEARCH("Remove", 'Form Responses 1'!F43)), -1, 0)</f>
        <v>0</v>
      </c>
      <c r="Q44">
        <f>IF(ISNUMBER(SEARCH("unintelligible", 'Form Responses 1'!F43)), -1, 0)</f>
        <v>0</v>
      </c>
      <c r="R44">
        <f t="shared" si="2"/>
        <v>4</v>
      </c>
      <c r="S44" s="7">
        <f t="shared" si="3"/>
        <v>4</v>
      </c>
      <c r="T44">
        <f>IF(ISNUMBER(SEARCH("sensors", 'Form Responses 1'!G43)), 1, 0)</f>
        <v>0</v>
      </c>
      <c r="U44">
        <f>IF(ISNUMBER(SEARCH("actuators", 'Form Responses 1'!G43)), -1, 0)</f>
        <v>-1</v>
      </c>
      <c r="V44">
        <f>IF(ISNUMBER(SEARCH("Switch", 'Form Responses 1'!G43)), 1, 0)</f>
        <v>0</v>
      </c>
      <c r="W44">
        <f>IF(ISNUMBER(SEARCH("PID", 'Form Responses 1'!G43)), -1, 0)</f>
        <v>0</v>
      </c>
      <c r="X44">
        <f t="shared" si="4"/>
        <v>-1</v>
      </c>
      <c r="Y44" s="7">
        <f t="shared" si="5"/>
        <v>0</v>
      </c>
      <c r="Z44">
        <f>IF(ISNUMBER(SEARCH("16", 'Form Responses 1'!H43)), -1, 0)</f>
        <v>-1</v>
      </c>
      <c r="AA44">
        <f>IF(ISNUMBER(SEARCH("1.5", 'Form Responses 1'!H43)), 1, 0)</f>
        <v>0</v>
      </c>
      <c r="AB44">
        <f>IF(ISNUMBER(SEARCH("0.2", 'Form Responses 1'!H43)), -1, 0)</f>
        <v>0</v>
      </c>
      <c r="AC44">
        <f>IF(ISNUMBER(SEARCH("None", 'Form Responses 1'!H43)), -1, 0)</f>
        <v>0</v>
      </c>
      <c r="AD44">
        <f t="shared" si="6"/>
        <v>-1</v>
      </c>
      <c r="AE44" s="7">
        <f t="shared" si="7"/>
        <v>0</v>
      </c>
      <c r="AF44">
        <f>IF(ISNUMBER(SEARCH("Small", 'Form Responses 1'!I43)), -1, 0)</f>
        <v>0</v>
      </c>
      <c r="AG44">
        <f>IF(ISNUMBER(SEARCH("IMU", 'Form Responses 1'!I43)), 1, 0)</f>
        <v>0</v>
      </c>
      <c r="AH44">
        <f>IF(ISNUMBER(SEARCH("CAN", 'Form Responses 1'!I43)), 1, 0)</f>
        <v>0</v>
      </c>
      <c r="AI44">
        <f>IF(ISNUMBER(SEARCH("High", 'Form Responses 1'!I43)), -1, 0)</f>
        <v>0</v>
      </c>
      <c r="AJ44">
        <f>IF(ISNUMBER(SEARCH("Spoofing", 'Form Responses 1'!I43)), -1, 0)</f>
        <v>-1</v>
      </c>
      <c r="AK44">
        <f t="shared" si="8"/>
        <v>-1</v>
      </c>
      <c r="AL44" s="7">
        <f t="shared" si="9"/>
        <v>0</v>
      </c>
      <c r="AM44">
        <f>IF('Form Responses 1'!J43, 1, 0)</f>
        <v>1</v>
      </c>
      <c r="AN44" s="7">
        <f t="shared" si="10"/>
        <v>4</v>
      </c>
      <c r="AO44">
        <f>IF(ISNUMBER(SEARCH("Increase the integral gain", 'Form Responses 1'!K43)), 1, 0)</f>
        <v>0</v>
      </c>
      <c r="AP44">
        <f>IF(ISNUMBER(SEARCH("Increase the proportional gain", 'Form Responses 1'!K43)), 1, 0)</f>
        <v>1</v>
      </c>
      <c r="AQ44">
        <f>IF(ISNUMBER(SEARCH("increasing the integral gain", 'Form Responses 1'!K43)), 1, 0)</f>
        <v>0</v>
      </c>
      <c r="AR44">
        <f>IF(ISNUMBER(SEARCH("Decrease the proportional gain (Kp) and increase the derivative gain (Kd)", 'Form Responses 1'!K43)), 1, 0)</f>
        <v>0</v>
      </c>
      <c r="AS44">
        <f>IF(ISNUMBER(SEARCH("Decrease the proportional gain", 'Form Responses 1'!K43)), 1, 0)</f>
        <v>0</v>
      </c>
      <c r="AT44" s="7">
        <f t="shared" si="11"/>
        <v>1</v>
      </c>
      <c r="AU44">
        <f>IF(ISNUMBER(SEARCH("Measurement", 'Form Responses 1'!L43)), 1, 0)</f>
        <v>1</v>
      </c>
      <c r="AV44">
        <f>IF(ISNUMBER(SEARCH("All of the above",'Form Responses 1'!L43)),1,0)</f>
        <v>0</v>
      </c>
      <c r="AW44" s="7">
        <f t="shared" si="12"/>
        <v>4</v>
      </c>
      <c r="AX44">
        <f>IF(ISNUMBER(SEARCH("recorded sensor data to the controller", 'Form Responses 1'!M43)), 1, 0)</f>
        <v>0</v>
      </c>
      <c r="AY44">
        <f>IF(ISNUMBER(SEARCH("record sensor data from", 'Form Responses 1'!M43)), 1, 0)</f>
        <v>0</v>
      </c>
      <c r="AZ44">
        <f>IF(ISNUMBER(SEARCH("record actuator data from",'Form Responses 1'!M43)),1,0)</f>
        <v>0</v>
      </c>
      <c r="BA44">
        <f>IF(ISNUMBER(SEARCH("recorded actuator data to the controller", 'Form Responses 1'!M43)), 1, 0)</f>
        <v>1</v>
      </c>
      <c r="BB44" s="7">
        <f t="shared" si="13"/>
        <v>0</v>
      </c>
      <c r="BC44">
        <f>IF('Form Responses 1'!N43, 0, 1)</f>
        <v>0</v>
      </c>
      <c r="BD44" s="7">
        <f t="shared" si="14"/>
        <v>0</v>
      </c>
    </row>
    <row r="45" spans="1:56" x14ac:dyDescent="0.2">
      <c r="A45" s="4">
        <v>43</v>
      </c>
      <c r="B45">
        <f>IF(ISNUMBER(SEARCH("Line 4", 'Form Responses 1'!E44)), -1, 0)</f>
        <v>-1</v>
      </c>
      <c r="C45">
        <f>IF(ISNUMBER(SEARCH("Line 5", 'Form Responses 1'!E44)), -1, 0)</f>
        <v>0</v>
      </c>
      <c r="D45">
        <f>IF(ISNUMBER(SEARCH("Line 8", 'Form Responses 1'!E44)), 1, 0)</f>
        <v>1</v>
      </c>
      <c r="E45">
        <f>IF(ISNUMBER(SEARCH("Line 13", 'Form Responses 1'!E44)), 1, 0)</f>
        <v>0</v>
      </c>
      <c r="F45">
        <f>IF(ISNUMBER(SEARCH("Line 14", 'Form Responses 1'!E44)), -1, 0)</f>
        <v>0</v>
      </c>
      <c r="G45">
        <f>IF(ISNUMBER(SEARCH("Line 15", 'Form Responses 1'!E44)), 1, 0)</f>
        <v>0</v>
      </c>
      <c r="H45">
        <f>IF(ISNUMBER(SEARCH("Line 16", 'Form Responses 1'!E44)), -1, 0)</f>
        <v>0</v>
      </c>
      <c r="I45">
        <f>IF(ISNUMBER(SEARCH("Line 17", 'Form Responses 1'!E44)), 1, 0)</f>
        <v>0</v>
      </c>
      <c r="J45">
        <f>IF(ISNUMBER(SEARCH("Line 19", 'Form Responses 1'!E44)), 1, 0)</f>
        <v>1</v>
      </c>
      <c r="K45">
        <f t="shared" si="0"/>
        <v>1</v>
      </c>
      <c r="L45" s="8">
        <f t="shared" si="1"/>
        <v>2</v>
      </c>
      <c r="M45">
        <f>IF(ISNUMBER(SEARCH("Transmit data", 'Form Responses 1'!F44)), 1, 0)</f>
        <v>1</v>
      </c>
      <c r="N45">
        <f>IF(ISNUMBER(SEARCH("Alter", 'Form Responses 1'!F44)), -1, 0)</f>
        <v>0</v>
      </c>
      <c r="O45">
        <f>IF(ISNUMBER(SEARCH("Change", 'Form Responses 1'!F44)), -1, 0)</f>
        <v>0</v>
      </c>
      <c r="P45">
        <f>IF(ISNUMBER(SEARCH("Remove", 'Form Responses 1'!F44)), -1, 0)</f>
        <v>0</v>
      </c>
      <c r="Q45">
        <f>IF(ISNUMBER(SEARCH("unintelligible", 'Form Responses 1'!F44)), -1, 0)</f>
        <v>-1</v>
      </c>
      <c r="R45">
        <f t="shared" si="2"/>
        <v>3.25</v>
      </c>
      <c r="S45" s="7">
        <f t="shared" si="3"/>
        <v>3.25</v>
      </c>
      <c r="T45">
        <f>IF(ISNUMBER(SEARCH("sensors", 'Form Responses 1'!G44)), 1, 0)</f>
        <v>1</v>
      </c>
      <c r="U45">
        <f>IF(ISNUMBER(SEARCH("actuators", 'Form Responses 1'!G44)), -1, 0)</f>
        <v>0</v>
      </c>
      <c r="V45">
        <f>IF(ISNUMBER(SEARCH("Switch", 'Form Responses 1'!G44)), 1, 0)</f>
        <v>0</v>
      </c>
      <c r="W45">
        <f>IF(ISNUMBER(SEARCH("PID", 'Form Responses 1'!G44)), -1, 0)</f>
        <v>0</v>
      </c>
      <c r="X45">
        <f t="shared" si="4"/>
        <v>2</v>
      </c>
      <c r="Y45" s="7">
        <f t="shared" si="5"/>
        <v>2</v>
      </c>
      <c r="Z45">
        <f>IF(ISNUMBER(SEARCH("16", 'Form Responses 1'!H44)), -1, 0)</f>
        <v>-1</v>
      </c>
      <c r="AA45">
        <f>IF(ISNUMBER(SEARCH("1.5", 'Form Responses 1'!H44)), 1, 0)</f>
        <v>1</v>
      </c>
      <c r="AB45">
        <f>IF(ISNUMBER(SEARCH("0.2", 'Form Responses 1'!H44)), -1, 0)</f>
        <v>0</v>
      </c>
      <c r="AC45">
        <f>IF(ISNUMBER(SEARCH("None", 'Form Responses 1'!H44)), -1, 0)</f>
        <v>0</v>
      </c>
      <c r="AD45">
        <f t="shared" si="6"/>
        <v>3</v>
      </c>
      <c r="AE45" s="7">
        <f t="shared" si="7"/>
        <v>3</v>
      </c>
      <c r="AF45">
        <f>IF(ISNUMBER(SEARCH("Small", 'Form Responses 1'!I44)), -1, 0)</f>
        <v>-1</v>
      </c>
      <c r="AG45">
        <f>IF(ISNUMBER(SEARCH("IMU", 'Form Responses 1'!I44)), 1, 0)</f>
        <v>1</v>
      </c>
      <c r="AH45">
        <f>IF(ISNUMBER(SEARCH("CAN", 'Form Responses 1'!I44)), 1, 0)</f>
        <v>1</v>
      </c>
      <c r="AI45">
        <f>IF(ISNUMBER(SEARCH("High", 'Form Responses 1'!I44)), -1, 0)</f>
        <v>-1</v>
      </c>
      <c r="AJ45">
        <f>IF(ISNUMBER(SEARCH("Spoofing", 'Form Responses 1'!I44)), -1, 0)</f>
        <v>-1</v>
      </c>
      <c r="AK45">
        <f t="shared" si="8"/>
        <v>3</v>
      </c>
      <c r="AL45" s="7">
        <f t="shared" si="9"/>
        <v>3</v>
      </c>
      <c r="AM45">
        <f>IF('Form Responses 1'!J44, 1, 0)</f>
        <v>1</v>
      </c>
      <c r="AN45" s="7">
        <f t="shared" si="10"/>
        <v>4</v>
      </c>
      <c r="AO45">
        <f>IF(ISNUMBER(SEARCH("Increase the integral gain", 'Form Responses 1'!K44)), 1, 0)</f>
        <v>0</v>
      </c>
      <c r="AP45">
        <f>IF(ISNUMBER(SEARCH("Increase the proportional gain", 'Form Responses 1'!K44)), 1, 0)</f>
        <v>1</v>
      </c>
      <c r="AQ45">
        <f>IF(ISNUMBER(SEARCH("increasing the integral gain", 'Form Responses 1'!K44)), 1, 0)</f>
        <v>0</v>
      </c>
      <c r="AR45">
        <f>IF(ISNUMBER(SEARCH("Decrease the proportional gain (Kp) and increase the derivative gain (Kd)", 'Form Responses 1'!K44)), 1, 0)</f>
        <v>0</v>
      </c>
      <c r="AS45">
        <f>IF(ISNUMBER(SEARCH("Decrease the proportional gain", 'Form Responses 1'!K44)), 1, 0)</f>
        <v>0</v>
      </c>
      <c r="AT45" s="7">
        <f t="shared" si="11"/>
        <v>1</v>
      </c>
      <c r="AU45">
        <f>IF(ISNUMBER(SEARCH("Measurement", 'Form Responses 1'!L44)), 1, 0)</f>
        <v>0</v>
      </c>
      <c r="AV45">
        <f>IF(ISNUMBER(SEARCH("All of the above",'Form Responses 1'!L44)),1,0)</f>
        <v>1</v>
      </c>
      <c r="AW45" s="7">
        <f t="shared" si="12"/>
        <v>2</v>
      </c>
      <c r="AX45">
        <f>IF(ISNUMBER(SEARCH("recorded sensor data to the controller", 'Form Responses 1'!M44)), 1, 0)</f>
        <v>0</v>
      </c>
      <c r="AY45">
        <f>IF(ISNUMBER(SEARCH("record sensor data from", 'Form Responses 1'!M44)), 1, 0)</f>
        <v>1</v>
      </c>
      <c r="AZ45">
        <f>IF(ISNUMBER(SEARCH("record actuator data from",'Form Responses 1'!M44)),1,0)</f>
        <v>0</v>
      </c>
      <c r="BA45">
        <f>IF(ISNUMBER(SEARCH("recorded actuator data to the controller", 'Form Responses 1'!M44)), 1, 0)</f>
        <v>0</v>
      </c>
      <c r="BB45" s="7">
        <f t="shared" si="13"/>
        <v>2</v>
      </c>
      <c r="BC45">
        <f>IF('Form Responses 1'!N44, 0, 1)</f>
        <v>0</v>
      </c>
      <c r="BD45" s="7">
        <f t="shared" si="14"/>
        <v>0</v>
      </c>
    </row>
    <row r="46" spans="1:56" x14ac:dyDescent="0.2">
      <c r="A46" s="4">
        <v>44</v>
      </c>
      <c r="B46">
        <f>IF(ISNUMBER(SEARCH("Line 4", 'Form Responses 1'!E45)), -1, 0)</f>
        <v>-1</v>
      </c>
      <c r="C46">
        <f>IF(ISNUMBER(SEARCH("Line 5", 'Form Responses 1'!E45)), -1, 0)</f>
        <v>0</v>
      </c>
      <c r="D46">
        <f>IF(ISNUMBER(SEARCH("Line 8", 'Form Responses 1'!E45)), 1, 0)</f>
        <v>0</v>
      </c>
      <c r="E46">
        <f>IF(ISNUMBER(SEARCH("Line 13", 'Form Responses 1'!E45)), 1, 0)</f>
        <v>0</v>
      </c>
      <c r="F46">
        <f>IF(ISNUMBER(SEARCH("Line 14", 'Form Responses 1'!E45)), -1, 0)</f>
        <v>0</v>
      </c>
      <c r="G46">
        <f>IF(ISNUMBER(SEARCH("Line 15", 'Form Responses 1'!E45)), 1, 0)</f>
        <v>1</v>
      </c>
      <c r="H46">
        <f>IF(ISNUMBER(SEARCH("Line 16", 'Form Responses 1'!E45)), -1, 0)</f>
        <v>0</v>
      </c>
      <c r="I46">
        <f>IF(ISNUMBER(SEARCH("Line 17", 'Form Responses 1'!E45)), 1, 0)</f>
        <v>1</v>
      </c>
      <c r="J46">
        <f>IF(ISNUMBER(SEARCH("Line 19", 'Form Responses 1'!E45)), 1, 0)</f>
        <v>0</v>
      </c>
      <c r="K46">
        <f t="shared" si="0"/>
        <v>1</v>
      </c>
      <c r="L46" s="8">
        <f t="shared" si="1"/>
        <v>1</v>
      </c>
      <c r="M46">
        <f>IF(ISNUMBER(SEARCH("Transmit data", 'Form Responses 1'!F45)), 1, 0)</f>
        <v>1</v>
      </c>
      <c r="N46">
        <f>IF(ISNUMBER(SEARCH("Alter", 'Form Responses 1'!F45)), -1, 0)</f>
        <v>0</v>
      </c>
      <c r="O46">
        <f>IF(ISNUMBER(SEARCH("Change", 'Form Responses 1'!F45)), -1, 0)</f>
        <v>0</v>
      </c>
      <c r="P46">
        <f>IF(ISNUMBER(SEARCH("Remove", 'Form Responses 1'!F45)), -1, 0)</f>
        <v>0</v>
      </c>
      <c r="Q46">
        <f>IF(ISNUMBER(SEARCH("unintelligible", 'Form Responses 1'!F45)), -1, 0)</f>
        <v>0</v>
      </c>
      <c r="R46">
        <f t="shared" si="2"/>
        <v>4</v>
      </c>
      <c r="S46" s="7">
        <f t="shared" si="3"/>
        <v>4</v>
      </c>
      <c r="T46">
        <f>IF(ISNUMBER(SEARCH("sensors", 'Form Responses 1'!G45)), 1, 0)</f>
        <v>1</v>
      </c>
      <c r="U46">
        <f>IF(ISNUMBER(SEARCH("actuators", 'Form Responses 1'!G45)), -1, 0)</f>
        <v>0</v>
      </c>
      <c r="V46">
        <f>IF(ISNUMBER(SEARCH("Switch", 'Form Responses 1'!G45)), 1, 0)</f>
        <v>1</v>
      </c>
      <c r="W46">
        <f>IF(ISNUMBER(SEARCH("PID", 'Form Responses 1'!G45)), -1, 0)</f>
        <v>0</v>
      </c>
      <c r="X46">
        <f t="shared" si="4"/>
        <v>4</v>
      </c>
      <c r="Y46" s="7">
        <f t="shared" si="5"/>
        <v>4</v>
      </c>
      <c r="Z46">
        <f>IF(ISNUMBER(SEARCH("16", 'Form Responses 1'!H45)), -1, 0)</f>
        <v>-1</v>
      </c>
      <c r="AA46">
        <f>IF(ISNUMBER(SEARCH("1.5", 'Form Responses 1'!H45)), 1, 0)</f>
        <v>1</v>
      </c>
      <c r="AB46">
        <f>IF(ISNUMBER(SEARCH("0.2", 'Form Responses 1'!H45)), -1, 0)</f>
        <v>0</v>
      </c>
      <c r="AC46">
        <f>IF(ISNUMBER(SEARCH("None", 'Form Responses 1'!H45)), -1, 0)</f>
        <v>0</v>
      </c>
      <c r="AD46">
        <f t="shared" si="6"/>
        <v>3</v>
      </c>
      <c r="AE46" s="7">
        <f t="shared" si="7"/>
        <v>3</v>
      </c>
      <c r="AF46">
        <f>IF(ISNUMBER(SEARCH("Small", 'Form Responses 1'!I45)), -1, 0)</f>
        <v>0</v>
      </c>
      <c r="AG46">
        <f>IF(ISNUMBER(SEARCH("IMU", 'Form Responses 1'!I45)), 1, 0)</f>
        <v>1</v>
      </c>
      <c r="AH46">
        <f>IF(ISNUMBER(SEARCH("CAN", 'Form Responses 1'!I45)), 1, 0)</f>
        <v>1</v>
      </c>
      <c r="AI46">
        <f>IF(ISNUMBER(SEARCH("High", 'Form Responses 1'!I45)), -1, 0)</f>
        <v>0</v>
      </c>
      <c r="AJ46">
        <f>IF(ISNUMBER(SEARCH("Spoofing", 'Form Responses 1'!I45)), -1, 0)</f>
        <v>0</v>
      </c>
      <c r="AK46">
        <f t="shared" si="8"/>
        <v>4</v>
      </c>
      <c r="AL46" s="7">
        <f t="shared" si="9"/>
        <v>4</v>
      </c>
      <c r="AM46">
        <f>IF('Form Responses 1'!J45, 1, 0)</f>
        <v>1</v>
      </c>
      <c r="AN46" s="7">
        <f t="shared" si="10"/>
        <v>4</v>
      </c>
      <c r="AO46">
        <f>IF(ISNUMBER(SEARCH("Increase the integral gain", 'Form Responses 1'!K45)), 1, 0)</f>
        <v>1</v>
      </c>
      <c r="AP46">
        <f>IF(ISNUMBER(SEARCH("Increase the proportional gain", 'Form Responses 1'!K45)), 1, 0)</f>
        <v>0</v>
      </c>
      <c r="AQ46">
        <f>IF(ISNUMBER(SEARCH("increasing the integral gain", 'Form Responses 1'!K45)), 1, 0)</f>
        <v>0</v>
      </c>
      <c r="AR46">
        <f>IF(ISNUMBER(SEARCH("Decrease the proportional gain (Kp) and increase the derivative gain (Kd)", 'Form Responses 1'!K45)), 1, 0)</f>
        <v>0</v>
      </c>
      <c r="AS46">
        <f>IF(ISNUMBER(SEARCH("Decrease the proportional gain", 'Form Responses 1'!K45)), 1, 0)</f>
        <v>0</v>
      </c>
      <c r="AT46" s="7">
        <f t="shared" si="11"/>
        <v>4</v>
      </c>
      <c r="AU46">
        <f>IF(ISNUMBER(SEARCH("Measurement", 'Form Responses 1'!L45)), 1, 0)</f>
        <v>0</v>
      </c>
      <c r="AV46">
        <f>IF(ISNUMBER(SEARCH("All of the above",'Form Responses 1'!L45)),1,0)</f>
        <v>1</v>
      </c>
      <c r="AW46" s="7">
        <f t="shared" si="12"/>
        <v>2</v>
      </c>
      <c r="AX46">
        <f>IF(ISNUMBER(SEARCH("recorded sensor data to the controller", 'Form Responses 1'!M45)), 1, 0)</f>
        <v>1</v>
      </c>
      <c r="AY46">
        <f>IF(ISNUMBER(SEARCH("record sensor data from", 'Form Responses 1'!M45)), 1, 0)</f>
        <v>0</v>
      </c>
      <c r="AZ46">
        <f>IF(ISNUMBER(SEARCH("record actuator data from",'Form Responses 1'!M45)),1,0)</f>
        <v>0</v>
      </c>
      <c r="BA46">
        <f>IF(ISNUMBER(SEARCH("recorded actuator data to the controller", 'Form Responses 1'!M45)), 1, 0)</f>
        <v>0</v>
      </c>
      <c r="BB46" s="7">
        <f t="shared" si="13"/>
        <v>4</v>
      </c>
      <c r="BC46">
        <f>IF('Form Responses 1'!N45, 0, 1)</f>
        <v>1</v>
      </c>
      <c r="BD46" s="7">
        <f t="shared" si="14"/>
        <v>4</v>
      </c>
    </row>
    <row r="47" spans="1:56" x14ac:dyDescent="0.2">
      <c r="A47" s="4">
        <v>45</v>
      </c>
      <c r="B47">
        <f>IF(ISNUMBER(SEARCH("Line 4", 'Form Responses 1'!E46)), -1, 0)</f>
        <v>0</v>
      </c>
      <c r="C47">
        <f>IF(ISNUMBER(SEARCH("Line 5", 'Form Responses 1'!E46)), -1, 0)</f>
        <v>0</v>
      </c>
      <c r="D47">
        <f>IF(ISNUMBER(SEARCH("Line 8", 'Form Responses 1'!E46)), 1, 0)</f>
        <v>0</v>
      </c>
      <c r="E47">
        <f>IF(ISNUMBER(SEARCH("Line 13", 'Form Responses 1'!E46)), 1, 0)</f>
        <v>1</v>
      </c>
      <c r="F47">
        <f>IF(ISNUMBER(SEARCH("Line 14", 'Form Responses 1'!E46)), -1, 0)</f>
        <v>-1</v>
      </c>
      <c r="G47">
        <f>IF(ISNUMBER(SEARCH("Line 15", 'Form Responses 1'!E46)), 1, 0)</f>
        <v>1</v>
      </c>
      <c r="H47">
        <f>IF(ISNUMBER(SEARCH("Line 16", 'Form Responses 1'!E46)), -1, 0)</f>
        <v>0</v>
      </c>
      <c r="I47">
        <f>IF(ISNUMBER(SEARCH("Line 17", 'Form Responses 1'!E46)), 1, 0)</f>
        <v>0</v>
      </c>
      <c r="J47">
        <f>IF(ISNUMBER(SEARCH("Line 19", 'Form Responses 1'!E46)), 1, 0)</f>
        <v>0</v>
      </c>
      <c r="K47">
        <f t="shared" si="0"/>
        <v>1</v>
      </c>
      <c r="L47" s="8">
        <f t="shared" si="1"/>
        <v>2</v>
      </c>
      <c r="M47">
        <f>IF(ISNUMBER(SEARCH("Transmit data", 'Form Responses 1'!F46)), 1, 0)</f>
        <v>1</v>
      </c>
      <c r="N47">
        <f>IF(ISNUMBER(SEARCH("Alter", 'Form Responses 1'!F46)), -1, 0)</f>
        <v>0</v>
      </c>
      <c r="O47">
        <f>IF(ISNUMBER(SEARCH("Change", 'Form Responses 1'!F46)), -1, 0)</f>
        <v>0</v>
      </c>
      <c r="P47">
        <f>IF(ISNUMBER(SEARCH("Remove", 'Form Responses 1'!F46)), -1, 0)</f>
        <v>0</v>
      </c>
      <c r="Q47">
        <f>IF(ISNUMBER(SEARCH("unintelligible", 'Form Responses 1'!F46)), -1, 0)</f>
        <v>-1</v>
      </c>
      <c r="R47">
        <f t="shared" si="2"/>
        <v>3.25</v>
      </c>
      <c r="S47" s="7">
        <f t="shared" si="3"/>
        <v>3.25</v>
      </c>
      <c r="T47">
        <f>IF(ISNUMBER(SEARCH("sensors", 'Form Responses 1'!G46)), 1, 0)</f>
        <v>1</v>
      </c>
      <c r="U47">
        <f>IF(ISNUMBER(SEARCH("actuators", 'Form Responses 1'!G46)), -1, 0)</f>
        <v>0</v>
      </c>
      <c r="V47">
        <f>IF(ISNUMBER(SEARCH("Switch", 'Form Responses 1'!G46)), 1, 0)</f>
        <v>1</v>
      </c>
      <c r="W47">
        <f>IF(ISNUMBER(SEARCH("PID", 'Form Responses 1'!G46)), -1, 0)</f>
        <v>-1</v>
      </c>
      <c r="X47">
        <f t="shared" si="4"/>
        <v>3</v>
      </c>
      <c r="Y47" s="7">
        <f t="shared" si="5"/>
        <v>3</v>
      </c>
      <c r="Z47">
        <f>IF(ISNUMBER(SEARCH("16", 'Form Responses 1'!H46)), -1, 0)</f>
        <v>-1</v>
      </c>
      <c r="AA47">
        <f>IF(ISNUMBER(SEARCH("1.5", 'Form Responses 1'!H46)), 1, 0)</f>
        <v>1</v>
      </c>
      <c r="AB47">
        <f>IF(ISNUMBER(SEARCH("0.2", 'Form Responses 1'!H46)), -1, 0)</f>
        <v>0</v>
      </c>
      <c r="AC47">
        <f>IF(ISNUMBER(SEARCH("None", 'Form Responses 1'!H46)), -1, 0)</f>
        <v>0</v>
      </c>
      <c r="AD47">
        <f t="shared" si="6"/>
        <v>3</v>
      </c>
      <c r="AE47" s="7">
        <f t="shared" si="7"/>
        <v>3</v>
      </c>
      <c r="AF47">
        <f>IF(ISNUMBER(SEARCH("Small", 'Form Responses 1'!I46)), -1, 0)</f>
        <v>-1</v>
      </c>
      <c r="AG47">
        <f>IF(ISNUMBER(SEARCH("IMU", 'Form Responses 1'!I46)), 1, 0)</f>
        <v>0</v>
      </c>
      <c r="AH47">
        <f>IF(ISNUMBER(SEARCH("CAN", 'Form Responses 1'!I46)), 1, 0)</f>
        <v>1</v>
      </c>
      <c r="AI47">
        <f>IF(ISNUMBER(SEARCH("High", 'Form Responses 1'!I46)), -1, 0)</f>
        <v>0</v>
      </c>
      <c r="AJ47">
        <f>IF(ISNUMBER(SEARCH("Spoofing", 'Form Responses 1'!I46)), -1, 0)</f>
        <v>-1</v>
      </c>
      <c r="AK47">
        <f t="shared" si="8"/>
        <v>2</v>
      </c>
      <c r="AL47" s="7">
        <f t="shared" si="9"/>
        <v>2</v>
      </c>
      <c r="AM47">
        <f>IF('Form Responses 1'!J46, 1, 0)</f>
        <v>1</v>
      </c>
      <c r="AN47" s="7">
        <f t="shared" si="10"/>
        <v>4</v>
      </c>
      <c r="AO47">
        <f>IF(ISNUMBER(SEARCH("Increase the integral gain", 'Form Responses 1'!K46)), 1, 0)</f>
        <v>1</v>
      </c>
      <c r="AP47">
        <f>IF(ISNUMBER(SEARCH("Increase the proportional gain", 'Form Responses 1'!K46)), 1, 0)</f>
        <v>0</v>
      </c>
      <c r="AQ47">
        <f>IF(ISNUMBER(SEARCH("increasing the integral gain", 'Form Responses 1'!K46)), 1, 0)</f>
        <v>0</v>
      </c>
      <c r="AR47">
        <f>IF(ISNUMBER(SEARCH("Decrease the proportional gain (Kp) and increase the derivative gain (Kd)", 'Form Responses 1'!K46)), 1, 0)</f>
        <v>0</v>
      </c>
      <c r="AS47">
        <f>IF(ISNUMBER(SEARCH("Decrease the proportional gain", 'Form Responses 1'!K46)), 1, 0)</f>
        <v>0</v>
      </c>
      <c r="AT47" s="7">
        <f t="shared" si="11"/>
        <v>4</v>
      </c>
      <c r="AU47">
        <f>IF(ISNUMBER(SEARCH("Measurement", 'Form Responses 1'!L46)), 1, 0)</f>
        <v>0</v>
      </c>
      <c r="AV47">
        <f>IF(ISNUMBER(SEARCH("All of the above",'Form Responses 1'!L46)),1,0)</f>
        <v>0</v>
      </c>
      <c r="AW47" s="7">
        <f t="shared" si="12"/>
        <v>0</v>
      </c>
      <c r="AX47">
        <f>IF(ISNUMBER(SEARCH("recorded sensor data to the controller", 'Form Responses 1'!M46)), 1, 0)</f>
        <v>1</v>
      </c>
      <c r="AY47">
        <f>IF(ISNUMBER(SEARCH("record sensor data from", 'Form Responses 1'!M46)), 1, 0)</f>
        <v>0</v>
      </c>
      <c r="AZ47">
        <f>IF(ISNUMBER(SEARCH("record actuator data from",'Form Responses 1'!M46)),1,0)</f>
        <v>0</v>
      </c>
      <c r="BA47">
        <f>IF(ISNUMBER(SEARCH("recorded actuator data to the controller", 'Form Responses 1'!M46)), 1, 0)</f>
        <v>0</v>
      </c>
      <c r="BB47" s="7">
        <f t="shared" si="13"/>
        <v>4</v>
      </c>
      <c r="BC47">
        <f>IF('Form Responses 1'!N46, 0, 1)</f>
        <v>1</v>
      </c>
      <c r="BD47" s="7">
        <f t="shared" si="14"/>
        <v>4</v>
      </c>
    </row>
    <row r="48" spans="1:56" x14ac:dyDescent="0.2">
      <c r="A48" s="4">
        <v>46</v>
      </c>
      <c r="B48">
        <f>IF(ISNUMBER(SEARCH("Line 4", 'Form Responses 1'!E47)), -1, 0)</f>
        <v>0</v>
      </c>
      <c r="C48">
        <f>IF(ISNUMBER(SEARCH("Line 5", 'Form Responses 1'!E47)), -1, 0)</f>
        <v>0</v>
      </c>
      <c r="D48">
        <f>IF(ISNUMBER(SEARCH("Line 8", 'Form Responses 1'!E47)), 1, 0)</f>
        <v>1</v>
      </c>
      <c r="E48">
        <f>IF(ISNUMBER(SEARCH("Line 13", 'Form Responses 1'!E47)), 1, 0)</f>
        <v>0</v>
      </c>
      <c r="F48">
        <f>IF(ISNUMBER(SEARCH("Line 14", 'Form Responses 1'!E47)), -1, 0)</f>
        <v>0</v>
      </c>
      <c r="G48">
        <f>IF(ISNUMBER(SEARCH("Line 15", 'Form Responses 1'!E47)), 1, 0)</f>
        <v>1</v>
      </c>
      <c r="H48">
        <f>IF(ISNUMBER(SEARCH("Line 16", 'Form Responses 1'!E47)), -1, 0)</f>
        <v>0</v>
      </c>
      <c r="I48">
        <f>IF(ISNUMBER(SEARCH("Line 17", 'Form Responses 1'!E47)), 1, 0)</f>
        <v>1</v>
      </c>
      <c r="J48">
        <f>IF(ISNUMBER(SEARCH("Line 19", 'Form Responses 1'!E47)), 1, 0)</f>
        <v>1</v>
      </c>
      <c r="K48">
        <f t="shared" si="0"/>
        <v>4</v>
      </c>
      <c r="L48" s="8">
        <f t="shared" si="1"/>
        <v>4</v>
      </c>
      <c r="M48">
        <f>IF(ISNUMBER(SEARCH("Transmit data", 'Form Responses 1'!F47)), 1, 0)</f>
        <v>1</v>
      </c>
      <c r="N48">
        <f>IF(ISNUMBER(SEARCH("Alter", 'Form Responses 1'!F47)), -1, 0)</f>
        <v>0</v>
      </c>
      <c r="O48">
        <f>IF(ISNUMBER(SEARCH("Change", 'Form Responses 1'!F47)), -1, 0)</f>
        <v>0</v>
      </c>
      <c r="P48">
        <f>IF(ISNUMBER(SEARCH("Remove", 'Form Responses 1'!F47)), -1, 0)</f>
        <v>0</v>
      </c>
      <c r="Q48">
        <f>IF(ISNUMBER(SEARCH("unintelligible", 'Form Responses 1'!F47)), -1, 0)</f>
        <v>-1</v>
      </c>
      <c r="R48">
        <f t="shared" si="2"/>
        <v>3.25</v>
      </c>
      <c r="S48" s="7">
        <f t="shared" si="3"/>
        <v>3.25</v>
      </c>
      <c r="T48">
        <f>IF(ISNUMBER(SEARCH("sensors", 'Form Responses 1'!G47)), 1, 0)</f>
        <v>1</v>
      </c>
      <c r="U48">
        <f>IF(ISNUMBER(SEARCH("actuators", 'Form Responses 1'!G47)), -1, 0)</f>
        <v>-1</v>
      </c>
      <c r="V48">
        <f>IF(ISNUMBER(SEARCH("Switch", 'Form Responses 1'!G47)), 1, 0)</f>
        <v>0</v>
      </c>
      <c r="W48">
        <f>IF(ISNUMBER(SEARCH("PID", 'Form Responses 1'!G47)), -1, 0)</f>
        <v>-1</v>
      </c>
      <c r="X48">
        <f t="shared" si="4"/>
        <v>0</v>
      </c>
      <c r="Y48" s="7">
        <f t="shared" si="5"/>
        <v>0</v>
      </c>
      <c r="Z48">
        <f>IF(ISNUMBER(SEARCH("16", 'Form Responses 1'!H47)), -1, 0)</f>
        <v>-1</v>
      </c>
      <c r="AA48">
        <f>IF(ISNUMBER(SEARCH("1.5", 'Form Responses 1'!H47)), 1, 0)</f>
        <v>1</v>
      </c>
      <c r="AB48">
        <f>IF(ISNUMBER(SEARCH("0.2", 'Form Responses 1'!H47)), -1, 0)</f>
        <v>0</v>
      </c>
      <c r="AC48">
        <f>IF(ISNUMBER(SEARCH("None", 'Form Responses 1'!H47)), -1, 0)</f>
        <v>0</v>
      </c>
      <c r="AD48">
        <f t="shared" si="6"/>
        <v>3</v>
      </c>
      <c r="AE48" s="7">
        <f t="shared" si="7"/>
        <v>3</v>
      </c>
      <c r="AF48">
        <f>IF(ISNUMBER(SEARCH("Small", 'Form Responses 1'!I47)), -1, 0)</f>
        <v>0</v>
      </c>
      <c r="AG48">
        <f>IF(ISNUMBER(SEARCH("IMU", 'Form Responses 1'!I47)), 1, 0)</f>
        <v>1</v>
      </c>
      <c r="AH48">
        <f>IF(ISNUMBER(SEARCH("CAN", 'Form Responses 1'!I47)), 1, 0)</f>
        <v>1</v>
      </c>
      <c r="AI48">
        <f>IF(ISNUMBER(SEARCH("High", 'Form Responses 1'!I47)), -1, 0)</f>
        <v>0</v>
      </c>
      <c r="AJ48">
        <f>IF(ISNUMBER(SEARCH("Spoofing", 'Form Responses 1'!I47)), -1, 0)</f>
        <v>-1</v>
      </c>
      <c r="AK48">
        <f t="shared" si="8"/>
        <v>3</v>
      </c>
      <c r="AL48" s="7">
        <f t="shared" si="9"/>
        <v>3</v>
      </c>
      <c r="AM48">
        <f>IF('Form Responses 1'!J47, 1, 0)</f>
        <v>1</v>
      </c>
      <c r="AN48" s="7">
        <f t="shared" si="10"/>
        <v>4</v>
      </c>
      <c r="AO48">
        <f>IF(ISNUMBER(SEARCH("Increase the integral gain", 'Form Responses 1'!K47)), 1, 0)</f>
        <v>1</v>
      </c>
      <c r="AP48">
        <f>IF(ISNUMBER(SEARCH("Increase the proportional gain", 'Form Responses 1'!K47)), 1, 0)</f>
        <v>0</v>
      </c>
      <c r="AQ48">
        <f>IF(ISNUMBER(SEARCH("increasing the integral gain", 'Form Responses 1'!K47)), 1, 0)</f>
        <v>0</v>
      </c>
      <c r="AR48">
        <f>IF(ISNUMBER(SEARCH("Decrease the proportional gain (Kp) and increase the derivative gain (Kd)", 'Form Responses 1'!K47)), 1, 0)</f>
        <v>0</v>
      </c>
      <c r="AS48">
        <f>IF(ISNUMBER(SEARCH("Decrease the proportional gain", 'Form Responses 1'!K47)), 1, 0)</f>
        <v>0</v>
      </c>
      <c r="AT48" s="7">
        <f t="shared" si="11"/>
        <v>4</v>
      </c>
      <c r="AU48">
        <f>IF(ISNUMBER(SEARCH("Measurement", 'Form Responses 1'!L47)), 1, 0)</f>
        <v>0</v>
      </c>
      <c r="AV48">
        <f>IF(ISNUMBER(SEARCH("All of the above",'Form Responses 1'!L47)),1,0)</f>
        <v>1</v>
      </c>
      <c r="AW48" s="7">
        <f t="shared" si="12"/>
        <v>2</v>
      </c>
      <c r="AX48">
        <f>IF(ISNUMBER(SEARCH("recorded sensor data to the controller", 'Form Responses 1'!M47)), 1, 0)</f>
        <v>1</v>
      </c>
      <c r="AY48">
        <f>IF(ISNUMBER(SEARCH("record sensor data from", 'Form Responses 1'!M47)), 1, 0)</f>
        <v>0</v>
      </c>
      <c r="AZ48">
        <f>IF(ISNUMBER(SEARCH("record actuator data from",'Form Responses 1'!M47)),1,0)</f>
        <v>0</v>
      </c>
      <c r="BA48">
        <f>IF(ISNUMBER(SEARCH("recorded actuator data to the controller", 'Form Responses 1'!M47)), 1, 0)</f>
        <v>0</v>
      </c>
      <c r="BB48" s="7">
        <f t="shared" si="13"/>
        <v>4</v>
      </c>
      <c r="BC48">
        <f>IF('Form Responses 1'!N47, 0, 1)</f>
        <v>1</v>
      </c>
      <c r="BD48" s="7">
        <f t="shared" si="14"/>
        <v>4</v>
      </c>
    </row>
    <row r="49" spans="1:56" x14ac:dyDescent="0.2">
      <c r="A49" s="4">
        <v>47</v>
      </c>
      <c r="B49">
        <f>IF(ISNUMBER(SEARCH("Line 4", 'Form Responses 1'!E48)), -1, 0)</f>
        <v>0</v>
      </c>
      <c r="C49">
        <f>IF(ISNUMBER(SEARCH("Line 5", 'Form Responses 1'!E48)), -1, 0)</f>
        <v>0</v>
      </c>
      <c r="D49">
        <f>IF(ISNUMBER(SEARCH("Line 8", 'Form Responses 1'!E48)), 1, 0)</f>
        <v>1</v>
      </c>
      <c r="E49">
        <f>IF(ISNUMBER(SEARCH("Line 13", 'Form Responses 1'!E48)), 1, 0)</f>
        <v>0</v>
      </c>
      <c r="F49">
        <f>IF(ISNUMBER(SEARCH("Line 14", 'Form Responses 1'!E48)), -1, 0)</f>
        <v>0</v>
      </c>
      <c r="G49">
        <f>IF(ISNUMBER(SEARCH("Line 15", 'Form Responses 1'!E48)), 1, 0)</f>
        <v>0</v>
      </c>
      <c r="H49">
        <f>IF(ISNUMBER(SEARCH("Line 16", 'Form Responses 1'!E48)), -1, 0)</f>
        <v>-1</v>
      </c>
      <c r="I49">
        <f>IF(ISNUMBER(SEARCH("Line 17", 'Form Responses 1'!E48)), 1, 0)</f>
        <v>0</v>
      </c>
      <c r="J49">
        <f>IF(ISNUMBER(SEARCH("Line 19", 'Form Responses 1'!E48)), 1, 0)</f>
        <v>1</v>
      </c>
      <c r="K49">
        <f t="shared" si="0"/>
        <v>1</v>
      </c>
      <c r="L49" s="8">
        <f t="shared" si="1"/>
        <v>2</v>
      </c>
      <c r="M49">
        <f>IF(ISNUMBER(SEARCH("Transmit data", 'Form Responses 1'!F48)), 1, 0)</f>
        <v>1</v>
      </c>
      <c r="N49">
        <f>IF(ISNUMBER(SEARCH("Alter", 'Form Responses 1'!F48)), -1, 0)</f>
        <v>0</v>
      </c>
      <c r="O49">
        <f>IF(ISNUMBER(SEARCH("Change", 'Form Responses 1'!F48)), -1, 0)</f>
        <v>-1</v>
      </c>
      <c r="P49">
        <f>IF(ISNUMBER(SEARCH("Remove", 'Form Responses 1'!F48)), -1, 0)</f>
        <v>0</v>
      </c>
      <c r="Q49">
        <f>IF(ISNUMBER(SEARCH("unintelligible", 'Form Responses 1'!F48)), -1, 0)</f>
        <v>-1</v>
      </c>
      <c r="R49">
        <f t="shared" si="2"/>
        <v>2.5</v>
      </c>
      <c r="S49" s="7">
        <f t="shared" si="3"/>
        <v>2.5</v>
      </c>
      <c r="T49">
        <f>IF(ISNUMBER(SEARCH("sensors", 'Form Responses 1'!G48)), 1, 0)</f>
        <v>1</v>
      </c>
      <c r="U49">
        <f>IF(ISNUMBER(SEARCH("actuators", 'Form Responses 1'!G48)), -1, 0)</f>
        <v>-1</v>
      </c>
      <c r="V49">
        <f>IF(ISNUMBER(SEARCH("Switch", 'Form Responses 1'!G48)), 1, 0)</f>
        <v>1</v>
      </c>
      <c r="W49">
        <f>IF(ISNUMBER(SEARCH("PID", 'Form Responses 1'!G48)), -1, 0)</f>
        <v>0</v>
      </c>
      <c r="X49">
        <f t="shared" si="4"/>
        <v>3</v>
      </c>
      <c r="Y49" s="7">
        <f t="shared" si="5"/>
        <v>3</v>
      </c>
      <c r="Z49">
        <f>IF(ISNUMBER(SEARCH("16", 'Form Responses 1'!H48)), -1, 0)</f>
        <v>-1</v>
      </c>
      <c r="AA49">
        <f>IF(ISNUMBER(SEARCH("1.5", 'Form Responses 1'!H48)), 1, 0)</f>
        <v>1</v>
      </c>
      <c r="AB49">
        <f>IF(ISNUMBER(SEARCH("0.2", 'Form Responses 1'!H48)), -1, 0)</f>
        <v>0</v>
      </c>
      <c r="AC49">
        <f>IF(ISNUMBER(SEARCH("None", 'Form Responses 1'!H48)), -1, 0)</f>
        <v>0</v>
      </c>
      <c r="AD49">
        <f t="shared" si="6"/>
        <v>3</v>
      </c>
      <c r="AE49" s="7">
        <f t="shared" si="7"/>
        <v>3</v>
      </c>
      <c r="AF49">
        <f>IF(ISNUMBER(SEARCH("Small", 'Form Responses 1'!I48)), -1, 0)</f>
        <v>0</v>
      </c>
      <c r="AG49">
        <f>IF(ISNUMBER(SEARCH("IMU", 'Form Responses 1'!I48)), 1, 0)</f>
        <v>1</v>
      </c>
      <c r="AH49">
        <f>IF(ISNUMBER(SEARCH("CAN", 'Form Responses 1'!I48)), 1, 0)</f>
        <v>0</v>
      </c>
      <c r="AI49">
        <f>IF(ISNUMBER(SEARCH("High", 'Form Responses 1'!I48)), -1, 0)</f>
        <v>-1</v>
      </c>
      <c r="AJ49">
        <f>IF(ISNUMBER(SEARCH("Spoofing", 'Form Responses 1'!I48)), -1, 0)</f>
        <v>-1</v>
      </c>
      <c r="AK49">
        <f t="shared" si="8"/>
        <v>0</v>
      </c>
      <c r="AL49" s="7">
        <f t="shared" si="9"/>
        <v>0</v>
      </c>
      <c r="AM49">
        <f>IF('Form Responses 1'!J48, 1, 0)</f>
        <v>1</v>
      </c>
      <c r="AN49" s="7">
        <f t="shared" si="10"/>
        <v>4</v>
      </c>
      <c r="AO49">
        <f>IF(ISNUMBER(SEARCH("Increase the integral gain", 'Form Responses 1'!K48)), 1, 0)</f>
        <v>0</v>
      </c>
      <c r="AP49">
        <f>IF(ISNUMBER(SEARCH("Increase the proportional gain", 'Form Responses 1'!K48)), 1, 0)</f>
        <v>1</v>
      </c>
      <c r="AQ49">
        <f>IF(ISNUMBER(SEARCH("increasing the integral gain", 'Form Responses 1'!K48)), 1, 0)</f>
        <v>1</v>
      </c>
      <c r="AR49">
        <f>IF(ISNUMBER(SEARCH("Decrease the proportional gain (Kp) and increase the derivative gain (Kd)", 'Form Responses 1'!K48)), 1, 0)</f>
        <v>0</v>
      </c>
      <c r="AS49">
        <f>IF(ISNUMBER(SEARCH("Decrease the proportional gain", 'Form Responses 1'!K48)), 1, 0)</f>
        <v>0</v>
      </c>
      <c r="AT49" s="7">
        <f t="shared" si="11"/>
        <v>2.2999999999999998</v>
      </c>
      <c r="AU49">
        <f>IF(ISNUMBER(SEARCH("Measurement", 'Form Responses 1'!L48)), 1, 0)</f>
        <v>1</v>
      </c>
      <c r="AV49">
        <f>IF(ISNUMBER(SEARCH("All of the above",'Form Responses 1'!L48)),1,0)</f>
        <v>0</v>
      </c>
      <c r="AW49" s="7">
        <f t="shared" si="12"/>
        <v>4</v>
      </c>
      <c r="AX49">
        <f>IF(ISNUMBER(SEARCH("recorded sensor data to the controller", 'Form Responses 1'!M48)), 1, 0)</f>
        <v>1</v>
      </c>
      <c r="AY49">
        <f>IF(ISNUMBER(SEARCH("record sensor data from", 'Form Responses 1'!M48)), 1, 0)</f>
        <v>0</v>
      </c>
      <c r="AZ49">
        <f>IF(ISNUMBER(SEARCH("record actuator data from",'Form Responses 1'!M48)),1,0)</f>
        <v>0</v>
      </c>
      <c r="BA49">
        <f>IF(ISNUMBER(SEARCH("recorded actuator data to the controller", 'Form Responses 1'!M48)), 1, 0)</f>
        <v>0</v>
      </c>
      <c r="BB49" s="7">
        <f t="shared" si="13"/>
        <v>4</v>
      </c>
      <c r="BC49">
        <f>IF('Form Responses 1'!N48, 0, 1)</f>
        <v>1</v>
      </c>
      <c r="BD49" s="7">
        <f t="shared" si="14"/>
        <v>4</v>
      </c>
    </row>
    <row r="50" spans="1:56" x14ac:dyDescent="0.2">
      <c r="A50" s="4">
        <v>48</v>
      </c>
      <c r="B50">
        <f>IF(ISNUMBER(SEARCH("Line 4", 'Form Responses 1'!E49)), -1, 0)</f>
        <v>0</v>
      </c>
      <c r="C50">
        <f>IF(ISNUMBER(SEARCH("Line 5", 'Form Responses 1'!E49)), -1, 0)</f>
        <v>0</v>
      </c>
      <c r="D50">
        <f>IF(ISNUMBER(SEARCH("Line 8", 'Form Responses 1'!E49)), 1, 0)</f>
        <v>0</v>
      </c>
      <c r="E50">
        <f>IF(ISNUMBER(SEARCH("Line 13", 'Form Responses 1'!E49)), 1, 0)</f>
        <v>0</v>
      </c>
      <c r="F50">
        <f>IF(ISNUMBER(SEARCH("Line 14", 'Form Responses 1'!E49)), -1, 0)</f>
        <v>0</v>
      </c>
      <c r="G50">
        <f>IF(ISNUMBER(SEARCH("Line 15", 'Form Responses 1'!E49)), 1, 0)</f>
        <v>0</v>
      </c>
      <c r="H50">
        <f>IF(ISNUMBER(SEARCH("Line 16", 'Form Responses 1'!E49)), -1, 0)</f>
        <v>0</v>
      </c>
      <c r="I50">
        <f>IF(ISNUMBER(SEARCH("Line 17", 'Form Responses 1'!E49)), 1, 0)</f>
        <v>1</v>
      </c>
      <c r="J50">
        <f>IF(ISNUMBER(SEARCH("Line 19", 'Form Responses 1'!E49)), 1, 0)</f>
        <v>0</v>
      </c>
      <c r="K50">
        <f t="shared" si="0"/>
        <v>1</v>
      </c>
      <c r="L50" s="8">
        <f t="shared" si="1"/>
        <v>1</v>
      </c>
      <c r="M50">
        <f>IF(ISNUMBER(SEARCH("Transmit data", 'Form Responses 1'!F49)), 1, 0)</f>
        <v>0</v>
      </c>
      <c r="N50">
        <f>IF(ISNUMBER(SEARCH("Alter", 'Form Responses 1'!F49)), -1, 0)</f>
        <v>0</v>
      </c>
      <c r="O50">
        <f>IF(ISNUMBER(SEARCH("Change", 'Form Responses 1'!F49)), -1, 0)</f>
        <v>0</v>
      </c>
      <c r="P50">
        <f>IF(ISNUMBER(SEARCH("Remove", 'Form Responses 1'!F49)), -1, 0)</f>
        <v>0</v>
      </c>
      <c r="Q50">
        <f>IF(ISNUMBER(SEARCH("unintelligible", 'Form Responses 1'!F49)), -1, 0)</f>
        <v>-1</v>
      </c>
      <c r="R50">
        <f t="shared" si="2"/>
        <v>-0.75</v>
      </c>
      <c r="S50" s="7">
        <f t="shared" si="3"/>
        <v>0</v>
      </c>
      <c r="T50">
        <f>IF(ISNUMBER(SEARCH("sensors", 'Form Responses 1'!G49)), 1, 0)</f>
        <v>1</v>
      </c>
      <c r="U50">
        <f>IF(ISNUMBER(SEARCH("actuators", 'Form Responses 1'!G49)), -1, 0)</f>
        <v>0</v>
      </c>
      <c r="V50">
        <f>IF(ISNUMBER(SEARCH("Switch", 'Form Responses 1'!G49)), 1, 0)</f>
        <v>0</v>
      </c>
      <c r="W50">
        <f>IF(ISNUMBER(SEARCH("PID", 'Form Responses 1'!G49)), -1, 0)</f>
        <v>0</v>
      </c>
      <c r="X50">
        <f t="shared" si="4"/>
        <v>2</v>
      </c>
      <c r="Y50" s="7">
        <f t="shared" si="5"/>
        <v>2</v>
      </c>
      <c r="Z50">
        <f>IF(ISNUMBER(SEARCH("16", 'Form Responses 1'!H49)), -1, 0)</f>
        <v>-1</v>
      </c>
      <c r="AA50">
        <f>IF(ISNUMBER(SEARCH("1.5", 'Form Responses 1'!H49)), 1, 0)</f>
        <v>1</v>
      </c>
      <c r="AB50">
        <f>IF(ISNUMBER(SEARCH("0.2", 'Form Responses 1'!H49)), -1, 0)</f>
        <v>0</v>
      </c>
      <c r="AC50">
        <f>IF(ISNUMBER(SEARCH("None", 'Form Responses 1'!H49)), -1, 0)</f>
        <v>0</v>
      </c>
      <c r="AD50">
        <f t="shared" si="6"/>
        <v>3</v>
      </c>
      <c r="AE50" s="7">
        <f t="shared" si="7"/>
        <v>3</v>
      </c>
      <c r="AF50">
        <f>IF(ISNUMBER(SEARCH("Small", 'Form Responses 1'!I49)), -1, 0)</f>
        <v>-1</v>
      </c>
      <c r="AG50">
        <f>IF(ISNUMBER(SEARCH("IMU", 'Form Responses 1'!I49)), 1, 0)</f>
        <v>1</v>
      </c>
      <c r="AH50">
        <f>IF(ISNUMBER(SEARCH("CAN", 'Form Responses 1'!I49)), 1, 0)</f>
        <v>1</v>
      </c>
      <c r="AI50">
        <f>IF(ISNUMBER(SEARCH("High", 'Form Responses 1'!I49)), -1, 0)</f>
        <v>0</v>
      </c>
      <c r="AJ50">
        <f>IF(ISNUMBER(SEARCH("Spoofing", 'Form Responses 1'!I49)), -1, 0)</f>
        <v>-1</v>
      </c>
      <c r="AK50">
        <f t="shared" si="8"/>
        <v>4</v>
      </c>
      <c r="AL50" s="7">
        <f t="shared" si="9"/>
        <v>4</v>
      </c>
      <c r="AM50">
        <f>IF('Form Responses 1'!J49, 1, 0)</f>
        <v>1</v>
      </c>
      <c r="AN50" s="7">
        <f t="shared" si="10"/>
        <v>4</v>
      </c>
      <c r="AO50">
        <f>IF(ISNUMBER(SEARCH("Increase the integral gain", 'Form Responses 1'!K49)), 1, 0)</f>
        <v>1</v>
      </c>
      <c r="AP50">
        <f>IF(ISNUMBER(SEARCH("Increase the proportional gain", 'Form Responses 1'!K49)), 1, 0)</f>
        <v>0</v>
      </c>
      <c r="AQ50">
        <f>IF(ISNUMBER(SEARCH("increasing the integral gain", 'Form Responses 1'!K49)), 1, 0)</f>
        <v>0</v>
      </c>
      <c r="AR50">
        <f>IF(ISNUMBER(SEARCH("Decrease the proportional gain (Kp) and increase the derivative gain (Kd)", 'Form Responses 1'!K49)), 1, 0)</f>
        <v>0</v>
      </c>
      <c r="AS50">
        <f>IF(ISNUMBER(SEARCH("Decrease the proportional gain", 'Form Responses 1'!K49)), 1, 0)</f>
        <v>0</v>
      </c>
      <c r="AT50" s="7">
        <f t="shared" si="11"/>
        <v>4</v>
      </c>
      <c r="AU50">
        <f>IF(ISNUMBER(SEARCH("Measurement", 'Form Responses 1'!L49)), 1, 0)</f>
        <v>0</v>
      </c>
      <c r="AV50">
        <f>IF(ISNUMBER(SEARCH("All of the above",'Form Responses 1'!L49)),1,0)</f>
        <v>1</v>
      </c>
      <c r="AW50" s="7">
        <f t="shared" si="12"/>
        <v>2</v>
      </c>
      <c r="AX50">
        <f>IF(ISNUMBER(SEARCH("recorded sensor data to the controller", 'Form Responses 1'!M49)), 1, 0)</f>
        <v>1</v>
      </c>
      <c r="AY50">
        <f>IF(ISNUMBER(SEARCH("record sensor data from", 'Form Responses 1'!M49)), 1, 0)</f>
        <v>0</v>
      </c>
      <c r="AZ50">
        <f>IF(ISNUMBER(SEARCH("record actuator data from",'Form Responses 1'!M49)),1,0)</f>
        <v>0</v>
      </c>
      <c r="BA50">
        <f>IF(ISNUMBER(SEARCH("recorded actuator data to the controller", 'Form Responses 1'!M49)), 1, 0)</f>
        <v>0</v>
      </c>
      <c r="BB50" s="7">
        <f t="shared" si="13"/>
        <v>4</v>
      </c>
      <c r="BC50">
        <f>IF('Form Responses 1'!N49, 0, 1)</f>
        <v>0</v>
      </c>
      <c r="BD50" s="7">
        <f t="shared" si="14"/>
        <v>0</v>
      </c>
    </row>
    <row r="51" spans="1:56" x14ac:dyDescent="0.2">
      <c r="A51" s="4">
        <v>49</v>
      </c>
      <c r="B51">
        <f>IF(ISNUMBER(SEARCH("Line 4", 'Form Responses 1'!E50)), -1, 0)</f>
        <v>0</v>
      </c>
      <c r="C51">
        <f>IF(ISNUMBER(SEARCH("Line 5", 'Form Responses 1'!E50)), -1, 0)</f>
        <v>0</v>
      </c>
      <c r="D51">
        <f>IF(ISNUMBER(SEARCH("Line 8", 'Form Responses 1'!E50)), 1, 0)</f>
        <v>0</v>
      </c>
      <c r="E51">
        <f>IF(ISNUMBER(SEARCH("Line 13", 'Form Responses 1'!E50)), 1, 0)</f>
        <v>0</v>
      </c>
      <c r="F51">
        <f>IF(ISNUMBER(SEARCH("Line 14", 'Form Responses 1'!E50)), -1, 0)</f>
        <v>0</v>
      </c>
      <c r="G51">
        <f>IF(ISNUMBER(SEARCH("Line 15", 'Form Responses 1'!E50)), 1, 0)</f>
        <v>1</v>
      </c>
      <c r="H51">
        <f>IF(ISNUMBER(SEARCH("Line 16", 'Form Responses 1'!E50)), -1, 0)</f>
        <v>0</v>
      </c>
      <c r="I51">
        <f>IF(ISNUMBER(SEARCH("Line 17", 'Form Responses 1'!E50)), 1, 0)</f>
        <v>1</v>
      </c>
      <c r="J51">
        <f>IF(ISNUMBER(SEARCH("Line 19", 'Form Responses 1'!E50)), 1, 0)</f>
        <v>1</v>
      </c>
      <c r="K51">
        <f t="shared" si="0"/>
        <v>3</v>
      </c>
      <c r="L51" s="8">
        <f t="shared" si="1"/>
        <v>4</v>
      </c>
      <c r="M51">
        <f>IF(ISNUMBER(SEARCH("Transmit data", 'Form Responses 1'!F50)), 1, 0)</f>
        <v>1</v>
      </c>
      <c r="N51">
        <f>IF(ISNUMBER(SEARCH("Alter", 'Form Responses 1'!F50)), -1, 0)</f>
        <v>0</v>
      </c>
      <c r="O51">
        <f>IF(ISNUMBER(SEARCH("Change", 'Form Responses 1'!F50)), -1, 0)</f>
        <v>0</v>
      </c>
      <c r="P51">
        <f>IF(ISNUMBER(SEARCH("Remove", 'Form Responses 1'!F50)), -1, 0)</f>
        <v>0</v>
      </c>
      <c r="Q51">
        <f>IF(ISNUMBER(SEARCH("unintelligible", 'Form Responses 1'!F50)), -1, 0)</f>
        <v>0</v>
      </c>
      <c r="R51">
        <f t="shared" si="2"/>
        <v>4</v>
      </c>
      <c r="S51" s="7">
        <f t="shared" si="3"/>
        <v>4</v>
      </c>
      <c r="T51">
        <f>IF(ISNUMBER(SEARCH("sensors", 'Form Responses 1'!G50)), 1, 0)</f>
        <v>1</v>
      </c>
      <c r="U51">
        <f>IF(ISNUMBER(SEARCH("actuators", 'Form Responses 1'!G50)), -1, 0)</f>
        <v>0</v>
      </c>
      <c r="V51">
        <f>IF(ISNUMBER(SEARCH("Switch", 'Form Responses 1'!G50)), 1, 0)</f>
        <v>1</v>
      </c>
      <c r="W51">
        <f>IF(ISNUMBER(SEARCH("PID", 'Form Responses 1'!G50)), -1, 0)</f>
        <v>0</v>
      </c>
      <c r="X51">
        <f t="shared" si="4"/>
        <v>4</v>
      </c>
      <c r="Y51" s="7">
        <f t="shared" si="5"/>
        <v>4</v>
      </c>
      <c r="Z51">
        <f>IF(ISNUMBER(SEARCH("16", 'Form Responses 1'!H50)), -1, 0)</f>
        <v>-1</v>
      </c>
      <c r="AA51">
        <f>IF(ISNUMBER(SEARCH("1.5", 'Form Responses 1'!H50)), 1, 0)</f>
        <v>0</v>
      </c>
      <c r="AB51">
        <f>IF(ISNUMBER(SEARCH("0.2", 'Form Responses 1'!H50)), -1, 0)</f>
        <v>0</v>
      </c>
      <c r="AC51">
        <f>IF(ISNUMBER(SEARCH("None", 'Form Responses 1'!H50)), -1, 0)</f>
        <v>0</v>
      </c>
      <c r="AD51">
        <f t="shared" si="6"/>
        <v>-1</v>
      </c>
      <c r="AE51" s="7">
        <f t="shared" si="7"/>
        <v>0</v>
      </c>
      <c r="AF51">
        <f>IF(ISNUMBER(SEARCH("Small", 'Form Responses 1'!I50)), -1, 0)</f>
        <v>0</v>
      </c>
      <c r="AG51">
        <f>IF(ISNUMBER(SEARCH("IMU", 'Form Responses 1'!I50)), 1, 0)</f>
        <v>1</v>
      </c>
      <c r="AH51">
        <f>IF(ISNUMBER(SEARCH("CAN", 'Form Responses 1'!I50)), 1, 0)</f>
        <v>0</v>
      </c>
      <c r="AI51">
        <f>IF(ISNUMBER(SEARCH("High", 'Form Responses 1'!I50)), -1, 0)</f>
        <v>-1</v>
      </c>
      <c r="AJ51">
        <f>IF(ISNUMBER(SEARCH("Spoofing", 'Form Responses 1'!I50)), -1, 0)</f>
        <v>-1</v>
      </c>
      <c r="AK51">
        <f t="shared" si="8"/>
        <v>0</v>
      </c>
      <c r="AL51" s="7">
        <f t="shared" si="9"/>
        <v>0</v>
      </c>
      <c r="AM51">
        <f>IF('Form Responses 1'!J50, 1, 0)</f>
        <v>1</v>
      </c>
      <c r="AN51" s="7">
        <f t="shared" si="10"/>
        <v>4</v>
      </c>
      <c r="AO51">
        <f>IF(ISNUMBER(SEARCH("Increase the integral gain", 'Form Responses 1'!K50)), 1, 0)</f>
        <v>0</v>
      </c>
      <c r="AP51">
        <f>IF(ISNUMBER(SEARCH("Increase the proportional gain", 'Form Responses 1'!K50)), 1, 0)</f>
        <v>0</v>
      </c>
      <c r="AQ51">
        <f>IF(ISNUMBER(SEARCH("increasing the integral gain", 'Form Responses 1'!K50)), 1, 0)</f>
        <v>0</v>
      </c>
      <c r="AR51">
        <f>IF(ISNUMBER(SEARCH("Decrease the proportional gain (Kp) and increase the derivative gain (Kd)", 'Form Responses 1'!K50)), 1, 0)</f>
        <v>1</v>
      </c>
      <c r="AS51">
        <f>IF(ISNUMBER(SEARCH("Decrease the proportional gain", 'Form Responses 1'!K50)), 1, 0)</f>
        <v>1</v>
      </c>
      <c r="AT51" s="7">
        <f t="shared" si="11"/>
        <v>2</v>
      </c>
      <c r="AU51">
        <f>IF(ISNUMBER(SEARCH("Measurement", 'Form Responses 1'!L50)), 1, 0)</f>
        <v>0</v>
      </c>
      <c r="AV51">
        <f>IF(ISNUMBER(SEARCH("All of the above",'Form Responses 1'!L50)),1,0)</f>
        <v>0</v>
      </c>
      <c r="AW51" s="7">
        <f t="shared" si="12"/>
        <v>0</v>
      </c>
      <c r="AX51">
        <f>IF(ISNUMBER(SEARCH("recorded sensor data to the controller", 'Form Responses 1'!M50)), 1, 0)</f>
        <v>1</v>
      </c>
      <c r="AY51">
        <f>IF(ISNUMBER(SEARCH("record sensor data from", 'Form Responses 1'!M50)), 1, 0)</f>
        <v>0</v>
      </c>
      <c r="AZ51">
        <f>IF(ISNUMBER(SEARCH("record actuator data from",'Form Responses 1'!M50)),1,0)</f>
        <v>0</v>
      </c>
      <c r="BA51">
        <f>IF(ISNUMBER(SEARCH("recorded actuator data to the controller", 'Form Responses 1'!M50)), 1, 0)</f>
        <v>0</v>
      </c>
      <c r="BB51" s="7">
        <f t="shared" si="13"/>
        <v>4</v>
      </c>
      <c r="BC51">
        <f>IF('Form Responses 1'!N50, 0, 1)</f>
        <v>1</v>
      </c>
      <c r="BD51" s="7">
        <f t="shared" si="14"/>
        <v>4</v>
      </c>
    </row>
    <row r="52" spans="1:56" x14ac:dyDescent="0.2">
      <c r="A52" s="4">
        <v>50</v>
      </c>
      <c r="B52">
        <f>IF(ISNUMBER(SEARCH("Line 4", 'Form Responses 1'!E51)), -1, 0)</f>
        <v>0</v>
      </c>
      <c r="C52">
        <f>IF(ISNUMBER(SEARCH("Line 5", 'Form Responses 1'!E51)), -1, 0)</f>
        <v>0</v>
      </c>
      <c r="D52">
        <f>IF(ISNUMBER(SEARCH("Line 8", 'Form Responses 1'!E51)), 1, 0)</f>
        <v>0</v>
      </c>
      <c r="E52">
        <f>IF(ISNUMBER(SEARCH("Line 13", 'Form Responses 1'!E51)), 1, 0)</f>
        <v>0</v>
      </c>
      <c r="F52">
        <f>IF(ISNUMBER(SEARCH("Line 14", 'Form Responses 1'!E51)), -1, 0)</f>
        <v>0</v>
      </c>
      <c r="G52">
        <f>IF(ISNUMBER(SEARCH("Line 15", 'Form Responses 1'!E51)), 1, 0)</f>
        <v>0</v>
      </c>
      <c r="H52">
        <f>IF(ISNUMBER(SEARCH("Line 16", 'Form Responses 1'!E51)), -1, 0)</f>
        <v>-1</v>
      </c>
      <c r="I52">
        <f>IF(ISNUMBER(SEARCH("Line 17", 'Form Responses 1'!E51)), 1, 0)</f>
        <v>1</v>
      </c>
      <c r="J52">
        <f>IF(ISNUMBER(SEARCH("Line 19", 'Form Responses 1'!E51)), 1, 0)</f>
        <v>0</v>
      </c>
      <c r="K52">
        <f t="shared" si="0"/>
        <v>0</v>
      </c>
      <c r="L52" s="8">
        <f t="shared" si="1"/>
        <v>0</v>
      </c>
      <c r="M52">
        <f>IF(ISNUMBER(SEARCH("Transmit data", 'Form Responses 1'!F51)), 1, 0)</f>
        <v>1</v>
      </c>
      <c r="N52">
        <f>IF(ISNUMBER(SEARCH("Alter", 'Form Responses 1'!F51)), -1, 0)</f>
        <v>0</v>
      </c>
      <c r="O52">
        <f>IF(ISNUMBER(SEARCH("Change", 'Form Responses 1'!F51)), -1, 0)</f>
        <v>0</v>
      </c>
      <c r="P52">
        <f>IF(ISNUMBER(SEARCH("Remove", 'Form Responses 1'!F51)), -1, 0)</f>
        <v>0</v>
      </c>
      <c r="Q52">
        <f>IF(ISNUMBER(SEARCH("unintelligible", 'Form Responses 1'!F51)), -1, 0)</f>
        <v>-1</v>
      </c>
      <c r="R52">
        <f t="shared" si="2"/>
        <v>3.25</v>
      </c>
      <c r="S52" s="7">
        <f t="shared" si="3"/>
        <v>3.25</v>
      </c>
      <c r="T52">
        <f>IF(ISNUMBER(SEARCH("sensors", 'Form Responses 1'!G51)), 1, 0)</f>
        <v>1</v>
      </c>
      <c r="U52">
        <f>IF(ISNUMBER(SEARCH("actuators", 'Form Responses 1'!G51)), -1, 0)</f>
        <v>-1</v>
      </c>
      <c r="V52">
        <f>IF(ISNUMBER(SEARCH("Switch", 'Form Responses 1'!G51)), 1, 0)</f>
        <v>0</v>
      </c>
      <c r="W52">
        <f>IF(ISNUMBER(SEARCH("PID", 'Form Responses 1'!G51)), -1, 0)</f>
        <v>0</v>
      </c>
      <c r="X52">
        <f t="shared" si="4"/>
        <v>1</v>
      </c>
      <c r="Y52" s="7">
        <f t="shared" si="5"/>
        <v>1</v>
      </c>
      <c r="Z52">
        <f>IF(ISNUMBER(SEARCH("16", 'Form Responses 1'!H51)), -1, 0)</f>
        <v>0</v>
      </c>
      <c r="AA52">
        <f>IF(ISNUMBER(SEARCH("1.5", 'Form Responses 1'!H51)), 1, 0)</f>
        <v>0</v>
      </c>
      <c r="AB52">
        <f>IF(ISNUMBER(SEARCH("0.2", 'Form Responses 1'!H51)), -1, 0)</f>
        <v>0</v>
      </c>
      <c r="AC52">
        <f>IF(ISNUMBER(SEARCH("None", 'Form Responses 1'!H51)), -1, 0)</f>
        <v>-1</v>
      </c>
      <c r="AD52">
        <f t="shared" si="6"/>
        <v>2</v>
      </c>
      <c r="AE52" s="7">
        <f t="shared" si="7"/>
        <v>2</v>
      </c>
      <c r="AF52">
        <f>IF(ISNUMBER(SEARCH("Small", 'Form Responses 1'!I51)), -1, 0)</f>
        <v>0</v>
      </c>
      <c r="AG52">
        <f>IF(ISNUMBER(SEARCH("IMU", 'Form Responses 1'!I51)), 1, 0)</f>
        <v>1</v>
      </c>
      <c r="AH52">
        <f>IF(ISNUMBER(SEARCH("CAN", 'Form Responses 1'!I51)), 1, 0)</f>
        <v>1</v>
      </c>
      <c r="AI52">
        <f>IF(ISNUMBER(SEARCH("High", 'Form Responses 1'!I51)), -1, 0)</f>
        <v>0</v>
      </c>
      <c r="AJ52">
        <f>IF(ISNUMBER(SEARCH("Spoofing", 'Form Responses 1'!I51)), -1, 0)</f>
        <v>0</v>
      </c>
      <c r="AK52">
        <f t="shared" si="8"/>
        <v>4</v>
      </c>
      <c r="AL52" s="7">
        <f t="shared" si="9"/>
        <v>4</v>
      </c>
      <c r="AM52">
        <f>IF('Form Responses 1'!J51, 1, 0)</f>
        <v>1</v>
      </c>
      <c r="AN52" s="7">
        <f t="shared" si="10"/>
        <v>4</v>
      </c>
      <c r="AO52">
        <f>IF(ISNUMBER(SEARCH("Increase the integral gain", 'Form Responses 1'!K51)), 1, 0)</f>
        <v>1</v>
      </c>
      <c r="AP52">
        <f>IF(ISNUMBER(SEARCH("Increase the proportional gain", 'Form Responses 1'!K51)), 1, 0)</f>
        <v>0</v>
      </c>
      <c r="AQ52">
        <f>IF(ISNUMBER(SEARCH("increasing the integral gain", 'Form Responses 1'!K51)), 1, 0)</f>
        <v>0</v>
      </c>
      <c r="AR52">
        <f>IF(ISNUMBER(SEARCH("Decrease the proportional gain (Kp) and increase the derivative gain (Kd)", 'Form Responses 1'!K51)), 1, 0)</f>
        <v>0</v>
      </c>
      <c r="AS52">
        <f>IF(ISNUMBER(SEARCH("Decrease the proportional gain", 'Form Responses 1'!K51)), 1, 0)</f>
        <v>0</v>
      </c>
      <c r="AT52" s="7">
        <f t="shared" si="11"/>
        <v>4</v>
      </c>
      <c r="AU52">
        <f>IF(ISNUMBER(SEARCH("Measurement", 'Form Responses 1'!L51)), 1, 0)</f>
        <v>0</v>
      </c>
      <c r="AV52">
        <f>IF(ISNUMBER(SEARCH("All of the above",'Form Responses 1'!L51)),1,0)</f>
        <v>1</v>
      </c>
      <c r="AW52" s="7">
        <f t="shared" si="12"/>
        <v>2</v>
      </c>
      <c r="AX52">
        <f>IF(ISNUMBER(SEARCH("recorded sensor data to the controller", 'Form Responses 1'!M51)), 1, 0)</f>
        <v>0</v>
      </c>
      <c r="AY52">
        <f>IF(ISNUMBER(SEARCH("record sensor data from", 'Form Responses 1'!M51)), 1, 0)</f>
        <v>0</v>
      </c>
      <c r="AZ52">
        <f>IF(ISNUMBER(SEARCH("record actuator data from",'Form Responses 1'!M51)),1,0)</f>
        <v>0</v>
      </c>
      <c r="BA52">
        <f>IF(ISNUMBER(SEARCH("recorded actuator data to the controller", 'Form Responses 1'!M51)), 1, 0)</f>
        <v>0</v>
      </c>
      <c r="BB52" s="7">
        <f t="shared" si="13"/>
        <v>0</v>
      </c>
      <c r="BC52">
        <f>IF('Form Responses 1'!N51, 0, 1)</f>
        <v>1</v>
      </c>
      <c r="BD52" s="7">
        <f t="shared" si="14"/>
        <v>4</v>
      </c>
    </row>
    <row r="53" spans="1:56" x14ac:dyDescent="0.2">
      <c r="A53" s="4">
        <v>51</v>
      </c>
      <c r="B53">
        <f>IF(ISNUMBER(SEARCH("Line 4", 'Form Responses 1'!E52)), -1, 0)</f>
        <v>0</v>
      </c>
      <c r="C53">
        <f>IF(ISNUMBER(SEARCH("Line 5", 'Form Responses 1'!E52)), -1, 0)</f>
        <v>0</v>
      </c>
      <c r="D53">
        <f>IF(ISNUMBER(SEARCH("Line 8", 'Form Responses 1'!E52)), 1, 0)</f>
        <v>0</v>
      </c>
      <c r="E53">
        <f>IF(ISNUMBER(SEARCH("Line 13", 'Form Responses 1'!E52)), 1, 0)</f>
        <v>0</v>
      </c>
      <c r="F53">
        <f>IF(ISNUMBER(SEARCH("Line 14", 'Form Responses 1'!E52)), -1, 0)</f>
        <v>0</v>
      </c>
      <c r="G53">
        <f>IF(ISNUMBER(SEARCH("Line 15", 'Form Responses 1'!E52)), 1, 0)</f>
        <v>1</v>
      </c>
      <c r="H53">
        <f>IF(ISNUMBER(SEARCH("Line 16", 'Form Responses 1'!E52)), -1, 0)</f>
        <v>0</v>
      </c>
      <c r="I53">
        <f>IF(ISNUMBER(SEARCH("Line 17", 'Form Responses 1'!E52)), 1, 0)</f>
        <v>0</v>
      </c>
      <c r="J53">
        <f>IF(ISNUMBER(SEARCH("Line 19", 'Form Responses 1'!E52)), 1, 0)</f>
        <v>1</v>
      </c>
      <c r="K53">
        <f t="shared" si="0"/>
        <v>2</v>
      </c>
      <c r="L53" s="8">
        <f t="shared" si="1"/>
        <v>3</v>
      </c>
      <c r="M53">
        <f>IF(ISNUMBER(SEARCH("Transmit data", 'Form Responses 1'!F52)), 1, 0)</f>
        <v>1</v>
      </c>
      <c r="N53">
        <f>IF(ISNUMBER(SEARCH("Alter", 'Form Responses 1'!F52)), -1, 0)</f>
        <v>0</v>
      </c>
      <c r="O53">
        <f>IF(ISNUMBER(SEARCH("Change", 'Form Responses 1'!F52)), -1, 0)</f>
        <v>0</v>
      </c>
      <c r="P53">
        <f>IF(ISNUMBER(SEARCH("Remove", 'Form Responses 1'!F52)), -1, 0)</f>
        <v>0</v>
      </c>
      <c r="Q53">
        <f>IF(ISNUMBER(SEARCH("unintelligible", 'Form Responses 1'!F52)), -1, 0)</f>
        <v>0</v>
      </c>
      <c r="R53">
        <f t="shared" si="2"/>
        <v>4</v>
      </c>
      <c r="S53" s="7">
        <f t="shared" si="3"/>
        <v>4</v>
      </c>
      <c r="T53">
        <f>IF(ISNUMBER(SEARCH("sensors", 'Form Responses 1'!G52)), 1, 0)</f>
        <v>0</v>
      </c>
      <c r="U53">
        <f>IF(ISNUMBER(SEARCH("actuators", 'Form Responses 1'!G52)), -1, 0)</f>
        <v>0</v>
      </c>
      <c r="V53">
        <f>IF(ISNUMBER(SEARCH("Switch", 'Form Responses 1'!G52)), 1, 0)</f>
        <v>0</v>
      </c>
      <c r="W53">
        <f>IF(ISNUMBER(SEARCH("PID", 'Form Responses 1'!G52)), -1, 0)</f>
        <v>-1</v>
      </c>
      <c r="X53">
        <f t="shared" si="4"/>
        <v>-1</v>
      </c>
      <c r="Y53" s="7">
        <f t="shared" si="5"/>
        <v>0</v>
      </c>
      <c r="Z53">
        <f>IF(ISNUMBER(SEARCH("16", 'Form Responses 1'!H52)), -1, 0)</f>
        <v>-1</v>
      </c>
      <c r="AA53">
        <f>IF(ISNUMBER(SEARCH("1.5", 'Form Responses 1'!H52)), 1, 0)</f>
        <v>1</v>
      </c>
      <c r="AB53">
        <f>IF(ISNUMBER(SEARCH("0.2", 'Form Responses 1'!H52)), -1, 0)</f>
        <v>0</v>
      </c>
      <c r="AC53">
        <f>IF(ISNUMBER(SEARCH("None", 'Form Responses 1'!H52)), -1, 0)</f>
        <v>0</v>
      </c>
      <c r="AD53">
        <f t="shared" si="6"/>
        <v>3</v>
      </c>
      <c r="AE53" s="7">
        <f t="shared" si="7"/>
        <v>3</v>
      </c>
      <c r="AF53">
        <f>IF(ISNUMBER(SEARCH("Small", 'Form Responses 1'!I52)), -1, 0)</f>
        <v>-1</v>
      </c>
      <c r="AG53">
        <f>IF(ISNUMBER(SEARCH("IMU", 'Form Responses 1'!I52)), 1, 0)</f>
        <v>0</v>
      </c>
      <c r="AH53">
        <f>IF(ISNUMBER(SEARCH("CAN", 'Form Responses 1'!I52)), 1, 0)</f>
        <v>1</v>
      </c>
      <c r="AI53">
        <f>IF(ISNUMBER(SEARCH("High", 'Form Responses 1'!I52)), -1, 0)</f>
        <v>0</v>
      </c>
      <c r="AJ53">
        <f>IF(ISNUMBER(SEARCH("Spoofing", 'Form Responses 1'!I52)), -1, 0)</f>
        <v>0</v>
      </c>
      <c r="AK53">
        <f t="shared" si="8"/>
        <v>3</v>
      </c>
      <c r="AL53" s="7">
        <f t="shared" si="9"/>
        <v>3</v>
      </c>
      <c r="AM53">
        <f>IF('Form Responses 1'!J52, 1, 0)</f>
        <v>1</v>
      </c>
      <c r="AN53" s="7">
        <f t="shared" si="10"/>
        <v>4</v>
      </c>
      <c r="AO53">
        <f>IF(ISNUMBER(SEARCH("Increase the integral gain", 'Form Responses 1'!K52)), 1, 0)</f>
        <v>1</v>
      </c>
      <c r="AP53">
        <f>IF(ISNUMBER(SEARCH("Increase the proportional gain", 'Form Responses 1'!K52)), 1, 0)</f>
        <v>0</v>
      </c>
      <c r="AQ53">
        <f>IF(ISNUMBER(SEARCH("increasing the integral gain", 'Form Responses 1'!K52)), 1, 0)</f>
        <v>0</v>
      </c>
      <c r="AR53">
        <f>IF(ISNUMBER(SEARCH("Decrease the proportional gain (Kp) and increase the derivative gain (Kd)", 'Form Responses 1'!K52)), 1, 0)</f>
        <v>0</v>
      </c>
      <c r="AS53">
        <f>IF(ISNUMBER(SEARCH("Decrease the proportional gain", 'Form Responses 1'!K52)), 1, 0)</f>
        <v>0</v>
      </c>
      <c r="AT53" s="7">
        <f t="shared" si="11"/>
        <v>4</v>
      </c>
      <c r="AU53">
        <f>IF(ISNUMBER(SEARCH("Measurement", 'Form Responses 1'!L52)), 1, 0)</f>
        <v>0</v>
      </c>
      <c r="AV53">
        <f>IF(ISNUMBER(SEARCH("All of the above",'Form Responses 1'!L52)),1,0)</f>
        <v>1</v>
      </c>
      <c r="AW53" s="7">
        <f t="shared" si="12"/>
        <v>2</v>
      </c>
      <c r="AX53">
        <f>IF(ISNUMBER(SEARCH("recorded sensor data to the controller", 'Form Responses 1'!M52)), 1, 0)</f>
        <v>1</v>
      </c>
      <c r="AY53">
        <f>IF(ISNUMBER(SEARCH("record sensor data from", 'Form Responses 1'!M52)), 1, 0)</f>
        <v>0</v>
      </c>
      <c r="AZ53">
        <f>IF(ISNUMBER(SEARCH("record actuator data from",'Form Responses 1'!M52)),1,0)</f>
        <v>0</v>
      </c>
      <c r="BA53">
        <f>IF(ISNUMBER(SEARCH("recorded actuator data to the controller", 'Form Responses 1'!M52)), 1, 0)</f>
        <v>0</v>
      </c>
      <c r="BB53" s="7">
        <f t="shared" si="13"/>
        <v>4</v>
      </c>
      <c r="BC53">
        <f>IF('Form Responses 1'!N52, 0, 1)</f>
        <v>1</v>
      </c>
      <c r="BD53" s="7">
        <f t="shared" si="14"/>
        <v>4</v>
      </c>
    </row>
    <row r="54" spans="1:56" x14ac:dyDescent="0.2">
      <c r="A54" s="4">
        <v>52</v>
      </c>
      <c r="B54">
        <f>IF(ISNUMBER(SEARCH("Line 4", 'Form Responses 1'!E53)), -1, 0)</f>
        <v>0</v>
      </c>
      <c r="C54">
        <f>IF(ISNUMBER(SEARCH("Line 5", 'Form Responses 1'!E53)), -1, 0)</f>
        <v>0</v>
      </c>
      <c r="D54">
        <f>IF(ISNUMBER(SEARCH("Line 8", 'Form Responses 1'!E53)), 1, 0)</f>
        <v>0</v>
      </c>
      <c r="E54">
        <f>IF(ISNUMBER(SEARCH("Line 13", 'Form Responses 1'!E53)), 1, 0)</f>
        <v>1</v>
      </c>
      <c r="F54">
        <f>IF(ISNUMBER(SEARCH("Line 14", 'Form Responses 1'!E53)), -1, 0)</f>
        <v>-1</v>
      </c>
      <c r="G54">
        <f>IF(ISNUMBER(SEARCH("Line 15", 'Form Responses 1'!E53)), 1, 0)</f>
        <v>0</v>
      </c>
      <c r="H54">
        <f>IF(ISNUMBER(SEARCH("Line 16", 'Form Responses 1'!E53)), -1, 0)</f>
        <v>0</v>
      </c>
      <c r="I54">
        <f>IF(ISNUMBER(SEARCH("Line 17", 'Form Responses 1'!E53)), 1, 0)</f>
        <v>0</v>
      </c>
      <c r="J54">
        <f>IF(ISNUMBER(SEARCH("Line 19", 'Form Responses 1'!E53)), 1, 0)</f>
        <v>1</v>
      </c>
      <c r="K54">
        <f t="shared" si="0"/>
        <v>1</v>
      </c>
      <c r="L54" s="8">
        <f t="shared" si="1"/>
        <v>3</v>
      </c>
      <c r="M54">
        <f>IF(ISNUMBER(SEARCH("Transmit data", 'Form Responses 1'!F53)), 1, 0)</f>
        <v>1</v>
      </c>
      <c r="N54">
        <f>IF(ISNUMBER(SEARCH("Alter", 'Form Responses 1'!F53)), -1, 0)</f>
        <v>0</v>
      </c>
      <c r="O54">
        <f>IF(ISNUMBER(SEARCH("Change", 'Form Responses 1'!F53)), -1, 0)</f>
        <v>-1</v>
      </c>
      <c r="P54">
        <f>IF(ISNUMBER(SEARCH("Remove", 'Form Responses 1'!F53)), -1, 0)</f>
        <v>0</v>
      </c>
      <c r="Q54">
        <f>IF(ISNUMBER(SEARCH("unintelligible", 'Form Responses 1'!F53)), -1, 0)</f>
        <v>-1</v>
      </c>
      <c r="R54">
        <f t="shared" si="2"/>
        <v>2.5</v>
      </c>
      <c r="S54" s="7">
        <f t="shared" si="3"/>
        <v>2.5</v>
      </c>
      <c r="T54">
        <f>IF(ISNUMBER(SEARCH("sensors", 'Form Responses 1'!G53)), 1, 0)</f>
        <v>0</v>
      </c>
      <c r="U54">
        <f>IF(ISNUMBER(SEARCH("actuators", 'Form Responses 1'!G53)), -1, 0)</f>
        <v>0</v>
      </c>
      <c r="V54">
        <f>IF(ISNUMBER(SEARCH("Switch", 'Form Responses 1'!G53)), 1, 0)</f>
        <v>1</v>
      </c>
      <c r="W54">
        <f>IF(ISNUMBER(SEARCH("PID", 'Form Responses 1'!G53)), -1, 0)</f>
        <v>-1</v>
      </c>
      <c r="X54">
        <f t="shared" si="4"/>
        <v>1</v>
      </c>
      <c r="Y54" s="7">
        <f t="shared" si="5"/>
        <v>1</v>
      </c>
      <c r="Z54">
        <f>IF(ISNUMBER(SEARCH("16", 'Form Responses 1'!H53)), -1, 0)</f>
        <v>0</v>
      </c>
      <c r="AA54">
        <f>IF(ISNUMBER(SEARCH("1.5", 'Form Responses 1'!H53)), 1, 0)</f>
        <v>1</v>
      </c>
      <c r="AB54">
        <f>IF(ISNUMBER(SEARCH("0.2", 'Form Responses 1'!H53)), -1, 0)</f>
        <v>0</v>
      </c>
      <c r="AC54">
        <f>IF(ISNUMBER(SEARCH("None", 'Form Responses 1'!H53)), -1, 0)</f>
        <v>0</v>
      </c>
      <c r="AD54">
        <f t="shared" si="6"/>
        <v>4</v>
      </c>
      <c r="AE54" s="7">
        <f t="shared" si="7"/>
        <v>4</v>
      </c>
      <c r="AF54">
        <f>IF(ISNUMBER(SEARCH("Small", 'Form Responses 1'!I53)), -1, 0)</f>
        <v>-1</v>
      </c>
      <c r="AG54">
        <f>IF(ISNUMBER(SEARCH("IMU", 'Form Responses 1'!I53)), 1, 0)</f>
        <v>1</v>
      </c>
      <c r="AH54">
        <f>IF(ISNUMBER(SEARCH("CAN", 'Form Responses 1'!I53)), 1, 0)</f>
        <v>1</v>
      </c>
      <c r="AI54">
        <f>IF(ISNUMBER(SEARCH("High", 'Form Responses 1'!I53)), -1, 0)</f>
        <v>0</v>
      </c>
      <c r="AJ54">
        <f>IF(ISNUMBER(SEARCH("Spoofing", 'Form Responses 1'!I53)), -1, 0)</f>
        <v>0</v>
      </c>
      <c r="AK54">
        <f t="shared" si="8"/>
        <v>5</v>
      </c>
      <c r="AL54" s="7">
        <f t="shared" si="9"/>
        <v>4</v>
      </c>
      <c r="AM54">
        <f>IF('Form Responses 1'!J53, 1, 0)</f>
        <v>0</v>
      </c>
      <c r="AN54" s="7">
        <f t="shared" si="10"/>
        <v>0</v>
      </c>
      <c r="AO54">
        <f>IF(ISNUMBER(SEARCH("Increase the integral gain", 'Form Responses 1'!K53)), 1, 0)</f>
        <v>0</v>
      </c>
      <c r="AP54">
        <f>IF(ISNUMBER(SEARCH("Increase the proportional gain", 'Form Responses 1'!K53)), 1, 0)</f>
        <v>1</v>
      </c>
      <c r="AQ54">
        <f>IF(ISNUMBER(SEARCH("increasing the integral gain", 'Form Responses 1'!K53)), 1, 0)</f>
        <v>1</v>
      </c>
      <c r="AR54">
        <f>IF(ISNUMBER(SEARCH("Decrease the proportional gain (Kp) and increase the derivative gain (Kd)", 'Form Responses 1'!K53)), 1, 0)</f>
        <v>0</v>
      </c>
      <c r="AS54">
        <f>IF(ISNUMBER(SEARCH("Decrease the proportional gain", 'Form Responses 1'!K53)), 1, 0)</f>
        <v>0</v>
      </c>
      <c r="AT54" s="7">
        <f t="shared" si="11"/>
        <v>2.2999999999999998</v>
      </c>
      <c r="AU54">
        <f>IF(ISNUMBER(SEARCH("Measurement", 'Form Responses 1'!L53)), 1, 0)</f>
        <v>1</v>
      </c>
      <c r="AV54">
        <f>IF(ISNUMBER(SEARCH("All of the above",'Form Responses 1'!L53)),1,0)</f>
        <v>0</v>
      </c>
      <c r="AW54" s="7">
        <f t="shared" si="12"/>
        <v>4</v>
      </c>
      <c r="AX54">
        <f>IF(ISNUMBER(SEARCH("recorded sensor data to the controller", 'Form Responses 1'!M53)), 1, 0)</f>
        <v>0</v>
      </c>
      <c r="AY54">
        <f>IF(ISNUMBER(SEARCH("record sensor data from", 'Form Responses 1'!M53)), 1, 0)</f>
        <v>0</v>
      </c>
      <c r="AZ54">
        <f>IF(ISNUMBER(SEARCH("record actuator data from",'Form Responses 1'!M53)),1,0)</f>
        <v>0</v>
      </c>
      <c r="BA54">
        <f>IF(ISNUMBER(SEARCH("recorded actuator data to the controller", 'Form Responses 1'!M53)), 1, 0)</f>
        <v>0</v>
      </c>
      <c r="BB54" s="7">
        <f t="shared" si="13"/>
        <v>0</v>
      </c>
      <c r="BC54">
        <f>IF('Form Responses 1'!N53, 0, 1)</f>
        <v>1</v>
      </c>
      <c r="BD54" s="7">
        <f t="shared" si="14"/>
        <v>4</v>
      </c>
    </row>
    <row r="55" spans="1:56" x14ac:dyDescent="0.2">
      <c r="A55" s="4">
        <v>53</v>
      </c>
      <c r="B55">
        <f>IF(ISNUMBER(SEARCH("Line 4", 'Form Responses 1'!E54)), -1, 0)</f>
        <v>0</v>
      </c>
      <c r="C55">
        <f>IF(ISNUMBER(SEARCH("Line 5", 'Form Responses 1'!E54)), -1, 0)</f>
        <v>0</v>
      </c>
      <c r="D55">
        <f>IF(ISNUMBER(SEARCH("Line 8", 'Form Responses 1'!E54)), 1, 0)</f>
        <v>0</v>
      </c>
      <c r="E55">
        <f>IF(ISNUMBER(SEARCH("Line 13", 'Form Responses 1'!E54)), 1, 0)</f>
        <v>0</v>
      </c>
      <c r="F55">
        <f>IF(ISNUMBER(SEARCH("Line 14", 'Form Responses 1'!E54)), -1, 0)</f>
        <v>0</v>
      </c>
      <c r="G55">
        <f>IF(ISNUMBER(SEARCH("Line 15", 'Form Responses 1'!E54)), 1, 0)</f>
        <v>0</v>
      </c>
      <c r="H55">
        <f>IF(ISNUMBER(SEARCH("Line 16", 'Form Responses 1'!E54)), -1, 0)</f>
        <v>0</v>
      </c>
      <c r="I55">
        <f>IF(ISNUMBER(SEARCH("Line 17", 'Form Responses 1'!E54)), 1, 0)</f>
        <v>1</v>
      </c>
      <c r="J55">
        <f>IF(ISNUMBER(SEARCH("Line 19", 'Form Responses 1'!E54)), 1, 0)</f>
        <v>0</v>
      </c>
      <c r="K55">
        <f t="shared" si="0"/>
        <v>1</v>
      </c>
      <c r="L55" s="8">
        <f t="shared" si="1"/>
        <v>1</v>
      </c>
      <c r="M55">
        <f>IF(ISNUMBER(SEARCH("Transmit data", 'Form Responses 1'!F54)), 1, 0)</f>
        <v>1</v>
      </c>
      <c r="N55">
        <f>IF(ISNUMBER(SEARCH("Alter", 'Form Responses 1'!F54)), -1, 0)</f>
        <v>0</v>
      </c>
      <c r="O55">
        <f>IF(ISNUMBER(SEARCH("Change", 'Form Responses 1'!F54)), -1, 0)</f>
        <v>0</v>
      </c>
      <c r="P55">
        <f>IF(ISNUMBER(SEARCH("Remove", 'Form Responses 1'!F54)), -1, 0)</f>
        <v>0</v>
      </c>
      <c r="Q55">
        <f>IF(ISNUMBER(SEARCH("unintelligible", 'Form Responses 1'!F54)), -1, 0)</f>
        <v>0</v>
      </c>
      <c r="R55">
        <f t="shared" si="2"/>
        <v>4</v>
      </c>
      <c r="S55" s="7">
        <f t="shared" si="3"/>
        <v>4</v>
      </c>
      <c r="T55">
        <f>IF(ISNUMBER(SEARCH("sensors", 'Form Responses 1'!G54)), 1, 0)</f>
        <v>1</v>
      </c>
      <c r="U55">
        <f>IF(ISNUMBER(SEARCH("actuators", 'Form Responses 1'!G54)), -1, 0)</f>
        <v>0</v>
      </c>
      <c r="V55">
        <f>IF(ISNUMBER(SEARCH("Switch", 'Form Responses 1'!G54)), 1, 0)</f>
        <v>0</v>
      </c>
      <c r="W55">
        <f>IF(ISNUMBER(SEARCH("PID", 'Form Responses 1'!G54)), -1, 0)</f>
        <v>0</v>
      </c>
      <c r="X55">
        <f t="shared" si="4"/>
        <v>2</v>
      </c>
      <c r="Y55" s="7">
        <f t="shared" si="5"/>
        <v>2</v>
      </c>
      <c r="Z55">
        <f>IF(ISNUMBER(SEARCH("16", 'Form Responses 1'!H54)), -1, 0)</f>
        <v>0</v>
      </c>
      <c r="AA55">
        <f>IF(ISNUMBER(SEARCH("1.5", 'Form Responses 1'!H54)), 1, 0)</f>
        <v>1</v>
      </c>
      <c r="AB55">
        <f>IF(ISNUMBER(SEARCH("0.2", 'Form Responses 1'!H54)), -1, 0)</f>
        <v>-1</v>
      </c>
      <c r="AC55">
        <f>IF(ISNUMBER(SEARCH("None", 'Form Responses 1'!H54)), -1, 0)</f>
        <v>0</v>
      </c>
      <c r="AD55">
        <f t="shared" si="6"/>
        <v>2</v>
      </c>
      <c r="AE55" s="7">
        <f t="shared" si="7"/>
        <v>2</v>
      </c>
      <c r="AF55">
        <f>IF(ISNUMBER(SEARCH("Small", 'Form Responses 1'!I54)), -1, 0)</f>
        <v>-1</v>
      </c>
      <c r="AG55">
        <f>IF(ISNUMBER(SEARCH("IMU", 'Form Responses 1'!I54)), 1, 0)</f>
        <v>1</v>
      </c>
      <c r="AH55">
        <f>IF(ISNUMBER(SEARCH("CAN", 'Form Responses 1'!I54)), 1, 0)</f>
        <v>0</v>
      </c>
      <c r="AI55">
        <f>IF(ISNUMBER(SEARCH("High", 'Form Responses 1'!I54)), -1, 0)</f>
        <v>0</v>
      </c>
      <c r="AJ55">
        <f>IF(ISNUMBER(SEARCH("Spoofing", 'Form Responses 1'!I54)), -1, 0)</f>
        <v>0</v>
      </c>
      <c r="AK55">
        <f t="shared" si="8"/>
        <v>3</v>
      </c>
      <c r="AL55" s="7">
        <f t="shared" si="9"/>
        <v>3</v>
      </c>
      <c r="AM55">
        <f>IF('Form Responses 1'!J54, 1, 0)</f>
        <v>1</v>
      </c>
      <c r="AN55" s="7">
        <f t="shared" si="10"/>
        <v>4</v>
      </c>
      <c r="AO55">
        <f>IF(ISNUMBER(SEARCH("Increase the integral gain", 'Form Responses 1'!K54)), 1, 0)</f>
        <v>0</v>
      </c>
      <c r="AP55">
        <f>IF(ISNUMBER(SEARCH("Increase the proportional gain", 'Form Responses 1'!K54)), 1, 0)</f>
        <v>0</v>
      </c>
      <c r="AQ55">
        <f>IF(ISNUMBER(SEARCH("increasing the integral gain", 'Form Responses 1'!K54)), 1, 0)</f>
        <v>0</v>
      </c>
      <c r="AR55">
        <f>IF(ISNUMBER(SEARCH("Decrease the proportional gain (Kp) and increase the derivative gain (Kd)", 'Form Responses 1'!K54)), 1, 0)</f>
        <v>1</v>
      </c>
      <c r="AS55">
        <f>IF(ISNUMBER(SEARCH("Decrease the proportional gain", 'Form Responses 1'!K54)), 1, 0)</f>
        <v>1</v>
      </c>
      <c r="AT55" s="7">
        <f t="shared" si="11"/>
        <v>2</v>
      </c>
      <c r="AU55">
        <f>IF(ISNUMBER(SEARCH("Measurement", 'Form Responses 1'!L54)), 1, 0)</f>
        <v>0</v>
      </c>
      <c r="AV55">
        <f>IF(ISNUMBER(SEARCH("All of the above",'Form Responses 1'!L54)),1,0)</f>
        <v>0</v>
      </c>
      <c r="AW55" s="7">
        <f t="shared" si="12"/>
        <v>0</v>
      </c>
      <c r="AX55">
        <f>IF(ISNUMBER(SEARCH("recorded sensor data to the controller", 'Form Responses 1'!M54)), 1, 0)</f>
        <v>0</v>
      </c>
      <c r="AY55">
        <f>IF(ISNUMBER(SEARCH("record sensor data from", 'Form Responses 1'!M54)), 1, 0)</f>
        <v>0</v>
      </c>
      <c r="AZ55">
        <f>IF(ISNUMBER(SEARCH("record actuator data from",'Form Responses 1'!M54)),1,0)</f>
        <v>0</v>
      </c>
      <c r="BA55">
        <f>IF(ISNUMBER(SEARCH("recorded actuator data to the controller", 'Form Responses 1'!M54)), 1, 0)</f>
        <v>0</v>
      </c>
      <c r="BB55" s="7">
        <f t="shared" si="13"/>
        <v>0</v>
      </c>
      <c r="BC55">
        <f>IF('Form Responses 1'!N54, 0, 1)</f>
        <v>0</v>
      </c>
      <c r="BD55" s="7">
        <f t="shared" si="14"/>
        <v>0</v>
      </c>
    </row>
    <row r="56" spans="1:56" x14ac:dyDescent="0.2">
      <c r="A56" s="4">
        <v>54</v>
      </c>
      <c r="B56">
        <f>IF(ISNUMBER(SEARCH("Line 4", 'Form Responses 1'!E55)), -1, 0)</f>
        <v>0</v>
      </c>
      <c r="C56">
        <f>IF(ISNUMBER(SEARCH("Line 5", 'Form Responses 1'!E55)), -1, 0)</f>
        <v>-1</v>
      </c>
      <c r="D56">
        <f>IF(ISNUMBER(SEARCH("Line 8", 'Form Responses 1'!E55)), 1, 0)</f>
        <v>0</v>
      </c>
      <c r="E56">
        <f>IF(ISNUMBER(SEARCH("Line 13", 'Form Responses 1'!E55)), 1, 0)</f>
        <v>0</v>
      </c>
      <c r="F56">
        <f>IF(ISNUMBER(SEARCH("Line 14", 'Form Responses 1'!E55)), -1, 0)</f>
        <v>0</v>
      </c>
      <c r="G56">
        <f>IF(ISNUMBER(SEARCH("Line 15", 'Form Responses 1'!E55)), 1, 0)</f>
        <v>0</v>
      </c>
      <c r="H56">
        <f>IF(ISNUMBER(SEARCH("Line 16", 'Form Responses 1'!E55)), -1, 0)</f>
        <v>0</v>
      </c>
      <c r="I56">
        <f>IF(ISNUMBER(SEARCH("Line 17", 'Form Responses 1'!E55)), 1, 0)</f>
        <v>1</v>
      </c>
      <c r="J56">
        <f>IF(ISNUMBER(SEARCH("Line 19", 'Form Responses 1'!E55)), 1, 0)</f>
        <v>0</v>
      </c>
      <c r="K56">
        <f t="shared" si="0"/>
        <v>0</v>
      </c>
      <c r="L56" s="8">
        <f t="shared" si="1"/>
        <v>0</v>
      </c>
      <c r="M56">
        <f>IF(ISNUMBER(SEARCH("Transmit data", 'Form Responses 1'!F55)), 1, 0)</f>
        <v>1</v>
      </c>
      <c r="N56">
        <f>IF(ISNUMBER(SEARCH("Alter", 'Form Responses 1'!F55)), -1, 0)</f>
        <v>0</v>
      </c>
      <c r="O56">
        <f>IF(ISNUMBER(SEARCH("Change", 'Form Responses 1'!F55)), -1, 0)</f>
        <v>-1</v>
      </c>
      <c r="P56">
        <f>IF(ISNUMBER(SEARCH("Remove", 'Form Responses 1'!F55)), -1, 0)</f>
        <v>0</v>
      </c>
      <c r="Q56">
        <f>IF(ISNUMBER(SEARCH("unintelligible", 'Form Responses 1'!F55)), -1, 0)</f>
        <v>-1</v>
      </c>
      <c r="R56">
        <f t="shared" si="2"/>
        <v>2.5</v>
      </c>
      <c r="S56" s="7">
        <f t="shared" si="3"/>
        <v>2.5</v>
      </c>
      <c r="T56">
        <f>IF(ISNUMBER(SEARCH("sensors", 'Form Responses 1'!G55)), 1, 0)</f>
        <v>1</v>
      </c>
      <c r="U56">
        <f>IF(ISNUMBER(SEARCH("actuators", 'Form Responses 1'!G55)), -1, 0)</f>
        <v>0</v>
      </c>
      <c r="V56">
        <f>IF(ISNUMBER(SEARCH("Switch", 'Form Responses 1'!G55)), 1, 0)</f>
        <v>0</v>
      </c>
      <c r="W56">
        <f>IF(ISNUMBER(SEARCH("PID", 'Form Responses 1'!G55)), -1, 0)</f>
        <v>0</v>
      </c>
      <c r="X56">
        <f t="shared" si="4"/>
        <v>2</v>
      </c>
      <c r="Y56" s="7">
        <f t="shared" si="5"/>
        <v>2</v>
      </c>
      <c r="Z56">
        <f>IF(ISNUMBER(SEARCH("16", 'Form Responses 1'!H55)), -1, 0)</f>
        <v>-1</v>
      </c>
      <c r="AA56">
        <f>IF(ISNUMBER(SEARCH("1.5", 'Form Responses 1'!H55)), 1, 0)</f>
        <v>1</v>
      </c>
      <c r="AB56">
        <f>IF(ISNUMBER(SEARCH("0.2", 'Form Responses 1'!H55)), -1, 0)</f>
        <v>0</v>
      </c>
      <c r="AC56">
        <f>IF(ISNUMBER(SEARCH("None", 'Form Responses 1'!H55)), -1, 0)</f>
        <v>0</v>
      </c>
      <c r="AD56">
        <f t="shared" si="6"/>
        <v>3</v>
      </c>
      <c r="AE56" s="7">
        <f t="shared" si="7"/>
        <v>3</v>
      </c>
      <c r="AF56">
        <f>IF(ISNUMBER(SEARCH("Small", 'Form Responses 1'!I55)), -1, 0)</f>
        <v>-1</v>
      </c>
      <c r="AG56">
        <f>IF(ISNUMBER(SEARCH("IMU", 'Form Responses 1'!I55)), 1, 0)</f>
        <v>1</v>
      </c>
      <c r="AH56">
        <f>IF(ISNUMBER(SEARCH("CAN", 'Form Responses 1'!I55)), 1, 0)</f>
        <v>1</v>
      </c>
      <c r="AI56">
        <f>IF(ISNUMBER(SEARCH("High", 'Form Responses 1'!I55)), -1, 0)</f>
        <v>0</v>
      </c>
      <c r="AJ56">
        <f>IF(ISNUMBER(SEARCH("Spoofing", 'Form Responses 1'!I55)), -1, 0)</f>
        <v>0</v>
      </c>
      <c r="AK56">
        <f t="shared" si="8"/>
        <v>5</v>
      </c>
      <c r="AL56" s="7">
        <f t="shared" si="9"/>
        <v>4</v>
      </c>
      <c r="AM56">
        <f>IF('Form Responses 1'!J55, 1, 0)</f>
        <v>0</v>
      </c>
      <c r="AN56" s="7">
        <f t="shared" si="10"/>
        <v>0</v>
      </c>
      <c r="AO56">
        <f>IF(ISNUMBER(SEARCH("Increase the integral gain", 'Form Responses 1'!K55)), 1, 0)</f>
        <v>1</v>
      </c>
      <c r="AP56">
        <f>IF(ISNUMBER(SEARCH("Increase the proportional gain", 'Form Responses 1'!K55)), 1, 0)</f>
        <v>0</v>
      </c>
      <c r="AQ56">
        <f>IF(ISNUMBER(SEARCH("increasing the integral gain", 'Form Responses 1'!K55)), 1, 0)</f>
        <v>0</v>
      </c>
      <c r="AR56">
        <f>IF(ISNUMBER(SEARCH("Decrease the proportional gain (Kp) and increase the derivative gain (Kd)", 'Form Responses 1'!K55)), 1, 0)</f>
        <v>0</v>
      </c>
      <c r="AS56">
        <f>IF(ISNUMBER(SEARCH("Decrease the proportional gain", 'Form Responses 1'!K55)), 1, 0)</f>
        <v>0</v>
      </c>
      <c r="AT56" s="7">
        <f t="shared" si="11"/>
        <v>4</v>
      </c>
      <c r="AU56">
        <f>IF(ISNUMBER(SEARCH("Measurement", 'Form Responses 1'!L55)), 1, 0)</f>
        <v>0</v>
      </c>
      <c r="AV56">
        <f>IF(ISNUMBER(SEARCH("All of the above",'Form Responses 1'!L55)),1,0)</f>
        <v>1</v>
      </c>
      <c r="AW56" s="7">
        <f t="shared" si="12"/>
        <v>2</v>
      </c>
      <c r="AX56">
        <f>IF(ISNUMBER(SEARCH("recorded sensor data to the controller", 'Form Responses 1'!M55)), 1, 0)</f>
        <v>1</v>
      </c>
      <c r="AY56">
        <f>IF(ISNUMBER(SEARCH("record sensor data from", 'Form Responses 1'!M55)), 1, 0)</f>
        <v>0</v>
      </c>
      <c r="AZ56">
        <f>IF(ISNUMBER(SEARCH("record actuator data from",'Form Responses 1'!M55)),1,0)</f>
        <v>0</v>
      </c>
      <c r="BA56">
        <f>IF(ISNUMBER(SEARCH("recorded actuator data to the controller", 'Form Responses 1'!M55)), 1, 0)</f>
        <v>0</v>
      </c>
      <c r="BB56" s="7">
        <f t="shared" si="13"/>
        <v>4</v>
      </c>
      <c r="BC56">
        <f>IF('Form Responses 1'!N55, 0, 1)</f>
        <v>1</v>
      </c>
      <c r="BD56" s="7">
        <f t="shared" si="14"/>
        <v>4</v>
      </c>
    </row>
    <row r="57" spans="1:56" x14ac:dyDescent="0.2">
      <c r="A57" s="4">
        <v>55</v>
      </c>
      <c r="B57">
        <f>IF(ISNUMBER(SEARCH("Line 4", 'Form Responses 1'!E56)), -1, 0)</f>
        <v>-1</v>
      </c>
      <c r="C57">
        <f>IF(ISNUMBER(SEARCH("Line 5", 'Form Responses 1'!E56)), -1, 0)</f>
        <v>-1</v>
      </c>
      <c r="D57">
        <f>IF(ISNUMBER(SEARCH("Line 8", 'Form Responses 1'!E56)), 1, 0)</f>
        <v>1</v>
      </c>
      <c r="E57">
        <f>IF(ISNUMBER(SEARCH("Line 13", 'Form Responses 1'!E56)), 1, 0)</f>
        <v>0</v>
      </c>
      <c r="F57">
        <f>IF(ISNUMBER(SEARCH("Line 14", 'Form Responses 1'!E56)), -1, 0)</f>
        <v>0</v>
      </c>
      <c r="G57">
        <f>IF(ISNUMBER(SEARCH("Line 15", 'Form Responses 1'!E56)), 1, 0)</f>
        <v>0</v>
      </c>
      <c r="H57">
        <f>IF(ISNUMBER(SEARCH("Line 16", 'Form Responses 1'!E56)), -1, 0)</f>
        <v>0</v>
      </c>
      <c r="I57">
        <f>IF(ISNUMBER(SEARCH("Line 17", 'Form Responses 1'!E56)), 1, 0)</f>
        <v>0</v>
      </c>
      <c r="J57">
        <f>IF(ISNUMBER(SEARCH("Line 19", 'Form Responses 1'!E56)), 1, 0)</f>
        <v>0</v>
      </c>
      <c r="K57">
        <f t="shared" si="0"/>
        <v>-1</v>
      </c>
      <c r="L57" s="8">
        <f t="shared" si="1"/>
        <v>0</v>
      </c>
      <c r="M57">
        <f>IF(ISNUMBER(SEARCH("Transmit data", 'Form Responses 1'!F56)), 1, 0)</f>
        <v>1</v>
      </c>
      <c r="N57">
        <f>IF(ISNUMBER(SEARCH("Alter", 'Form Responses 1'!F56)), -1, 0)</f>
        <v>0</v>
      </c>
      <c r="O57">
        <f>IF(ISNUMBER(SEARCH("Change", 'Form Responses 1'!F56)), -1, 0)</f>
        <v>0</v>
      </c>
      <c r="P57">
        <f>IF(ISNUMBER(SEARCH("Remove", 'Form Responses 1'!F56)), -1, 0)</f>
        <v>-1</v>
      </c>
      <c r="Q57">
        <f>IF(ISNUMBER(SEARCH("unintelligible", 'Form Responses 1'!F56)), -1, 0)</f>
        <v>0</v>
      </c>
      <c r="R57">
        <f t="shared" si="2"/>
        <v>3.25</v>
      </c>
      <c r="S57" s="7">
        <f t="shared" si="3"/>
        <v>3.25</v>
      </c>
      <c r="T57">
        <f>IF(ISNUMBER(SEARCH("sensors", 'Form Responses 1'!G56)), 1, 0)</f>
        <v>0</v>
      </c>
      <c r="U57">
        <f>IF(ISNUMBER(SEARCH("actuators", 'Form Responses 1'!G56)), -1, 0)</f>
        <v>-1</v>
      </c>
      <c r="V57">
        <f>IF(ISNUMBER(SEARCH("Switch", 'Form Responses 1'!G56)), 1, 0)</f>
        <v>0</v>
      </c>
      <c r="W57">
        <f>IF(ISNUMBER(SEARCH("PID", 'Form Responses 1'!G56)), -1, 0)</f>
        <v>0</v>
      </c>
      <c r="X57">
        <f t="shared" si="4"/>
        <v>-1</v>
      </c>
      <c r="Y57" s="7">
        <f t="shared" si="5"/>
        <v>0</v>
      </c>
      <c r="Z57">
        <f>IF(ISNUMBER(SEARCH("16", 'Form Responses 1'!H56)), -1, 0)</f>
        <v>-1</v>
      </c>
      <c r="AA57">
        <f>IF(ISNUMBER(SEARCH("1.5", 'Form Responses 1'!H56)), 1, 0)</f>
        <v>0</v>
      </c>
      <c r="AB57">
        <f>IF(ISNUMBER(SEARCH("0.2", 'Form Responses 1'!H56)), -1, 0)</f>
        <v>0</v>
      </c>
      <c r="AC57">
        <f>IF(ISNUMBER(SEARCH("None", 'Form Responses 1'!H56)), -1, 0)</f>
        <v>0</v>
      </c>
      <c r="AD57">
        <f t="shared" si="6"/>
        <v>-1</v>
      </c>
      <c r="AE57" s="7">
        <f t="shared" si="7"/>
        <v>0</v>
      </c>
      <c r="AF57">
        <f>IF(ISNUMBER(SEARCH("Small", 'Form Responses 1'!I56)), -1, 0)</f>
        <v>0</v>
      </c>
      <c r="AG57">
        <f>IF(ISNUMBER(SEARCH("IMU", 'Form Responses 1'!I56)), 1, 0)</f>
        <v>0</v>
      </c>
      <c r="AH57">
        <f>IF(ISNUMBER(SEARCH("CAN", 'Form Responses 1'!I56)), 1, 0)</f>
        <v>1</v>
      </c>
      <c r="AI57">
        <f>IF(ISNUMBER(SEARCH("High", 'Form Responses 1'!I56)), -1, 0)</f>
        <v>0</v>
      </c>
      <c r="AJ57">
        <f>IF(ISNUMBER(SEARCH("Spoofing", 'Form Responses 1'!I56)), -1, 0)</f>
        <v>0</v>
      </c>
      <c r="AK57">
        <f t="shared" si="8"/>
        <v>2</v>
      </c>
      <c r="AL57" s="7">
        <f t="shared" si="9"/>
        <v>2</v>
      </c>
      <c r="AM57">
        <f>IF('Form Responses 1'!J56, 1, 0)</f>
        <v>1</v>
      </c>
      <c r="AN57" s="7">
        <f t="shared" si="10"/>
        <v>4</v>
      </c>
      <c r="AO57">
        <f>IF(ISNUMBER(SEARCH("Increase the integral gain", 'Form Responses 1'!K56)), 1, 0)</f>
        <v>0</v>
      </c>
      <c r="AP57">
        <f>IF(ISNUMBER(SEARCH("Increase the proportional gain", 'Form Responses 1'!K56)), 1, 0)</f>
        <v>1</v>
      </c>
      <c r="AQ57">
        <f>IF(ISNUMBER(SEARCH("increasing the integral gain", 'Form Responses 1'!K56)), 1, 0)</f>
        <v>0</v>
      </c>
      <c r="AR57">
        <f>IF(ISNUMBER(SEARCH("Decrease the proportional gain (Kp) and increase the derivative gain (Kd)", 'Form Responses 1'!K56)), 1, 0)</f>
        <v>0</v>
      </c>
      <c r="AS57">
        <f>IF(ISNUMBER(SEARCH("Decrease the proportional gain", 'Form Responses 1'!K56)), 1, 0)</f>
        <v>0</v>
      </c>
      <c r="AT57" s="7">
        <f t="shared" si="11"/>
        <v>1</v>
      </c>
      <c r="AU57">
        <f>IF(ISNUMBER(SEARCH("Measurement", 'Form Responses 1'!L56)), 1, 0)</f>
        <v>0</v>
      </c>
      <c r="AV57">
        <f>IF(ISNUMBER(SEARCH("All of the above",'Form Responses 1'!L56)),1,0)</f>
        <v>1</v>
      </c>
      <c r="AW57" s="7">
        <f t="shared" si="12"/>
        <v>2</v>
      </c>
      <c r="AX57">
        <f>IF(ISNUMBER(SEARCH("recorded sensor data to the controller", 'Form Responses 1'!M56)), 1, 0)</f>
        <v>0</v>
      </c>
      <c r="AY57">
        <f>IF(ISNUMBER(SEARCH("record sensor data from", 'Form Responses 1'!M56)), 1, 0)</f>
        <v>0</v>
      </c>
      <c r="AZ57">
        <f>IF(ISNUMBER(SEARCH("record actuator data from",'Form Responses 1'!M56)),1,0)</f>
        <v>0</v>
      </c>
      <c r="BA57">
        <f>IF(ISNUMBER(SEARCH("recorded actuator data to the controller", 'Form Responses 1'!M56)), 1, 0)</f>
        <v>0</v>
      </c>
      <c r="BB57" s="7">
        <f t="shared" si="13"/>
        <v>0</v>
      </c>
      <c r="BC57">
        <f>IF('Form Responses 1'!N56, 0, 1)</f>
        <v>1</v>
      </c>
      <c r="BD57" s="7">
        <f t="shared" si="14"/>
        <v>4</v>
      </c>
    </row>
    <row r="58" spans="1:56" x14ac:dyDescent="0.2">
      <c r="A58" s="4">
        <v>56</v>
      </c>
      <c r="B58">
        <f>IF(ISNUMBER(SEARCH("Line 4", 'Form Responses 1'!E57)), -1, 0)</f>
        <v>0</v>
      </c>
      <c r="C58">
        <f>IF(ISNUMBER(SEARCH("Line 5", 'Form Responses 1'!E57)), -1, 0)</f>
        <v>-1</v>
      </c>
      <c r="D58">
        <f>IF(ISNUMBER(SEARCH("Line 8", 'Form Responses 1'!E57)), 1, 0)</f>
        <v>0</v>
      </c>
      <c r="E58">
        <f>IF(ISNUMBER(SEARCH("Line 13", 'Form Responses 1'!E57)), 1, 0)</f>
        <v>0</v>
      </c>
      <c r="F58">
        <f>IF(ISNUMBER(SEARCH("Line 14", 'Form Responses 1'!E57)), -1, 0)</f>
        <v>0</v>
      </c>
      <c r="G58">
        <f>IF(ISNUMBER(SEARCH("Line 15", 'Form Responses 1'!E57)), 1, 0)</f>
        <v>1</v>
      </c>
      <c r="H58">
        <f>IF(ISNUMBER(SEARCH("Line 16", 'Form Responses 1'!E57)), -1, 0)</f>
        <v>0</v>
      </c>
      <c r="I58">
        <f>IF(ISNUMBER(SEARCH("Line 17", 'Form Responses 1'!E57)), 1, 0)</f>
        <v>0</v>
      </c>
      <c r="J58">
        <f>IF(ISNUMBER(SEARCH("Line 19", 'Form Responses 1'!E57)), 1, 0)</f>
        <v>0</v>
      </c>
      <c r="K58">
        <f t="shared" si="0"/>
        <v>0</v>
      </c>
      <c r="L58" s="8">
        <f t="shared" si="1"/>
        <v>0</v>
      </c>
      <c r="M58">
        <f>IF(ISNUMBER(SEARCH("Transmit data", 'Form Responses 1'!F57)), 1, 0)</f>
        <v>1</v>
      </c>
      <c r="N58">
        <f>IF(ISNUMBER(SEARCH("Alter", 'Form Responses 1'!F57)), -1, 0)</f>
        <v>0</v>
      </c>
      <c r="O58">
        <f>IF(ISNUMBER(SEARCH("Change", 'Form Responses 1'!F57)), -1, 0)</f>
        <v>0</v>
      </c>
      <c r="P58">
        <f>IF(ISNUMBER(SEARCH("Remove", 'Form Responses 1'!F57)), -1, 0)</f>
        <v>0</v>
      </c>
      <c r="Q58">
        <f>IF(ISNUMBER(SEARCH("unintelligible", 'Form Responses 1'!F57)), -1, 0)</f>
        <v>0</v>
      </c>
      <c r="R58">
        <f t="shared" si="2"/>
        <v>4</v>
      </c>
      <c r="S58" s="7">
        <f t="shared" si="3"/>
        <v>4</v>
      </c>
      <c r="T58">
        <f>IF(ISNUMBER(SEARCH("sensors", 'Form Responses 1'!G57)), 1, 0)</f>
        <v>0</v>
      </c>
      <c r="U58">
        <f>IF(ISNUMBER(SEARCH("actuators", 'Form Responses 1'!G57)), -1, 0)</f>
        <v>0</v>
      </c>
      <c r="V58">
        <f>IF(ISNUMBER(SEARCH("Switch", 'Form Responses 1'!G57)), 1, 0)</f>
        <v>1</v>
      </c>
      <c r="W58">
        <f>IF(ISNUMBER(SEARCH("PID", 'Form Responses 1'!G57)), -1, 0)</f>
        <v>-1</v>
      </c>
      <c r="X58">
        <f t="shared" si="4"/>
        <v>1</v>
      </c>
      <c r="Y58" s="7">
        <f t="shared" si="5"/>
        <v>1</v>
      </c>
      <c r="Z58">
        <f>IF(ISNUMBER(SEARCH("16", 'Form Responses 1'!H57)), -1, 0)</f>
        <v>0</v>
      </c>
      <c r="AA58">
        <f>IF(ISNUMBER(SEARCH("1.5", 'Form Responses 1'!H57)), 1, 0)</f>
        <v>1</v>
      </c>
      <c r="AB58">
        <f>IF(ISNUMBER(SEARCH("0.2", 'Form Responses 1'!H57)), -1, 0)</f>
        <v>-1</v>
      </c>
      <c r="AC58">
        <f>IF(ISNUMBER(SEARCH("None", 'Form Responses 1'!H57)), -1, 0)</f>
        <v>0</v>
      </c>
      <c r="AD58">
        <f t="shared" si="6"/>
        <v>2</v>
      </c>
      <c r="AE58" s="7">
        <f t="shared" si="7"/>
        <v>2</v>
      </c>
      <c r="AF58">
        <f>IF(ISNUMBER(SEARCH("Small", 'Form Responses 1'!I57)), -1, 0)</f>
        <v>0</v>
      </c>
      <c r="AG58">
        <f>IF(ISNUMBER(SEARCH("IMU", 'Form Responses 1'!I57)), 1, 0)</f>
        <v>0</v>
      </c>
      <c r="AH58">
        <f>IF(ISNUMBER(SEARCH("CAN", 'Form Responses 1'!I57)), 1, 0)</f>
        <v>1</v>
      </c>
      <c r="AI58">
        <f>IF(ISNUMBER(SEARCH("High", 'Form Responses 1'!I57)), -1, 0)</f>
        <v>0</v>
      </c>
      <c r="AJ58">
        <f>IF(ISNUMBER(SEARCH("Spoofing", 'Form Responses 1'!I57)), -1, 0)</f>
        <v>-1</v>
      </c>
      <c r="AK58">
        <f t="shared" si="8"/>
        <v>1</v>
      </c>
      <c r="AL58" s="7">
        <f t="shared" si="9"/>
        <v>1</v>
      </c>
      <c r="AM58">
        <f>IF('Form Responses 1'!J57, 1, 0)</f>
        <v>1</v>
      </c>
      <c r="AN58" s="7">
        <f t="shared" si="10"/>
        <v>4</v>
      </c>
      <c r="AO58">
        <f>IF(ISNUMBER(SEARCH("Increase the integral gain", 'Form Responses 1'!K57)), 1, 0)</f>
        <v>0</v>
      </c>
      <c r="AP58">
        <f>IF(ISNUMBER(SEARCH("Increase the proportional gain", 'Form Responses 1'!K57)), 1, 0)</f>
        <v>1</v>
      </c>
      <c r="AQ58">
        <f>IF(ISNUMBER(SEARCH("increasing the integral gain", 'Form Responses 1'!K57)), 1, 0)</f>
        <v>1</v>
      </c>
      <c r="AR58">
        <f>IF(ISNUMBER(SEARCH("Decrease the proportional gain (Kp) and increase the derivative gain (Kd)", 'Form Responses 1'!K57)), 1, 0)</f>
        <v>0</v>
      </c>
      <c r="AS58">
        <f>IF(ISNUMBER(SEARCH("Decrease the proportional gain", 'Form Responses 1'!K57)), 1, 0)</f>
        <v>0</v>
      </c>
      <c r="AT58" s="7">
        <f t="shared" si="11"/>
        <v>2.2999999999999998</v>
      </c>
      <c r="AU58">
        <f>IF(ISNUMBER(SEARCH("Measurement", 'Form Responses 1'!L57)), 1, 0)</f>
        <v>0</v>
      </c>
      <c r="AV58">
        <f>IF(ISNUMBER(SEARCH("All of the above",'Form Responses 1'!L57)),1,0)</f>
        <v>0</v>
      </c>
      <c r="AW58" s="7">
        <f t="shared" si="12"/>
        <v>0</v>
      </c>
      <c r="AX58">
        <f>IF(ISNUMBER(SEARCH("recorded sensor data to the controller", 'Form Responses 1'!M57)), 1, 0)</f>
        <v>1</v>
      </c>
      <c r="AY58">
        <f>IF(ISNUMBER(SEARCH("record sensor data from", 'Form Responses 1'!M57)), 1, 0)</f>
        <v>0</v>
      </c>
      <c r="AZ58">
        <f>IF(ISNUMBER(SEARCH("record actuator data from",'Form Responses 1'!M57)),1,0)</f>
        <v>0</v>
      </c>
      <c r="BA58">
        <f>IF(ISNUMBER(SEARCH("recorded actuator data to the controller", 'Form Responses 1'!M57)), 1, 0)</f>
        <v>0</v>
      </c>
      <c r="BB58" s="7">
        <f t="shared" si="13"/>
        <v>4</v>
      </c>
      <c r="BC58">
        <f>IF('Form Responses 1'!N57, 0, 1)</f>
        <v>0</v>
      </c>
      <c r="BD58" s="7">
        <f t="shared" si="14"/>
        <v>0</v>
      </c>
    </row>
    <row r="59" spans="1:56" x14ac:dyDescent="0.2">
      <c r="A59" s="4">
        <v>57</v>
      </c>
      <c r="B59">
        <f>IF(ISNUMBER(SEARCH("Line 4", 'Form Responses 1'!E58)), -1, 0)</f>
        <v>0</v>
      </c>
      <c r="C59">
        <f>IF(ISNUMBER(SEARCH("Line 5", 'Form Responses 1'!E58)), -1, 0)</f>
        <v>0</v>
      </c>
      <c r="D59">
        <f>IF(ISNUMBER(SEARCH("Line 8", 'Form Responses 1'!E58)), 1, 0)</f>
        <v>1</v>
      </c>
      <c r="E59">
        <f>IF(ISNUMBER(SEARCH("Line 13", 'Form Responses 1'!E58)), 1, 0)</f>
        <v>0</v>
      </c>
      <c r="F59">
        <f>IF(ISNUMBER(SEARCH("Line 14", 'Form Responses 1'!E58)), -1, 0)</f>
        <v>0</v>
      </c>
      <c r="G59">
        <f>IF(ISNUMBER(SEARCH("Line 15", 'Form Responses 1'!E58)), 1, 0)</f>
        <v>0</v>
      </c>
      <c r="H59">
        <f>IF(ISNUMBER(SEARCH("Line 16", 'Form Responses 1'!E58)), -1, 0)</f>
        <v>0</v>
      </c>
      <c r="I59">
        <f>IF(ISNUMBER(SEARCH("Line 17", 'Form Responses 1'!E58)), 1, 0)</f>
        <v>0</v>
      </c>
      <c r="J59">
        <f>IF(ISNUMBER(SEARCH("Line 19", 'Form Responses 1'!E58)), 1, 0)</f>
        <v>0</v>
      </c>
      <c r="K59">
        <f t="shared" si="0"/>
        <v>1</v>
      </c>
      <c r="L59" s="8">
        <f t="shared" si="1"/>
        <v>1</v>
      </c>
      <c r="M59">
        <f>IF(ISNUMBER(SEARCH("Transmit data", 'Form Responses 1'!F58)), 1, 0)</f>
        <v>1</v>
      </c>
      <c r="N59">
        <f>IF(ISNUMBER(SEARCH("Alter", 'Form Responses 1'!F58)), -1, 0)</f>
        <v>0</v>
      </c>
      <c r="O59">
        <f>IF(ISNUMBER(SEARCH("Change", 'Form Responses 1'!F58)), -1, 0)</f>
        <v>-1</v>
      </c>
      <c r="P59">
        <f>IF(ISNUMBER(SEARCH("Remove", 'Form Responses 1'!F58)), -1, 0)</f>
        <v>0</v>
      </c>
      <c r="Q59">
        <f>IF(ISNUMBER(SEARCH("unintelligible", 'Form Responses 1'!F58)), -1, 0)</f>
        <v>0</v>
      </c>
      <c r="R59">
        <f t="shared" si="2"/>
        <v>3.25</v>
      </c>
      <c r="S59" s="7">
        <f t="shared" si="3"/>
        <v>3.25</v>
      </c>
      <c r="T59">
        <f>IF(ISNUMBER(SEARCH("sensors", 'Form Responses 1'!G58)), 1, 0)</f>
        <v>1</v>
      </c>
      <c r="U59">
        <f>IF(ISNUMBER(SEARCH("actuators", 'Form Responses 1'!G58)), -1, 0)</f>
        <v>-1</v>
      </c>
      <c r="V59">
        <f>IF(ISNUMBER(SEARCH("Switch", 'Form Responses 1'!G58)), 1, 0)</f>
        <v>1</v>
      </c>
      <c r="W59">
        <f>IF(ISNUMBER(SEARCH("PID", 'Form Responses 1'!G58)), -1, 0)</f>
        <v>0</v>
      </c>
      <c r="X59">
        <f t="shared" si="4"/>
        <v>3</v>
      </c>
      <c r="Y59" s="7">
        <f t="shared" si="5"/>
        <v>3</v>
      </c>
      <c r="Z59">
        <f>IF(ISNUMBER(SEARCH("16", 'Form Responses 1'!H58)), -1, 0)</f>
        <v>-1</v>
      </c>
      <c r="AA59">
        <f>IF(ISNUMBER(SEARCH("1.5", 'Form Responses 1'!H58)), 1, 0)</f>
        <v>1</v>
      </c>
      <c r="AB59">
        <f>IF(ISNUMBER(SEARCH("0.2", 'Form Responses 1'!H58)), -1, 0)</f>
        <v>0</v>
      </c>
      <c r="AC59">
        <f>IF(ISNUMBER(SEARCH("None", 'Form Responses 1'!H58)), -1, 0)</f>
        <v>0</v>
      </c>
      <c r="AD59">
        <f t="shared" si="6"/>
        <v>3</v>
      </c>
      <c r="AE59" s="7">
        <f t="shared" si="7"/>
        <v>3</v>
      </c>
      <c r="AF59">
        <f>IF(ISNUMBER(SEARCH("Small", 'Form Responses 1'!I58)), -1, 0)</f>
        <v>-1</v>
      </c>
      <c r="AG59">
        <f>IF(ISNUMBER(SEARCH("IMU", 'Form Responses 1'!I58)), 1, 0)</f>
        <v>1</v>
      </c>
      <c r="AH59">
        <f>IF(ISNUMBER(SEARCH("CAN", 'Form Responses 1'!I58)), 1, 0)</f>
        <v>1</v>
      </c>
      <c r="AI59">
        <f>IF(ISNUMBER(SEARCH("High", 'Form Responses 1'!I58)), -1, 0)</f>
        <v>0</v>
      </c>
      <c r="AJ59">
        <f>IF(ISNUMBER(SEARCH("Spoofing", 'Form Responses 1'!I58)), -1, 0)</f>
        <v>0</v>
      </c>
      <c r="AK59">
        <f t="shared" si="8"/>
        <v>5</v>
      </c>
      <c r="AL59" s="7">
        <f t="shared" si="9"/>
        <v>4</v>
      </c>
      <c r="AM59">
        <f>IF('Form Responses 1'!J58, 1, 0)</f>
        <v>1</v>
      </c>
      <c r="AN59" s="7">
        <f t="shared" si="10"/>
        <v>4</v>
      </c>
      <c r="AO59">
        <f>IF(ISNUMBER(SEARCH("Increase the integral gain", 'Form Responses 1'!K58)), 1, 0)</f>
        <v>1</v>
      </c>
      <c r="AP59">
        <f>IF(ISNUMBER(SEARCH("Increase the proportional gain", 'Form Responses 1'!K58)), 1, 0)</f>
        <v>0</v>
      </c>
      <c r="AQ59">
        <f>IF(ISNUMBER(SEARCH("increasing the integral gain", 'Form Responses 1'!K58)), 1, 0)</f>
        <v>0</v>
      </c>
      <c r="AR59">
        <f>IF(ISNUMBER(SEARCH("Decrease the proportional gain (Kp) and increase the derivative gain (Kd)", 'Form Responses 1'!K58)), 1, 0)</f>
        <v>0</v>
      </c>
      <c r="AS59">
        <f>IF(ISNUMBER(SEARCH("Decrease the proportional gain", 'Form Responses 1'!K58)), 1, 0)</f>
        <v>0</v>
      </c>
      <c r="AT59" s="7">
        <f t="shared" si="11"/>
        <v>4</v>
      </c>
      <c r="AU59">
        <f>IF(ISNUMBER(SEARCH("Measurement", 'Form Responses 1'!L58)), 1, 0)</f>
        <v>0</v>
      </c>
      <c r="AV59">
        <f>IF(ISNUMBER(SEARCH("All of the above",'Form Responses 1'!L58)),1,0)</f>
        <v>1</v>
      </c>
      <c r="AW59" s="7">
        <f t="shared" si="12"/>
        <v>2</v>
      </c>
      <c r="AX59">
        <f>IF(ISNUMBER(SEARCH("recorded sensor data to the controller", 'Form Responses 1'!M58)), 1, 0)</f>
        <v>0</v>
      </c>
      <c r="AY59">
        <f>IF(ISNUMBER(SEARCH("record sensor data from", 'Form Responses 1'!M58)), 1, 0)</f>
        <v>1</v>
      </c>
      <c r="AZ59">
        <f>IF(ISNUMBER(SEARCH("record actuator data from",'Form Responses 1'!M58)),1,0)</f>
        <v>0</v>
      </c>
      <c r="BA59">
        <f>IF(ISNUMBER(SEARCH("recorded actuator data to the controller", 'Form Responses 1'!M58)), 1, 0)</f>
        <v>0</v>
      </c>
      <c r="BB59" s="7">
        <f t="shared" si="13"/>
        <v>2</v>
      </c>
      <c r="BC59">
        <f>IF('Form Responses 1'!N58, 0, 1)</f>
        <v>0</v>
      </c>
      <c r="BD59" s="7">
        <f t="shared" si="14"/>
        <v>0</v>
      </c>
    </row>
    <row r="60" spans="1:56" x14ac:dyDescent="0.2">
      <c r="A60" s="4">
        <v>58</v>
      </c>
      <c r="B60">
        <f>IF(ISNUMBER(SEARCH("Line 4", 'Form Responses 1'!E59)), -1, 0)</f>
        <v>-1</v>
      </c>
      <c r="C60">
        <f>IF(ISNUMBER(SEARCH("Line 5", 'Form Responses 1'!E59)), -1, 0)</f>
        <v>-1</v>
      </c>
      <c r="D60">
        <f>IF(ISNUMBER(SEARCH("Line 8", 'Form Responses 1'!E59)), 1, 0)</f>
        <v>1</v>
      </c>
      <c r="E60">
        <f>IF(ISNUMBER(SEARCH("Line 13", 'Form Responses 1'!E59)), 1, 0)</f>
        <v>0</v>
      </c>
      <c r="F60">
        <f>IF(ISNUMBER(SEARCH("Line 14", 'Form Responses 1'!E59)), -1, 0)</f>
        <v>0</v>
      </c>
      <c r="G60">
        <f>IF(ISNUMBER(SEARCH("Line 15", 'Form Responses 1'!E59)), 1, 0)</f>
        <v>0</v>
      </c>
      <c r="H60">
        <f>IF(ISNUMBER(SEARCH("Line 16", 'Form Responses 1'!E59)), -1, 0)</f>
        <v>-1</v>
      </c>
      <c r="I60">
        <f>IF(ISNUMBER(SEARCH("Line 17", 'Form Responses 1'!E59)), 1, 0)</f>
        <v>0</v>
      </c>
      <c r="J60">
        <f>IF(ISNUMBER(SEARCH("Line 19", 'Form Responses 1'!E59)), 1, 0)</f>
        <v>0</v>
      </c>
      <c r="K60">
        <f t="shared" si="0"/>
        <v>-2</v>
      </c>
      <c r="L60" s="8">
        <f t="shared" si="1"/>
        <v>0</v>
      </c>
      <c r="M60">
        <f>IF(ISNUMBER(SEARCH("Transmit data", 'Form Responses 1'!F59)), 1, 0)</f>
        <v>1</v>
      </c>
      <c r="N60">
        <f>IF(ISNUMBER(SEARCH("Alter", 'Form Responses 1'!F59)), -1, 0)</f>
        <v>0</v>
      </c>
      <c r="O60">
        <f>IF(ISNUMBER(SEARCH("Change", 'Form Responses 1'!F59)), -1, 0)</f>
        <v>0</v>
      </c>
      <c r="P60">
        <f>IF(ISNUMBER(SEARCH("Remove", 'Form Responses 1'!F59)), -1, 0)</f>
        <v>0</v>
      </c>
      <c r="Q60">
        <f>IF(ISNUMBER(SEARCH("unintelligible", 'Form Responses 1'!F59)), -1, 0)</f>
        <v>0</v>
      </c>
      <c r="R60">
        <f t="shared" si="2"/>
        <v>4</v>
      </c>
      <c r="S60" s="7">
        <f t="shared" si="3"/>
        <v>4</v>
      </c>
      <c r="T60">
        <f>IF(ISNUMBER(SEARCH("sensors", 'Form Responses 1'!G59)), 1, 0)</f>
        <v>1</v>
      </c>
      <c r="U60">
        <f>IF(ISNUMBER(SEARCH("actuators", 'Form Responses 1'!G59)), -1, 0)</f>
        <v>-1</v>
      </c>
      <c r="V60">
        <f>IF(ISNUMBER(SEARCH("Switch", 'Form Responses 1'!G59)), 1, 0)</f>
        <v>1</v>
      </c>
      <c r="W60">
        <f>IF(ISNUMBER(SEARCH("PID", 'Form Responses 1'!G59)), -1, 0)</f>
        <v>-1</v>
      </c>
      <c r="X60">
        <f t="shared" si="4"/>
        <v>2</v>
      </c>
      <c r="Y60" s="7">
        <f t="shared" si="5"/>
        <v>2</v>
      </c>
      <c r="Z60">
        <f>IF(ISNUMBER(SEARCH("16", 'Form Responses 1'!H59)), -1, 0)</f>
        <v>0</v>
      </c>
      <c r="AA60">
        <f>IF(ISNUMBER(SEARCH("1.5", 'Form Responses 1'!H59)), 1, 0)</f>
        <v>1</v>
      </c>
      <c r="AB60">
        <f>IF(ISNUMBER(SEARCH("0.2", 'Form Responses 1'!H59)), -1, 0)</f>
        <v>0</v>
      </c>
      <c r="AC60">
        <f>IF(ISNUMBER(SEARCH("None", 'Form Responses 1'!H59)), -1, 0)</f>
        <v>0</v>
      </c>
      <c r="AD60">
        <f t="shared" si="6"/>
        <v>4</v>
      </c>
      <c r="AE60" s="7">
        <f t="shared" si="7"/>
        <v>4</v>
      </c>
      <c r="AF60">
        <f>IF(ISNUMBER(SEARCH("Small", 'Form Responses 1'!I59)), -1, 0)</f>
        <v>-1</v>
      </c>
      <c r="AG60">
        <f>IF(ISNUMBER(SEARCH("IMU", 'Form Responses 1'!I59)), 1, 0)</f>
        <v>1</v>
      </c>
      <c r="AH60">
        <f>IF(ISNUMBER(SEARCH("CAN", 'Form Responses 1'!I59)), 1, 0)</f>
        <v>1</v>
      </c>
      <c r="AI60">
        <f>IF(ISNUMBER(SEARCH("High", 'Form Responses 1'!I59)), -1, 0)</f>
        <v>0</v>
      </c>
      <c r="AJ60">
        <f>IF(ISNUMBER(SEARCH("Spoofing", 'Form Responses 1'!I59)), -1, 0)</f>
        <v>0</v>
      </c>
      <c r="AK60">
        <f t="shared" si="8"/>
        <v>5</v>
      </c>
      <c r="AL60" s="7">
        <f t="shared" si="9"/>
        <v>4</v>
      </c>
      <c r="AM60">
        <f>IF('Form Responses 1'!J59, 1, 0)</f>
        <v>1</v>
      </c>
      <c r="AN60" s="7">
        <f t="shared" si="10"/>
        <v>4</v>
      </c>
      <c r="AO60">
        <f>IF(ISNUMBER(SEARCH("Increase the integral gain", 'Form Responses 1'!K59)), 1, 0)</f>
        <v>0</v>
      </c>
      <c r="AP60">
        <f>IF(ISNUMBER(SEARCH("Increase the proportional gain", 'Form Responses 1'!K59)), 1, 0)</f>
        <v>1</v>
      </c>
      <c r="AQ60">
        <f>IF(ISNUMBER(SEARCH("increasing the integral gain", 'Form Responses 1'!K59)), 1, 0)</f>
        <v>1</v>
      </c>
      <c r="AR60">
        <f>IF(ISNUMBER(SEARCH("Decrease the proportional gain (Kp) and increase the derivative gain (Kd)", 'Form Responses 1'!K59)), 1, 0)</f>
        <v>0</v>
      </c>
      <c r="AS60">
        <f>IF(ISNUMBER(SEARCH("Decrease the proportional gain", 'Form Responses 1'!K59)), 1, 0)</f>
        <v>0</v>
      </c>
      <c r="AT60" s="7">
        <f t="shared" si="11"/>
        <v>2.2999999999999998</v>
      </c>
      <c r="AU60">
        <f>IF(ISNUMBER(SEARCH("Measurement", 'Form Responses 1'!L59)), 1, 0)</f>
        <v>0</v>
      </c>
      <c r="AV60">
        <f>IF(ISNUMBER(SEARCH("All of the above",'Form Responses 1'!L59)),1,0)</f>
        <v>0</v>
      </c>
      <c r="AW60" s="7">
        <f t="shared" si="12"/>
        <v>0</v>
      </c>
      <c r="AX60">
        <f>IF(ISNUMBER(SEARCH("recorded sensor data to the controller", 'Form Responses 1'!M59)), 1, 0)</f>
        <v>1</v>
      </c>
      <c r="AY60">
        <f>IF(ISNUMBER(SEARCH("record sensor data from", 'Form Responses 1'!M59)), 1, 0)</f>
        <v>0</v>
      </c>
      <c r="AZ60">
        <f>IF(ISNUMBER(SEARCH("record actuator data from",'Form Responses 1'!M59)),1,0)</f>
        <v>0</v>
      </c>
      <c r="BA60">
        <f>IF(ISNUMBER(SEARCH("recorded actuator data to the controller", 'Form Responses 1'!M59)), 1, 0)</f>
        <v>0</v>
      </c>
      <c r="BB60" s="7">
        <f t="shared" si="13"/>
        <v>4</v>
      </c>
      <c r="BC60">
        <f>IF('Form Responses 1'!N59, 0, 1)</f>
        <v>1</v>
      </c>
      <c r="BD60" s="7">
        <f t="shared" si="14"/>
        <v>4</v>
      </c>
    </row>
    <row r="61" spans="1:56" x14ac:dyDescent="0.2">
      <c r="A61" s="4">
        <v>59</v>
      </c>
      <c r="B61">
        <f>IF(ISNUMBER(SEARCH("Line 4", 'Form Responses 1'!E60)), -1, 0)</f>
        <v>-1</v>
      </c>
      <c r="C61">
        <f>IF(ISNUMBER(SEARCH("Line 5", 'Form Responses 1'!E60)), -1, 0)</f>
        <v>0</v>
      </c>
      <c r="D61">
        <f>IF(ISNUMBER(SEARCH("Line 8", 'Form Responses 1'!E60)), 1, 0)</f>
        <v>0</v>
      </c>
      <c r="E61">
        <f>IF(ISNUMBER(SEARCH("Line 13", 'Form Responses 1'!E60)), 1, 0)</f>
        <v>1</v>
      </c>
      <c r="F61">
        <f>IF(ISNUMBER(SEARCH("Line 14", 'Form Responses 1'!E60)), -1, 0)</f>
        <v>0</v>
      </c>
      <c r="G61">
        <f>IF(ISNUMBER(SEARCH("Line 15", 'Form Responses 1'!E60)), 1, 0)</f>
        <v>0</v>
      </c>
      <c r="H61">
        <f>IF(ISNUMBER(SEARCH("Line 16", 'Form Responses 1'!E60)), -1, 0)</f>
        <v>0</v>
      </c>
      <c r="I61">
        <f>IF(ISNUMBER(SEARCH("Line 17", 'Form Responses 1'!E60)), 1, 0)</f>
        <v>0</v>
      </c>
      <c r="J61">
        <f>IF(ISNUMBER(SEARCH("Line 19", 'Form Responses 1'!E60)), 1, 0)</f>
        <v>0</v>
      </c>
      <c r="K61">
        <f t="shared" si="0"/>
        <v>0</v>
      </c>
      <c r="L61" s="8">
        <f t="shared" si="1"/>
        <v>1</v>
      </c>
      <c r="M61">
        <f>IF(ISNUMBER(SEARCH("Transmit data", 'Form Responses 1'!F60)), 1, 0)</f>
        <v>0</v>
      </c>
      <c r="N61">
        <f>IF(ISNUMBER(SEARCH("Alter", 'Form Responses 1'!F60)), -1, 0)</f>
        <v>0</v>
      </c>
      <c r="O61">
        <f>IF(ISNUMBER(SEARCH("Change", 'Form Responses 1'!F60)), -1, 0)</f>
        <v>-1</v>
      </c>
      <c r="P61">
        <f>IF(ISNUMBER(SEARCH("Remove", 'Form Responses 1'!F60)), -1, 0)</f>
        <v>0</v>
      </c>
      <c r="Q61">
        <f>IF(ISNUMBER(SEARCH("unintelligible", 'Form Responses 1'!F60)), -1, 0)</f>
        <v>-1</v>
      </c>
      <c r="R61">
        <f t="shared" si="2"/>
        <v>-1.5</v>
      </c>
      <c r="S61" s="7">
        <f t="shared" si="3"/>
        <v>0</v>
      </c>
      <c r="T61">
        <f>IF(ISNUMBER(SEARCH("sensors", 'Form Responses 1'!G60)), 1, 0)</f>
        <v>1</v>
      </c>
      <c r="U61">
        <f>IF(ISNUMBER(SEARCH("actuators", 'Form Responses 1'!G60)), -1, 0)</f>
        <v>0</v>
      </c>
      <c r="V61">
        <f>IF(ISNUMBER(SEARCH("Switch", 'Form Responses 1'!G60)), 1, 0)</f>
        <v>0</v>
      </c>
      <c r="W61">
        <f>IF(ISNUMBER(SEARCH("PID", 'Form Responses 1'!G60)), -1, 0)</f>
        <v>-1</v>
      </c>
      <c r="X61">
        <f t="shared" si="4"/>
        <v>1</v>
      </c>
      <c r="Y61" s="7">
        <f t="shared" si="5"/>
        <v>1</v>
      </c>
      <c r="Z61">
        <f>IF(ISNUMBER(SEARCH("16", 'Form Responses 1'!H60)), -1, 0)</f>
        <v>0</v>
      </c>
      <c r="AA61">
        <f>IF(ISNUMBER(SEARCH("1.5", 'Form Responses 1'!H60)), 1, 0)</f>
        <v>1</v>
      </c>
      <c r="AB61">
        <f>IF(ISNUMBER(SEARCH("0.2", 'Form Responses 1'!H60)), -1, 0)</f>
        <v>0</v>
      </c>
      <c r="AC61">
        <f>IF(ISNUMBER(SEARCH("None", 'Form Responses 1'!H60)), -1, 0)</f>
        <v>0</v>
      </c>
      <c r="AD61">
        <f t="shared" si="6"/>
        <v>4</v>
      </c>
      <c r="AE61" s="7">
        <f t="shared" si="7"/>
        <v>4</v>
      </c>
      <c r="AF61">
        <f>IF(ISNUMBER(SEARCH("Small", 'Form Responses 1'!I60)), -1, 0)</f>
        <v>-1</v>
      </c>
      <c r="AG61">
        <f>IF(ISNUMBER(SEARCH("IMU", 'Form Responses 1'!I60)), 1, 0)</f>
        <v>0</v>
      </c>
      <c r="AH61">
        <f>IF(ISNUMBER(SEARCH("CAN", 'Form Responses 1'!I60)), 1, 0)</f>
        <v>0</v>
      </c>
      <c r="AI61">
        <f>IF(ISNUMBER(SEARCH("High", 'Form Responses 1'!I60)), -1, 0)</f>
        <v>-1</v>
      </c>
      <c r="AJ61">
        <f>IF(ISNUMBER(SEARCH("Spoofing", 'Form Responses 1'!I60)), -1, 0)</f>
        <v>0</v>
      </c>
      <c r="AK61">
        <f t="shared" si="8"/>
        <v>0</v>
      </c>
      <c r="AL61" s="7">
        <f t="shared" si="9"/>
        <v>0</v>
      </c>
      <c r="AM61">
        <f>IF('Form Responses 1'!J60, 1, 0)</f>
        <v>1</v>
      </c>
      <c r="AN61" s="7">
        <f t="shared" si="10"/>
        <v>4</v>
      </c>
      <c r="AO61">
        <f>IF(ISNUMBER(SEARCH("Increase the integral gain", 'Form Responses 1'!K60)), 1, 0)</f>
        <v>0</v>
      </c>
      <c r="AP61">
        <f>IF(ISNUMBER(SEARCH("Increase the proportional gain", 'Form Responses 1'!K60)), 1, 0)</f>
        <v>1</v>
      </c>
      <c r="AQ61">
        <f>IF(ISNUMBER(SEARCH("increasing the integral gain", 'Form Responses 1'!K60)), 1, 0)</f>
        <v>1</v>
      </c>
      <c r="AR61">
        <f>IF(ISNUMBER(SEARCH("Decrease the proportional gain (Kp) and increase the derivative gain (Kd)", 'Form Responses 1'!K60)), 1, 0)</f>
        <v>0</v>
      </c>
      <c r="AS61">
        <f>IF(ISNUMBER(SEARCH("Decrease the proportional gain", 'Form Responses 1'!K60)), 1, 0)</f>
        <v>0</v>
      </c>
      <c r="AT61" s="7">
        <f t="shared" si="11"/>
        <v>2.2999999999999998</v>
      </c>
      <c r="AU61">
        <f>IF(ISNUMBER(SEARCH("Measurement", 'Form Responses 1'!L60)), 1, 0)</f>
        <v>0</v>
      </c>
      <c r="AV61">
        <f>IF(ISNUMBER(SEARCH("All of the above",'Form Responses 1'!L60)),1,0)</f>
        <v>0</v>
      </c>
      <c r="AW61" s="7">
        <f t="shared" si="12"/>
        <v>0</v>
      </c>
      <c r="AX61">
        <f>IF(ISNUMBER(SEARCH("recorded sensor data to the controller", 'Form Responses 1'!M60)), 1, 0)</f>
        <v>0</v>
      </c>
      <c r="AY61">
        <f>IF(ISNUMBER(SEARCH("record sensor data from", 'Form Responses 1'!M60)), 1, 0)</f>
        <v>0</v>
      </c>
      <c r="AZ61">
        <f>IF(ISNUMBER(SEARCH("record actuator data from",'Form Responses 1'!M60)),1,0)</f>
        <v>0</v>
      </c>
      <c r="BA61">
        <f>IF(ISNUMBER(SEARCH("recorded actuator data to the controller", 'Form Responses 1'!M60)), 1, 0)</f>
        <v>0</v>
      </c>
      <c r="BB61" s="7">
        <f t="shared" si="13"/>
        <v>0</v>
      </c>
      <c r="BC61">
        <f>IF('Form Responses 1'!N60, 0, 1)</f>
        <v>1</v>
      </c>
      <c r="BD61" s="7">
        <f t="shared" si="14"/>
        <v>4</v>
      </c>
    </row>
    <row r="62" spans="1:56" x14ac:dyDescent="0.2">
      <c r="A62" s="4">
        <v>60</v>
      </c>
      <c r="B62">
        <f>IF(ISNUMBER(SEARCH("Line 4", 'Form Responses 1'!E61)), -1, 0)</f>
        <v>0</v>
      </c>
      <c r="C62">
        <f>IF(ISNUMBER(SEARCH("Line 5", 'Form Responses 1'!E61)), -1, 0)</f>
        <v>0</v>
      </c>
      <c r="D62">
        <f>IF(ISNUMBER(SEARCH("Line 8", 'Form Responses 1'!E61)), 1, 0)</f>
        <v>0</v>
      </c>
      <c r="E62">
        <f>IF(ISNUMBER(SEARCH("Line 13", 'Form Responses 1'!E61)), 1, 0)</f>
        <v>1</v>
      </c>
      <c r="F62">
        <f>IF(ISNUMBER(SEARCH("Line 14", 'Form Responses 1'!E61)), -1, 0)</f>
        <v>-1</v>
      </c>
      <c r="G62">
        <f>IF(ISNUMBER(SEARCH("Line 15", 'Form Responses 1'!E61)), 1, 0)</f>
        <v>0</v>
      </c>
      <c r="H62">
        <f>IF(ISNUMBER(SEARCH("Line 16", 'Form Responses 1'!E61)), -1, 0)</f>
        <v>0</v>
      </c>
      <c r="I62">
        <f>IF(ISNUMBER(SEARCH("Line 17", 'Form Responses 1'!E61)), 1, 0)</f>
        <v>0</v>
      </c>
      <c r="J62">
        <f>IF(ISNUMBER(SEARCH("Line 19", 'Form Responses 1'!E61)), 1, 0)</f>
        <v>0</v>
      </c>
      <c r="K62">
        <f t="shared" si="0"/>
        <v>0</v>
      </c>
      <c r="L62" s="8">
        <f t="shared" si="1"/>
        <v>1</v>
      </c>
      <c r="M62">
        <f>IF(ISNUMBER(SEARCH("Transmit data", 'Form Responses 1'!F61)), 1, 0)</f>
        <v>1</v>
      </c>
      <c r="N62">
        <f>IF(ISNUMBER(SEARCH("Alter", 'Form Responses 1'!F61)), -1, 0)</f>
        <v>0</v>
      </c>
      <c r="O62">
        <f>IF(ISNUMBER(SEARCH("Change", 'Form Responses 1'!F61)), -1, 0)</f>
        <v>0</v>
      </c>
      <c r="P62">
        <f>IF(ISNUMBER(SEARCH("Remove", 'Form Responses 1'!F61)), -1, 0)</f>
        <v>0</v>
      </c>
      <c r="Q62">
        <f>IF(ISNUMBER(SEARCH("unintelligible", 'Form Responses 1'!F61)), -1, 0)</f>
        <v>-1</v>
      </c>
      <c r="R62">
        <f t="shared" si="2"/>
        <v>3.25</v>
      </c>
      <c r="S62" s="7">
        <f t="shared" si="3"/>
        <v>3.25</v>
      </c>
      <c r="T62">
        <f>IF(ISNUMBER(SEARCH("sensors", 'Form Responses 1'!G61)), 1, 0)</f>
        <v>0</v>
      </c>
      <c r="U62">
        <f>IF(ISNUMBER(SEARCH("actuators", 'Form Responses 1'!G61)), -1, 0)</f>
        <v>-1</v>
      </c>
      <c r="V62">
        <f>IF(ISNUMBER(SEARCH("Switch", 'Form Responses 1'!G61)), 1, 0)</f>
        <v>0</v>
      </c>
      <c r="W62">
        <f>IF(ISNUMBER(SEARCH("PID", 'Form Responses 1'!G61)), -1, 0)</f>
        <v>-1</v>
      </c>
      <c r="X62">
        <f t="shared" si="4"/>
        <v>-2</v>
      </c>
      <c r="Y62" s="7">
        <f t="shared" si="5"/>
        <v>0</v>
      </c>
      <c r="Z62">
        <f>IF(ISNUMBER(SEARCH("16", 'Form Responses 1'!H61)), -1, 0)</f>
        <v>0</v>
      </c>
      <c r="AA62">
        <f>IF(ISNUMBER(SEARCH("1.5", 'Form Responses 1'!H61)), 1, 0)</f>
        <v>0</v>
      </c>
      <c r="AB62">
        <f>IF(ISNUMBER(SEARCH("0.2", 'Form Responses 1'!H61)), -1, 0)</f>
        <v>0</v>
      </c>
      <c r="AC62">
        <f>IF(ISNUMBER(SEARCH("None", 'Form Responses 1'!H61)), -1, 0)</f>
        <v>-1</v>
      </c>
      <c r="AD62">
        <f t="shared" si="6"/>
        <v>2</v>
      </c>
      <c r="AE62" s="7">
        <f t="shared" si="7"/>
        <v>2</v>
      </c>
      <c r="AF62">
        <f>IF(ISNUMBER(SEARCH("Small", 'Form Responses 1'!I61)), -1, 0)</f>
        <v>-1</v>
      </c>
      <c r="AG62">
        <f>IF(ISNUMBER(SEARCH("IMU", 'Form Responses 1'!I61)), 1, 0)</f>
        <v>0</v>
      </c>
      <c r="AH62">
        <f>IF(ISNUMBER(SEARCH("CAN", 'Form Responses 1'!I61)), 1, 0)</f>
        <v>1</v>
      </c>
      <c r="AI62">
        <f>IF(ISNUMBER(SEARCH("High", 'Form Responses 1'!I61)), -1, 0)</f>
        <v>0</v>
      </c>
      <c r="AJ62">
        <f>IF(ISNUMBER(SEARCH("Spoofing", 'Form Responses 1'!I61)), -1, 0)</f>
        <v>-1</v>
      </c>
      <c r="AK62">
        <f t="shared" si="8"/>
        <v>2</v>
      </c>
      <c r="AL62" s="7">
        <f t="shared" si="9"/>
        <v>2</v>
      </c>
      <c r="AM62">
        <f>IF('Form Responses 1'!J61, 1, 0)</f>
        <v>1</v>
      </c>
      <c r="AN62" s="7">
        <f t="shared" si="10"/>
        <v>4</v>
      </c>
      <c r="AO62">
        <f>IF(ISNUMBER(SEARCH("Increase the integral gain", 'Form Responses 1'!K61)), 1, 0)</f>
        <v>0</v>
      </c>
      <c r="AP62">
        <f>IF(ISNUMBER(SEARCH("Increase the proportional gain", 'Form Responses 1'!K61)), 1, 0)</f>
        <v>0</v>
      </c>
      <c r="AQ62">
        <f>IF(ISNUMBER(SEARCH("increasing the integral gain", 'Form Responses 1'!K61)), 1, 0)</f>
        <v>0</v>
      </c>
      <c r="AR62">
        <f>IF(ISNUMBER(SEARCH("Decrease the proportional gain (Kp) and increase the derivative gain (Kd)", 'Form Responses 1'!K61)), 1, 0)</f>
        <v>1</v>
      </c>
      <c r="AS62">
        <f>IF(ISNUMBER(SEARCH("Decrease the proportional gain", 'Form Responses 1'!K61)), 1, 0)</f>
        <v>1</v>
      </c>
      <c r="AT62" s="7">
        <f t="shared" si="11"/>
        <v>2</v>
      </c>
      <c r="AU62">
        <f>IF(ISNUMBER(SEARCH("Measurement", 'Form Responses 1'!L61)), 1, 0)</f>
        <v>0</v>
      </c>
      <c r="AV62">
        <f>IF(ISNUMBER(SEARCH("All of the above",'Form Responses 1'!L61)),1,0)</f>
        <v>0</v>
      </c>
      <c r="AW62" s="7">
        <f t="shared" si="12"/>
        <v>0</v>
      </c>
      <c r="AX62">
        <f>IF(ISNUMBER(SEARCH("recorded sensor data to the controller", 'Form Responses 1'!M61)), 1, 0)</f>
        <v>1</v>
      </c>
      <c r="AY62">
        <f>IF(ISNUMBER(SEARCH("record sensor data from", 'Form Responses 1'!M61)), 1, 0)</f>
        <v>0</v>
      </c>
      <c r="AZ62">
        <f>IF(ISNUMBER(SEARCH("record actuator data from",'Form Responses 1'!M61)),1,0)</f>
        <v>0</v>
      </c>
      <c r="BA62">
        <f>IF(ISNUMBER(SEARCH("recorded actuator data to the controller", 'Form Responses 1'!M61)), 1, 0)</f>
        <v>0</v>
      </c>
      <c r="BB62" s="7">
        <f t="shared" si="13"/>
        <v>4</v>
      </c>
      <c r="BC62">
        <f>IF('Form Responses 1'!N61, 0, 1)</f>
        <v>0</v>
      </c>
      <c r="BD62" s="7">
        <f t="shared" si="14"/>
        <v>0</v>
      </c>
    </row>
    <row r="63" spans="1:56" x14ac:dyDescent="0.2">
      <c r="A63" s="4">
        <v>61</v>
      </c>
      <c r="B63">
        <f>IF(ISNUMBER(SEARCH("Line 4", 'Form Responses 1'!E62)), -1, 0)</f>
        <v>0</v>
      </c>
      <c r="C63">
        <f>IF(ISNUMBER(SEARCH("Line 5", 'Form Responses 1'!E62)), -1, 0)</f>
        <v>0</v>
      </c>
      <c r="D63">
        <f>IF(ISNUMBER(SEARCH("Line 8", 'Form Responses 1'!E62)), 1, 0)</f>
        <v>0</v>
      </c>
      <c r="E63">
        <f>IF(ISNUMBER(SEARCH("Line 13", 'Form Responses 1'!E62)), 1, 0)</f>
        <v>0</v>
      </c>
      <c r="F63">
        <f>IF(ISNUMBER(SEARCH("Line 14", 'Form Responses 1'!E62)), -1, 0)</f>
        <v>0</v>
      </c>
      <c r="G63">
        <f>IF(ISNUMBER(SEARCH("Line 15", 'Form Responses 1'!E62)), 1, 0)</f>
        <v>1</v>
      </c>
      <c r="H63">
        <f>IF(ISNUMBER(SEARCH("Line 16", 'Form Responses 1'!E62)), -1, 0)</f>
        <v>0</v>
      </c>
      <c r="I63">
        <f>IF(ISNUMBER(SEARCH("Line 17", 'Form Responses 1'!E62)), 1, 0)</f>
        <v>1</v>
      </c>
      <c r="J63">
        <f>IF(ISNUMBER(SEARCH("Line 19", 'Form Responses 1'!E62)), 1, 0)</f>
        <v>1</v>
      </c>
      <c r="K63">
        <f t="shared" si="0"/>
        <v>3</v>
      </c>
      <c r="L63" s="8">
        <f t="shared" si="1"/>
        <v>4</v>
      </c>
      <c r="M63">
        <f>IF(ISNUMBER(SEARCH("Transmit data", 'Form Responses 1'!F62)), 1, 0)</f>
        <v>1</v>
      </c>
      <c r="N63">
        <f>IF(ISNUMBER(SEARCH("Alter", 'Form Responses 1'!F62)), -1, 0)</f>
        <v>0</v>
      </c>
      <c r="O63">
        <f>IF(ISNUMBER(SEARCH("Change", 'Form Responses 1'!F62)), -1, 0)</f>
        <v>-1</v>
      </c>
      <c r="P63">
        <f>IF(ISNUMBER(SEARCH("Remove", 'Form Responses 1'!F62)), -1, 0)</f>
        <v>0</v>
      </c>
      <c r="Q63">
        <f>IF(ISNUMBER(SEARCH("unintelligible", 'Form Responses 1'!F62)), -1, 0)</f>
        <v>-1</v>
      </c>
      <c r="R63">
        <f t="shared" si="2"/>
        <v>2.5</v>
      </c>
      <c r="S63" s="7">
        <f t="shared" si="3"/>
        <v>2.5</v>
      </c>
      <c r="T63">
        <f>IF(ISNUMBER(SEARCH("sensors", 'Form Responses 1'!G62)), 1, 0)</f>
        <v>1</v>
      </c>
      <c r="U63">
        <f>IF(ISNUMBER(SEARCH("actuators", 'Form Responses 1'!G62)), -1, 0)</f>
        <v>-1</v>
      </c>
      <c r="V63">
        <f>IF(ISNUMBER(SEARCH("Switch", 'Form Responses 1'!G62)), 1, 0)</f>
        <v>1</v>
      </c>
      <c r="W63">
        <f>IF(ISNUMBER(SEARCH("PID", 'Form Responses 1'!G62)), -1, 0)</f>
        <v>0</v>
      </c>
      <c r="X63">
        <f t="shared" si="4"/>
        <v>3</v>
      </c>
      <c r="Y63" s="7">
        <f t="shared" si="5"/>
        <v>3</v>
      </c>
      <c r="Z63">
        <f>IF(ISNUMBER(SEARCH("16", 'Form Responses 1'!H62)), -1, 0)</f>
        <v>-1</v>
      </c>
      <c r="AA63">
        <f>IF(ISNUMBER(SEARCH("1.5", 'Form Responses 1'!H62)), 1, 0)</f>
        <v>1</v>
      </c>
      <c r="AB63">
        <f>IF(ISNUMBER(SEARCH("0.2", 'Form Responses 1'!H62)), -1, 0)</f>
        <v>0</v>
      </c>
      <c r="AC63">
        <f>IF(ISNUMBER(SEARCH("None", 'Form Responses 1'!H62)), -1, 0)</f>
        <v>0</v>
      </c>
      <c r="AD63">
        <f t="shared" si="6"/>
        <v>3</v>
      </c>
      <c r="AE63" s="7">
        <f t="shared" si="7"/>
        <v>3</v>
      </c>
      <c r="AF63">
        <f>IF(ISNUMBER(SEARCH("Small", 'Form Responses 1'!I62)), -1, 0)</f>
        <v>-1</v>
      </c>
      <c r="AG63">
        <f>IF(ISNUMBER(SEARCH("IMU", 'Form Responses 1'!I62)), 1, 0)</f>
        <v>1</v>
      </c>
      <c r="AH63">
        <f>IF(ISNUMBER(SEARCH("CAN", 'Form Responses 1'!I62)), 1, 0)</f>
        <v>1</v>
      </c>
      <c r="AI63">
        <f>IF(ISNUMBER(SEARCH("High", 'Form Responses 1'!I62)), -1, 0)</f>
        <v>0</v>
      </c>
      <c r="AJ63">
        <f>IF(ISNUMBER(SEARCH("Spoofing", 'Form Responses 1'!I62)), -1, 0)</f>
        <v>-1</v>
      </c>
      <c r="AK63">
        <f t="shared" si="8"/>
        <v>4</v>
      </c>
      <c r="AL63" s="7">
        <f t="shared" si="9"/>
        <v>4</v>
      </c>
      <c r="AM63">
        <f>IF('Form Responses 1'!J62, 1, 0)</f>
        <v>1</v>
      </c>
      <c r="AN63" s="7">
        <f t="shared" si="10"/>
        <v>4</v>
      </c>
      <c r="AO63">
        <f>IF(ISNUMBER(SEARCH("Increase the integral gain", 'Form Responses 1'!K62)), 1, 0)</f>
        <v>1</v>
      </c>
      <c r="AP63">
        <f>IF(ISNUMBER(SEARCH("Increase the proportional gain", 'Form Responses 1'!K62)), 1, 0)</f>
        <v>0</v>
      </c>
      <c r="AQ63">
        <f>IF(ISNUMBER(SEARCH("increasing the integral gain", 'Form Responses 1'!K62)), 1, 0)</f>
        <v>0</v>
      </c>
      <c r="AR63">
        <f>IF(ISNUMBER(SEARCH("Decrease the proportional gain (Kp) and increase the derivative gain (Kd)", 'Form Responses 1'!K62)), 1, 0)</f>
        <v>0</v>
      </c>
      <c r="AS63">
        <f>IF(ISNUMBER(SEARCH("Decrease the proportional gain", 'Form Responses 1'!K62)), 1, 0)</f>
        <v>0</v>
      </c>
      <c r="AT63" s="7">
        <f t="shared" si="11"/>
        <v>4</v>
      </c>
      <c r="AU63">
        <f>IF(ISNUMBER(SEARCH("Measurement", 'Form Responses 1'!L62)), 1, 0)</f>
        <v>0</v>
      </c>
      <c r="AV63">
        <f>IF(ISNUMBER(SEARCH("All of the above",'Form Responses 1'!L62)),1,0)</f>
        <v>0</v>
      </c>
      <c r="AW63" s="7">
        <f t="shared" si="12"/>
        <v>0</v>
      </c>
      <c r="AX63">
        <f>IF(ISNUMBER(SEARCH("recorded sensor data to the controller", 'Form Responses 1'!M62)), 1, 0)</f>
        <v>1</v>
      </c>
      <c r="AY63">
        <f>IF(ISNUMBER(SEARCH("record sensor data from", 'Form Responses 1'!M62)), 1, 0)</f>
        <v>0</v>
      </c>
      <c r="AZ63">
        <f>IF(ISNUMBER(SEARCH("record actuator data from",'Form Responses 1'!M62)),1,0)</f>
        <v>0</v>
      </c>
      <c r="BA63">
        <f>IF(ISNUMBER(SEARCH("recorded actuator data to the controller", 'Form Responses 1'!M62)), 1, 0)</f>
        <v>0</v>
      </c>
      <c r="BB63" s="7">
        <f t="shared" si="13"/>
        <v>4</v>
      </c>
      <c r="BC63">
        <f>IF('Form Responses 1'!N62, 0, 1)</f>
        <v>1</v>
      </c>
      <c r="BD63" s="7">
        <f t="shared" si="14"/>
        <v>4</v>
      </c>
    </row>
    <row r="64" spans="1:56" x14ac:dyDescent="0.2">
      <c r="A64" s="4">
        <v>62</v>
      </c>
      <c r="B64">
        <f>IF(ISNUMBER(SEARCH("Line 4", 'Form Responses 1'!E63)), -1, 0)</f>
        <v>0</v>
      </c>
      <c r="C64">
        <f>IF(ISNUMBER(SEARCH("Line 5", 'Form Responses 1'!E63)), -1, 0)</f>
        <v>0</v>
      </c>
      <c r="D64">
        <f>IF(ISNUMBER(SEARCH("Line 8", 'Form Responses 1'!E63)), 1, 0)</f>
        <v>0</v>
      </c>
      <c r="E64">
        <f>IF(ISNUMBER(SEARCH("Line 13", 'Form Responses 1'!E63)), 1, 0)</f>
        <v>0</v>
      </c>
      <c r="F64">
        <f>IF(ISNUMBER(SEARCH("Line 14", 'Form Responses 1'!E63)), -1, 0)</f>
        <v>0</v>
      </c>
      <c r="G64">
        <f>IF(ISNUMBER(SEARCH("Line 15", 'Form Responses 1'!E63)), 1, 0)</f>
        <v>1</v>
      </c>
      <c r="H64">
        <f>IF(ISNUMBER(SEARCH("Line 16", 'Form Responses 1'!E63)), -1, 0)</f>
        <v>0</v>
      </c>
      <c r="I64">
        <f>IF(ISNUMBER(SEARCH("Line 17", 'Form Responses 1'!E63)), 1, 0)</f>
        <v>0</v>
      </c>
      <c r="J64">
        <f>IF(ISNUMBER(SEARCH("Line 19", 'Form Responses 1'!E63)), 1, 0)</f>
        <v>0</v>
      </c>
      <c r="K64">
        <f t="shared" si="0"/>
        <v>1</v>
      </c>
      <c r="L64" s="8">
        <f t="shared" si="1"/>
        <v>1</v>
      </c>
      <c r="M64">
        <f>IF(ISNUMBER(SEARCH("Transmit data", 'Form Responses 1'!F63)), 1, 0)</f>
        <v>1</v>
      </c>
      <c r="N64">
        <f>IF(ISNUMBER(SEARCH("Alter", 'Form Responses 1'!F63)), -1, 0)</f>
        <v>-1</v>
      </c>
      <c r="O64">
        <f>IF(ISNUMBER(SEARCH("Change", 'Form Responses 1'!F63)), -1, 0)</f>
        <v>-1</v>
      </c>
      <c r="P64">
        <f>IF(ISNUMBER(SEARCH("Remove", 'Form Responses 1'!F63)), -1, 0)</f>
        <v>-1</v>
      </c>
      <c r="Q64">
        <f>IF(ISNUMBER(SEARCH("unintelligible", 'Form Responses 1'!F63)), -1, 0)</f>
        <v>-1</v>
      </c>
      <c r="R64">
        <f t="shared" si="2"/>
        <v>1</v>
      </c>
      <c r="S64" s="7">
        <f t="shared" si="3"/>
        <v>1</v>
      </c>
      <c r="T64">
        <f>IF(ISNUMBER(SEARCH("sensors", 'Form Responses 1'!G63)), 1, 0)</f>
        <v>1</v>
      </c>
      <c r="U64">
        <f>IF(ISNUMBER(SEARCH("actuators", 'Form Responses 1'!G63)), -1, 0)</f>
        <v>-1</v>
      </c>
      <c r="V64">
        <f>IF(ISNUMBER(SEARCH("Switch", 'Form Responses 1'!G63)), 1, 0)</f>
        <v>0</v>
      </c>
      <c r="W64">
        <f>IF(ISNUMBER(SEARCH("PID", 'Form Responses 1'!G63)), -1, 0)</f>
        <v>-1</v>
      </c>
      <c r="X64">
        <f t="shared" si="4"/>
        <v>0</v>
      </c>
      <c r="Y64" s="7">
        <f t="shared" si="5"/>
        <v>0</v>
      </c>
      <c r="Z64">
        <f>IF(ISNUMBER(SEARCH("16", 'Form Responses 1'!H63)), -1, 0)</f>
        <v>-1</v>
      </c>
      <c r="AA64">
        <f>IF(ISNUMBER(SEARCH("1.5", 'Form Responses 1'!H63)), 1, 0)</f>
        <v>1</v>
      </c>
      <c r="AB64">
        <f>IF(ISNUMBER(SEARCH("0.2", 'Form Responses 1'!H63)), -1, 0)</f>
        <v>0</v>
      </c>
      <c r="AC64">
        <f>IF(ISNUMBER(SEARCH("None", 'Form Responses 1'!H63)), -1, 0)</f>
        <v>0</v>
      </c>
      <c r="AD64">
        <f t="shared" si="6"/>
        <v>3</v>
      </c>
      <c r="AE64" s="7">
        <f t="shared" si="7"/>
        <v>3</v>
      </c>
      <c r="AF64">
        <f>IF(ISNUMBER(SEARCH("Small", 'Form Responses 1'!I63)), -1, 0)</f>
        <v>-1</v>
      </c>
      <c r="AG64">
        <f>IF(ISNUMBER(SEARCH("IMU", 'Form Responses 1'!I63)), 1, 0)</f>
        <v>0</v>
      </c>
      <c r="AH64">
        <f>IF(ISNUMBER(SEARCH("CAN", 'Form Responses 1'!I63)), 1, 0)</f>
        <v>1</v>
      </c>
      <c r="AI64">
        <f>IF(ISNUMBER(SEARCH("High", 'Form Responses 1'!I63)), -1, 0)</f>
        <v>0</v>
      </c>
      <c r="AJ64">
        <f>IF(ISNUMBER(SEARCH("Spoofing", 'Form Responses 1'!I63)), -1, 0)</f>
        <v>-1</v>
      </c>
      <c r="AK64">
        <f t="shared" si="8"/>
        <v>2</v>
      </c>
      <c r="AL64" s="7">
        <f t="shared" si="9"/>
        <v>2</v>
      </c>
      <c r="AM64">
        <f>IF('Form Responses 1'!J63, 1, 0)</f>
        <v>1</v>
      </c>
      <c r="AN64" s="7">
        <f t="shared" si="10"/>
        <v>4</v>
      </c>
      <c r="AO64">
        <f>IF(ISNUMBER(SEARCH("Increase the integral gain", 'Form Responses 1'!K63)), 1, 0)</f>
        <v>1</v>
      </c>
      <c r="AP64">
        <f>IF(ISNUMBER(SEARCH("Increase the proportional gain", 'Form Responses 1'!K63)), 1, 0)</f>
        <v>0</v>
      </c>
      <c r="AQ64">
        <f>IF(ISNUMBER(SEARCH("increasing the integral gain", 'Form Responses 1'!K63)), 1, 0)</f>
        <v>0</v>
      </c>
      <c r="AR64">
        <f>IF(ISNUMBER(SEARCH("Decrease the proportional gain (Kp) and increase the derivative gain (Kd)", 'Form Responses 1'!K63)), 1, 0)</f>
        <v>0</v>
      </c>
      <c r="AS64">
        <f>IF(ISNUMBER(SEARCH("Decrease the proportional gain", 'Form Responses 1'!K63)), 1, 0)</f>
        <v>0</v>
      </c>
      <c r="AT64" s="7">
        <f t="shared" si="11"/>
        <v>4</v>
      </c>
      <c r="AU64">
        <f>IF(ISNUMBER(SEARCH("Measurement", 'Form Responses 1'!L63)), 1, 0)</f>
        <v>0</v>
      </c>
      <c r="AV64">
        <f>IF(ISNUMBER(SEARCH("All of the above",'Form Responses 1'!L63)),1,0)</f>
        <v>0</v>
      </c>
      <c r="AW64" s="7">
        <f t="shared" si="12"/>
        <v>0</v>
      </c>
      <c r="AX64">
        <f>IF(ISNUMBER(SEARCH("recorded sensor data to the controller", 'Form Responses 1'!M63)), 1, 0)</f>
        <v>1</v>
      </c>
      <c r="AY64">
        <f>IF(ISNUMBER(SEARCH("record sensor data from", 'Form Responses 1'!M63)), 1, 0)</f>
        <v>0</v>
      </c>
      <c r="AZ64">
        <f>IF(ISNUMBER(SEARCH("record actuator data from",'Form Responses 1'!M63)),1,0)</f>
        <v>0</v>
      </c>
      <c r="BA64">
        <f>IF(ISNUMBER(SEARCH("recorded actuator data to the controller", 'Form Responses 1'!M63)), 1, 0)</f>
        <v>0</v>
      </c>
      <c r="BB64" s="7">
        <f t="shared" si="13"/>
        <v>4</v>
      </c>
      <c r="BC64">
        <f>IF('Form Responses 1'!N63, 0, 1)</f>
        <v>1</v>
      </c>
      <c r="BD64" s="7">
        <f t="shared" si="14"/>
        <v>4</v>
      </c>
    </row>
    <row r="65" spans="1:56" x14ac:dyDescent="0.2">
      <c r="A65" s="4">
        <v>63</v>
      </c>
      <c r="B65">
        <f>IF(ISNUMBER(SEARCH("Line 4", 'Form Responses 1'!E64)), -1, 0)</f>
        <v>0</v>
      </c>
      <c r="C65">
        <f>IF(ISNUMBER(SEARCH("Line 5", 'Form Responses 1'!E64)), -1, 0)</f>
        <v>0</v>
      </c>
      <c r="D65">
        <f>IF(ISNUMBER(SEARCH("Line 8", 'Form Responses 1'!E64)), 1, 0)</f>
        <v>1</v>
      </c>
      <c r="E65">
        <f>IF(ISNUMBER(SEARCH("Line 13", 'Form Responses 1'!E64)), 1, 0)</f>
        <v>0</v>
      </c>
      <c r="F65">
        <f>IF(ISNUMBER(SEARCH("Line 14", 'Form Responses 1'!E64)), -1, 0)</f>
        <v>0</v>
      </c>
      <c r="G65">
        <f>IF(ISNUMBER(SEARCH("Line 15", 'Form Responses 1'!E64)), 1, 0)</f>
        <v>0</v>
      </c>
      <c r="H65">
        <f>IF(ISNUMBER(SEARCH("Line 16", 'Form Responses 1'!E64)), -1, 0)</f>
        <v>0</v>
      </c>
      <c r="I65">
        <f>IF(ISNUMBER(SEARCH("Line 17", 'Form Responses 1'!E64)), 1, 0)</f>
        <v>0</v>
      </c>
      <c r="J65">
        <f>IF(ISNUMBER(SEARCH("Line 19", 'Form Responses 1'!E64)), 1, 0)</f>
        <v>0</v>
      </c>
      <c r="K65">
        <f t="shared" si="0"/>
        <v>1</v>
      </c>
      <c r="L65" s="8">
        <f t="shared" si="1"/>
        <v>1</v>
      </c>
      <c r="M65">
        <f>IF(ISNUMBER(SEARCH("Transmit data", 'Form Responses 1'!F64)), 1, 0)</f>
        <v>1</v>
      </c>
      <c r="N65">
        <f>IF(ISNUMBER(SEARCH("Alter", 'Form Responses 1'!F64)), -1, 0)</f>
        <v>0</v>
      </c>
      <c r="O65">
        <f>IF(ISNUMBER(SEARCH("Change", 'Form Responses 1'!F64)), -1, 0)</f>
        <v>0</v>
      </c>
      <c r="P65">
        <f>IF(ISNUMBER(SEARCH("Remove", 'Form Responses 1'!F64)), -1, 0)</f>
        <v>0</v>
      </c>
      <c r="Q65">
        <f>IF(ISNUMBER(SEARCH("unintelligible", 'Form Responses 1'!F64)), -1, 0)</f>
        <v>0</v>
      </c>
      <c r="R65">
        <f t="shared" si="2"/>
        <v>4</v>
      </c>
      <c r="S65" s="7">
        <f t="shared" si="3"/>
        <v>4</v>
      </c>
      <c r="T65">
        <f>IF(ISNUMBER(SEARCH("sensors", 'Form Responses 1'!G64)), 1, 0)</f>
        <v>1</v>
      </c>
      <c r="U65">
        <f>IF(ISNUMBER(SEARCH("actuators", 'Form Responses 1'!G64)), -1, 0)</f>
        <v>-1</v>
      </c>
      <c r="V65">
        <f>IF(ISNUMBER(SEARCH("Switch", 'Form Responses 1'!G64)), 1, 0)</f>
        <v>1</v>
      </c>
      <c r="W65">
        <f>IF(ISNUMBER(SEARCH("PID", 'Form Responses 1'!G64)), -1, 0)</f>
        <v>0</v>
      </c>
      <c r="X65">
        <f t="shared" si="4"/>
        <v>3</v>
      </c>
      <c r="Y65" s="7">
        <f t="shared" si="5"/>
        <v>3</v>
      </c>
      <c r="Z65">
        <f>IF(ISNUMBER(SEARCH("16", 'Form Responses 1'!H64)), -1, 0)</f>
        <v>0</v>
      </c>
      <c r="AA65">
        <f>IF(ISNUMBER(SEARCH("1.5", 'Form Responses 1'!H64)), 1, 0)</f>
        <v>0</v>
      </c>
      <c r="AB65">
        <f>IF(ISNUMBER(SEARCH("0.2", 'Form Responses 1'!H64)), -1, 0)</f>
        <v>0</v>
      </c>
      <c r="AC65">
        <f>IF(ISNUMBER(SEARCH("None", 'Form Responses 1'!H64)), -1, 0)</f>
        <v>-1</v>
      </c>
      <c r="AD65">
        <f t="shared" si="6"/>
        <v>2</v>
      </c>
      <c r="AE65" s="7">
        <f t="shared" si="7"/>
        <v>2</v>
      </c>
      <c r="AF65">
        <f>IF(ISNUMBER(SEARCH("Small", 'Form Responses 1'!I64)), -1, 0)</f>
        <v>0</v>
      </c>
      <c r="AG65">
        <f>IF(ISNUMBER(SEARCH("IMU", 'Form Responses 1'!I64)), 1, 0)</f>
        <v>0</v>
      </c>
      <c r="AH65">
        <f>IF(ISNUMBER(SEARCH("CAN", 'Form Responses 1'!I64)), 1, 0)</f>
        <v>1</v>
      </c>
      <c r="AI65">
        <f>IF(ISNUMBER(SEARCH("High", 'Form Responses 1'!I64)), -1, 0)</f>
        <v>0</v>
      </c>
      <c r="AJ65">
        <f>IF(ISNUMBER(SEARCH("Spoofing", 'Form Responses 1'!I64)), -1, 0)</f>
        <v>-1</v>
      </c>
      <c r="AK65">
        <f t="shared" si="8"/>
        <v>1</v>
      </c>
      <c r="AL65" s="7">
        <f t="shared" si="9"/>
        <v>1</v>
      </c>
      <c r="AM65">
        <f>IF('Form Responses 1'!J64, 1, 0)</f>
        <v>1</v>
      </c>
      <c r="AN65" s="7">
        <f t="shared" si="10"/>
        <v>4</v>
      </c>
      <c r="AO65">
        <f>IF(ISNUMBER(SEARCH("Increase the integral gain", 'Form Responses 1'!K64)), 1, 0)</f>
        <v>1</v>
      </c>
      <c r="AP65">
        <f>IF(ISNUMBER(SEARCH("Increase the proportional gain", 'Form Responses 1'!K64)), 1, 0)</f>
        <v>0</v>
      </c>
      <c r="AQ65">
        <f>IF(ISNUMBER(SEARCH("increasing the integral gain", 'Form Responses 1'!K64)), 1, 0)</f>
        <v>0</v>
      </c>
      <c r="AR65">
        <f>IF(ISNUMBER(SEARCH("Decrease the proportional gain (Kp) and increase the derivative gain (Kd)", 'Form Responses 1'!K64)), 1, 0)</f>
        <v>0</v>
      </c>
      <c r="AS65">
        <f>IF(ISNUMBER(SEARCH("Decrease the proportional gain", 'Form Responses 1'!K64)), 1, 0)</f>
        <v>0</v>
      </c>
      <c r="AT65" s="7">
        <f t="shared" si="11"/>
        <v>4</v>
      </c>
      <c r="AU65">
        <f>IF(ISNUMBER(SEARCH("Measurement", 'Form Responses 1'!L64)), 1, 0)</f>
        <v>0</v>
      </c>
      <c r="AV65">
        <f>IF(ISNUMBER(SEARCH("All of the above",'Form Responses 1'!L64)),1,0)</f>
        <v>1</v>
      </c>
      <c r="AW65" s="7">
        <f t="shared" si="12"/>
        <v>2</v>
      </c>
      <c r="AX65">
        <f>IF(ISNUMBER(SEARCH("recorded sensor data to the controller", 'Form Responses 1'!M64)), 1, 0)</f>
        <v>1</v>
      </c>
      <c r="AY65">
        <f>IF(ISNUMBER(SEARCH("record sensor data from", 'Form Responses 1'!M64)), 1, 0)</f>
        <v>0</v>
      </c>
      <c r="AZ65">
        <f>IF(ISNUMBER(SEARCH("record actuator data from",'Form Responses 1'!M64)),1,0)</f>
        <v>0</v>
      </c>
      <c r="BA65">
        <f>IF(ISNUMBER(SEARCH("recorded actuator data to the controller", 'Form Responses 1'!M64)), 1, 0)</f>
        <v>0</v>
      </c>
      <c r="BB65" s="7">
        <f t="shared" si="13"/>
        <v>4</v>
      </c>
      <c r="BC65">
        <f>IF('Form Responses 1'!N64, 0, 1)</f>
        <v>1</v>
      </c>
      <c r="BD65" s="7">
        <f t="shared" si="14"/>
        <v>4</v>
      </c>
    </row>
    <row r="66" spans="1:56" x14ac:dyDescent="0.2">
      <c r="A66" s="4">
        <v>64</v>
      </c>
      <c r="B66">
        <f>IF(ISNUMBER(SEARCH("Line 4", 'Form Responses 1'!E65)), -1, 0)</f>
        <v>0</v>
      </c>
      <c r="C66">
        <f>IF(ISNUMBER(SEARCH("Line 5", 'Form Responses 1'!E65)), -1, 0)</f>
        <v>0</v>
      </c>
      <c r="D66">
        <f>IF(ISNUMBER(SEARCH("Line 8", 'Form Responses 1'!E65)), 1, 0)</f>
        <v>0</v>
      </c>
      <c r="E66">
        <f>IF(ISNUMBER(SEARCH("Line 13", 'Form Responses 1'!E65)), 1, 0)</f>
        <v>1</v>
      </c>
      <c r="F66">
        <f>IF(ISNUMBER(SEARCH("Line 14", 'Form Responses 1'!E65)), -1, 0)</f>
        <v>0</v>
      </c>
      <c r="G66">
        <f>IF(ISNUMBER(SEARCH("Line 15", 'Form Responses 1'!E65)), 1, 0)</f>
        <v>0</v>
      </c>
      <c r="H66">
        <f>IF(ISNUMBER(SEARCH("Line 16", 'Form Responses 1'!E65)), -1, 0)</f>
        <v>-1</v>
      </c>
      <c r="I66">
        <f>IF(ISNUMBER(SEARCH("Line 17", 'Form Responses 1'!E65)), 1, 0)</f>
        <v>0</v>
      </c>
      <c r="J66">
        <f>IF(ISNUMBER(SEARCH("Line 19", 'Form Responses 1'!E65)), 1, 0)</f>
        <v>0</v>
      </c>
      <c r="K66">
        <f t="shared" si="0"/>
        <v>0</v>
      </c>
      <c r="L66" s="8">
        <f t="shared" si="1"/>
        <v>1</v>
      </c>
      <c r="M66">
        <f>IF(ISNUMBER(SEARCH("Transmit data", 'Form Responses 1'!F65)), 1, 0)</f>
        <v>1</v>
      </c>
      <c r="N66">
        <f>IF(ISNUMBER(SEARCH("Alter", 'Form Responses 1'!F65)), -1, 0)</f>
        <v>0</v>
      </c>
      <c r="O66">
        <f>IF(ISNUMBER(SEARCH("Change", 'Form Responses 1'!F65)), -1, 0)</f>
        <v>0</v>
      </c>
      <c r="P66">
        <f>IF(ISNUMBER(SEARCH("Remove", 'Form Responses 1'!F65)), -1, 0)</f>
        <v>0</v>
      </c>
      <c r="Q66">
        <f>IF(ISNUMBER(SEARCH("unintelligible", 'Form Responses 1'!F65)), -1, 0)</f>
        <v>-1</v>
      </c>
      <c r="R66">
        <f t="shared" si="2"/>
        <v>3.25</v>
      </c>
      <c r="S66" s="7">
        <f t="shared" si="3"/>
        <v>3.25</v>
      </c>
      <c r="T66">
        <f>IF(ISNUMBER(SEARCH("sensors", 'Form Responses 1'!G65)), 1, 0)</f>
        <v>1</v>
      </c>
      <c r="U66">
        <f>IF(ISNUMBER(SEARCH("actuators", 'Form Responses 1'!G65)), -1, 0)</f>
        <v>0</v>
      </c>
      <c r="V66">
        <f>IF(ISNUMBER(SEARCH("Switch", 'Form Responses 1'!G65)), 1, 0)</f>
        <v>1</v>
      </c>
      <c r="W66">
        <f>IF(ISNUMBER(SEARCH("PID", 'Form Responses 1'!G65)), -1, 0)</f>
        <v>0</v>
      </c>
      <c r="X66">
        <f t="shared" si="4"/>
        <v>4</v>
      </c>
      <c r="Y66" s="7">
        <f t="shared" si="5"/>
        <v>4</v>
      </c>
      <c r="Z66">
        <f>IF(ISNUMBER(SEARCH("16", 'Form Responses 1'!H65)), -1, 0)</f>
        <v>-1</v>
      </c>
      <c r="AA66">
        <f>IF(ISNUMBER(SEARCH("1.5", 'Form Responses 1'!H65)), 1, 0)</f>
        <v>1</v>
      </c>
      <c r="AB66">
        <f>IF(ISNUMBER(SEARCH("0.2", 'Form Responses 1'!H65)), -1, 0)</f>
        <v>0</v>
      </c>
      <c r="AC66">
        <f>IF(ISNUMBER(SEARCH("None", 'Form Responses 1'!H65)), -1, 0)</f>
        <v>0</v>
      </c>
      <c r="AD66">
        <f t="shared" si="6"/>
        <v>3</v>
      </c>
      <c r="AE66" s="7">
        <f t="shared" si="7"/>
        <v>3</v>
      </c>
      <c r="AF66">
        <f>IF(ISNUMBER(SEARCH("Small", 'Form Responses 1'!I65)), -1, 0)</f>
        <v>-1</v>
      </c>
      <c r="AG66">
        <f>IF(ISNUMBER(SEARCH("IMU", 'Form Responses 1'!I65)), 1, 0)</f>
        <v>1</v>
      </c>
      <c r="AH66">
        <f>IF(ISNUMBER(SEARCH("CAN", 'Form Responses 1'!I65)), 1, 0)</f>
        <v>1</v>
      </c>
      <c r="AI66">
        <f>IF(ISNUMBER(SEARCH("High", 'Form Responses 1'!I65)), -1, 0)</f>
        <v>-1</v>
      </c>
      <c r="AJ66">
        <f>IF(ISNUMBER(SEARCH("Spoofing", 'Form Responses 1'!I65)), -1, 0)</f>
        <v>-1</v>
      </c>
      <c r="AK66">
        <f t="shared" si="8"/>
        <v>3</v>
      </c>
      <c r="AL66" s="7">
        <f t="shared" si="9"/>
        <v>3</v>
      </c>
      <c r="AM66">
        <f>IF('Form Responses 1'!J65, 1, 0)</f>
        <v>1</v>
      </c>
      <c r="AN66" s="7">
        <f t="shared" si="10"/>
        <v>4</v>
      </c>
      <c r="AO66">
        <f>IF(ISNUMBER(SEARCH("Increase the integral gain", 'Form Responses 1'!K65)), 1, 0)</f>
        <v>1</v>
      </c>
      <c r="AP66">
        <f>IF(ISNUMBER(SEARCH("Increase the proportional gain", 'Form Responses 1'!K65)), 1, 0)</f>
        <v>0</v>
      </c>
      <c r="AQ66">
        <f>IF(ISNUMBER(SEARCH("increasing the integral gain", 'Form Responses 1'!K65)), 1, 0)</f>
        <v>0</v>
      </c>
      <c r="AR66">
        <f>IF(ISNUMBER(SEARCH("Decrease the proportional gain (Kp) and increase the derivative gain (Kd)", 'Form Responses 1'!K65)), 1, 0)</f>
        <v>0</v>
      </c>
      <c r="AS66">
        <f>IF(ISNUMBER(SEARCH("Decrease the proportional gain", 'Form Responses 1'!K65)), 1, 0)</f>
        <v>0</v>
      </c>
      <c r="AT66" s="7">
        <f t="shared" si="11"/>
        <v>4</v>
      </c>
      <c r="AU66">
        <f>IF(ISNUMBER(SEARCH("Measurement", 'Form Responses 1'!L65)), 1, 0)</f>
        <v>0</v>
      </c>
      <c r="AV66">
        <f>IF(ISNUMBER(SEARCH("All of the above",'Form Responses 1'!L65)),1,0)</f>
        <v>1</v>
      </c>
      <c r="AW66" s="7">
        <f t="shared" si="12"/>
        <v>2</v>
      </c>
      <c r="AX66">
        <f>IF(ISNUMBER(SEARCH("recorded sensor data to the controller", 'Form Responses 1'!M65)), 1, 0)</f>
        <v>1</v>
      </c>
      <c r="AY66">
        <f>IF(ISNUMBER(SEARCH("record sensor data from", 'Form Responses 1'!M65)), 1, 0)</f>
        <v>0</v>
      </c>
      <c r="AZ66">
        <f>IF(ISNUMBER(SEARCH("record actuator data from",'Form Responses 1'!M65)),1,0)</f>
        <v>0</v>
      </c>
      <c r="BA66">
        <f>IF(ISNUMBER(SEARCH("recorded actuator data to the controller", 'Form Responses 1'!M65)), 1, 0)</f>
        <v>0</v>
      </c>
      <c r="BB66" s="7">
        <f t="shared" si="13"/>
        <v>4</v>
      </c>
      <c r="BC66">
        <f>IF('Form Responses 1'!N65, 0, 1)</f>
        <v>1</v>
      </c>
      <c r="BD66" s="7">
        <f t="shared" si="14"/>
        <v>4</v>
      </c>
    </row>
    <row r="67" spans="1:56" x14ac:dyDescent="0.2">
      <c r="A67" s="4">
        <v>65</v>
      </c>
      <c r="B67">
        <f>IF(ISNUMBER(SEARCH("Line 4", 'Form Responses 1'!E66)), -1, 0)</f>
        <v>0</v>
      </c>
      <c r="C67">
        <f>IF(ISNUMBER(SEARCH("Line 5", 'Form Responses 1'!E66)), -1, 0)</f>
        <v>0</v>
      </c>
      <c r="D67">
        <f>IF(ISNUMBER(SEARCH("Line 8", 'Form Responses 1'!E66)), 1, 0)</f>
        <v>1</v>
      </c>
      <c r="E67">
        <f>IF(ISNUMBER(SEARCH("Line 13", 'Form Responses 1'!E66)), 1, 0)</f>
        <v>0</v>
      </c>
      <c r="F67">
        <f>IF(ISNUMBER(SEARCH("Line 14", 'Form Responses 1'!E66)), -1, 0)</f>
        <v>-1</v>
      </c>
      <c r="G67">
        <f>IF(ISNUMBER(SEARCH("Line 15", 'Form Responses 1'!E66)), 1, 0)</f>
        <v>1</v>
      </c>
      <c r="H67">
        <f>IF(ISNUMBER(SEARCH("Line 16", 'Form Responses 1'!E66)), -1, 0)</f>
        <v>0</v>
      </c>
      <c r="I67">
        <f>IF(ISNUMBER(SEARCH("Line 17", 'Form Responses 1'!E66)), 1, 0)</f>
        <v>0</v>
      </c>
      <c r="J67">
        <f>IF(ISNUMBER(SEARCH("Line 19", 'Form Responses 1'!E66)), 1, 0)</f>
        <v>0</v>
      </c>
      <c r="K67">
        <f t="shared" si="0"/>
        <v>1</v>
      </c>
      <c r="L67" s="8">
        <f t="shared" si="1"/>
        <v>1</v>
      </c>
      <c r="M67">
        <f>IF(ISNUMBER(SEARCH("Transmit data", 'Form Responses 1'!F66)), 1, 0)</f>
        <v>1</v>
      </c>
      <c r="N67">
        <f>IF(ISNUMBER(SEARCH("Alter", 'Form Responses 1'!F66)), -1, 0)</f>
        <v>0</v>
      </c>
      <c r="O67">
        <f>IF(ISNUMBER(SEARCH("Change", 'Form Responses 1'!F66)), -1, 0)</f>
        <v>0</v>
      </c>
      <c r="P67">
        <f>IF(ISNUMBER(SEARCH("Remove", 'Form Responses 1'!F66)), -1, 0)</f>
        <v>-1</v>
      </c>
      <c r="Q67">
        <f>IF(ISNUMBER(SEARCH("unintelligible", 'Form Responses 1'!F66)), -1, 0)</f>
        <v>0</v>
      </c>
      <c r="R67">
        <f t="shared" si="2"/>
        <v>3.25</v>
      </c>
      <c r="S67" s="7">
        <f t="shared" si="3"/>
        <v>3.25</v>
      </c>
      <c r="T67">
        <f>IF(ISNUMBER(SEARCH("sensors", 'Form Responses 1'!G66)), 1, 0)</f>
        <v>1</v>
      </c>
      <c r="U67">
        <f>IF(ISNUMBER(SEARCH("actuators", 'Form Responses 1'!G66)), -1, 0)</f>
        <v>0</v>
      </c>
      <c r="V67">
        <f>IF(ISNUMBER(SEARCH("Switch", 'Form Responses 1'!G66)), 1, 0)</f>
        <v>0</v>
      </c>
      <c r="W67">
        <f>IF(ISNUMBER(SEARCH("PID", 'Form Responses 1'!G66)), -1, 0)</f>
        <v>-1</v>
      </c>
      <c r="X67">
        <f t="shared" si="4"/>
        <v>1</v>
      </c>
      <c r="Y67" s="7">
        <f t="shared" si="5"/>
        <v>1</v>
      </c>
      <c r="Z67">
        <f>IF(ISNUMBER(SEARCH("16", 'Form Responses 1'!H66)), -1, 0)</f>
        <v>-1</v>
      </c>
      <c r="AA67">
        <f>IF(ISNUMBER(SEARCH("1.5", 'Form Responses 1'!H66)), 1, 0)</f>
        <v>1</v>
      </c>
      <c r="AB67">
        <f>IF(ISNUMBER(SEARCH("0.2", 'Form Responses 1'!H66)), -1, 0)</f>
        <v>0</v>
      </c>
      <c r="AC67">
        <f>IF(ISNUMBER(SEARCH("None", 'Form Responses 1'!H66)), -1, 0)</f>
        <v>0</v>
      </c>
      <c r="AD67">
        <f t="shared" si="6"/>
        <v>3</v>
      </c>
      <c r="AE67" s="7">
        <f t="shared" si="7"/>
        <v>3</v>
      </c>
      <c r="AF67">
        <f>IF(ISNUMBER(SEARCH("Small", 'Form Responses 1'!I66)), -1, 0)</f>
        <v>-1</v>
      </c>
      <c r="AG67">
        <f>IF(ISNUMBER(SEARCH("IMU", 'Form Responses 1'!I66)), 1, 0)</f>
        <v>1</v>
      </c>
      <c r="AH67">
        <f>IF(ISNUMBER(SEARCH("CAN", 'Form Responses 1'!I66)), 1, 0)</f>
        <v>0</v>
      </c>
      <c r="AI67">
        <f>IF(ISNUMBER(SEARCH("High", 'Form Responses 1'!I66)), -1, 0)</f>
        <v>0</v>
      </c>
      <c r="AJ67">
        <f>IF(ISNUMBER(SEARCH("Spoofing", 'Form Responses 1'!I66)), -1, 0)</f>
        <v>0</v>
      </c>
      <c r="AK67">
        <f t="shared" si="8"/>
        <v>3</v>
      </c>
      <c r="AL67" s="7">
        <f t="shared" si="9"/>
        <v>3</v>
      </c>
      <c r="AM67">
        <f>IF('Form Responses 1'!J66, 1, 0)</f>
        <v>1</v>
      </c>
      <c r="AN67" s="7">
        <f t="shared" si="10"/>
        <v>4</v>
      </c>
      <c r="AO67">
        <f>IF(ISNUMBER(SEARCH("Increase the integral gain", 'Form Responses 1'!K66)), 1, 0)</f>
        <v>0</v>
      </c>
      <c r="AP67">
        <f>IF(ISNUMBER(SEARCH("Increase the proportional gain", 'Form Responses 1'!K66)), 1, 0)</f>
        <v>1</v>
      </c>
      <c r="AQ67">
        <f>IF(ISNUMBER(SEARCH("increasing the integral gain", 'Form Responses 1'!K66)), 1, 0)</f>
        <v>0</v>
      </c>
      <c r="AR67">
        <f>IF(ISNUMBER(SEARCH("Decrease the proportional gain (Kp) and increase the derivative gain (Kd)", 'Form Responses 1'!K66)), 1, 0)</f>
        <v>0</v>
      </c>
      <c r="AS67">
        <f>IF(ISNUMBER(SEARCH("Decrease the proportional gain", 'Form Responses 1'!K66)), 1, 0)</f>
        <v>0</v>
      </c>
      <c r="AT67" s="7">
        <f t="shared" si="11"/>
        <v>1</v>
      </c>
      <c r="AU67">
        <f>IF(ISNUMBER(SEARCH("Measurement", 'Form Responses 1'!L66)), 1, 0)</f>
        <v>1</v>
      </c>
      <c r="AV67">
        <f>IF(ISNUMBER(SEARCH("All of the above",'Form Responses 1'!L66)),1,0)</f>
        <v>0</v>
      </c>
      <c r="AW67" s="7">
        <f t="shared" si="12"/>
        <v>4</v>
      </c>
      <c r="AX67">
        <f>IF(ISNUMBER(SEARCH("recorded sensor data to the controller", 'Form Responses 1'!M66)), 1, 0)</f>
        <v>0</v>
      </c>
      <c r="AY67">
        <f>IF(ISNUMBER(SEARCH("record sensor data from", 'Form Responses 1'!M66)), 1, 0)</f>
        <v>0</v>
      </c>
      <c r="AZ67">
        <f>IF(ISNUMBER(SEARCH("record actuator data from",'Form Responses 1'!M66)),1,0)</f>
        <v>0</v>
      </c>
      <c r="BA67">
        <f>IF(ISNUMBER(SEARCH("recorded actuator data to the controller", 'Form Responses 1'!M66)), 1, 0)</f>
        <v>1</v>
      </c>
      <c r="BB67" s="7">
        <f t="shared" si="13"/>
        <v>0</v>
      </c>
      <c r="BC67">
        <f>IF('Form Responses 1'!N66, 0, 1)</f>
        <v>0</v>
      </c>
      <c r="BD67" s="7">
        <f t="shared" si="14"/>
        <v>0</v>
      </c>
    </row>
    <row r="68" spans="1:56" x14ac:dyDescent="0.2">
      <c r="A68" s="4">
        <v>66</v>
      </c>
      <c r="B68">
        <f>IF(ISNUMBER(SEARCH("Line 4", 'Form Responses 1'!E67)), -1, 0)</f>
        <v>0</v>
      </c>
      <c r="C68">
        <f>IF(ISNUMBER(SEARCH("Line 5", 'Form Responses 1'!E67)), -1, 0)</f>
        <v>0</v>
      </c>
      <c r="D68">
        <f>IF(ISNUMBER(SEARCH("Line 8", 'Form Responses 1'!E67)), 1, 0)</f>
        <v>0</v>
      </c>
      <c r="E68">
        <f>IF(ISNUMBER(SEARCH("Line 13", 'Form Responses 1'!E67)), 1, 0)</f>
        <v>0</v>
      </c>
      <c r="F68">
        <f>IF(ISNUMBER(SEARCH("Line 14", 'Form Responses 1'!E67)), -1, 0)</f>
        <v>0</v>
      </c>
      <c r="G68">
        <f>IF(ISNUMBER(SEARCH("Line 15", 'Form Responses 1'!E67)), 1, 0)</f>
        <v>1</v>
      </c>
      <c r="H68">
        <f>IF(ISNUMBER(SEARCH("Line 16", 'Form Responses 1'!E67)), -1, 0)</f>
        <v>0</v>
      </c>
      <c r="I68">
        <f>IF(ISNUMBER(SEARCH("Line 17", 'Form Responses 1'!E67)), 1, 0)</f>
        <v>0</v>
      </c>
      <c r="J68">
        <f>IF(ISNUMBER(SEARCH("Line 19", 'Form Responses 1'!E67)), 1, 0)</f>
        <v>0</v>
      </c>
      <c r="K68">
        <f t="shared" ref="K68:K87" si="15">SUM(B68:J68)</f>
        <v>1</v>
      </c>
      <c r="L68" s="8">
        <f t="shared" ref="L68:L87" si="16">MIN(4,MAX(0,B68+C68+D68+E68*2+F68+G68+H68+I68+2*J68))</f>
        <v>1</v>
      </c>
      <c r="M68">
        <f>IF(ISNUMBER(SEARCH("Transmit data", 'Form Responses 1'!F67)), 1, 0)</f>
        <v>1</v>
      </c>
      <c r="N68">
        <f>IF(ISNUMBER(SEARCH("Alter", 'Form Responses 1'!F67)), -1, 0)</f>
        <v>0</v>
      </c>
      <c r="O68">
        <f>IF(ISNUMBER(SEARCH("Change", 'Form Responses 1'!F67)), -1, 0)</f>
        <v>0</v>
      </c>
      <c r="P68">
        <f>IF(ISNUMBER(SEARCH("Remove", 'Form Responses 1'!F67)), -1, 0)</f>
        <v>0</v>
      </c>
      <c r="Q68">
        <f>IF(ISNUMBER(SEARCH("unintelligible", 'Form Responses 1'!F67)), -1, 0)</f>
        <v>-1</v>
      </c>
      <c r="R68">
        <f t="shared" ref="R68:R87" si="17">M68*4+0.75*SUM(N68:Q68)</f>
        <v>3.25</v>
      </c>
      <c r="S68" s="7">
        <f t="shared" ref="S68:S87" si="18">+MAX(0,R68)</f>
        <v>3.25</v>
      </c>
      <c r="T68">
        <f>IF(ISNUMBER(SEARCH("sensors", 'Form Responses 1'!G67)), 1, 0)</f>
        <v>1</v>
      </c>
      <c r="U68">
        <f>IF(ISNUMBER(SEARCH("actuators", 'Form Responses 1'!G67)), -1, 0)</f>
        <v>0</v>
      </c>
      <c r="V68">
        <f>IF(ISNUMBER(SEARCH("Switch", 'Form Responses 1'!G67)), 1, 0)</f>
        <v>1</v>
      </c>
      <c r="W68">
        <f>IF(ISNUMBER(SEARCH("PID", 'Form Responses 1'!G67)), -1, 0)</f>
        <v>0</v>
      </c>
      <c r="X68">
        <f t="shared" ref="X68:X87" si="19">T68*2+U68*1+V68*2+W68*1</f>
        <v>4</v>
      </c>
      <c r="Y68" s="7">
        <f t="shared" ref="Y68:Y87" si="20">MAX(0,X68)</f>
        <v>4</v>
      </c>
      <c r="Z68">
        <f>IF(ISNUMBER(SEARCH("16", 'Form Responses 1'!H67)), -1, 0)</f>
        <v>-1</v>
      </c>
      <c r="AA68">
        <f>IF(ISNUMBER(SEARCH("1.5", 'Form Responses 1'!H67)), 1, 0)</f>
        <v>0</v>
      </c>
      <c r="AB68">
        <f>IF(ISNUMBER(SEARCH("0.2", 'Form Responses 1'!H67)), -1, 0)</f>
        <v>0</v>
      </c>
      <c r="AC68">
        <f>IF(ISNUMBER(SEARCH("None", 'Form Responses 1'!H67)), -1, 0)</f>
        <v>0</v>
      </c>
      <c r="AD68">
        <f t="shared" ref="AD68:AD87" si="21">Z68+AB68*2+AC68*(-2)+4*AA68</f>
        <v>-1</v>
      </c>
      <c r="AE68" s="7">
        <f t="shared" ref="AE68:AE87" si="22">MAX(0,AD68)</f>
        <v>0</v>
      </c>
      <c r="AF68">
        <f>IF(ISNUMBER(SEARCH("Small", 'Form Responses 1'!I67)), -1, 0)</f>
        <v>-1</v>
      </c>
      <c r="AG68">
        <f>IF(ISNUMBER(SEARCH("IMU", 'Form Responses 1'!I67)), 1, 0)</f>
        <v>0</v>
      </c>
      <c r="AH68">
        <f>IF(ISNUMBER(SEARCH("CAN", 'Form Responses 1'!I67)), 1, 0)</f>
        <v>1</v>
      </c>
      <c r="AI68">
        <f>IF(ISNUMBER(SEARCH("High", 'Form Responses 1'!I67)), -1, 0)</f>
        <v>0</v>
      </c>
      <c r="AJ68">
        <f>IF(ISNUMBER(SEARCH("Spoofing", 'Form Responses 1'!I67)), -1, 0)</f>
        <v>-1</v>
      </c>
      <c r="AK68">
        <f t="shared" ref="AK68:AK87" si="23">-1*AF68+AG68*2+AH68*2+AI68+AJ68</f>
        <v>2</v>
      </c>
      <c r="AL68" s="7">
        <f t="shared" ref="AL68:AL87" si="24">MIN(4,MAX(AK68,0))</f>
        <v>2</v>
      </c>
      <c r="AM68">
        <f>IF('Form Responses 1'!J67, 1, 0)</f>
        <v>1</v>
      </c>
      <c r="AN68" s="7">
        <f t="shared" ref="AN68:AN87" si="25">AM68*4</f>
        <v>4</v>
      </c>
      <c r="AO68">
        <f>IF(ISNUMBER(SEARCH("Increase the integral gain", 'Form Responses 1'!K67)), 1, 0)</f>
        <v>0</v>
      </c>
      <c r="AP68">
        <f>IF(ISNUMBER(SEARCH("Increase the proportional gain", 'Form Responses 1'!K67)), 1, 0)</f>
        <v>0</v>
      </c>
      <c r="AQ68">
        <f>IF(ISNUMBER(SEARCH("increasing the integral gain", 'Form Responses 1'!K67)), 1, 0)</f>
        <v>0</v>
      </c>
      <c r="AR68">
        <f>IF(ISNUMBER(SEARCH("Decrease the proportional gain (Kp) and increase the derivative gain (Kd)", 'Form Responses 1'!K67)), 1, 0)</f>
        <v>0</v>
      </c>
      <c r="AS68">
        <f>IF(ISNUMBER(SEARCH("Decrease the proportional gain", 'Form Responses 1'!K67)), 1, 0)</f>
        <v>1</v>
      </c>
      <c r="AT68" s="7">
        <f t="shared" ref="AT68:AT87" si="26">4*AO68+AP68*1+AQ68*1.3+AR68*1+AS68*1</f>
        <v>1</v>
      </c>
      <c r="AU68">
        <f>IF(ISNUMBER(SEARCH("Measurement", 'Form Responses 1'!L67)), 1, 0)</f>
        <v>0</v>
      </c>
      <c r="AV68">
        <f>IF(ISNUMBER(SEARCH("All of the above",'Form Responses 1'!L67)),1,0)</f>
        <v>0</v>
      </c>
      <c r="AW68" s="7">
        <f t="shared" ref="AW68:AW87" si="27">AU68*4+AV68*2</f>
        <v>0</v>
      </c>
      <c r="AX68">
        <f>IF(ISNUMBER(SEARCH("recorded sensor data to the controller", 'Form Responses 1'!M67)), 1, 0)</f>
        <v>1</v>
      </c>
      <c r="AY68">
        <f>IF(ISNUMBER(SEARCH("record sensor data from", 'Form Responses 1'!M67)), 1, 0)</f>
        <v>0</v>
      </c>
      <c r="AZ68">
        <f>IF(ISNUMBER(SEARCH("record actuator data from",'Form Responses 1'!M67)),1,0)</f>
        <v>0</v>
      </c>
      <c r="BA68">
        <f>IF(ISNUMBER(SEARCH("recorded actuator data to the controller", 'Form Responses 1'!M67)), 1, 0)</f>
        <v>0</v>
      </c>
      <c r="BB68" s="7">
        <f t="shared" ref="BB68:BB87" si="28">AX68*4+AY68*2+AZ68*2+BA68*0</f>
        <v>4</v>
      </c>
      <c r="BC68">
        <f>IF('Form Responses 1'!N67, 0, 1)</f>
        <v>0</v>
      </c>
      <c r="BD68" s="7">
        <f t="shared" ref="BD68:BD87" si="29">BC68*4</f>
        <v>0</v>
      </c>
    </row>
    <row r="69" spans="1:56" x14ac:dyDescent="0.2">
      <c r="A69" s="4">
        <v>67</v>
      </c>
      <c r="B69">
        <f>IF(ISNUMBER(SEARCH("Line 4", 'Form Responses 1'!E68)), -1, 0)</f>
        <v>-1</v>
      </c>
      <c r="C69">
        <f>IF(ISNUMBER(SEARCH("Line 5", 'Form Responses 1'!E68)), -1, 0)</f>
        <v>-1</v>
      </c>
      <c r="D69">
        <f>IF(ISNUMBER(SEARCH("Line 8", 'Form Responses 1'!E68)), 1, 0)</f>
        <v>1</v>
      </c>
      <c r="E69">
        <f>IF(ISNUMBER(SEARCH("Line 13", 'Form Responses 1'!E68)), 1, 0)</f>
        <v>1</v>
      </c>
      <c r="F69">
        <f>IF(ISNUMBER(SEARCH("Line 14", 'Form Responses 1'!E68)), -1, 0)</f>
        <v>-1</v>
      </c>
      <c r="G69">
        <f>IF(ISNUMBER(SEARCH("Line 15", 'Form Responses 1'!E68)), 1, 0)</f>
        <v>1</v>
      </c>
      <c r="H69">
        <f>IF(ISNUMBER(SEARCH("Line 16", 'Form Responses 1'!E68)), -1, 0)</f>
        <v>-1</v>
      </c>
      <c r="I69">
        <f>IF(ISNUMBER(SEARCH("Line 17", 'Form Responses 1'!E68)), 1, 0)</f>
        <v>1</v>
      </c>
      <c r="J69">
        <f>IF(ISNUMBER(SEARCH("Line 19", 'Form Responses 1'!E68)), 1, 0)</f>
        <v>0</v>
      </c>
      <c r="K69">
        <f t="shared" si="15"/>
        <v>0</v>
      </c>
      <c r="L69" s="8">
        <f t="shared" si="16"/>
        <v>1</v>
      </c>
      <c r="M69">
        <f>IF(ISNUMBER(SEARCH("Transmit data", 'Form Responses 1'!F68)), 1, 0)</f>
        <v>1</v>
      </c>
      <c r="N69">
        <f>IF(ISNUMBER(SEARCH("Alter", 'Form Responses 1'!F68)), -1, 0)</f>
        <v>0</v>
      </c>
      <c r="O69">
        <f>IF(ISNUMBER(SEARCH("Change", 'Form Responses 1'!F68)), -1, 0)</f>
        <v>0</v>
      </c>
      <c r="P69">
        <f>IF(ISNUMBER(SEARCH("Remove", 'Form Responses 1'!F68)), -1, 0)</f>
        <v>-1</v>
      </c>
      <c r="Q69">
        <f>IF(ISNUMBER(SEARCH("unintelligible", 'Form Responses 1'!F68)), -1, 0)</f>
        <v>-1</v>
      </c>
      <c r="R69">
        <f t="shared" si="17"/>
        <v>2.5</v>
      </c>
      <c r="S69" s="7">
        <f t="shared" si="18"/>
        <v>2.5</v>
      </c>
      <c r="T69">
        <f>IF(ISNUMBER(SEARCH("sensors", 'Form Responses 1'!G68)), 1, 0)</f>
        <v>1</v>
      </c>
      <c r="U69">
        <f>IF(ISNUMBER(SEARCH("actuators", 'Form Responses 1'!G68)), -1, 0)</f>
        <v>0</v>
      </c>
      <c r="V69">
        <f>IF(ISNUMBER(SEARCH("Switch", 'Form Responses 1'!G68)), 1, 0)</f>
        <v>1</v>
      </c>
      <c r="W69">
        <f>IF(ISNUMBER(SEARCH("PID", 'Form Responses 1'!G68)), -1, 0)</f>
        <v>0</v>
      </c>
      <c r="X69">
        <f t="shared" si="19"/>
        <v>4</v>
      </c>
      <c r="Y69" s="7">
        <f t="shared" si="20"/>
        <v>4</v>
      </c>
      <c r="Z69">
        <f>IF(ISNUMBER(SEARCH("16", 'Form Responses 1'!H68)), -1, 0)</f>
        <v>0</v>
      </c>
      <c r="AA69">
        <f>IF(ISNUMBER(SEARCH("1.5", 'Form Responses 1'!H68)), 1, 0)</f>
        <v>1</v>
      </c>
      <c r="AB69">
        <f>IF(ISNUMBER(SEARCH("0.2", 'Form Responses 1'!H68)), -1, 0)</f>
        <v>0</v>
      </c>
      <c r="AC69">
        <f>IF(ISNUMBER(SEARCH("None", 'Form Responses 1'!H68)), -1, 0)</f>
        <v>0</v>
      </c>
      <c r="AD69">
        <f t="shared" si="21"/>
        <v>4</v>
      </c>
      <c r="AE69" s="7">
        <f t="shared" si="22"/>
        <v>4</v>
      </c>
      <c r="AF69">
        <f>IF(ISNUMBER(SEARCH("Small", 'Form Responses 1'!I68)), -1, 0)</f>
        <v>-1</v>
      </c>
      <c r="AG69">
        <f>IF(ISNUMBER(SEARCH("IMU", 'Form Responses 1'!I68)), 1, 0)</f>
        <v>0</v>
      </c>
      <c r="AH69">
        <f>IF(ISNUMBER(SEARCH("CAN", 'Form Responses 1'!I68)), 1, 0)</f>
        <v>1</v>
      </c>
      <c r="AI69">
        <f>IF(ISNUMBER(SEARCH("High", 'Form Responses 1'!I68)), -1, 0)</f>
        <v>0</v>
      </c>
      <c r="AJ69">
        <f>IF(ISNUMBER(SEARCH("Spoofing", 'Form Responses 1'!I68)), -1, 0)</f>
        <v>0</v>
      </c>
      <c r="AK69">
        <f t="shared" si="23"/>
        <v>3</v>
      </c>
      <c r="AL69" s="7">
        <f t="shared" si="24"/>
        <v>3</v>
      </c>
      <c r="AM69">
        <f>IF('Form Responses 1'!J68, 1, 0)</f>
        <v>1</v>
      </c>
      <c r="AN69" s="7">
        <f t="shared" si="25"/>
        <v>4</v>
      </c>
      <c r="AO69">
        <f>IF(ISNUMBER(SEARCH("Increase the integral gain", 'Form Responses 1'!K68)), 1, 0)</f>
        <v>0</v>
      </c>
      <c r="AP69">
        <f>IF(ISNUMBER(SEARCH("Increase the proportional gain", 'Form Responses 1'!K68)), 1, 0)</f>
        <v>0</v>
      </c>
      <c r="AQ69">
        <f>IF(ISNUMBER(SEARCH("increasing the integral gain", 'Form Responses 1'!K68)), 1, 0)</f>
        <v>0</v>
      </c>
      <c r="AR69">
        <f>IF(ISNUMBER(SEARCH("Decrease the proportional gain (Kp) and increase the derivative gain (Kd)", 'Form Responses 1'!K68)), 1, 0)</f>
        <v>1</v>
      </c>
      <c r="AS69">
        <f>IF(ISNUMBER(SEARCH("Decrease the proportional gain", 'Form Responses 1'!K68)), 1, 0)</f>
        <v>1</v>
      </c>
      <c r="AT69" s="7">
        <f t="shared" si="26"/>
        <v>2</v>
      </c>
      <c r="AU69">
        <f>IF(ISNUMBER(SEARCH("Measurement", 'Form Responses 1'!L68)), 1, 0)</f>
        <v>0</v>
      </c>
      <c r="AV69">
        <f>IF(ISNUMBER(SEARCH("All of the above",'Form Responses 1'!L68)),1,0)</f>
        <v>1</v>
      </c>
      <c r="AW69" s="7">
        <f t="shared" si="27"/>
        <v>2</v>
      </c>
      <c r="AX69">
        <f>IF(ISNUMBER(SEARCH("recorded sensor data to the controller", 'Form Responses 1'!M68)), 1, 0)</f>
        <v>1</v>
      </c>
      <c r="AY69">
        <f>IF(ISNUMBER(SEARCH("record sensor data from", 'Form Responses 1'!M68)), 1, 0)</f>
        <v>0</v>
      </c>
      <c r="AZ69">
        <f>IF(ISNUMBER(SEARCH("record actuator data from",'Form Responses 1'!M68)),1,0)</f>
        <v>0</v>
      </c>
      <c r="BA69">
        <f>IF(ISNUMBER(SEARCH("recorded actuator data to the controller", 'Form Responses 1'!M68)), 1, 0)</f>
        <v>0</v>
      </c>
      <c r="BB69" s="7">
        <f t="shared" si="28"/>
        <v>4</v>
      </c>
      <c r="BC69">
        <f>IF('Form Responses 1'!N68, 0, 1)</f>
        <v>1</v>
      </c>
      <c r="BD69" s="7">
        <f t="shared" si="29"/>
        <v>4</v>
      </c>
    </row>
    <row r="70" spans="1:56" x14ac:dyDescent="0.2">
      <c r="A70" s="4">
        <v>68</v>
      </c>
      <c r="B70">
        <f>IF(ISNUMBER(SEARCH("Line 4", 'Form Responses 1'!E69)), -1, 0)</f>
        <v>0</v>
      </c>
      <c r="C70">
        <f>IF(ISNUMBER(SEARCH("Line 5", 'Form Responses 1'!E69)), -1, 0)</f>
        <v>0</v>
      </c>
      <c r="D70">
        <f>IF(ISNUMBER(SEARCH("Line 8", 'Form Responses 1'!E69)), 1, 0)</f>
        <v>1</v>
      </c>
      <c r="E70">
        <f>IF(ISNUMBER(SEARCH("Line 13", 'Form Responses 1'!E69)), 1, 0)</f>
        <v>0</v>
      </c>
      <c r="F70">
        <f>IF(ISNUMBER(SEARCH("Line 14", 'Form Responses 1'!E69)), -1, 0)</f>
        <v>0</v>
      </c>
      <c r="G70">
        <f>IF(ISNUMBER(SEARCH("Line 15", 'Form Responses 1'!E69)), 1, 0)</f>
        <v>1</v>
      </c>
      <c r="H70">
        <f>IF(ISNUMBER(SEARCH("Line 16", 'Form Responses 1'!E69)), -1, 0)</f>
        <v>0</v>
      </c>
      <c r="I70">
        <f>IF(ISNUMBER(SEARCH("Line 17", 'Form Responses 1'!E69)), 1, 0)</f>
        <v>1</v>
      </c>
      <c r="J70">
        <f>IF(ISNUMBER(SEARCH("Line 19", 'Form Responses 1'!E69)), 1, 0)</f>
        <v>0</v>
      </c>
      <c r="K70">
        <f t="shared" si="15"/>
        <v>3</v>
      </c>
      <c r="L70" s="8">
        <f t="shared" si="16"/>
        <v>3</v>
      </c>
      <c r="M70">
        <f>IF(ISNUMBER(SEARCH("Transmit data", 'Form Responses 1'!F69)), 1, 0)</f>
        <v>1</v>
      </c>
      <c r="N70">
        <f>IF(ISNUMBER(SEARCH("Alter", 'Form Responses 1'!F69)), -1, 0)</f>
        <v>0</v>
      </c>
      <c r="O70">
        <f>IF(ISNUMBER(SEARCH("Change", 'Form Responses 1'!F69)), -1, 0)</f>
        <v>-1</v>
      </c>
      <c r="P70">
        <f>IF(ISNUMBER(SEARCH("Remove", 'Form Responses 1'!F69)), -1, 0)</f>
        <v>0</v>
      </c>
      <c r="Q70">
        <f>IF(ISNUMBER(SEARCH("unintelligible", 'Form Responses 1'!F69)), -1, 0)</f>
        <v>0</v>
      </c>
      <c r="R70">
        <f t="shared" si="17"/>
        <v>3.25</v>
      </c>
      <c r="S70" s="7">
        <f t="shared" si="18"/>
        <v>3.25</v>
      </c>
      <c r="T70">
        <f>IF(ISNUMBER(SEARCH("sensors", 'Form Responses 1'!G69)), 1, 0)</f>
        <v>1</v>
      </c>
      <c r="U70">
        <f>IF(ISNUMBER(SEARCH("actuators", 'Form Responses 1'!G69)), -1, 0)</f>
        <v>-1</v>
      </c>
      <c r="V70">
        <f>IF(ISNUMBER(SEARCH("Switch", 'Form Responses 1'!G69)), 1, 0)</f>
        <v>0</v>
      </c>
      <c r="W70">
        <f>IF(ISNUMBER(SEARCH("PID", 'Form Responses 1'!G69)), -1, 0)</f>
        <v>-1</v>
      </c>
      <c r="X70">
        <f t="shared" si="19"/>
        <v>0</v>
      </c>
      <c r="Y70" s="7">
        <f t="shared" si="20"/>
        <v>0</v>
      </c>
      <c r="Z70">
        <f>IF(ISNUMBER(SEARCH("16", 'Form Responses 1'!H69)), -1, 0)</f>
        <v>-1</v>
      </c>
      <c r="AA70">
        <f>IF(ISNUMBER(SEARCH("1.5", 'Form Responses 1'!H69)), 1, 0)</f>
        <v>1</v>
      </c>
      <c r="AB70">
        <f>IF(ISNUMBER(SEARCH("0.2", 'Form Responses 1'!H69)), -1, 0)</f>
        <v>0</v>
      </c>
      <c r="AC70">
        <f>IF(ISNUMBER(SEARCH("None", 'Form Responses 1'!H69)), -1, 0)</f>
        <v>0</v>
      </c>
      <c r="AD70">
        <f t="shared" si="21"/>
        <v>3</v>
      </c>
      <c r="AE70" s="7">
        <f t="shared" si="22"/>
        <v>3</v>
      </c>
      <c r="AF70">
        <f>IF(ISNUMBER(SEARCH("Small", 'Form Responses 1'!I69)), -1, 0)</f>
        <v>-1</v>
      </c>
      <c r="AG70">
        <f>IF(ISNUMBER(SEARCH("IMU", 'Form Responses 1'!I69)), 1, 0)</f>
        <v>1</v>
      </c>
      <c r="AH70">
        <f>IF(ISNUMBER(SEARCH("CAN", 'Form Responses 1'!I69)), 1, 0)</f>
        <v>1</v>
      </c>
      <c r="AI70">
        <f>IF(ISNUMBER(SEARCH("High", 'Form Responses 1'!I69)), -1, 0)</f>
        <v>0</v>
      </c>
      <c r="AJ70">
        <f>IF(ISNUMBER(SEARCH("Spoofing", 'Form Responses 1'!I69)), -1, 0)</f>
        <v>0</v>
      </c>
      <c r="AK70">
        <f t="shared" si="23"/>
        <v>5</v>
      </c>
      <c r="AL70" s="7">
        <f t="shared" si="24"/>
        <v>4</v>
      </c>
      <c r="AM70">
        <f>IF('Form Responses 1'!J69, 1, 0)</f>
        <v>1</v>
      </c>
      <c r="AN70" s="7">
        <f t="shared" si="25"/>
        <v>4</v>
      </c>
      <c r="AO70">
        <f>IF(ISNUMBER(SEARCH("Increase the integral gain", 'Form Responses 1'!K69)), 1, 0)</f>
        <v>1</v>
      </c>
      <c r="AP70">
        <f>IF(ISNUMBER(SEARCH("Increase the proportional gain", 'Form Responses 1'!K69)), 1, 0)</f>
        <v>0</v>
      </c>
      <c r="AQ70">
        <f>IF(ISNUMBER(SEARCH("increasing the integral gain", 'Form Responses 1'!K69)), 1, 0)</f>
        <v>0</v>
      </c>
      <c r="AR70">
        <f>IF(ISNUMBER(SEARCH("Decrease the proportional gain (Kp) and increase the derivative gain (Kd)", 'Form Responses 1'!K69)), 1, 0)</f>
        <v>0</v>
      </c>
      <c r="AS70">
        <f>IF(ISNUMBER(SEARCH("Decrease the proportional gain", 'Form Responses 1'!K69)), 1, 0)</f>
        <v>0</v>
      </c>
      <c r="AT70" s="7">
        <f t="shared" si="26"/>
        <v>4</v>
      </c>
      <c r="AU70">
        <f>IF(ISNUMBER(SEARCH("Measurement", 'Form Responses 1'!L69)), 1, 0)</f>
        <v>0</v>
      </c>
      <c r="AV70">
        <f>IF(ISNUMBER(SEARCH("All of the above",'Form Responses 1'!L69)),1,0)</f>
        <v>0</v>
      </c>
      <c r="AW70" s="7">
        <f t="shared" si="27"/>
        <v>0</v>
      </c>
      <c r="AX70">
        <f>IF(ISNUMBER(SEARCH("recorded sensor data to the controller", 'Form Responses 1'!M69)), 1, 0)</f>
        <v>0</v>
      </c>
      <c r="AY70">
        <f>IF(ISNUMBER(SEARCH("record sensor data from", 'Form Responses 1'!M69)), 1, 0)</f>
        <v>0</v>
      </c>
      <c r="AZ70">
        <f>IF(ISNUMBER(SEARCH("record actuator data from",'Form Responses 1'!M69)),1,0)</f>
        <v>0</v>
      </c>
      <c r="BA70">
        <f>IF(ISNUMBER(SEARCH("recorded actuator data to the controller", 'Form Responses 1'!M69)), 1, 0)</f>
        <v>0</v>
      </c>
      <c r="BB70" s="7">
        <f t="shared" si="28"/>
        <v>0</v>
      </c>
      <c r="BC70">
        <f>IF('Form Responses 1'!N69, 0, 1)</f>
        <v>1</v>
      </c>
      <c r="BD70" s="7">
        <f t="shared" si="29"/>
        <v>4</v>
      </c>
    </row>
    <row r="71" spans="1:56" x14ac:dyDescent="0.2">
      <c r="A71" s="4">
        <v>69</v>
      </c>
      <c r="B71">
        <f>IF(ISNUMBER(SEARCH("Line 4", 'Form Responses 1'!E70)), -1, 0)</f>
        <v>0</v>
      </c>
      <c r="C71">
        <f>IF(ISNUMBER(SEARCH("Line 5", 'Form Responses 1'!E70)), -1, 0)</f>
        <v>0</v>
      </c>
      <c r="D71">
        <f>IF(ISNUMBER(SEARCH("Line 8", 'Form Responses 1'!E70)), 1, 0)</f>
        <v>1</v>
      </c>
      <c r="E71">
        <f>IF(ISNUMBER(SEARCH("Line 13", 'Form Responses 1'!E70)), 1, 0)</f>
        <v>1</v>
      </c>
      <c r="F71">
        <f>IF(ISNUMBER(SEARCH("Line 14", 'Form Responses 1'!E70)), -1, 0)</f>
        <v>0</v>
      </c>
      <c r="G71">
        <f>IF(ISNUMBER(SEARCH("Line 15", 'Form Responses 1'!E70)), 1, 0)</f>
        <v>1</v>
      </c>
      <c r="H71">
        <f>IF(ISNUMBER(SEARCH("Line 16", 'Form Responses 1'!E70)), -1, 0)</f>
        <v>0</v>
      </c>
      <c r="I71">
        <f>IF(ISNUMBER(SEARCH("Line 17", 'Form Responses 1'!E70)), 1, 0)</f>
        <v>1</v>
      </c>
      <c r="J71">
        <f>IF(ISNUMBER(SEARCH("Line 19", 'Form Responses 1'!E70)), 1, 0)</f>
        <v>0</v>
      </c>
      <c r="K71">
        <f t="shared" si="15"/>
        <v>4</v>
      </c>
      <c r="L71" s="8">
        <f t="shared" si="16"/>
        <v>4</v>
      </c>
      <c r="M71">
        <f>IF(ISNUMBER(SEARCH("Transmit data", 'Form Responses 1'!F70)), 1, 0)</f>
        <v>1</v>
      </c>
      <c r="N71">
        <f>IF(ISNUMBER(SEARCH("Alter", 'Form Responses 1'!F70)), -1, 0)</f>
        <v>0</v>
      </c>
      <c r="O71">
        <f>IF(ISNUMBER(SEARCH("Change", 'Form Responses 1'!F70)), -1, 0)</f>
        <v>-1</v>
      </c>
      <c r="P71">
        <f>IF(ISNUMBER(SEARCH("Remove", 'Form Responses 1'!F70)), -1, 0)</f>
        <v>0</v>
      </c>
      <c r="Q71">
        <f>IF(ISNUMBER(SEARCH("unintelligible", 'Form Responses 1'!F70)), -1, 0)</f>
        <v>-1</v>
      </c>
      <c r="R71">
        <f t="shared" si="17"/>
        <v>2.5</v>
      </c>
      <c r="S71" s="7">
        <f t="shared" si="18"/>
        <v>2.5</v>
      </c>
      <c r="T71">
        <f>IF(ISNUMBER(SEARCH("sensors", 'Form Responses 1'!G70)), 1, 0)</f>
        <v>1</v>
      </c>
      <c r="U71">
        <f>IF(ISNUMBER(SEARCH("actuators", 'Form Responses 1'!G70)), -1, 0)</f>
        <v>-1</v>
      </c>
      <c r="V71">
        <f>IF(ISNUMBER(SEARCH("Switch", 'Form Responses 1'!G70)), 1, 0)</f>
        <v>1</v>
      </c>
      <c r="W71">
        <f>IF(ISNUMBER(SEARCH("PID", 'Form Responses 1'!G70)), -1, 0)</f>
        <v>0</v>
      </c>
      <c r="X71">
        <f t="shared" si="19"/>
        <v>3</v>
      </c>
      <c r="Y71" s="7">
        <f t="shared" si="20"/>
        <v>3</v>
      </c>
      <c r="Z71">
        <f>IF(ISNUMBER(SEARCH("16", 'Form Responses 1'!H70)), -1, 0)</f>
        <v>-1</v>
      </c>
      <c r="AA71">
        <f>IF(ISNUMBER(SEARCH("1.5", 'Form Responses 1'!H70)), 1, 0)</f>
        <v>1</v>
      </c>
      <c r="AB71">
        <f>IF(ISNUMBER(SEARCH("0.2", 'Form Responses 1'!H70)), -1, 0)</f>
        <v>0</v>
      </c>
      <c r="AC71">
        <f>IF(ISNUMBER(SEARCH("None", 'Form Responses 1'!H70)), -1, 0)</f>
        <v>0</v>
      </c>
      <c r="AD71">
        <f t="shared" si="21"/>
        <v>3</v>
      </c>
      <c r="AE71" s="7">
        <f t="shared" si="22"/>
        <v>3</v>
      </c>
      <c r="AF71">
        <f>IF(ISNUMBER(SEARCH("Small", 'Form Responses 1'!I70)), -1, 0)</f>
        <v>-1</v>
      </c>
      <c r="AG71">
        <f>IF(ISNUMBER(SEARCH("IMU", 'Form Responses 1'!I70)), 1, 0)</f>
        <v>1</v>
      </c>
      <c r="AH71">
        <f>IF(ISNUMBER(SEARCH("CAN", 'Form Responses 1'!I70)), 1, 0)</f>
        <v>1</v>
      </c>
      <c r="AI71">
        <f>IF(ISNUMBER(SEARCH("High", 'Form Responses 1'!I70)), -1, 0)</f>
        <v>0</v>
      </c>
      <c r="AJ71">
        <f>IF(ISNUMBER(SEARCH("Spoofing", 'Form Responses 1'!I70)), -1, 0)</f>
        <v>0</v>
      </c>
      <c r="AK71">
        <f t="shared" si="23"/>
        <v>5</v>
      </c>
      <c r="AL71" s="7">
        <f t="shared" si="24"/>
        <v>4</v>
      </c>
      <c r="AM71">
        <f>IF('Form Responses 1'!J70, 1, 0)</f>
        <v>1</v>
      </c>
      <c r="AN71" s="7">
        <f t="shared" si="25"/>
        <v>4</v>
      </c>
      <c r="AO71">
        <f>IF(ISNUMBER(SEARCH("Increase the integral gain", 'Form Responses 1'!K70)), 1, 0)</f>
        <v>1</v>
      </c>
      <c r="AP71">
        <f>IF(ISNUMBER(SEARCH("Increase the proportional gain", 'Form Responses 1'!K70)), 1, 0)</f>
        <v>0</v>
      </c>
      <c r="AQ71">
        <f>IF(ISNUMBER(SEARCH("increasing the integral gain", 'Form Responses 1'!K70)), 1, 0)</f>
        <v>0</v>
      </c>
      <c r="AR71">
        <f>IF(ISNUMBER(SEARCH("Decrease the proportional gain (Kp) and increase the derivative gain (Kd)", 'Form Responses 1'!K70)), 1, 0)</f>
        <v>0</v>
      </c>
      <c r="AS71">
        <f>IF(ISNUMBER(SEARCH("Decrease the proportional gain", 'Form Responses 1'!K70)), 1, 0)</f>
        <v>0</v>
      </c>
      <c r="AT71" s="7">
        <f t="shared" si="26"/>
        <v>4</v>
      </c>
      <c r="AU71">
        <f>IF(ISNUMBER(SEARCH("Measurement", 'Form Responses 1'!L70)), 1, 0)</f>
        <v>0</v>
      </c>
      <c r="AV71">
        <f>IF(ISNUMBER(SEARCH("All of the above",'Form Responses 1'!L70)),1,0)</f>
        <v>0</v>
      </c>
      <c r="AW71" s="7">
        <f t="shared" si="27"/>
        <v>0</v>
      </c>
      <c r="AX71">
        <f>IF(ISNUMBER(SEARCH("recorded sensor data to the controller", 'Form Responses 1'!M70)), 1, 0)</f>
        <v>1</v>
      </c>
      <c r="AY71">
        <f>IF(ISNUMBER(SEARCH("record sensor data from", 'Form Responses 1'!M70)), 1, 0)</f>
        <v>0</v>
      </c>
      <c r="AZ71">
        <f>IF(ISNUMBER(SEARCH("record actuator data from",'Form Responses 1'!M70)),1,0)</f>
        <v>0</v>
      </c>
      <c r="BA71">
        <f>IF(ISNUMBER(SEARCH("recorded actuator data to the controller", 'Form Responses 1'!M70)), 1, 0)</f>
        <v>0</v>
      </c>
      <c r="BB71" s="7">
        <f t="shared" si="28"/>
        <v>4</v>
      </c>
      <c r="BC71">
        <f>IF('Form Responses 1'!N70, 0, 1)</f>
        <v>1</v>
      </c>
      <c r="BD71" s="7">
        <f t="shared" si="29"/>
        <v>4</v>
      </c>
    </row>
    <row r="72" spans="1:56" x14ac:dyDescent="0.2">
      <c r="A72" s="4">
        <v>70</v>
      </c>
      <c r="B72">
        <f>IF(ISNUMBER(SEARCH("Line 4", 'Form Responses 1'!E71)), -1, 0)</f>
        <v>0</v>
      </c>
      <c r="C72">
        <f>IF(ISNUMBER(SEARCH("Line 5", 'Form Responses 1'!E71)), -1, 0)</f>
        <v>0</v>
      </c>
      <c r="D72">
        <f>IF(ISNUMBER(SEARCH("Line 8", 'Form Responses 1'!E71)), 1, 0)</f>
        <v>0</v>
      </c>
      <c r="E72">
        <f>IF(ISNUMBER(SEARCH("Line 13", 'Form Responses 1'!E71)), 1, 0)</f>
        <v>0</v>
      </c>
      <c r="F72">
        <f>IF(ISNUMBER(SEARCH("Line 14", 'Form Responses 1'!E71)), -1, 0)</f>
        <v>0</v>
      </c>
      <c r="G72">
        <f>IF(ISNUMBER(SEARCH("Line 15", 'Form Responses 1'!E71)), 1, 0)</f>
        <v>0</v>
      </c>
      <c r="H72">
        <f>IF(ISNUMBER(SEARCH("Line 16", 'Form Responses 1'!E71)), -1, 0)</f>
        <v>0</v>
      </c>
      <c r="I72">
        <f>IF(ISNUMBER(SEARCH("Line 17", 'Form Responses 1'!E71)), 1, 0)</f>
        <v>1</v>
      </c>
      <c r="J72">
        <f>IF(ISNUMBER(SEARCH("Line 19", 'Form Responses 1'!E71)), 1, 0)</f>
        <v>0</v>
      </c>
      <c r="K72">
        <f t="shared" si="15"/>
        <v>1</v>
      </c>
      <c r="L72" s="8">
        <f t="shared" si="16"/>
        <v>1</v>
      </c>
      <c r="M72">
        <f>IF(ISNUMBER(SEARCH("Transmit data", 'Form Responses 1'!F71)), 1, 0)</f>
        <v>1</v>
      </c>
      <c r="N72">
        <f>IF(ISNUMBER(SEARCH("Alter", 'Form Responses 1'!F71)), -1, 0)</f>
        <v>0</v>
      </c>
      <c r="O72">
        <f>IF(ISNUMBER(SEARCH("Change", 'Form Responses 1'!F71)), -1, 0)</f>
        <v>0</v>
      </c>
      <c r="P72">
        <f>IF(ISNUMBER(SEARCH("Remove", 'Form Responses 1'!F71)), -1, 0)</f>
        <v>0</v>
      </c>
      <c r="Q72">
        <f>IF(ISNUMBER(SEARCH("unintelligible", 'Form Responses 1'!F71)), -1, 0)</f>
        <v>-1</v>
      </c>
      <c r="R72">
        <f t="shared" si="17"/>
        <v>3.25</v>
      </c>
      <c r="S72" s="7">
        <f t="shared" si="18"/>
        <v>3.25</v>
      </c>
      <c r="T72">
        <f>IF(ISNUMBER(SEARCH("sensors", 'Form Responses 1'!G71)), 1, 0)</f>
        <v>1</v>
      </c>
      <c r="U72">
        <f>IF(ISNUMBER(SEARCH("actuators", 'Form Responses 1'!G71)), -1, 0)</f>
        <v>0</v>
      </c>
      <c r="V72">
        <f>IF(ISNUMBER(SEARCH("Switch", 'Form Responses 1'!G71)), 1, 0)</f>
        <v>0</v>
      </c>
      <c r="W72">
        <f>IF(ISNUMBER(SEARCH("PID", 'Form Responses 1'!G71)), -1, 0)</f>
        <v>-1</v>
      </c>
      <c r="X72">
        <f t="shared" si="19"/>
        <v>1</v>
      </c>
      <c r="Y72" s="7">
        <f t="shared" si="20"/>
        <v>1</v>
      </c>
      <c r="Z72">
        <f>IF(ISNUMBER(SEARCH("16", 'Form Responses 1'!H71)), -1, 0)</f>
        <v>-1</v>
      </c>
      <c r="AA72">
        <f>IF(ISNUMBER(SEARCH("1.5", 'Form Responses 1'!H71)), 1, 0)</f>
        <v>1</v>
      </c>
      <c r="AB72">
        <f>IF(ISNUMBER(SEARCH("0.2", 'Form Responses 1'!H71)), -1, 0)</f>
        <v>0</v>
      </c>
      <c r="AC72">
        <f>IF(ISNUMBER(SEARCH("None", 'Form Responses 1'!H71)), -1, 0)</f>
        <v>0</v>
      </c>
      <c r="AD72">
        <f t="shared" si="21"/>
        <v>3</v>
      </c>
      <c r="AE72" s="7">
        <f t="shared" si="22"/>
        <v>3</v>
      </c>
      <c r="AF72">
        <f>IF(ISNUMBER(SEARCH("Small", 'Form Responses 1'!I71)), -1, 0)</f>
        <v>-1</v>
      </c>
      <c r="AG72">
        <f>IF(ISNUMBER(SEARCH("IMU", 'Form Responses 1'!I71)), 1, 0)</f>
        <v>0</v>
      </c>
      <c r="AH72">
        <f>IF(ISNUMBER(SEARCH("CAN", 'Form Responses 1'!I71)), 1, 0)</f>
        <v>1</v>
      </c>
      <c r="AI72">
        <f>IF(ISNUMBER(SEARCH("High", 'Form Responses 1'!I71)), -1, 0)</f>
        <v>0</v>
      </c>
      <c r="AJ72">
        <f>IF(ISNUMBER(SEARCH("Spoofing", 'Form Responses 1'!I71)), -1, 0)</f>
        <v>0</v>
      </c>
      <c r="AK72">
        <f t="shared" si="23"/>
        <v>3</v>
      </c>
      <c r="AL72" s="7">
        <f t="shared" si="24"/>
        <v>3</v>
      </c>
      <c r="AM72">
        <f>IF('Form Responses 1'!J71, 1, 0)</f>
        <v>1</v>
      </c>
      <c r="AN72" s="7">
        <f t="shared" si="25"/>
        <v>4</v>
      </c>
      <c r="AO72">
        <f>IF(ISNUMBER(SEARCH("Increase the integral gain", 'Form Responses 1'!K71)), 1, 0)</f>
        <v>1</v>
      </c>
      <c r="AP72">
        <f>IF(ISNUMBER(SEARCH("Increase the proportional gain", 'Form Responses 1'!K71)), 1, 0)</f>
        <v>0</v>
      </c>
      <c r="AQ72">
        <f>IF(ISNUMBER(SEARCH("increasing the integral gain", 'Form Responses 1'!K71)), 1, 0)</f>
        <v>0</v>
      </c>
      <c r="AR72">
        <f>IF(ISNUMBER(SEARCH("Decrease the proportional gain (Kp) and increase the derivative gain (Kd)", 'Form Responses 1'!K71)), 1, 0)</f>
        <v>0</v>
      </c>
      <c r="AS72">
        <f>IF(ISNUMBER(SEARCH("Decrease the proportional gain", 'Form Responses 1'!K71)), 1, 0)</f>
        <v>0</v>
      </c>
      <c r="AT72" s="7">
        <f t="shared" si="26"/>
        <v>4</v>
      </c>
      <c r="AU72">
        <f>IF(ISNUMBER(SEARCH("Measurement", 'Form Responses 1'!L71)), 1, 0)</f>
        <v>0</v>
      </c>
      <c r="AV72">
        <f>IF(ISNUMBER(SEARCH("All of the above",'Form Responses 1'!L71)),1,0)</f>
        <v>0</v>
      </c>
      <c r="AW72" s="7">
        <f t="shared" si="27"/>
        <v>0</v>
      </c>
      <c r="AX72">
        <f>IF(ISNUMBER(SEARCH("recorded sensor data to the controller", 'Form Responses 1'!M71)), 1, 0)</f>
        <v>1</v>
      </c>
      <c r="AY72">
        <f>IF(ISNUMBER(SEARCH("record sensor data from", 'Form Responses 1'!M71)), 1, 0)</f>
        <v>0</v>
      </c>
      <c r="AZ72">
        <f>IF(ISNUMBER(SEARCH("record actuator data from",'Form Responses 1'!M71)),1,0)</f>
        <v>0</v>
      </c>
      <c r="BA72">
        <f>IF(ISNUMBER(SEARCH("recorded actuator data to the controller", 'Form Responses 1'!M71)), 1, 0)</f>
        <v>0</v>
      </c>
      <c r="BB72" s="7">
        <f t="shared" si="28"/>
        <v>4</v>
      </c>
      <c r="BC72">
        <f>IF('Form Responses 1'!N71, 0, 1)</f>
        <v>1</v>
      </c>
      <c r="BD72" s="7">
        <f t="shared" si="29"/>
        <v>4</v>
      </c>
    </row>
    <row r="73" spans="1:56" x14ac:dyDescent="0.2">
      <c r="A73" s="4">
        <v>71</v>
      </c>
      <c r="B73">
        <f>IF(ISNUMBER(SEARCH("Line 4", 'Form Responses 1'!E72)), -1, 0)</f>
        <v>0</v>
      </c>
      <c r="C73">
        <f>IF(ISNUMBER(SEARCH("Line 5", 'Form Responses 1'!E72)), -1, 0)</f>
        <v>0</v>
      </c>
      <c r="D73">
        <f>IF(ISNUMBER(SEARCH("Line 8", 'Form Responses 1'!E72)), 1, 0)</f>
        <v>0</v>
      </c>
      <c r="E73">
        <f>IF(ISNUMBER(SEARCH("Line 13", 'Form Responses 1'!E72)), 1, 0)</f>
        <v>0</v>
      </c>
      <c r="F73">
        <f>IF(ISNUMBER(SEARCH("Line 14", 'Form Responses 1'!E72)), -1, 0)</f>
        <v>0</v>
      </c>
      <c r="G73">
        <f>IF(ISNUMBER(SEARCH("Line 15", 'Form Responses 1'!E72)), 1, 0)</f>
        <v>0</v>
      </c>
      <c r="H73">
        <f>IF(ISNUMBER(SEARCH("Line 16", 'Form Responses 1'!E72)), -1, 0)</f>
        <v>0</v>
      </c>
      <c r="I73">
        <f>IF(ISNUMBER(SEARCH("Line 17", 'Form Responses 1'!E72)), 1, 0)</f>
        <v>1</v>
      </c>
      <c r="J73">
        <f>IF(ISNUMBER(SEARCH("Line 19", 'Form Responses 1'!E72)), 1, 0)</f>
        <v>0</v>
      </c>
      <c r="K73">
        <f t="shared" si="15"/>
        <v>1</v>
      </c>
      <c r="L73" s="8">
        <f t="shared" si="16"/>
        <v>1</v>
      </c>
      <c r="M73">
        <f>IF(ISNUMBER(SEARCH("Transmit data", 'Form Responses 1'!F72)), 1, 0)</f>
        <v>1</v>
      </c>
      <c r="N73">
        <f>IF(ISNUMBER(SEARCH("Alter", 'Form Responses 1'!F72)), -1, 0)</f>
        <v>0</v>
      </c>
      <c r="O73">
        <f>IF(ISNUMBER(SEARCH("Change", 'Form Responses 1'!F72)), -1, 0)</f>
        <v>0</v>
      </c>
      <c r="P73">
        <f>IF(ISNUMBER(SEARCH("Remove", 'Form Responses 1'!F72)), -1, 0)</f>
        <v>0</v>
      </c>
      <c r="Q73">
        <f>IF(ISNUMBER(SEARCH("unintelligible", 'Form Responses 1'!F72)), -1, 0)</f>
        <v>-1</v>
      </c>
      <c r="R73">
        <f t="shared" si="17"/>
        <v>3.25</v>
      </c>
      <c r="S73" s="7">
        <f t="shared" si="18"/>
        <v>3.25</v>
      </c>
      <c r="T73">
        <f>IF(ISNUMBER(SEARCH("sensors", 'Form Responses 1'!G72)), 1, 0)</f>
        <v>1</v>
      </c>
      <c r="U73">
        <f>IF(ISNUMBER(SEARCH("actuators", 'Form Responses 1'!G72)), -1, 0)</f>
        <v>0</v>
      </c>
      <c r="V73">
        <f>IF(ISNUMBER(SEARCH("Switch", 'Form Responses 1'!G72)), 1, 0)</f>
        <v>1</v>
      </c>
      <c r="W73">
        <f>IF(ISNUMBER(SEARCH("PID", 'Form Responses 1'!G72)), -1, 0)</f>
        <v>-1</v>
      </c>
      <c r="X73">
        <f t="shared" si="19"/>
        <v>3</v>
      </c>
      <c r="Y73" s="7">
        <f t="shared" si="20"/>
        <v>3</v>
      </c>
      <c r="Z73">
        <f>IF(ISNUMBER(SEARCH("16", 'Form Responses 1'!H72)), -1, 0)</f>
        <v>-1</v>
      </c>
      <c r="AA73">
        <f>IF(ISNUMBER(SEARCH("1.5", 'Form Responses 1'!H72)), 1, 0)</f>
        <v>1</v>
      </c>
      <c r="AB73">
        <f>IF(ISNUMBER(SEARCH("0.2", 'Form Responses 1'!H72)), -1, 0)</f>
        <v>-1</v>
      </c>
      <c r="AC73">
        <f>IF(ISNUMBER(SEARCH("None", 'Form Responses 1'!H72)), -1, 0)</f>
        <v>0</v>
      </c>
      <c r="AD73">
        <f t="shared" si="21"/>
        <v>1</v>
      </c>
      <c r="AE73" s="7">
        <f t="shared" si="22"/>
        <v>1</v>
      </c>
      <c r="AF73">
        <f>IF(ISNUMBER(SEARCH("Small", 'Form Responses 1'!I72)), -1, 0)</f>
        <v>0</v>
      </c>
      <c r="AG73">
        <f>IF(ISNUMBER(SEARCH("IMU", 'Form Responses 1'!I72)), 1, 0)</f>
        <v>1</v>
      </c>
      <c r="AH73">
        <f>IF(ISNUMBER(SEARCH("CAN", 'Form Responses 1'!I72)), 1, 0)</f>
        <v>1</v>
      </c>
      <c r="AI73">
        <f>IF(ISNUMBER(SEARCH("High", 'Form Responses 1'!I72)), -1, 0)</f>
        <v>0</v>
      </c>
      <c r="AJ73">
        <f>IF(ISNUMBER(SEARCH("Spoofing", 'Form Responses 1'!I72)), -1, 0)</f>
        <v>0</v>
      </c>
      <c r="AK73">
        <f t="shared" si="23"/>
        <v>4</v>
      </c>
      <c r="AL73" s="7">
        <f t="shared" si="24"/>
        <v>4</v>
      </c>
      <c r="AM73">
        <f>IF('Form Responses 1'!J72, 1, 0)</f>
        <v>1</v>
      </c>
      <c r="AN73" s="7">
        <f t="shared" si="25"/>
        <v>4</v>
      </c>
      <c r="AO73">
        <f>IF(ISNUMBER(SEARCH("Increase the integral gain", 'Form Responses 1'!K72)), 1, 0)</f>
        <v>1</v>
      </c>
      <c r="AP73">
        <f>IF(ISNUMBER(SEARCH("Increase the proportional gain", 'Form Responses 1'!K72)), 1, 0)</f>
        <v>0</v>
      </c>
      <c r="AQ73">
        <f>IF(ISNUMBER(SEARCH("increasing the integral gain", 'Form Responses 1'!K72)), 1, 0)</f>
        <v>0</v>
      </c>
      <c r="AR73">
        <f>IF(ISNUMBER(SEARCH("Decrease the proportional gain (Kp) and increase the derivative gain (Kd)", 'Form Responses 1'!K72)), 1, 0)</f>
        <v>0</v>
      </c>
      <c r="AS73">
        <f>IF(ISNUMBER(SEARCH("Decrease the proportional gain", 'Form Responses 1'!K72)), 1, 0)</f>
        <v>0</v>
      </c>
      <c r="AT73" s="7">
        <f t="shared" si="26"/>
        <v>4</v>
      </c>
      <c r="AU73">
        <f>IF(ISNUMBER(SEARCH("Measurement", 'Form Responses 1'!L72)), 1, 0)</f>
        <v>0</v>
      </c>
      <c r="AV73">
        <f>IF(ISNUMBER(SEARCH("All of the above",'Form Responses 1'!L72)),1,0)</f>
        <v>1</v>
      </c>
      <c r="AW73" s="7">
        <f t="shared" si="27"/>
        <v>2</v>
      </c>
      <c r="AX73">
        <f>IF(ISNUMBER(SEARCH("recorded sensor data to the controller", 'Form Responses 1'!M72)), 1, 0)</f>
        <v>1</v>
      </c>
      <c r="AY73">
        <f>IF(ISNUMBER(SEARCH("record sensor data from", 'Form Responses 1'!M72)), 1, 0)</f>
        <v>0</v>
      </c>
      <c r="AZ73">
        <f>IF(ISNUMBER(SEARCH("record actuator data from",'Form Responses 1'!M72)),1,0)</f>
        <v>0</v>
      </c>
      <c r="BA73">
        <f>IF(ISNUMBER(SEARCH("recorded actuator data to the controller", 'Form Responses 1'!M72)), 1, 0)</f>
        <v>0</v>
      </c>
      <c r="BB73" s="7">
        <f t="shared" si="28"/>
        <v>4</v>
      </c>
      <c r="BC73">
        <f>IF('Form Responses 1'!N72, 0, 1)</f>
        <v>1</v>
      </c>
      <c r="BD73" s="7">
        <f t="shared" si="29"/>
        <v>4</v>
      </c>
    </row>
    <row r="74" spans="1:56" x14ac:dyDescent="0.2">
      <c r="A74" s="4">
        <v>72</v>
      </c>
      <c r="B74">
        <f>IF(ISNUMBER(SEARCH("Line 4", 'Form Responses 1'!E73)), -1, 0)</f>
        <v>0</v>
      </c>
      <c r="C74">
        <f>IF(ISNUMBER(SEARCH("Line 5", 'Form Responses 1'!E73)), -1, 0)</f>
        <v>0</v>
      </c>
      <c r="D74">
        <f>IF(ISNUMBER(SEARCH("Line 8", 'Form Responses 1'!E73)), 1, 0)</f>
        <v>0</v>
      </c>
      <c r="E74">
        <f>IF(ISNUMBER(SEARCH("Line 13", 'Form Responses 1'!E73)), 1, 0)</f>
        <v>0</v>
      </c>
      <c r="F74">
        <f>IF(ISNUMBER(SEARCH("Line 14", 'Form Responses 1'!E73)), -1, 0)</f>
        <v>0</v>
      </c>
      <c r="G74">
        <f>IF(ISNUMBER(SEARCH("Line 15", 'Form Responses 1'!E73)), 1, 0)</f>
        <v>0</v>
      </c>
      <c r="H74">
        <f>IF(ISNUMBER(SEARCH("Line 16", 'Form Responses 1'!E73)), -1, 0)</f>
        <v>-1</v>
      </c>
      <c r="I74">
        <f>IF(ISNUMBER(SEARCH("Line 17", 'Form Responses 1'!E73)), 1, 0)</f>
        <v>0</v>
      </c>
      <c r="J74">
        <f>IF(ISNUMBER(SEARCH("Line 19", 'Form Responses 1'!E73)), 1, 0)</f>
        <v>1</v>
      </c>
      <c r="K74">
        <f t="shared" si="15"/>
        <v>0</v>
      </c>
      <c r="L74" s="8">
        <f t="shared" si="16"/>
        <v>1</v>
      </c>
      <c r="M74">
        <f>IF(ISNUMBER(SEARCH("Transmit data", 'Form Responses 1'!F73)), 1, 0)</f>
        <v>1</v>
      </c>
      <c r="N74">
        <f>IF(ISNUMBER(SEARCH("Alter", 'Form Responses 1'!F73)), -1, 0)</f>
        <v>0</v>
      </c>
      <c r="O74">
        <f>IF(ISNUMBER(SEARCH("Change", 'Form Responses 1'!F73)), -1, 0)</f>
        <v>0</v>
      </c>
      <c r="P74">
        <f>IF(ISNUMBER(SEARCH("Remove", 'Form Responses 1'!F73)), -1, 0)</f>
        <v>0</v>
      </c>
      <c r="Q74">
        <f>IF(ISNUMBER(SEARCH("unintelligible", 'Form Responses 1'!F73)), -1, 0)</f>
        <v>-1</v>
      </c>
      <c r="R74">
        <f t="shared" si="17"/>
        <v>3.25</v>
      </c>
      <c r="S74" s="7">
        <f t="shared" si="18"/>
        <v>3.25</v>
      </c>
      <c r="T74">
        <f>IF(ISNUMBER(SEARCH("sensors", 'Form Responses 1'!G73)), 1, 0)</f>
        <v>1</v>
      </c>
      <c r="U74">
        <f>IF(ISNUMBER(SEARCH("actuators", 'Form Responses 1'!G73)), -1, 0)</f>
        <v>0</v>
      </c>
      <c r="V74">
        <f>IF(ISNUMBER(SEARCH("Switch", 'Form Responses 1'!G73)), 1, 0)</f>
        <v>1</v>
      </c>
      <c r="W74">
        <f>IF(ISNUMBER(SEARCH("PID", 'Form Responses 1'!G73)), -1, 0)</f>
        <v>0</v>
      </c>
      <c r="X74">
        <f t="shared" si="19"/>
        <v>4</v>
      </c>
      <c r="Y74" s="7">
        <f t="shared" si="20"/>
        <v>4</v>
      </c>
      <c r="Z74">
        <f>IF(ISNUMBER(SEARCH("16", 'Form Responses 1'!H73)), -1, 0)</f>
        <v>-1</v>
      </c>
      <c r="AA74">
        <f>IF(ISNUMBER(SEARCH("1.5", 'Form Responses 1'!H73)), 1, 0)</f>
        <v>1</v>
      </c>
      <c r="AB74">
        <f>IF(ISNUMBER(SEARCH("0.2", 'Form Responses 1'!H73)), -1, 0)</f>
        <v>0</v>
      </c>
      <c r="AC74">
        <f>IF(ISNUMBER(SEARCH("None", 'Form Responses 1'!H73)), -1, 0)</f>
        <v>0</v>
      </c>
      <c r="AD74">
        <f t="shared" si="21"/>
        <v>3</v>
      </c>
      <c r="AE74" s="7">
        <f t="shared" si="22"/>
        <v>3</v>
      </c>
      <c r="AF74">
        <f>IF(ISNUMBER(SEARCH("Small", 'Form Responses 1'!I73)), -1, 0)</f>
        <v>0</v>
      </c>
      <c r="AG74">
        <f>IF(ISNUMBER(SEARCH("IMU", 'Form Responses 1'!I73)), 1, 0)</f>
        <v>1</v>
      </c>
      <c r="AH74">
        <f>IF(ISNUMBER(SEARCH("CAN", 'Form Responses 1'!I73)), 1, 0)</f>
        <v>1</v>
      </c>
      <c r="AI74">
        <f>IF(ISNUMBER(SEARCH("High", 'Form Responses 1'!I73)), -1, 0)</f>
        <v>0</v>
      </c>
      <c r="AJ74">
        <f>IF(ISNUMBER(SEARCH("Spoofing", 'Form Responses 1'!I73)), -1, 0)</f>
        <v>-1</v>
      </c>
      <c r="AK74">
        <f t="shared" si="23"/>
        <v>3</v>
      </c>
      <c r="AL74" s="7">
        <f t="shared" si="24"/>
        <v>3</v>
      </c>
      <c r="AM74">
        <f>IF('Form Responses 1'!J73, 1, 0)</f>
        <v>1</v>
      </c>
      <c r="AN74" s="7">
        <f t="shared" si="25"/>
        <v>4</v>
      </c>
      <c r="AO74">
        <f>IF(ISNUMBER(SEARCH("Increase the integral gain", 'Form Responses 1'!K73)), 1, 0)</f>
        <v>0</v>
      </c>
      <c r="AP74">
        <f>IF(ISNUMBER(SEARCH("Increase the proportional gain", 'Form Responses 1'!K73)), 1, 0)</f>
        <v>0</v>
      </c>
      <c r="AQ74">
        <f>IF(ISNUMBER(SEARCH("increasing the integral gain", 'Form Responses 1'!K73)), 1, 0)</f>
        <v>0</v>
      </c>
      <c r="AR74">
        <f>IF(ISNUMBER(SEARCH("Decrease the proportional gain (Kp) and increase the derivative gain (Kd)", 'Form Responses 1'!K73)), 1, 0)</f>
        <v>1</v>
      </c>
      <c r="AS74">
        <f>IF(ISNUMBER(SEARCH("Decrease the proportional gain", 'Form Responses 1'!K73)), 1, 0)</f>
        <v>1</v>
      </c>
      <c r="AT74" s="7">
        <f t="shared" si="26"/>
        <v>2</v>
      </c>
      <c r="AU74">
        <f>IF(ISNUMBER(SEARCH("Measurement", 'Form Responses 1'!L73)), 1, 0)</f>
        <v>0</v>
      </c>
      <c r="AV74">
        <f>IF(ISNUMBER(SEARCH("All of the above",'Form Responses 1'!L73)),1,0)</f>
        <v>1</v>
      </c>
      <c r="AW74" s="7">
        <f t="shared" si="27"/>
        <v>2</v>
      </c>
      <c r="AX74">
        <f>IF(ISNUMBER(SEARCH("recorded sensor data to the controller", 'Form Responses 1'!M73)), 1, 0)</f>
        <v>1</v>
      </c>
      <c r="AY74">
        <f>IF(ISNUMBER(SEARCH("record sensor data from", 'Form Responses 1'!M73)), 1, 0)</f>
        <v>0</v>
      </c>
      <c r="AZ74">
        <f>IF(ISNUMBER(SEARCH("record actuator data from",'Form Responses 1'!M73)),1,0)</f>
        <v>0</v>
      </c>
      <c r="BA74">
        <f>IF(ISNUMBER(SEARCH("recorded actuator data to the controller", 'Form Responses 1'!M73)), 1, 0)</f>
        <v>0</v>
      </c>
      <c r="BB74" s="7">
        <f t="shared" si="28"/>
        <v>4</v>
      </c>
      <c r="BC74">
        <f>IF('Form Responses 1'!N73, 0, 1)</f>
        <v>0</v>
      </c>
      <c r="BD74" s="7">
        <f t="shared" si="29"/>
        <v>0</v>
      </c>
    </row>
    <row r="75" spans="1:56" x14ac:dyDescent="0.2">
      <c r="A75" s="4">
        <v>73</v>
      </c>
      <c r="B75">
        <f>IF(ISNUMBER(SEARCH("Line 4", 'Form Responses 1'!E74)), -1, 0)</f>
        <v>0</v>
      </c>
      <c r="C75">
        <f>IF(ISNUMBER(SEARCH("Line 5", 'Form Responses 1'!E74)), -1, 0)</f>
        <v>0</v>
      </c>
      <c r="D75">
        <f>IF(ISNUMBER(SEARCH("Line 8", 'Form Responses 1'!E74)), 1, 0)</f>
        <v>0</v>
      </c>
      <c r="E75">
        <f>IF(ISNUMBER(SEARCH("Line 13", 'Form Responses 1'!E74)), 1, 0)</f>
        <v>0</v>
      </c>
      <c r="F75">
        <f>IF(ISNUMBER(SEARCH("Line 14", 'Form Responses 1'!E74)), -1, 0)</f>
        <v>0</v>
      </c>
      <c r="G75">
        <f>IF(ISNUMBER(SEARCH("Line 15", 'Form Responses 1'!E74)), 1, 0)</f>
        <v>1</v>
      </c>
      <c r="H75">
        <f>IF(ISNUMBER(SEARCH("Line 16", 'Form Responses 1'!E74)), -1, 0)</f>
        <v>0</v>
      </c>
      <c r="I75">
        <f>IF(ISNUMBER(SEARCH("Line 17", 'Form Responses 1'!E74)), 1, 0)</f>
        <v>1</v>
      </c>
      <c r="J75">
        <f>IF(ISNUMBER(SEARCH("Line 19", 'Form Responses 1'!E74)), 1, 0)</f>
        <v>1</v>
      </c>
      <c r="K75">
        <f t="shared" si="15"/>
        <v>3</v>
      </c>
      <c r="L75" s="8">
        <f t="shared" si="16"/>
        <v>4</v>
      </c>
      <c r="M75">
        <f>IF(ISNUMBER(SEARCH("Transmit data", 'Form Responses 1'!F74)), 1, 0)</f>
        <v>1</v>
      </c>
      <c r="N75">
        <f>IF(ISNUMBER(SEARCH("Alter", 'Form Responses 1'!F74)), -1, 0)</f>
        <v>-1</v>
      </c>
      <c r="O75">
        <f>IF(ISNUMBER(SEARCH("Change", 'Form Responses 1'!F74)), -1, 0)</f>
        <v>0</v>
      </c>
      <c r="P75">
        <f>IF(ISNUMBER(SEARCH("Remove", 'Form Responses 1'!F74)), -1, 0)</f>
        <v>0</v>
      </c>
      <c r="Q75">
        <f>IF(ISNUMBER(SEARCH("unintelligible", 'Form Responses 1'!F74)), -1, 0)</f>
        <v>0</v>
      </c>
      <c r="R75">
        <f t="shared" si="17"/>
        <v>3.25</v>
      </c>
      <c r="S75" s="7">
        <f t="shared" si="18"/>
        <v>3.25</v>
      </c>
      <c r="T75">
        <f>IF(ISNUMBER(SEARCH("sensors", 'Form Responses 1'!G74)), 1, 0)</f>
        <v>1</v>
      </c>
      <c r="U75">
        <f>IF(ISNUMBER(SEARCH("actuators", 'Form Responses 1'!G74)), -1, 0)</f>
        <v>0</v>
      </c>
      <c r="V75">
        <f>IF(ISNUMBER(SEARCH("Switch", 'Form Responses 1'!G74)), 1, 0)</f>
        <v>1</v>
      </c>
      <c r="W75">
        <f>IF(ISNUMBER(SEARCH("PID", 'Form Responses 1'!G74)), -1, 0)</f>
        <v>0</v>
      </c>
      <c r="X75">
        <f t="shared" si="19"/>
        <v>4</v>
      </c>
      <c r="Y75" s="7">
        <f t="shared" si="20"/>
        <v>4</v>
      </c>
      <c r="Z75">
        <f>IF(ISNUMBER(SEARCH("16", 'Form Responses 1'!H74)), -1, 0)</f>
        <v>0</v>
      </c>
      <c r="AA75">
        <f>IF(ISNUMBER(SEARCH("1.5", 'Form Responses 1'!H74)), 1, 0)</f>
        <v>1</v>
      </c>
      <c r="AB75">
        <f>IF(ISNUMBER(SEARCH("0.2", 'Form Responses 1'!H74)), -1, 0)</f>
        <v>0</v>
      </c>
      <c r="AC75">
        <f>IF(ISNUMBER(SEARCH("None", 'Form Responses 1'!H74)), -1, 0)</f>
        <v>0</v>
      </c>
      <c r="AD75">
        <f t="shared" si="21"/>
        <v>4</v>
      </c>
      <c r="AE75" s="7">
        <f t="shared" si="22"/>
        <v>4</v>
      </c>
      <c r="AF75">
        <f>IF(ISNUMBER(SEARCH("Small", 'Form Responses 1'!I74)), -1, 0)</f>
        <v>0</v>
      </c>
      <c r="AG75">
        <f>IF(ISNUMBER(SEARCH("IMU", 'Form Responses 1'!I74)), 1, 0)</f>
        <v>0</v>
      </c>
      <c r="AH75">
        <f>IF(ISNUMBER(SEARCH("CAN", 'Form Responses 1'!I74)), 1, 0)</f>
        <v>1</v>
      </c>
      <c r="AI75">
        <f>IF(ISNUMBER(SEARCH("High", 'Form Responses 1'!I74)), -1, 0)</f>
        <v>0</v>
      </c>
      <c r="AJ75">
        <f>IF(ISNUMBER(SEARCH("Spoofing", 'Form Responses 1'!I74)), -1, 0)</f>
        <v>-1</v>
      </c>
      <c r="AK75">
        <f t="shared" si="23"/>
        <v>1</v>
      </c>
      <c r="AL75" s="7">
        <f t="shared" si="24"/>
        <v>1</v>
      </c>
      <c r="AM75">
        <f>IF('Form Responses 1'!J74, 1, 0)</f>
        <v>1</v>
      </c>
      <c r="AN75" s="7">
        <f t="shared" si="25"/>
        <v>4</v>
      </c>
      <c r="AO75">
        <f>IF(ISNUMBER(SEARCH("Increase the integral gain", 'Form Responses 1'!K74)), 1, 0)</f>
        <v>1</v>
      </c>
      <c r="AP75">
        <f>IF(ISNUMBER(SEARCH("Increase the proportional gain", 'Form Responses 1'!K74)), 1, 0)</f>
        <v>0</v>
      </c>
      <c r="AQ75">
        <f>IF(ISNUMBER(SEARCH("increasing the integral gain", 'Form Responses 1'!K74)), 1, 0)</f>
        <v>0</v>
      </c>
      <c r="AR75">
        <f>IF(ISNUMBER(SEARCH("Decrease the proportional gain (Kp) and increase the derivative gain (Kd)", 'Form Responses 1'!K74)), 1, 0)</f>
        <v>0</v>
      </c>
      <c r="AS75">
        <f>IF(ISNUMBER(SEARCH("Decrease the proportional gain", 'Form Responses 1'!K74)), 1, 0)</f>
        <v>0</v>
      </c>
      <c r="AT75" s="7">
        <f t="shared" si="26"/>
        <v>4</v>
      </c>
      <c r="AU75">
        <f>IF(ISNUMBER(SEARCH("Measurement", 'Form Responses 1'!L74)), 1, 0)</f>
        <v>0</v>
      </c>
      <c r="AV75">
        <f>IF(ISNUMBER(SEARCH("All of the above",'Form Responses 1'!L74)),1,0)</f>
        <v>0</v>
      </c>
      <c r="AW75" s="7">
        <f t="shared" si="27"/>
        <v>0</v>
      </c>
      <c r="AX75">
        <f>IF(ISNUMBER(SEARCH("recorded sensor data to the controller", 'Form Responses 1'!M74)), 1, 0)</f>
        <v>1</v>
      </c>
      <c r="AY75">
        <f>IF(ISNUMBER(SEARCH("record sensor data from", 'Form Responses 1'!M74)), 1, 0)</f>
        <v>0</v>
      </c>
      <c r="AZ75">
        <f>IF(ISNUMBER(SEARCH("record actuator data from",'Form Responses 1'!M74)),1,0)</f>
        <v>0</v>
      </c>
      <c r="BA75">
        <f>IF(ISNUMBER(SEARCH("recorded actuator data to the controller", 'Form Responses 1'!M74)), 1, 0)</f>
        <v>0</v>
      </c>
      <c r="BB75" s="7">
        <f t="shared" si="28"/>
        <v>4</v>
      </c>
      <c r="BC75">
        <f>IF('Form Responses 1'!N74, 0, 1)</f>
        <v>1</v>
      </c>
      <c r="BD75" s="7">
        <f t="shared" si="29"/>
        <v>4</v>
      </c>
    </row>
    <row r="76" spans="1:56" x14ac:dyDescent="0.2">
      <c r="A76" s="4">
        <v>74</v>
      </c>
      <c r="B76">
        <f>IF(ISNUMBER(SEARCH("Line 4", 'Form Responses 1'!E75)), -1, 0)</f>
        <v>-1</v>
      </c>
      <c r="C76">
        <f>IF(ISNUMBER(SEARCH("Line 5", 'Form Responses 1'!E75)), -1, 0)</f>
        <v>0</v>
      </c>
      <c r="D76">
        <f>IF(ISNUMBER(SEARCH("Line 8", 'Form Responses 1'!E75)), 1, 0)</f>
        <v>1</v>
      </c>
      <c r="E76">
        <f>IF(ISNUMBER(SEARCH("Line 13", 'Form Responses 1'!E75)), 1, 0)</f>
        <v>1</v>
      </c>
      <c r="F76">
        <f>IF(ISNUMBER(SEARCH("Line 14", 'Form Responses 1'!E75)), -1, 0)</f>
        <v>-1</v>
      </c>
      <c r="G76">
        <f>IF(ISNUMBER(SEARCH("Line 15", 'Form Responses 1'!E75)), 1, 0)</f>
        <v>0</v>
      </c>
      <c r="H76">
        <f>IF(ISNUMBER(SEARCH("Line 16", 'Form Responses 1'!E75)), -1, 0)</f>
        <v>0</v>
      </c>
      <c r="I76">
        <f>IF(ISNUMBER(SEARCH("Line 17", 'Form Responses 1'!E75)), 1, 0)</f>
        <v>1</v>
      </c>
      <c r="J76">
        <f>IF(ISNUMBER(SEARCH("Line 19", 'Form Responses 1'!E75)), 1, 0)</f>
        <v>1</v>
      </c>
      <c r="K76">
        <f t="shared" si="15"/>
        <v>2</v>
      </c>
      <c r="L76" s="8">
        <f t="shared" si="16"/>
        <v>4</v>
      </c>
      <c r="M76">
        <f>IF(ISNUMBER(SEARCH("Transmit data", 'Form Responses 1'!F75)), 1, 0)</f>
        <v>1</v>
      </c>
      <c r="N76">
        <f>IF(ISNUMBER(SEARCH("Alter", 'Form Responses 1'!F75)), -1, 0)</f>
        <v>0</v>
      </c>
      <c r="O76">
        <f>IF(ISNUMBER(SEARCH("Change", 'Form Responses 1'!F75)), -1, 0)</f>
        <v>0</v>
      </c>
      <c r="P76">
        <f>IF(ISNUMBER(SEARCH("Remove", 'Form Responses 1'!F75)), -1, 0)</f>
        <v>0</v>
      </c>
      <c r="Q76">
        <f>IF(ISNUMBER(SEARCH("unintelligible", 'Form Responses 1'!F75)), -1, 0)</f>
        <v>-1</v>
      </c>
      <c r="R76">
        <f t="shared" si="17"/>
        <v>3.25</v>
      </c>
      <c r="S76" s="7">
        <f t="shared" si="18"/>
        <v>3.25</v>
      </c>
      <c r="T76">
        <f>IF(ISNUMBER(SEARCH("sensors", 'Form Responses 1'!G75)), 1, 0)</f>
        <v>1</v>
      </c>
      <c r="U76">
        <f>IF(ISNUMBER(SEARCH("actuators", 'Form Responses 1'!G75)), -1, 0)</f>
        <v>0</v>
      </c>
      <c r="V76">
        <f>IF(ISNUMBER(SEARCH("Switch", 'Form Responses 1'!G75)), 1, 0)</f>
        <v>0</v>
      </c>
      <c r="W76">
        <f>IF(ISNUMBER(SEARCH("PID", 'Form Responses 1'!G75)), -1, 0)</f>
        <v>0</v>
      </c>
      <c r="X76">
        <f t="shared" si="19"/>
        <v>2</v>
      </c>
      <c r="Y76" s="7">
        <f t="shared" si="20"/>
        <v>2</v>
      </c>
      <c r="Z76">
        <f>IF(ISNUMBER(SEARCH("16", 'Form Responses 1'!H75)), -1, 0)</f>
        <v>0</v>
      </c>
      <c r="AA76">
        <f>IF(ISNUMBER(SEARCH("1.5", 'Form Responses 1'!H75)), 1, 0)</f>
        <v>0</v>
      </c>
      <c r="AB76">
        <f>IF(ISNUMBER(SEARCH("0.2", 'Form Responses 1'!H75)), -1, 0)</f>
        <v>0</v>
      </c>
      <c r="AC76">
        <f>IF(ISNUMBER(SEARCH("None", 'Form Responses 1'!H75)), -1, 0)</f>
        <v>-1</v>
      </c>
      <c r="AD76">
        <f t="shared" si="21"/>
        <v>2</v>
      </c>
      <c r="AE76" s="7">
        <f t="shared" si="22"/>
        <v>2</v>
      </c>
      <c r="AF76">
        <f>IF(ISNUMBER(SEARCH("Small", 'Form Responses 1'!I75)), -1, 0)</f>
        <v>0</v>
      </c>
      <c r="AG76">
        <f>IF(ISNUMBER(SEARCH("IMU", 'Form Responses 1'!I75)), 1, 0)</f>
        <v>1</v>
      </c>
      <c r="AH76">
        <f>IF(ISNUMBER(SEARCH("CAN", 'Form Responses 1'!I75)), 1, 0)</f>
        <v>0</v>
      </c>
      <c r="AI76">
        <f>IF(ISNUMBER(SEARCH("High", 'Form Responses 1'!I75)), -1, 0)</f>
        <v>0</v>
      </c>
      <c r="AJ76">
        <f>IF(ISNUMBER(SEARCH("Spoofing", 'Form Responses 1'!I75)), -1, 0)</f>
        <v>-1</v>
      </c>
      <c r="AK76">
        <f t="shared" si="23"/>
        <v>1</v>
      </c>
      <c r="AL76" s="7">
        <f t="shared" si="24"/>
        <v>1</v>
      </c>
      <c r="AM76">
        <f>IF('Form Responses 1'!J75, 1, 0)</f>
        <v>1</v>
      </c>
      <c r="AN76" s="7">
        <f t="shared" si="25"/>
        <v>4</v>
      </c>
      <c r="AO76">
        <f>IF(ISNUMBER(SEARCH("Increase the integral gain", 'Form Responses 1'!K75)), 1, 0)</f>
        <v>0</v>
      </c>
      <c r="AP76">
        <f>IF(ISNUMBER(SEARCH("Increase the proportional gain", 'Form Responses 1'!K75)), 1, 0)</f>
        <v>1</v>
      </c>
      <c r="AQ76">
        <f>IF(ISNUMBER(SEARCH("increasing the integral gain", 'Form Responses 1'!K75)), 1, 0)</f>
        <v>1</v>
      </c>
      <c r="AR76">
        <f>IF(ISNUMBER(SEARCH("Decrease the proportional gain (Kp) and increase the derivative gain (Kd)", 'Form Responses 1'!K75)), 1, 0)</f>
        <v>0</v>
      </c>
      <c r="AS76">
        <f>IF(ISNUMBER(SEARCH("Decrease the proportional gain", 'Form Responses 1'!K75)), 1, 0)</f>
        <v>0</v>
      </c>
      <c r="AT76" s="7">
        <f t="shared" si="26"/>
        <v>2.2999999999999998</v>
      </c>
      <c r="AU76">
        <f>IF(ISNUMBER(SEARCH("Measurement", 'Form Responses 1'!L75)), 1, 0)</f>
        <v>0</v>
      </c>
      <c r="AV76">
        <f>IF(ISNUMBER(SEARCH("All of the above",'Form Responses 1'!L75)),1,0)</f>
        <v>0</v>
      </c>
      <c r="AW76" s="7">
        <f t="shared" si="27"/>
        <v>0</v>
      </c>
      <c r="AX76">
        <f>IF(ISNUMBER(SEARCH("recorded sensor data to the controller", 'Form Responses 1'!M75)), 1, 0)</f>
        <v>1</v>
      </c>
      <c r="AY76">
        <f>IF(ISNUMBER(SEARCH("record sensor data from", 'Form Responses 1'!M75)), 1, 0)</f>
        <v>0</v>
      </c>
      <c r="AZ76">
        <f>IF(ISNUMBER(SEARCH("record actuator data from",'Form Responses 1'!M75)),1,0)</f>
        <v>0</v>
      </c>
      <c r="BA76">
        <f>IF(ISNUMBER(SEARCH("recorded actuator data to the controller", 'Form Responses 1'!M75)), 1, 0)</f>
        <v>0</v>
      </c>
      <c r="BB76" s="7">
        <f t="shared" si="28"/>
        <v>4</v>
      </c>
      <c r="BC76">
        <f>IF('Form Responses 1'!N75, 0, 1)</f>
        <v>0</v>
      </c>
      <c r="BD76" s="7">
        <f t="shared" si="29"/>
        <v>0</v>
      </c>
    </row>
    <row r="77" spans="1:56" x14ac:dyDescent="0.2">
      <c r="A77" s="4">
        <v>75</v>
      </c>
      <c r="B77">
        <f>IF(ISNUMBER(SEARCH("Line 4", 'Form Responses 1'!E76)), -1, 0)</f>
        <v>0</v>
      </c>
      <c r="C77">
        <f>IF(ISNUMBER(SEARCH("Line 5", 'Form Responses 1'!E76)), -1, 0)</f>
        <v>0</v>
      </c>
      <c r="D77">
        <f>IF(ISNUMBER(SEARCH("Line 8", 'Form Responses 1'!E76)), 1, 0)</f>
        <v>0</v>
      </c>
      <c r="E77">
        <f>IF(ISNUMBER(SEARCH("Line 13", 'Form Responses 1'!E76)), 1, 0)</f>
        <v>1</v>
      </c>
      <c r="F77">
        <f>IF(ISNUMBER(SEARCH("Line 14", 'Form Responses 1'!E76)), -1, 0)</f>
        <v>-1</v>
      </c>
      <c r="G77">
        <f>IF(ISNUMBER(SEARCH("Line 15", 'Form Responses 1'!E76)), 1, 0)</f>
        <v>0</v>
      </c>
      <c r="H77">
        <f>IF(ISNUMBER(SEARCH("Line 16", 'Form Responses 1'!E76)), -1, 0)</f>
        <v>0</v>
      </c>
      <c r="I77">
        <f>IF(ISNUMBER(SEARCH("Line 17", 'Form Responses 1'!E76)), 1, 0)</f>
        <v>0</v>
      </c>
      <c r="J77">
        <f>IF(ISNUMBER(SEARCH("Line 19", 'Form Responses 1'!E76)), 1, 0)</f>
        <v>1</v>
      </c>
      <c r="K77">
        <f t="shared" si="15"/>
        <v>1</v>
      </c>
      <c r="L77" s="8">
        <f t="shared" si="16"/>
        <v>3</v>
      </c>
      <c r="M77">
        <f>IF(ISNUMBER(SEARCH("Transmit data", 'Form Responses 1'!F76)), 1, 0)</f>
        <v>1</v>
      </c>
      <c r="N77">
        <f>IF(ISNUMBER(SEARCH("Alter", 'Form Responses 1'!F76)), -1, 0)</f>
        <v>0</v>
      </c>
      <c r="O77">
        <f>IF(ISNUMBER(SEARCH("Change", 'Form Responses 1'!F76)), -1, 0)</f>
        <v>0</v>
      </c>
      <c r="P77">
        <f>IF(ISNUMBER(SEARCH("Remove", 'Form Responses 1'!F76)), -1, 0)</f>
        <v>0</v>
      </c>
      <c r="Q77">
        <f>IF(ISNUMBER(SEARCH("unintelligible", 'Form Responses 1'!F76)), -1, 0)</f>
        <v>-1</v>
      </c>
      <c r="R77">
        <f t="shared" si="17"/>
        <v>3.25</v>
      </c>
      <c r="S77" s="7">
        <f t="shared" si="18"/>
        <v>3.25</v>
      </c>
      <c r="T77">
        <f>IF(ISNUMBER(SEARCH("sensors", 'Form Responses 1'!G76)), 1, 0)</f>
        <v>1</v>
      </c>
      <c r="U77">
        <f>IF(ISNUMBER(SEARCH("actuators", 'Form Responses 1'!G76)), -1, 0)</f>
        <v>0</v>
      </c>
      <c r="V77">
        <f>IF(ISNUMBER(SEARCH("Switch", 'Form Responses 1'!G76)), 1, 0)</f>
        <v>1</v>
      </c>
      <c r="W77">
        <f>IF(ISNUMBER(SEARCH("PID", 'Form Responses 1'!G76)), -1, 0)</f>
        <v>0</v>
      </c>
      <c r="X77">
        <f t="shared" si="19"/>
        <v>4</v>
      </c>
      <c r="Y77" s="7">
        <f t="shared" si="20"/>
        <v>4</v>
      </c>
      <c r="Z77">
        <f>IF(ISNUMBER(SEARCH("16", 'Form Responses 1'!H76)), -1, 0)</f>
        <v>-1</v>
      </c>
      <c r="AA77">
        <f>IF(ISNUMBER(SEARCH("1.5", 'Form Responses 1'!H76)), 1, 0)</f>
        <v>1</v>
      </c>
      <c r="AB77">
        <f>IF(ISNUMBER(SEARCH("0.2", 'Form Responses 1'!H76)), -1, 0)</f>
        <v>0</v>
      </c>
      <c r="AC77">
        <f>IF(ISNUMBER(SEARCH("None", 'Form Responses 1'!H76)), -1, 0)</f>
        <v>0</v>
      </c>
      <c r="AD77">
        <f t="shared" si="21"/>
        <v>3</v>
      </c>
      <c r="AE77" s="7">
        <f t="shared" si="22"/>
        <v>3</v>
      </c>
      <c r="AF77">
        <f>IF(ISNUMBER(SEARCH("Small", 'Form Responses 1'!I76)), -1, 0)</f>
        <v>-1</v>
      </c>
      <c r="AG77">
        <f>IF(ISNUMBER(SEARCH("IMU", 'Form Responses 1'!I76)), 1, 0)</f>
        <v>1</v>
      </c>
      <c r="AH77">
        <f>IF(ISNUMBER(SEARCH("CAN", 'Form Responses 1'!I76)), 1, 0)</f>
        <v>1</v>
      </c>
      <c r="AI77">
        <f>IF(ISNUMBER(SEARCH("High", 'Form Responses 1'!I76)), -1, 0)</f>
        <v>0</v>
      </c>
      <c r="AJ77">
        <f>IF(ISNUMBER(SEARCH("Spoofing", 'Form Responses 1'!I76)), -1, 0)</f>
        <v>0</v>
      </c>
      <c r="AK77">
        <f t="shared" si="23"/>
        <v>5</v>
      </c>
      <c r="AL77" s="7">
        <f t="shared" si="24"/>
        <v>4</v>
      </c>
      <c r="AM77">
        <f>IF('Form Responses 1'!J76, 1, 0)</f>
        <v>1</v>
      </c>
      <c r="AN77" s="7">
        <f t="shared" si="25"/>
        <v>4</v>
      </c>
      <c r="AO77">
        <f>IF(ISNUMBER(SEARCH("Increase the integral gain", 'Form Responses 1'!K76)), 1, 0)</f>
        <v>1</v>
      </c>
      <c r="AP77">
        <f>IF(ISNUMBER(SEARCH("Increase the proportional gain", 'Form Responses 1'!K76)), 1, 0)</f>
        <v>0</v>
      </c>
      <c r="AQ77">
        <f>IF(ISNUMBER(SEARCH("increasing the integral gain", 'Form Responses 1'!K76)), 1, 0)</f>
        <v>0</v>
      </c>
      <c r="AR77">
        <f>IF(ISNUMBER(SEARCH("Decrease the proportional gain (Kp) and increase the derivative gain (Kd)", 'Form Responses 1'!K76)), 1, 0)</f>
        <v>0</v>
      </c>
      <c r="AS77">
        <f>IF(ISNUMBER(SEARCH("Decrease the proportional gain", 'Form Responses 1'!K76)), 1, 0)</f>
        <v>0</v>
      </c>
      <c r="AT77" s="7">
        <f t="shared" si="26"/>
        <v>4</v>
      </c>
      <c r="AU77">
        <f>IF(ISNUMBER(SEARCH("Measurement", 'Form Responses 1'!L76)), 1, 0)</f>
        <v>0</v>
      </c>
      <c r="AV77">
        <f>IF(ISNUMBER(SEARCH("All of the above",'Form Responses 1'!L76)),1,0)</f>
        <v>0</v>
      </c>
      <c r="AW77" s="7">
        <f t="shared" si="27"/>
        <v>0</v>
      </c>
      <c r="AX77">
        <f>IF(ISNUMBER(SEARCH("recorded sensor data to the controller", 'Form Responses 1'!M76)), 1, 0)</f>
        <v>1</v>
      </c>
      <c r="AY77">
        <f>IF(ISNUMBER(SEARCH("record sensor data from", 'Form Responses 1'!M76)), 1, 0)</f>
        <v>0</v>
      </c>
      <c r="AZ77">
        <f>IF(ISNUMBER(SEARCH("record actuator data from",'Form Responses 1'!M76)),1,0)</f>
        <v>0</v>
      </c>
      <c r="BA77">
        <f>IF(ISNUMBER(SEARCH("recorded actuator data to the controller", 'Form Responses 1'!M76)), 1, 0)</f>
        <v>0</v>
      </c>
      <c r="BB77" s="7">
        <f t="shared" si="28"/>
        <v>4</v>
      </c>
      <c r="BC77">
        <f>IF('Form Responses 1'!N76, 0, 1)</f>
        <v>1</v>
      </c>
      <c r="BD77" s="7">
        <f t="shared" si="29"/>
        <v>4</v>
      </c>
    </row>
    <row r="78" spans="1:56" x14ac:dyDescent="0.2">
      <c r="A78" s="4">
        <v>76</v>
      </c>
      <c r="B78">
        <f>IF(ISNUMBER(SEARCH("Line 4", 'Form Responses 1'!E77)), -1, 0)</f>
        <v>-1</v>
      </c>
      <c r="C78">
        <f>IF(ISNUMBER(SEARCH("Line 5", 'Form Responses 1'!E77)), -1, 0)</f>
        <v>-1</v>
      </c>
      <c r="D78">
        <f>IF(ISNUMBER(SEARCH("Line 8", 'Form Responses 1'!E77)), 1, 0)</f>
        <v>0</v>
      </c>
      <c r="E78">
        <f>IF(ISNUMBER(SEARCH("Line 13", 'Form Responses 1'!E77)), 1, 0)</f>
        <v>1</v>
      </c>
      <c r="F78">
        <f>IF(ISNUMBER(SEARCH("Line 14", 'Form Responses 1'!E77)), -1, 0)</f>
        <v>-1</v>
      </c>
      <c r="G78">
        <f>IF(ISNUMBER(SEARCH("Line 15", 'Form Responses 1'!E77)), 1, 0)</f>
        <v>0</v>
      </c>
      <c r="H78">
        <f>IF(ISNUMBER(SEARCH("Line 16", 'Form Responses 1'!E77)), -1, 0)</f>
        <v>0</v>
      </c>
      <c r="I78">
        <f>IF(ISNUMBER(SEARCH("Line 17", 'Form Responses 1'!E77)), 1, 0)</f>
        <v>1</v>
      </c>
      <c r="J78">
        <f>IF(ISNUMBER(SEARCH("Line 19", 'Form Responses 1'!E77)), 1, 0)</f>
        <v>0</v>
      </c>
      <c r="K78">
        <f t="shared" si="15"/>
        <v>-1</v>
      </c>
      <c r="L78" s="8">
        <f t="shared" si="16"/>
        <v>0</v>
      </c>
      <c r="M78">
        <f>IF(ISNUMBER(SEARCH("Transmit data", 'Form Responses 1'!F77)), 1, 0)</f>
        <v>0</v>
      </c>
      <c r="N78">
        <f>IF(ISNUMBER(SEARCH("Alter", 'Form Responses 1'!F77)), -1, 0)</f>
        <v>0</v>
      </c>
      <c r="O78">
        <f>IF(ISNUMBER(SEARCH("Change", 'Form Responses 1'!F77)), -1, 0)</f>
        <v>0</v>
      </c>
      <c r="P78">
        <f>IF(ISNUMBER(SEARCH("Remove", 'Form Responses 1'!F77)), -1, 0)</f>
        <v>-1</v>
      </c>
      <c r="Q78">
        <f>IF(ISNUMBER(SEARCH("unintelligible", 'Form Responses 1'!F77)), -1, 0)</f>
        <v>-1</v>
      </c>
      <c r="R78">
        <f t="shared" si="17"/>
        <v>-1.5</v>
      </c>
      <c r="S78" s="7">
        <f t="shared" si="18"/>
        <v>0</v>
      </c>
      <c r="T78">
        <f>IF(ISNUMBER(SEARCH("sensors", 'Form Responses 1'!G77)), 1, 0)</f>
        <v>1</v>
      </c>
      <c r="U78">
        <f>IF(ISNUMBER(SEARCH("actuators", 'Form Responses 1'!G77)), -1, 0)</f>
        <v>-1</v>
      </c>
      <c r="V78">
        <f>IF(ISNUMBER(SEARCH("Switch", 'Form Responses 1'!G77)), 1, 0)</f>
        <v>0</v>
      </c>
      <c r="W78">
        <f>IF(ISNUMBER(SEARCH("PID", 'Form Responses 1'!G77)), -1, 0)</f>
        <v>-1</v>
      </c>
      <c r="X78">
        <f t="shared" si="19"/>
        <v>0</v>
      </c>
      <c r="Y78" s="7">
        <f t="shared" si="20"/>
        <v>0</v>
      </c>
      <c r="Z78">
        <f>IF(ISNUMBER(SEARCH("16", 'Form Responses 1'!H77)), -1, 0)</f>
        <v>-1</v>
      </c>
      <c r="AA78">
        <f>IF(ISNUMBER(SEARCH("1.5", 'Form Responses 1'!H77)), 1, 0)</f>
        <v>0</v>
      </c>
      <c r="AB78">
        <f>IF(ISNUMBER(SEARCH("0.2", 'Form Responses 1'!H77)), -1, 0)</f>
        <v>0</v>
      </c>
      <c r="AC78">
        <f>IF(ISNUMBER(SEARCH("None", 'Form Responses 1'!H77)), -1, 0)</f>
        <v>0</v>
      </c>
      <c r="AD78">
        <f t="shared" si="21"/>
        <v>-1</v>
      </c>
      <c r="AE78" s="7">
        <f t="shared" si="22"/>
        <v>0</v>
      </c>
      <c r="AF78">
        <f>IF(ISNUMBER(SEARCH("Small", 'Form Responses 1'!I77)), -1, 0)</f>
        <v>-1</v>
      </c>
      <c r="AG78">
        <f>IF(ISNUMBER(SEARCH("IMU", 'Form Responses 1'!I77)), 1, 0)</f>
        <v>0</v>
      </c>
      <c r="AH78">
        <f>IF(ISNUMBER(SEARCH("CAN", 'Form Responses 1'!I77)), 1, 0)</f>
        <v>1</v>
      </c>
      <c r="AI78">
        <f>IF(ISNUMBER(SEARCH("High", 'Form Responses 1'!I77)), -1, 0)</f>
        <v>0</v>
      </c>
      <c r="AJ78">
        <f>IF(ISNUMBER(SEARCH("Spoofing", 'Form Responses 1'!I77)), -1, 0)</f>
        <v>0</v>
      </c>
      <c r="AK78">
        <f t="shared" si="23"/>
        <v>3</v>
      </c>
      <c r="AL78" s="7">
        <f t="shared" si="24"/>
        <v>3</v>
      </c>
      <c r="AM78">
        <f>IF('Form Responses 1'!J77, 1, 0)</f>
        <v>1</v>
      </c>
      <c r="AN78" s="7">
        <f t="shared" si="25"/>
        <v>4</v>
      </c>
      <c r="AO78">
        <f>IF(ISNUMBER(SEARCH("Increase the integral gain", 'Form Responses 1'!K77)), 1, 0)</f>
        <v>1</v>
      </c>
      <c r="AP78">
        <f>IF(ISNUMBER(SEARCH("Increase the proportional gain", 'Form Responses 1'!K77)), 1, 0)</f>
        <v>0</v>
      </c>
      <c r="AQ78">
        <f>IF(ISNUMBER(SEARCH("increasing the integral gain", 'Form Responses 1'!K77)), 1, 0)</f>
        <v>0</v>
      </c>
      <c r="AR78">
        <f>IF(ISNUMBER(SEARCH("Decrease the proportional gain (Kp) and increase the derivative gain (Kd)", 'Form Responses 1'!K77)), 1, 0)</f>
        <v>0</v>
      </c>
      <c r="AS78">
        <f>IF(ISNUMBER(SEARCH("Decrease the proportional gain", 'Form Responses 1'!K77)), 1, 0)</f>
        <v>0</v>
      </c>
      <c r="AT78" s="7">
        <f t="shared" si="26"/>
        <v>4</v>
      </c>
      <c r="AU78">
        <f>IF(ISNUMBER(SEARCH("Measurement", 'Form Responses 1'!L77)), 1, 0)</f>
        <v>0</v>
      </c>
      <c r="AV78">
        <f>IF(ISNUMBER(SEARCH("All of the above",'Form Responses 1'!L77)),1,0)</f>
        <v>0</v>
      </c>
      <c r="AW78" s="7">
        <f t="shared" si="27"/>
        <v>0</v>
      </c>
      <c r="AX78">
        <f>IF(ISNUMBER(SEARCH("recorded sensor data to the controller", 'Form Responses 1'!M77)), 1, 0)</f>
        <v>1</v>
      </c>
      <c r="AY78">
        <f>IF(ISNUMBER(SEARCH("record sensor data from", 'Form Responses 1'!M77)), 1, 0)</f>
        <v>0</v>
      </c>
      <c r="AZ78">
        <f>IF(ISNUMBER(SEARCH("record actuator data from",'Form Responses 1'!M77)),1,0)</f>
        <v>0</v>
      </c>
      <c r="BA78">
        <f>IF(ISNUMBER(SEARCH("recorded actuator data to the controller", 'Form Responses 1'!M77)), 1, 0)</f>
        <v>0</v>
      </c>
      <c r="BB78" s="7">
        <f t="shared" si="28"/>
        <v>4</v>
      </c>
      <c r="BC78">
        <f>IF('Form Responses 1'!N77, 0, 1)</f>
        <v>0</v>
      </c>
      <c r="BD78" s="7">
        <f t="shared" si="29"/>
        <v>0</v>
      </c>
    </row>
    <row r="79" spans="1:56" x14ac:dyDescent="0.2">
      <c r="A79" s="4">
        <v>77</v>
      </c>
      <c r="B79">
        <f>IF(ISNUMBER(SEARCH("Line 4", 'Form Responses 1'!E78)), -1, 0)</f>
        <v>0</v>
      </c>
      <c r="C79">
        <f>IF(ISNUMBER(SEARCH("Line 5", 'Form Responses 1'!E78)), -1, 0)</f>
        <v>0</v>
      </c>
      <c r="D79">
        <f>IF(ISNUMBER(SEARCH("Line 8", 'Form Responses 1'!E78)), 1, 0)</f>
        <v>1</v>
      </c>
      <c r="E79">
        <f>IF(ISNUMBER(SEARCH("Line 13", 'Form Responses 1'!E78)), 1, 0)</f>
        <v>0</v>
      </c>
      <c r="F79">
        <f>IF(ISNUMBER(SEARCH("Line 14", 'Form Responses 1'!E78)), -1, 0)</f>
        <v>0</v>
      </c>
      <c r="G79">
        <f>IF(ISNUMBER(SEARCH("Line 15", 'Form Responses 1'!E78)), 1, 0)</f>
        <v>1</v>
      </c>
      <c r="H79">
        <f>IF(ISNUMBER(SEARCH("Line 16", 'Form Responses 1'!E78)), -1, 0)</f>
        <v>-1</v>
      </c>
      <c r="I79">
        <f>IF(ISNUMBER(SEARCH("Line 17", 'Form Responses 1'!E78)), 1, 0)</f>
        <v>0</v>
      </c>
      <c r="J79">
        <f>IF(ISNUMBER(SEARCH("Line 19", 'Form Responses 1'!E78)), 1, 0)</f>
        <v>0</v>
      </c>
      <c r="K79">
        <f t="shared" si="15"/>
        <v>1</v>
      </c>
      <c r="L79" s="8">
        <f t="shared" si="16"/>
        <v>1</v>
      </c>
      <c r="M79">
        <f>IF(ISNUMBER(SEARCH("Transmit data", 'Form Responses 1'!F78)), 1, 0)</f>
        <v>1</v>
      </c>
      <c r="N79">
        <f>IF(ISNUMBER(SEARCH("Alter", 'Form Responses 1'!F78)), -1, 0)</f>
        <v>0</v>
      </c>
      <c r="O79">
        <f>IF(ISNUMBER(SEARCH("Change", 'Form Responses 1'!F78)), -1, 0)</f>
        <v>-1</v>
      </c>
      <c r="P79">
        <f>IF(ISNUMBER(SEARCH("Remove", 'Form Responses 1'!F78)), -1, 0)</f>
        <v>0</v>
      </c>
      <c r="Q79">
        <f>IF(ISNUMBER(SEARCH("unintelligible", 'Form Responses 1'!F78)), -1, 0)</f>
        <v>-1</v>
      </c>
      <c r="R79">
        <f t="shared" si="17"/>
        <v>2.5</v>
      </c>
      <c r="S79" s="7">
        <f t="shared" si="18"/>
        <v>2.5</v>
      </c>
      <c r="T79">
        <f>IF(ISNUMBER(SEARCH("sensors", 'Form Responses 1'!G78)), 1, 0)</f>
        <v>0</v>
      </c>
      <c r="U79">
        <f>IF(ISNUMBER(SEARCH("actuators", 'Form Responses 1'!G78)), -1, 0)</f>
        <v>0</v>
      </c>
      <c r="V79">
        <f>IF(ISNUMBER(SEARCH("Switch", 'Form Responses 1'!G78)), 1, 0)</f>
        <v>0</v>
      </c>
      <c r="W79">
        <f>IF(ISNUMBER(SEARCH("PID", 'Form Responses 1'!G78)), -1, 0)</f>
        <v>-1</v>
      </c>
      <c r="X79">
        <f t="shared" si="19"/>
        <v>-1</v>
      </c>
      <c r="Y79" s="7">
        <f t="shared" si="20"/>
        <v>0</v>
      </c>
      <c r="Z79">
        <f>IF(ISNUMBER(SEARCH("16", 'Form Responses 1'!H78)), -1, 0)</f>
        <v>-1</v>
      </c>
      <c r="AA79">
        <f>IF(ISNUMBER(SEARCH("1.5", 'Form Responses 1'!H78)), 1, 0)</f>
        <v>1</v>
      </c>
      <c r="AB79">
        <f>IF(ISNUMBER(SEARCH("0.2", 'Form Responses 1'!H78)), -1, 0)</f>
        <v>0</v>
      </c>
      <c r="AC79">
        <f>IF(ISNUMBER(SEARCH("None", 'Form Responses 1'!H78)), -1, 0)</f>
        <v>0</v>
      </c>
      <c r="AD79">
        <f t="shared" si="21"/>
        <v>3</v>
      </c>
      <c r="AE79" s="7">
        <f t="shared" si="22"/>
        <v>3</v>
      </c>
      <c r="AF79">
        <f>IF(ISNUMBER(SEARCH("Small", 'Form Responses 1'!I78)), -1, 0)</f>
        <v>0</v>
      </c>
      <c r="AG79">
        <f>IF(ISNUMBER(SEARCH("IMU", 'Form Responses 1'!I78)), 1, 0)</f>
        <v>0</v>
      </c>
      <c r="AH79">
        <f>IF(ISNUMBER(SEARCH("CAN", 'Form Responses 1'!I78)), 1, 0)</f>
        <v>1</v>
      </c>
      <c r="AI79">
        <f>IF(ISNUMBER(SEARCH("High", 'Form Responses 1'!I78)), -1, 0)</f>
        <v>0</v>
      </c>
      <c r="AJ79">
        <f>IF(ISNUMBER(SEARCH("Spoofing", 'Form Responses 1'!I78)), -1, 0)</f>
        <v>-1</v>
      </c>
      <c r="AK79">
        <f t="shared" si="23"/>
        <v>1</v>
      </c>
      <c r="AL79" s="7">
        <f t="shared" si="24"/>
        <v>1</v>
      </c>
      <c r="AM79">
        <f>IF('Form Responses 1'!J78, 1, 0)</f>
        <v>1</v>
      </c>
      <c r="AN79" s="7">
        <f t="shared" si="25"/>
        <v>4</v>
      </c>
      <c r="AO79">
        <f>IF(ISNUMBER(SEARCH("Increase the integral gain", 'Form Responses 1'!K78)), 1, 0)</f>
        <v>1</v>
      </c>
      <c r="AP79">
        <f>IF(ISNUMBER(SEARCH("Increase the proportional gain", 'Form Responses 1'!K78)), 1, 0)</f>
        <v>0</v>
      </c>
      <c r="AQ79">
        <f>IF(ISNUMBER(SEARCH("increasing the integral gain", 'Form Responses 1'!K78)), 1, 0)</f>
        <v>0</v>
      </c>
      <c r="AR79">
        <f>IF(ISNUMBER(SEARCH("Decrease the proportional gain (Kp) and increase the derivative gain (Kd)", 'Form Responses 1'!K78)), 1, 0)</f>
        <v>0</v>
      </c>
      <c r="AS79">
        <f>IF(ISNUMBER(SEARCH("Decrease the proportional gain", 'Form Responses 1'!K78)), 1, 0)</f>
        <v>0</v>
      </c>
      <c r="AT79" s="7">
        <f t="shared" si="26"/>
        <v>4</v>
      </c>
      <c r="AU79">
        <f>IF(ISNUMBER(SEARCH("Measurement", 'Form Responses 1'!L78)), 1, 0)</f>
        <v>1</v>
      </c>
      <c r="AV79">
        <f>IF(ISNUMBER(SEARCH("All of the above",'Form Responses 1'!L78)),1,0)</f>
        <v>0</v>
      </c>
      <c r="AW79" s="7">
        <f t="shared" si="27"/>
        <v>4</v>
      </c>
      <c r="AX79">
        <f>IF(ISNUMBER(SEARCH("recorded sensor data to the controller", 'Form Responses 1'!M78)), 1, 0)</f>
        <v>1</v>
      </c>
      <c r="AY79">
        <f>IF(ISNUMBER(SEARCH("record sensor data from", 'Form Responses 1'!M78)), 1, 0)</f>
        <v>0</v>
      </c>
      <c r="AZ79">
        <f>IF(ISNUMBER(SEARCH("record actuator data from",'Form Responses 1'!M78)),1,0)</f>
        <v>0</v>
      </c>
      <c r="BA79">
        <f>IF(ISNUMBER(SEARCH("recorded actuator data to the controller", 'Form Responses 1'!M78)), 1, 0)</f>
        <v>0</v>
      </c>
      <c r="BB79" s="7">
        <f t="shared" si="28"/>
        <v>4</v>
      </c>
      <c r="BC79">
        <f>IF('Form Responses 1'!N78, 0, 1)</f>
        <v>1</v>
      </c>
      <c r="BD79" s="7">
        <f t="shared" si="29"/>
        <v>4</v>
      </c>
    </row>
    <row r="80" spans="1:56" x14ac:dyDescent="0.2">
      <c r="A80" s="4">
        <v>78</v>
      </c>
      <c r="B80">
        <f>IF(ISNUMBER(SEARCH("Line 4", 'Form Responses 1'!E79)), -1, 0)</f>
        <v>0</v>
      </c>
      <c r="C80">
        <f>IF(ISNUMBER(SEARCH("Line 5", 'Form Responses 1'!E79)), -1, 0)</f>
        <v>0</v>
      </c>
      <c r="D80">
        <f>IF(ISNUMBER(SEARCH("Line 8", 'Form Responses 1'!E79)), 1, 0)</f>
        <v>0</v>
      </c>
      <c r="E80">
        <f>IF(ISNUMBER(SEARCH("Line 13", 'Form Responses 1'!E79)), 1, 0)</f>
        <v>0</v>
      </c>
      <c r="F80">
        <f>IF(ISNUMBER(SEARCH("Line 14", 'Form Responses 1'!E79)), -1, 0)</f>
        <v>0</v>
      </c>
      <c r="G80">
        <f>IF(ISNUMBER(SEARCH("Line 15", 'Form Responses 1'!E79)), 1, 0)</f>
        <v>0</v>
      </c>
      <c r="H80">
        <f>IF(ISNUMBER(SEARCH("Line 16", 'Form Responses 1'!E79)), -1, 0)</f>
        <v>0</v>
      </c>
      <c r="I80">
        <f>IF(ISNUMBER(SEARCH("Line 17", 'Form Responses 1'!E79)), 1, 0)</f>
        <v>0</v>
      </c>
      <c r="J80">
        <f>IF(ISNUMBER(SEARCH("Line 19", 'Form Responses 1'!E79)), 1, 0)</f>
        <v>1</v>
      </c>
      <c r="K80">
        <f t="shared" si="15"/>
        <v>1</v>
      </c>
      <c r="L80" s="8">
        <f t="shared" si="16"/>
        <v>2</v>
      </c>
      <c r="M80">
        <f>IF(ISNUMBER(SEARCH("Transmit data", 'Form Responses 1'!F79)), 1, 0)</f>
        <v>1</v>
      </c>
      <c r="N80">
        <f>IF(ISNUMBER(SEARCH("Alter", 'Form Responses 1'!F79)), -1, 0)</f>
        <v>0</v>
      </c>
      <c r="O80">
        <f>IF(ISNUMBER(SEARCH("Change", 'Form Responses 1'!F79)), -1, 0)</f>
        <v>0</v>
      </c>
      <c r="P80">
        <f>IF(ISNUMBER(SEARCH("Remove", 'Form Responses 1'!F79)), -1, 0)</f>
        <v>0</v>
      </c>
      <c r="Q80">
        <f>IF(ISNUMBER(SEARCH("unintelligible", 'Form Responses 1'!F79)), -1, 0)</f>
        <v>-1</v>
      </c>
      <c r="R80">
        <f t="shared" si="17"/>
        <v>3.25</v>
      </c>
      <c r="S80" s="7">
        <f t="shared" si="18"/>
        <v>3.25</v>
      </c>
      <c r="T80">
        <f>IF(ISNUMBER(SEARCH("sensors", 'Form Responses 1'!G79)), 1, 0)</f>
        <v>1</v>
      </c>
      <c r="U80">
        <f>IF(ISNUMBER(SEARCH("actuators", 'Form Responses 1'!G79)), -1, 0)</f>
        <v>0</v>
      </c>
      <c r="V80">
        <f>IF(ISNUMBER(SEARCH("Switch", 'Form Responses 1'!G79)), 1, 0)</f>
        <v>1</v>
      </c>
      <c r="W80">
        <f>IF(ISNUMBER(SEARCH("PID", 'Form Responses 1'!G79)), -1, 0)</f>
        <v>0</v>
      </c>
      <c r="X80">
        <f t="shared" si="19"/>
        <v>4</v>
      </c>
      <c r="Y80" s="7">
        <f t="shared" si="20"/>
        <v>4</v>
      </c>
      <c r="Z80">
        <f>IF(ISNUMBER(SEARCH("16", 'Form Responses 1'!H79)), -1, 0)</f>
        <v>-1</v>
      </c>
      <c r="AA80">
        <f>IF(ISNUMBER(SEARCH("1.5", 'Form Responses 1'!H79)), 1, 0)</f>
        <v>1</v>
      </c>
      <c r="AB80">
        <f>IF(ISNUMBER(SEARCH("0.2", 'Form Responses 1'!H79)), -1, 0)</f>
        <v>0</v>
      </c>
      <c r="AC80">
        <f>IF(ISNUMBER(SEARCH("None", 'Form Responses 1'!H79)), -1, 0)</f>
        <v>0</v>
      </c>
      <c r="AD80">
        <f t="shared" si="21"/>
        <v>3</v>
      </c>
      <c r="AE80" s="7">
        <f t="shared" si="22"/>
        <v>3</v>
      </c>
      <c r="AF80">
        <f>IF(ISNUMBER(SEARCH("Small", 'Form Responses 1'!I79)), -1, 0)</f>
        <v>-1</v>
      </c>
      <c r="AG80">
        <f>IF(ISNUMBER(SEARCH("IMU", 'Form Responses 1'!I79)), 1, 0)</f>
        <v>1</v>
      </c>
      <c r="AH80">
        <f>IF(ISNUMBER(SEARCH("CAN", 'Form Responses 1'!I79)), 1, 0)</f>
        <v>1</v>
      </c>
      <c r="AI80">
        <f>IF(ISNUMBER(SEARCH("High", 'Form Responses 1'!I79)), -1, 0)</f>
        <v>0</v>
      </c>
      <c r="AJ80">
        <f>IF(ISNUMBER(SEARCH("Spoofing", 'Form Responses 1'!I79)), -1, 0)</f>
        <v>0</v>
      </c>
      <c r="AK80">
        <f t="shared" si="23"/>
        <v>5</v>
      </c>
      <c r="AL80" s="7">
        <f t="shared" si="24"/>
        <v>4</v>
      </c>
      <c r="AM80">
        <f>IF('Form Responses 1'!J79, 1, 0)</f>
        <v>1</v>
      </c>
      <c r="AN80" s="7">
        <f t="shared" si="25"/>
        <v>4</v>
      </c>
      <c r="AO80">
        <f>IF(ISNUMBER(SEARCH("Increase the integral gain", 'Form Responses 1'!K79)), 1, 0)</f>
        <v>1</v>
      </c>
      <c r="AP80">
        <f>IF(ISNUMBER(SEARCH("Increase the proportional gain", 'Form Responses 1'!K79)), 1, 0)</f>
        <v>0</v>
      </c>
      <c r="AQ80">
        <f>IF(ISNUMBER(SEARCH("increasing the integral gain", 'Form Responses 1'!K79)), 1, 0)</f>
        <v>0</v>
      </c>
      <c r="AR80">
        <f>IF(ISNUMBER(SEARCH("Decrease the proportional gain (Kp) and increase the derivative gain (Kd)", 'Form Responses 1'!K79)), 1, 0)</f>
        <v>0</v>
      </c>
      <c r="AS80">
        <f>IF(ISNUMBER(SEARCH("Decrease the proportional gain", 'Form Responses 1'!K79)), 1, 0)</f>
        <v>0</v>
      </c>
      <c r="AT80" s="7">
        <f t="shared" si="26"/>
        <v>4</v>
      </c>
      <c r="AU80">
        <f>IF(ISNUMBER(SEARCH("Measurement", 'Form Responses 1'!L79)), 1, 0)</f>
        <v>0</v>
      </c>
      <c r="AV80">
        <f>IF(ISNUMBER(SEARCH("All of the above",'Form Responses 1'!L79)),1,0)</f>
        <v>1</v>
      </c>
      <c r="AW80" s="7">
        <f t="shared" si="27"/>
        <v>2</v>
      </c>
      <c r="AX80">
        <f>IF(ISNUMBER(SEARCH("recorded sensor data to the controller", 'Form Responses 1'!M79)), 1, 0)</f>
        <v>1</v>
      </c>
      <c r="AY80">
        <f>IF(ISNUMBER(SEARCH("record sensor data from", 'Form Responses 1'!M79)), 1, 0)</f>
        <v>0</v>
      </c>
      <c r="AZ80">
        <f>IF(ISNUMBER(SEARCH("record actuator data from",'Form Responses 1'!M79)),1,0)</f>
        <v>0</v>
      </c>
      <c r="BA80">
        <f>IF(ISNUMBER(SEARCH("recorded actuator data to the controller", 'Form Responses 1'!M79)), 1, 0)</f>
        <v>0</v>
      </c>
      <c r="BB80" s="7">
        <f t="shared" si="28"/>
        <v>4</v>
      </c>
      <c r="BC80">
        <f>IF('Form Responses 1'!N79, 0, 1)</f>
        <v>1</v>
      </c>
      <c r="BD80" s="7">
        <f t="shared" si="29"/>
        <v>4</v>
      </c>
    </row>
    <row r="81" spans="1:56" x14ac:dyDescent="0.2">
      <c r="A81" s="4">
        <v>79</v>
      </c>
      <c r="B81">
        <f>IF(ISNUMBER(SEARCH("Line 4", 'Form Responses 1'!E80)), -1, 0)</f>
        <v>0</v>
      </c>
      <c r="C81">
        <f>IF(ISNUMBER(SEARCH("Line 5", 'Form Responses 1'!E80)), -1, 0)</f>
        <v>0</v>
      </c>
      <c r="D81">
        <f>IF(ISNUMBER(SEARCH("Line 8", 'Form Responses 1'!E80)), 1, 0)</f>
        <v>1</v>
      </c>
      <c r="E81">
        <f>IF(ISNUMBER(SEARCH("Line 13", 'Form Responses 1'!E80)), 1, 0)</f>
        <v>1</v>
      </c>
      <c r="F81">
        <f>IF(ISNUMBER(SEARCH("Line 14", 'Form Responses 1'!E80)), -1, 0)</f>
        <v>0</v>
      </c>
      <c r="G81">
        <f>IF(ISNUMBER(SEARCH("Line 15", 'Form Responses 1'!E80)), 1, 0)</f>
        <v>0</v>
      </c>
      <c r="H81">
        <f>IF(ISNUMBER(SEARCH("Line 16", 'Form Responses 1'!E80)), -1, 0)</f>
        <v>0</v>
      </c>
      <c r="I81">
        <f>IF(ISNUMBER(SEARCH("Line 17", 'Form Responses 1'!E80)), 1, 0)</f>
        <v>0</v>
      </c>
      <c r="J81">
        <f>IF(ISNUMBER(SEARCH("Line 19", 'Form Responses 1'!E80)), 1, 0)</f>
        <v>0</v>
      </c>
      <c r="K81">
        <f t="shared" si="15"/>
        <v>2</v>
      </c>
      <c r="L81" s="8">
        <f t="shared" si="16"/>
        <v>3</v>
      </c>
      <c r="M81">
        <f>IF(ISNUMBER(SEARCH("Transmit data", 'Form Responses 1'!F80)), 1, 0)</f>
        <v>1</v>
      </c>
      <c r="N81">
        <f>IF(ISNUMBER(SEARCH("Alter", 'Form Responses 1'!F80)), -1, 0)</f>
        <v>-1</v>
      </c>
      <c r="O81">
        <f>IF(ISNUMBER(SEARCH("Change", 'Form Responses 1'!F80)), -1, 0)</f>
        <v>-1</v>
      </c>
      <c r="P81">
        <f>IF(ISNUMBER(SEARCH("Remove", 'Form Responses 1'!F80)), -1, 0)</f>
        <v>0</v>
      </c>
      <c r="Q81">
        <f>IF(ISNUMBER(SEARCH("unintelligible", 'Form Responses 1'!F80)), -1, 0)</f>
        <v>0</v>
      </c>
      <c r="R81">
        <f t="shared" si="17"/>
        <v>2.5</v>
      </c>
      <c r="S81" s="7">
        <f t="shared" si="18"/>
        <v>2.5</v>
      </c>
      <c r="T81">
        <f>IF(ISNUMBER(SEARCH("sensors", 'Form Responses 1'!G80)), 1, 0)</f>
        <v>0</v>
      </c>
      <c r="U81">
        <f>IF(ISNUMBER(SEARCH("actuators", 'Form Responses 1'!G80)), -1, 0)</f>
        <v>-1</v>
      </c>
      <c r="V81">
        <f>IF(ISNUMBER(SEARCH("Switch", 'Form Responses 1'!G80)), 1, 0)</f>
        <v>1</v>
      </c>
      <c r="W81">
        <f>IF(ISNUMBER(SEARCH("PID", 'Form Responses 1'!G80)), -1, 0)</f>
        <v>0</v>
      </c>
      <c r="X81">
        <f t="shared" si="19"/>
        <v>1</v>
      </c>
      <c r="Y81" s="7">
        <f t="shared" si="20"/>
        <v>1</v>
      </c>
      <c r="Z81">
        <f>IF(ISNUMBER(SEARCH("16", 'Form Responses 1'!H80)), -1, 0)</f>
        <v>-1</v>
      </c>
      <c r="AA81">
        <f>IF(ISNUMBER(SEARCH("1.5", 'Form Responses 1'!H80)), 1, 0)</f>
        <v>0</v>
      </c>
      <c r="AB81">
        <f>IF(ISNUMBER(SEARCH("0.2", 'Form Responses 1'!H80)), -1, 0)</f>
        <v>0</v>
      </c>
      <c r="AC81">
        <f>IF(ISNUMBER(SEARCH("None", 'Form Responses 1'!H80)), -1, 0)</f>
        <v>0</v>
      </c>
      <c r="AD81">
        <f t="shared" si="21"/>
        <v>-1</v>
      </c>
      <c r="AE81" s="7">
        <f t="shared" si="22"/>
        <v>0</v>
      </c>
      <c r="AF81">
        <f>IF(ISNUMBER(SEARCH("Small", 'Form Responses 1'!I80)), -1, 0)</f>
        <v>0</v>
      </c>
      <c r="AG81">
        <f>IF(ISNUMBER(SEARCH("IMU", 'Form Responses 1'!I80)), 1, 0)</f>
        <v>1</v>
      </c>
      <c r="AH81">
        <f>IF(ISNUMBER(SEARCH("CAN", 'Form Responses 1'!I80)), 1, 0)</f>
        <v>1</v>
      </c>
      <c r="AI81">
        <f>IF(ISNUMBER(SEARCH("High", 'Form Responses 1'!I80)), -1, 0)</f>
        <v>0</v>
      </c>
      <c r="AJ81">
        <f>IF(ISNUMBER(SEARCH("Spoofing", 'Form Responses 1'!I80)), -1, 0)</f>
        <v>0</v>
      </c>
      <c r="AK81">
        <f t="shared" si="23"/>
        <v>4</v>
      </c>
      <c r="AL81" s="7">
        <f t="shared" si="24"/>
        <v>4</v>
      </c>
      <c r="AM81">
        <f>IF('Form Responses 1'!J80, 1, 0)</f>
        <v>1</v>
      </c>
      <c r="AN81" s="7">
        <f t="shared" si="25"/>
        <v>4</v>
      </c>
      <c r="AO81">
        <f>IF(ISNUMBER(SEARCH("Increase the integral gain", 'Form Responses 1'!K80)), 1, 0)</f>
        <v>0</v>
      </c>
      <c r="AP81">
        <f>IF(ISNUMBER(SEARCH("Increase the proportional gain", 'Form Responses 1'!K80)), 1, 0)</f>
        <v>0</v>
      </c>
      <c r="AQ81">
        <f>IF(ISNUMBER(SEARCH("increasing the integral gain", 'Form Responses 1'!K80)), 1, 0)</f>
        <v>0</v>
      </c>
      <c r="AR81">
        <f>IF(ISNUMBER(SEARCH("Decrease the proportional gain (Kp) and increase the derivative gain (Kd)", 'Form Responses 1'!K80)), 1, 0)</f>
        <v>1</v>
      </c>
      <c r="AS81">
        <f>IF(ISNUMBER(SEARCH("Decrease the proportional gain", 'Form Responses 1'!K80)), 1, 0)</f>
        <v>1</v>
      </c>
      <c r="AT81" s="7">
        <f t="shared" si="26"/>
        <v>2</v>
      </c>
      <c r="AU81">
        <f>IF(ISNUMBER(SEARCH("Measurement", 'Form Responses 1'!L80)), 1, 0)</f>
        <v>1</v>
      </c>
      <c r="AV81">
        <f>IF(ISNUMBER(SEARCH("All of the above",'Form Responses 1'!L80)),1,0)</f>
        <v>0</v>
      </c>
      <c r="AW81" s="7">
        <f t="shared" si="27"/>
        <v>4</v>
      </c>
      <c r="AX81">
        <f>IF(ISNUMBER(SEARCH("recorded sensor data to the controller", 'Form Responses 1'!M80)), 1, 0)</f>
        <v>0</v>
      </c>
      <c r="AY81">
        <f>IF(ISNUMBER(SEARCH("record sensor data from", 'Form Responses 1'!M80)), 1, 0)</f>
        <v>0</v>
      </c>
      <c r="AZ81">
        <f>IF(ISNUMBER(SEARCH("record actuator data from",'Form Responses 1'!M80)),1,0)</f>
        <v>0</v>
      </c>
      <c r="BA81">
        <f>IF(ISNUMBER(SEARCH("recorded actuator data to the controller", 'Form Responses 1'!M80)), 1, 0)</f>
        <v>0</v>
      </c>
      <c r="BB81" s="7">
        <f t="shared" si="28"/>
        <v>0</v>
      </c>
      <c r="BC81">
        <f>IF('Form Responses 1'!N80, 0, 1)</f>
        <v>1</v>
      </c>
      <c r="BD81" s="7">
        <f t="shared" si="29"/>
        <v>4</v>
      </c>
    </row>
    <row r="82" spans="1:56" x14ac:dyDescent="0.2">
      <c r="A82" s="4">
        <v>80</v>
      </c>
      <c r="B82">
        <f>IF(ISNUMBER(SEARCH("Line 4", 'Form Responses 1'!E81)), -1, 0)</f>
        <v>-1</v>
      </c>
      <c r="C82">
        <f>IF(ISNUMBER(SEARCH("Line 5", 'Form Responses 1'!E81)), -1, 0)</f>
        <v>0</v>
      </c>
      <c r="D82">
        <f>IF(ISNUMBER(SEARCH("Line 8", 'Form Responses 1'!E81)), 1, 0)</f>
        <v>0</v>
      </c>
      <c r="E82">
        <f>IF(ISNUMBER(SEARCH("Line 13", 'Form Responses 1'!E81)), 1, 0)</f>
        <v>0</v>
      </c>
      <c r="F82">
        <f>IF(ISNUMBER(SEARCH("Line 14", 'Form Responses 1'!E81)), -1, 0)</f>
        <v>0</v>
      </c>
      <c r="G82">
        <f>IF(ISNUMBER(SEARCH("Line 15", 'Form Responses 1'!E81)), 1, 0)</f>
        <v>1</v>
      </c>
      <c r="H82">
        <f>IF(ISNUMBER(SEARCH("Line 16", 'Form Responses 1'!E81)), -1, 0)</f>
        <v>0</v>
      </c>
      <c r="I82">
        <f>IF(ISNUMBER(SEARCH("Line 17", 'Form Responses 1'!E81)), 1, 0)</f>
        <v>1</v>
      </c>
      <c r="J82">
        <f>IF(ISNUMBER(SEARCH("Line 19", 'Form Responses 1'!E81)), 1, 0)</f>
        <v>0</v>
      </c>
      <c r="K82">
        <f t="shared" si="15"/>
        <v>1</v>
      </c>
      <c r="L82" s="8">
        <f t="shared" si="16"/>
        <v>1</v>
      </c>
      <c r="M82">
        <f>IF(ISNUMBER(SEARCH("Transmit data", 'Form Responses 1'!F81)), 1, 0)</f>
        <v>1</v>
      </c>
      <c r="N82">
        <f>IF(ISNUMBER(SEARCH("Alter", 'Form Responses 1'!F81)), -1, 0)</f>
        <v>0</v>
      </c>
      <c r="O82">
        <f>IF(ISNUMBER(SEARCH("Change", 'Form Responses 1'!F81)), -1, 0)</f>
        <v>0</v>
      </c>
      <c r="P82">
        <f>IF(ISNUMBER(SEARCH("Remove", 'Form Responses 1'!F81)), -1, 0)</f>
        <v>0</v>
      </c>
      <c r="Q82">
        <f>IF(ISNUMBER(SEARCH("unintelligible", 'Form Responses 1'!F81)), -1, 0)</f>
        <v>-1</v>
      </c>
      <c r="R82">
        <f t="shared" si="17"/>
        <v>3.25</v>
      </c>
      <c r="S82" s="7">
        <f t="shared" si="18"/>
        <v>3.25</v>
      </c>
      <c r="T82">
        <f>IF(ISNUMBER(SEARCH("sensors", 'Form Responses 1'!G81)), 1, 0)</f>
        <v>1</v>
      </c>
      <c r="U82">
        <f>IF(ISNUMBER(SEARCH("actuators", 'Form Responses 1'!G81)), -1, 0)</f>
        <v>-1</v>
      </c>
      <c r="V82">
        <f>IF(ISNUMBER(SEARCH("Switch", 'Form Responses 1'!G81)), 1, 0)</f>
        <v>1</v>
      </c>
      <c r="W82">
        <f>IF(ISNUMBER(SEARCH("PID", 'Form Responses 1'!G81)), -1, 0)</f>
        <v>-1</v>
      </c>
      <c r="X82">
        <f t="shared" si="19"/>
        <v>2</v>
      </c>
      <c r="Y82" s="7">
        <f t="shared" si="20"/>
        <v>2</v>
      </c>
      <c r="Z82">
        <f>IF(ISNUMBER(SEARCH("16", 'Form Responses 1'!H81)), -1, 0)</f>
        <v>-1</v>
      </c>
      <c r="AA82">
        <f>IF(ISNUMBER(SEARCH("1.5", 'Form Responses 1'!H81)), 1, 0)</f>
        <v>1</v>
      </c>
      <c r="AB82">
        <f>IF(ISNUMBER(SEARCH("0.2", 'Form Responses 1'!H81)), -1, 0)</f>
        <v>0</v>
      </c>
      <c r="AC82">
        <f>IF(ISNUMBER(SEARCH("None", 'Form Responses 1'!H81)), -1, 0)</f>
        <v>0</v>
      </c>
      <c r="AD82">
        <f t="shared" si="21"/>
        <v>3</v>
      </c>
      <c r="AE82" s="7">
        <f t="shared" si="22"/>
        <v>3</v>
      </c>
      <c r="AF82">
        <f>IF(ISNUMBER(SEARCH("Small", 'Form Responses 1'!I81)), -1, 0)</f>
        <v>0</v>
      </c>
      <c r="AG82">
        <f>IF(ISNUMBER(SEARCH("IMU", 'Form Responses 1'!I81)), 1, 0)</f>
        <v>1</v>
      </c>
      <c r="AH82">
        <f>IF(ISNUMBER(SEARCH("CAN", 'Form Responses 1'!I81)), 1, 0)</f>
        <v>1</v>
      </c>
      <c r="AI82">
        <f>IF(ISNUMBER(SEARCH("High", 'Form Responses 1'!I81)), -1, 0)</f>
        <v>0</v>
      </c>
      <c r="AJ82">
        <f>IF(ISNUMBER(SEARCH("Spoofing", 'Form Responses 1'!I81)), -1, 0)</f>
        <v>0</v>
      </c>
      <c r="AK82">
        <f t="shared" si="23"/>
        <v>4</v>
      </c>
      <c r="AL82" s="7">
        <f t="shared" si="24"/>
        <v>4</v>
      </c>
      <c r="AM82">
        <f>IF('Form Responses 1'!J81, 1, 0)</f>
        <v>1</v>
      </c>
      <c r="AN82" s="7">
        <f t="shared" si="25"/>
        <v>4</v>
      </c>
      <c r="AO82">
        <f>IF(ISNUMBER(SEARCH("Increase the integral gain", 'Form Responses 1'!K81)), 1, 0)</f>
        <v>1</v>
      </c>
      <c r="AP82">
        <f>IF(ISNUMBER(SEARCH("Increase the proportional gain", 'Form Responses 1'!K81)), 1, 0)</f>
        <v>0</v>
      </c>
      <c r="AQ82">
        <f>IF(ISNUMBER(SEARCH("increasing the integral gain", 'Form Responses 1'!K81)), 1, 0)</f>
        <v>0</v>
      </c>
      <c r="AR82">
        <f>IF(ISNUMBER(SEARCH("Decrease the proportional gain (Kp) and increase the derivative gain (Kd)", 'Form Responses 1'!K81)), 1, 0)</f>
        <v>0</v>
      </c>
      <c r="AS82">
        <f>IF(ISNUMBER(SEARCH("Decrease the proportional gain", 'Form Responses 1'!K81)), 1, 0)</f>
        <v>0</v>
      </c>
      <c r="AT82" s="7">
        <f t="shared" si="26"/>
        <v>4</v>
      </c>
      <c r="AU82">
        <f>IF(ISNUMBER(SEARCH("Measurement", 'Form Responses 1'!L81)), 1, 0)</f>
        <v>1</v>
      </c>
      <c r="AV82">
        <f>IF(ISNUMBER(SEARCH("All of the above",'Form Responses 1'!L81)),1,0)</f>
        <v>0</v>
      </c>
      <c r="AW82" s="7">
        <f t="shared" si="27"/>
        <v>4</v>
      </c>
      <c r="AX82">
        <f>IF(ISNUMBER(SEARCH("recorded sensor data to the controller", 'Form Responses 1'!M81)), 1, 0)</f>
        <v>0</v>
      </c>
      <c r="AY82">
        <f>IF(ISNUMBER(SEARCH("record sensor data from", 'Form Responses 1'!M81)), 1, 0)</f>
        <v>0</v>
      </c>
      <c r="AZ82">
        <f>IF(ISNUMBER(SEARCH("record actuator data from",'Form Responses 1'!M81)),1,0)</f>
        <v>0</v>
      </c>
      <c r="BA82">
        <f>IF(ISNUMBER(SEARCH("recorded actuator data to the controller", 'Form Responses 1'!M81)), 1, 0)</f>
        <v>1</v>
      </c>
      <c r="BB82" s="7">
        <f t="shared" si="28"/>
        <v>0</v>
      </c>
      <c r="BC82">
        <f>IF('Form Responses 1'!N81, 0, 1)</f>
        <v>1</v>
      </c>
      <c r="BD82" s="7">
        <f t="shared" si="29"/>
        <v>4</v>
      </c>
    </row>
    <row r="83" spans="1:56" x14ac:dyDescent="0.2">
      <c r="A83" s="4">
        <v>81</v>
      </c>
      <c r="B83">
        <f>IF(ISNUMBER(SEARCH("Line 4", 'Form Responses 1'!E82)), -1, 0)</f>
        <v>0</v>
      </c>
      <c r="C83">
        <f>IF(ISNUMBER(SEARCH("Line 5", 'Form Responses 1'!E82)), -1, 0)</f>
        <v>0</v>
      </c>
      <c r="D83">
        <f>IF(ISNUMBER(SEARCH("Line 8", 'Form Responses 1'!E82)), 1, 0)</f>
        <v>0</v>
      </c>
      <c r="E83">
        <f>IF(ISNUMBER(SEARCH("Line 13", 'Form Responses 1'!E82)), 1, 0)</f>
        <v>0</v>
      </c>
      <c r="F83">
        <f>IF(ISNUMBER(SEARCH("Line 14", 'Form Responses 1'!E82)), -1, 0)</f>
        <v>0</v>
      </c>
      <c r="G83">
        <f>IF(ISNUMBER(SEARCH("Line 15", 'Form Responses 1'!E82)), 1, 0)</f>
        <v>0</v>
      </c>
      <c r="H83">
        <f>IF(ISNUMBER(SEARCH("Line 16", 'Form Responses 1'!E82)), -1, 0)</f>
        <v>0</v>
      </c>
      <c r="I83">
        <f>IF(ISNUMBER(SEARCH("Line 17", 'Form Responses 1'!E82)), 1, 0)</f>
        <v>1</v>
      </c>
      <c r="J83">
        <f>IF(ISNUMBER(SEARCH("Line 19", 'Form Responses 1'!E82)), 1, 0)</f>
        <v>0</v>
      </c>
      <c r="K83">
        <f t="shared" si="15"/>
        <v>1</v>
      </c>
      <c r="L83" s="8">
        <f t="shared" si="16"/>
        <v>1</v>
      </c>
      <c r="M83">
        <f>IF(ISNUMBER(SEARCH("Transmit data", 'Form Responses 1'!F82)), 1, 0)</f>
        <v>1</v>
      </c>
      <c r="N83">
        <f>IF(ISNUMBER(SEARCH("Alter", 'Form Responses 1'!F82)), -1, 0)</f>
        <v>-1</v>
      </c>
      <c r="O83">
        <f>IF(ISNUMBER(SEARCH("Change", 'Form Responses 1'!F82)), -1, 0)</f>
        <v>0</v>
      </c>
      <c r="P83">
        <f>IF(ISNUMBER(SEARCH("Remove", 'Form Responses 1'!F82)), -1, 0)</f>
        <v>0</v>
      </c>
      <c r="Q83">
        <f>IF(ISNUMBER(SEARCH("unintelligible", 'Form Responses 1'!F82)), -1, 0)</f>
        <v>-1</v>
      </c>
      <c r="R83">
        <f t="shared" si="17"/>
        <v>2.5</v>
      </c>
      <c r="S83" s="7">
        <f t="shared" si="18"/>
        <v>2.5</v>
      </c>
      <c r="T83">
        <f>IF(ISNUMBER(SEARCH("sensors", 'Form Responses 1'!G82)), 1, 0)</f>
        <v>1</v>
      </c>
      <c r="U83">
        <f>IF(ISNUMBER(SEARCH("actuators", 'Form Responses 1'!G82)), -1, 0)</f>
        <v>0</v>
      </c>
      <c r="V83">
        <f>IF(ISNUMBER(SEARCH("Switch", 'Form Responses 1'!G82)), 1, 0)</f>
        <v>0</v>
      </c>
      <c r="W83">
        <f>IF(ISNUMBER(SEARCH("PID", 'Form Responses 1'!G82)), -1, 0)</f>
        <v>-1</v>
      </c>
      <c r="X83">
        <f t="shared" si="19"/>
        <v>1</v>
      </c>
      <c r="Y83" s="7">
        <f t="shared" si="20"/>
        <v>1</v>
      </c>
      <c r="Z83">
        <f>IF(ISNUMBER(SEARCH("16", 'Form Responses 1'!H82)), -1, 0)</f>
        <v>0</v>
      </c>
      <c r="AA83">
        <f>IF(ISNUMBER(SEARCH("1.5", 'Form Responses 1'!H82)), 1, 0)</f>
        <v>0</v>
      </c>
      <c r="AB83">
        <f>IF(ISNUMBER(SEARCH("0.2", 'Form Responses 1'!H82)), -1, 0)</f>
        <v>0</v>
      </c>
      <c r="AC83">
        <f>IF(ISNUMBER(SEARCH("None", 'Form Responses 1'!H82)), -1, 0)</f>
        <v>-1</v>
      </c>
      <c r="AD83">
        <f t="shared" si="21"/>
        <v>2</v>
      </c>
      <c r="AE83" s="7">
        <f t="shared" si="22"/>
        <v>2</v>
      </c>
      <c r="AF83">
        <f>IF(ISNUMBER(SEARCH("Small", 'Form Responses 1'!I82)), -1, 0)</f>
        <v>-1</v>
      </c>
      <c r="AG83">
        <f>IF(ISNUMBER(SEARCH("IMU", 'Form Responses 1'!I82)), 1, 0)</f>
        <v>1</v>
      </c>
      <c r="AH83">
        <f>IF(ISNUMBER(SEARCH("CAN", 'Form Responses 1'!I82)), 1, 0)</f>
        <v>1</v>
      </c>
      <c r="AI83">
        <f>IF(ISNUMBER(SEARCH("High", 'Form Responses 1'!I82)), -1, 0)</f>
        <v>-1</v>
      </c>
      <c r="AJ83">
        <f>IF(ISNUMBER(SEARCH("Spoofing", 'Form Responses 1'!I82)), -1, 0)</f>
        <v>0</v>
      </c>
      <c r="AK83">
        <f t="shared" si="23"/>
        <v>4</v>
      </c>
      <c r="AL83" s="7">
        <f t="shared" si="24"/>
        <v>4</v>
      </c>
      <c r="AM83">
        <f>IF('Form Responses 1'!J82, 1, 0)</f>
        <v>1</v>
      </c>
      <c r="AN83" s="7">
        <f t="shared" si="25"/>
        <v>4</v>
      </c>
      <c r="AO83">
        <f>IF(ISNUMBER(SEARCH("Increase the integral gain", 'Form Responses 1'!K82)), 1, 0)</f>
        <v>0</v>
      </c>
      <c r="AP83">
        <f>IF(ISNUMBER(SEARCH("Increase the proportional gain", 'Form Responses 1'!K82)), 1, 0)</f>
        <v>0</v>
      </c>
      <c r="AQ83">
        <f>IF(ISNUMBER(SEARCH("increasing the integral gain", 'Form Responses 1'!K82)), 1, 0)</f>
        <v>0</v>
      </c>
      <c r="AR83">
        <f>IF(ISNUMBER(SEARCH("Decrease the proportional gain (Kp) and increase the derivative gain (Kd)", 'Form Responses 1'!K82)), 1, 0)</f>
        <v>1</v>
      </c>
      <c r="AS83">
        <f>IF(ISNUMBER(SEARCH("Decrease the proportional gain", 'Form Responses 1'!K82)), 1, 0)</f>
        <v>1</v>
      </c>
      <c r="AT83" s="7">
        <f t="shared" si="26"/>
        <v>2</v>
      </c>
      <c r="AU83">
        <f>IF(ISNUMBER(SEARCH("Measurement", 'Form Responses 1'!L82)), 1, 0)</f>
        <v>0</v>
      </c>
      <c r="AV83">
        <f>IF(ISNUMBER(SEARCH("All of the above",'Form Responses 1'!L82)),1,0)</f>
        <v>0</v>
      </c>
      <c r="AW83" s="7">
        <f t="shared" si="27"/>
        <v>0</v>
      </c>
      <c r="AX83">
        <f>IF(ISNUMBER(SEARCH("recorded sensor data to the controller", 'Form Responses 1'!M82)), 1, 0)</f>
        <v>1</v>
      </c>
      <c r="AY83">
        <f>IF(ISNUMBER(SEARCH("record sensor data from", 'Form Responses 1'!M82)), 1, 0)</f>
        <v>0</v>
      </c>
      <c r="AZ83">
        <f>IF(ISNUMBER(SEARCH("record actuator data from",'Form Responses 1'!M82)),1,0)</f>
        <v>0</v>
      </c>
      <c r="BA83">
        <f>IF(ISNUMBER(SEARCH("recorded actuator data to the controller", 'Form Responses 1'!M82)), 1, 0)</f>
        <v>0</v>
      </c>
      <c r="BB83" s="7">
        <f t="shared" si="28"/>
        <v>4</v>
      </c>
      <c r="BC83">
        <f>IF('Form Responses 1'!N82, 0, 1)</f>
        <v>1</v>
      </c>
      <c r="BD83" s="7">
        <f t="shared" si="29"/>
        <v>4</v>
      </c>
    </row>
    <row r="84" spans="1:56" x14ac:dyDescent="0.2">
      <c r="A84" s="4">
        <v>82</v>
      </c>
      <c r="B84">
        <f>IF(ISNUMBER(SEARCH("Line 4", 'Form Responses 1'!E83)), -1, 0)</f>
        <v>0</v>
      </c>
      <c r="C84">
        <f>IF(ISNUMBER(SEARCH("Line 5", 'Form Responses 1'!E83)), -1, 0)</f>
        <v>-1</v>
      </c>
      <c r="D84">
        <f>IF(ISNUMBER(SEARCH("Line 8", 'Form Responses 1'!E83)), 1, 0)</f>
        <v>1</v>
      </c>
      <c r="E84">
        <f>IF(ISNUMBER(SEARCH("Line 13", 'Form Responses 1'!E83)), 1, 0)</f>
        <v>0</v>
      </c>
      <c r="F84">
        <f>IF(ISNUMBER(SEARCH("Line 14", 'Form Responses 1'!E83)), -1, 0)</f>
        <v>0</v>
      </c>
      <c r="G84">
        <f>IF(ISNUMBER(SEARCH("Line 15", 'Form Responses 1'!E83)), 1, 0)</f>
        <v>0</v>
      </c>
      <c r="H84">
        <f>IF(ISNUMBER(SEARCH("Line 16", 'Form Responses 1'!E83)), -1, 0)</f>
        <v>0</v>
      </c>
      <c r="I84">
        <f>IF(ISNUMBER(SEARCH("Line 17", 'Form Responses 1'!E83)), 1, 0)</f>
        <v>0</v>
      </c>
      <c r="J84">
        <f>IF(ISNUMBER(SEARCH("Line 19", 'Form Responses 1'!E83)), 1, 0)</f>
        <v>1</v>
      </c>
      <c r="K84">
        <f t="shared" si="15"/>
        <v>1</v>
      </c>
      <c r="L84" s="8">
        <f t="shared" si="16"/>
        <v>2</v>
      </c>
      <c r="M84">
        <f>IF(ISNUMBER(SEARCH("Transmit data", 'Form Responses 1'!F83)), 1, 0)</f>
        <v>1</v>
      </c>
      <c r="N84">
        <f>IF(ISNUMBER(SEARCH("Alter", 'Form Responses 1'!F83)), -1, 0)</f>
        <v>0</v>
      </c>
      <c r="O84">
        <f>IF(ISNUMBER(SEARCH("Change", 'Form Responses 1'!F83)), -1, 0)</f>
        <v>0</v>
      </c>
      <c r="P84">
        <f>IF(ISNUMBER(SEARCH("Remove", 'Form Responses 1'!F83)), -1, 0)</f>
        <v>-1</v>
      </c>
      <c r="Q84">
        <f>IF(ISNUMBER(SEARCH("unintelligible", 'Form Responses 1'!F83)), -1, 0)</f>
        <v>-1</v>
      </c>
      <c r="R84">
        <f t="shared" si="17"/>
        <v>2.5</v>
      </c>
      <c r="S84" s="7">
        <f t="shared" si="18"/>
        <v>2.5</v>
      </c>
      <c r="T84">
        <f>IF(ISNUMBER(SEARCH("sensors", 'Form Responses 1'!G83)), 1, 0)</f>
        <v>1</v>
      </c>
      <c r="U84">
        <f>IF(ISNUMBER(SEARCH("actuators", 'Form Responses 1'!G83)), -1, 0)</f>
        <v>0</v>
      </c>
      <c r="V84">
        <f>IF(ISNUMBER(SEARCH("Switch", 'Form Responses 1'!G83)), 1, 0)</f>
        <v>0</v>
      </c>
      <c r="W84">
        <f>IF(ISNUMBER(SEARCH("PID", 'Form Responses 1'!G83)), -1, 0)</f>
        <v>0</v>
      </c>
      <c r="X84">
        <f t="shared" si="19"/>
        <v>2</v>
      </c>
      <c r="Y84" s="7">
        <f t="shared" si="20"/>
        <v>2</v>
      </c>
      <c r="Z84">
        <f>IF(ISNUMBER(SEARCH("16", 'Form Responses 1'!H83)), -1, 0)</f>
        <v>0</v>
      </c>
      <c r="AA84">
        <f>IF(ISNUMBER(SEARCH("1.5", 'Form Responses 1'!H83)), 1, 0)</f>
        <v>1</v>
      </c>
      <c r="AB84">
        <f>IF(ISNUMBER(SEARCH("0.2", 'Form Responses 1'!H83)), -1, 0)</f>
        <v>0</v>
      </c>
      <c r="AC84">
        <f>IF(ISNUMBER(SEARCH("None", 'Form Responses 1'!H83)), -1, 0)</f>
        <v>0</v>
      </c>
      <c r="AD84">
        <f t="shared" si="21"/>
        <v>4</v>
      </c>
      <c r="AE84" s="7">
        <f t="shared" si="22"/>
        <v>4</v>
      </c>
      <c r="AF84">
        <f>IF(ISNUMBER(SEARCH("Small", 'Form Responses 1'!I83)), -1, 0)</f>
        <v>-1</v>
      </c>
      <c r="AG84">
        <f>IF(ISNUMBER(SEARCH("IMU", 'Form Responses 1'!I83)), 1, 0)</f>
        <v>1</v>
      </c>
      <c r="AH84">
        <f>IF(ISNUMBER(SEARCH("CAN", 'Form Responses 1'!I83)), 1, 0)</f>
        <v>1</v>
      </c>
      <c r="AI84">
        <f>IF(ISNUMBER(SEARCH("High", 'Form Responses 1'!I83)), -1, 0)</f>
        <v>0</v>
      </c>
      <c r="AJ84">
        <f>IF(ISNUMBER(SEARCH("Spoofing", 'Form Responses 1'!I83)), -1, 0)</f>
        <v>0</v>
      </c>
      <c r="AK84">
        <f t="shared" si="23"/>
        <v>5</v>
      </c>
      <c r="AL84" s="7">
        <f t="shared" si="24"/>
        <v>4</v>
      </c>
      <c r="AM84">
        <f>IF('Form Responses 1'!J83, 1, 0)</f>
        <v>1</v>
      </c>
      <c r="AN84" s="7">
        <f t="shared" si="25"/>
        <v>4</v>
      </c>
      <c r="AO84">
        <f>IF(ISNUMBER(SEARCH("Increase the integral gain", 'Form Responses 1'!K83)), 1, 0)</f>
        <v>1</v>
      </c>
      <c r="AP84">
        <f>IF(ISNUMBER(SEARCH("Increase the proportional gain", 'Form Responses 1'!K83)), 1, 0)</f>
        <v>0</v>
      </c>
      <c r="AQ84">
        <f>IF(ISNUMBER(SEARCH("increasing the integral gain", 'Form Responses 1'!K83)), 1, 0)</f>
        <v>0</v>
      </c>
      <c r="AR84">
        <f>IF(ISNUMBER(SEARCH("Decrease the proportional gain (Kp) and increase the derivative gain (Kd)", 'Form Responses 1'!K83)), 1, 0)</f>
        <v>0</v>
      </c>
      <c r="AS84">
        <f>IF(ISNUMBER(SEARCH("Decrease the proportional gain", 'Form Responses 1'!K83)), 1, 0)</f>
        <v>0</v>
      </c>
      <c r="AT84" s="7">
        <f t="shared" si="26"/>
        <v>4</v>
      </c>
      <c r="AU84">
        <f>IF(ISNUMBER(SEARCH("Measurement", 'Form Responses 1'!L83)), 1, 0)</f>
        <v>0</v>
      </c>
      <c r="AV84">
        <f>IF(ISNUMBER(SEARCH("All of the above",'Form Responses 1'!L83)),1,0)</f>
        <v>0</v>
      </c>
      <c r="AW84" s="7">
        <f t="shared" si="27"/>
        <v>0</v>
      </c>
      <c r="AX84">
        <f>IF(ISNUMBER(SEARCH("recorded sensor data to the controller", 'Form Responses 1'!M83)), 1, 0)</f>
        <v>1</v>
      </c>
      <c r="AY84">
        <f>IF(ISNUMBER(SEARCH("record sensor data from", 'Form Responses 1'!M83)), 1, 0)</f>
        <v>0</v>
      </c>
      <c r="AZ84">
        <f>IF(ISNUMBER(SEARCH("record actuator data from",'Form Responses 1'!M83)),1,0)</f>
        <v>0</v>
      </c>
      <c r="BA84">
        <f>IF(ISNUMBER(SEARCH("recorded actuator data to the controller", 'Form Responses 1'!M83)), 1, 0)</f>
        <v>0</v>
      </c>
      <c r="BB84" s="7">
        <f t="shared" si="28"/>
        <v>4</v>
      </c>
      <c r="BC84">
        <f>IF('Form Responses 1'!N83, 0, 1)</f>
        <v>1</v>
      </c>
      <c r="BD84" s="7">
        <f t="shared" si="29"/>
        <v>4</v>
      </c>
    </row>
    <row r="85" spans="1:56" x14ac:dyDescent="0.2">
      <c r="A85" s="4">
        <v>83</v>
      </c>
      <c r="B85">
        <f>IF(ISNUMBER(SEARCH("Line 4", 'Form Responses 1'!E84)), -1, 0)</f>
        <v>0</v>
      </c>
      <c r="C85">
        <f>IF(ISNUMBER(SEARCH("Line 5", 'Form Responses 1'!E84)), -1, 0)</f>
        <v>0</v>
      </c>
      <c r="D85">
        <f>IF(ISNUMBER(SEARCH("Line 8", 'Form Responses 1'!E84)), 1, 0)</f>
        <v>0</v>
      </c>
      <c r="E85">
        <f>IF(ISNUMBER(SEARCH("Line 13", 'Form Responses 1'!E84)), 1, 0)</f>
        <v>1</v>
      </c>
      <c r="F85">
        <f>IF(ISNUMBER(SEARCH("Line 14", 'Form Responses 1'!E84)), -1, 0)</f>
        <v>-1</v>
      </c>
      <c r="G85">
        <f>IF(ISNUMBER(SEARCH("Line 15", 'Form Responses 1'!E84)), 1, 0)</f>
        <v>0</v>
      </c>
      <c r="H85">
        <f>IF(ISNUMBER(SEARCH("Line 16", 'Form Responses 1'!E84)), -1, 0)</f>
        <v>0</v>
      </c>
      <c r="I85">
        <f>IF(ISNUMBER(SEARCH("Line 17", 'Form Responses 1'!E84)), 1, 0)</f>
        <v>0</v>
      </c>
      <c r="J85">
        <f>IF(ISNUMBER(SEARCH("Line 19", 'Form Responses 1'!E84)), 1, 0)</f>
        <v>1</v>
      </c>
      <c r="K85">
        <f t="shared" si="15"/>
        <v>1</v>
      </c>
      <c r="L85" s="8">
        <f t="shared" si="16"/>
        <v>3</v>
      </c>
      <c r="M85">
        <f>IF(ISNUMBER(SEARCH("Transmit data", 'Form Responses 1'!F84)), 1, 0)</f>
        <v>1</v>
      </c>
      <c r="N85">
        <f>IF(ISNUMBER(SEARCH("Alter", 'Form Responses 1'!F84)), -1, 0)</f>
        <v>0</v>
      </c>
      <c r="O85">
        <f>IF(ISNUMBER(SEARCH("Change", 'Form Responses 1'!F84)), -1, 0)</f>
        <v>-1</v>
      </c>
      <c r="P85">
        <f>IF(ISNUMBER(SEARCH("Remove", 'Form Responses 1'!F84)), -1, 0)</f>
        <v>0</v>
      </c>
      <c r="Q85">
        <f>IF(ISNUMBER(SEARCH("unintelligible", 'Form Responses 1'!F84)), -1, 0)</f>
        <v>-1</v>
      </c>
      <c r="R85">
        <f t="shared" si="17"/>
        <v>2.5</v>
      </c>
      <c r="S85" s="7">
        <f t="shared" si="18"/>
        <v>2.5</v>
      </c>
      <c r="T85">
        <f>IF(ISNUMBER(SEARCH("sensors", 'Form Responses 1'!G84)), 1, 0)</f>
        <v>1</v>
      </c>
      <c r="U85">
        <f>IF(ISNUMBER(SEARCH("actuators", 'Form Responses 1'!G84)), -1, 0)</f>
        <v>0</v>
      </c>
      <c r="V85">
        <f>IF(ISNUMBER(SEARCH("Switch", 'Form Responses 1'!G84)), 1, 0)</f>
        <v>0</v>
      </c>
      <c r="W85">
        <f>IF(ISNUMBER(SEARCH("PID", 'Form Responses 1'!G84)), -1, 0)</f>
        <v>0</v>
      </c>
      <c r="X85">
        <f t="shared" si="19"/>
        <v>2</v>
      </c>
      <c r="Y85" s="7">
        <f t="shared" si="20"/>
        <v>2</v>
      </c>
      <c r="Z85">
        <f>IF(ISNUMBER(SEARCH("16", 'Form Responses 1'!H84)), -1, 0)</f>
        <v>0</v>
      </c>
      <c r="AA85">
        <f>IF(ISNUMBER(SEARCH("1.5", 'Form Responses 1'!H84)), 1, 0)</f>
        <v>0</v>
      </c>
      <c r="AB85">
        <f>IF(ISNUMBER(SEARCH("0.2", 'Form Responses 1'!H84)), -1, 0)</f>
        <v>0</v>
      </c>
      <c r="AC85">
        <f>IF(ISNUMBER(SEARCH("None", 'Form Responses 1'!H84)), -1, 0)</f>
        <v>-1</v>
      </c>
      <c r="AD85">
        <f t="shared" si="21"/>
        <v>2</v>
      </c>
      <c r="AE85" s="7">
        <f t="shared" si="22"/>
        <v>2</v>
      </c>
      <c r="AF85">
        <f>IF(ISNUMBER(SEARCH("Small", 'Form Responses 1'!I84)), -1, 0)</f>
        <v>-1</v>
      </c>
      <c r="AG85">
        <f>IF(ISNUMBER(SEARCH("IMU", 'Form Responses 1'!I84)), 1, 0)</f>
        <v>0</v>
      </c>
      <c r="AH85">
        <f>IF(ISNUMBER(SEARCH("CAN", 'Form Responses 1'!I84)), 1, 0)</f>
        <v>1</v>
      </c>
      <c r="AI85">
        <f>IF(ISNUMBER(SEARCH("High", 'Form Responses 1'!I84)), -1, 0)</f>
        <v>0</v>
      </c>
      <c r="AJ85">
        <f>IF(ISNUMBER(SEARCH("Spoofing", 'Form Responses 1'!I84)), -1, 0)</f>
        <v>0</v>
      </c>
      <c r="AK85">
        <f t="shared" si="23"/>
        <v>3</v>
      </c>
      <c r="AL85" s="7">
        <f t="shared" si="24"/>
        <v>3</v>
      </c>
      <c r="AM85">
        <f>IF('Form Responses 1'!J84, 1, 0)</f>
        <v>1</v>
      </c>
      <c r="AN85" s="7">
        <f t="shared" si="25"/>
        <v>4</v>
      </c>
      <c r="AO85">
        <f>IF(ISNUMBER(SEARCH("Increase the integral gain", 'Form Responses 1'!K84)), 1, 0)</f>
        <v>0</v>
      </c>
      <c r="AP85">
        <f>IF(ISNUMBER(SEARCH("Increase the proportional gain", 'Form Responses 1'!K84)), 1, 0)</f>
        <v>1</v>
      </c>
      <c r="AQ85">
        <f>IF(ISNUMBER(SEARCH("increasing the integral gain", 'Form Responses 1'!K84)), 1, 0)</f>
        <v>1</v>
      </c>
      <c r="AR85">
        <f>IF(ISNUMBER(SEARCH("Decrease the proportional gain (Kp) and increase the derivative gain (Kd)", 'Form Responses 1'!K84)), 1, 0)</f>
        <v>0</v>
      </c>
      <c r="AS85">
        <f>IF(ISNUMBER(SEARCH("Decrease the proportional gain", 'Form Responses 1'!K84)), 1, 0)</f>
        <v>0</v>
      </c>
      <c r="AT85" s="7">
        <f t="shared" si="26"/>
        <v>2.2999999999999998</v>
      </c>
      <c r="AU85">
        <f>IF(ISNUMBER(SEARCH("Measurement", 'Form Responses 1'!L84)), 1, 0)</f>
        <v>0</v>
      </c>
      <c r="AV85">
        <f>IF(ISNUMBER(SEARCH("All of the above",'Form Responses 1'!L84)),1,0)</f>
        <v>1</v>
      </c>
      <c r="AW85" s="7">
        <f t="shared" si="27"/>
        <v>2</v>
      </c>
      <c r="AX85">
        <f>IF(ISNUMBER(SEARCH("recorded sensor data to the controller", 'Form Responses 1'!M84)), 1, 0)</f>
        <v>0</v>
      </c>
      <c r="AY85">
        <f>IF(ISNUMBER(SEARCH("record sensor data from", 'Form Responses 1'!M84)), 1, 0)</f>
        <v>1</v>
      </c>
      <c r="AZ85">
        <f>IF(ISNUMBER(SEARCH("record actuator data from",'Form Responses 1'!M84)),1,0)</f>
        <v>0</v>
      </c>
      <c r="BA85">
        <f>IF(ISNUMBER(SEARCH("recorded actuator data to the controller", 'Form Responses 1'!M84)), 1, 0)</f>
        <v>0</v>
      </c>
      <c r="BB85" s="7">
        <f t="shared" si="28"/>
        <v>2</v>
      </c>
      <c r="BC85">
        <f>IF('Form Responses 1'!N84, 0, 1)</f>
        <v>0</v>
      </c>
      <c r="BD85" s="7">
        <f t="shared" si="29"/>
        <v>0</v>
      </c>
    </row>
    <row r="86" spans="1:56" x14ac:dyDescent="0.2">
      <c r="A86" s="4">
        <v>84</v>
      </c>
      <c r="B86">
        <f>IF(ISNUMBER(SEARCH("Line 4", 'Form Responses 1'!E85)), -1, 0)</f>
        <v>-1</v>
      </c>
      <c r="C86">
        <f>IF(ISNUMBER(SEARCH("Line 5", 'Form Responses 1'!E85)), -1, 0)</f>
        <v>0</v>
      </c>
      <c r="D86">
        <f>IF(ISNUMBER(SEARCH("Line 8", 'Form Responses 1'!E85)), 1, 0)</f>
        <v>0</v>
      </c>
      <c r="E86">
        <f>IF(ISNUMBER(SEARCH("Line 13", 'Form Responses 1'!E85)), 1, 0)</f>
        <v>0</v>
      </c>
      <c r="F86">
        <f>IF(ISNUMBER(SEARCH("Line 14", 'Form Responses 1'!E85)), -1, 0)</f>
        <v>0</v>
      </c>
      <c r="G86">
        <f>IF(ISNUMBER(SEARCH("Line 15", 'Form Responses 1'!E85)), 1, 0)</f>
        <v>1</v>
      </c>
      <c r="H86">
        <f>IF(ISNUMBER(SEARCH("Line 16", 'Form Responses 1'!E85)), -1, 0)</f>
        <v>0</v>
      </c>
      <c r="I86">
        <f>IF(ISNUMBER(SEARCH("Line 17", 'Form Responses 1'!E85)), 1, 0)</f>
        <v>1</v>
      </c>
      <c r="J86">
        <f>IF(ISNUMBER(SEARCH("Line 19", 'Form Responses 1'!E85)), 1, 0)</f>
        <v>0</v>
      </c>
      <c r="K86">
        <f t="shared" si="15"/>
        <v>1</v>
      </c>
      <c r="L86" s="8">
        <f t="shared" si="16"/>
        <v>1</v>
      </c>
      <c r="M86">
        <f>IF(ISNUMBER(SEARCH("Transmit data", 'Form Responses 1'!F85)), 1, 0)</f>
        <v>1</v>
      </c>
      <c r="N86">
        <f>IF(ISNUMBER(SEARCH("Alter", 'Form Responses 1'!F85)), -1, 0)</f>
        <v>-1</v>
      </c>
      <c r="O86">
        <f>IF(ISNUMBER(SEARCH("Change", 'Form Responses 1'!F85)), -1, 0)</f>
        <v>0</v>
      </c>
      <c r="P86">
        <f>IF(ISNUMBER(SEARCH("Remove", 'Form Responses 1'!F85)), -1, 0)</f>
        <v>0</v>
      </c>
      <c r="Q86">
        <f>IF(ISNUMBER(SEARCH("unintelligible", 'Form Responses 1'!F85)), -1, 0)</f>
        <v>0</v>
      </c>
      <c r="R86">
        <f t="shared" si="17"/>
        <v>3.25</v>
      </c>
      <c r="S86" s="7">
        <f t="shared" si="18"/>
        <v>3.25</v>
      </c>
      <c r="T86">
        <f>IF(ISNUMBER(SEARCH("sensors", 'Form Responses 1'!G85)), 1, 0)</f>
        <v>1</v>
      </c>
      <c r="U86">
        <f>IF(ISNUMBER(SEARCH("actuators", 'Form Responses 1'!G85)), -1, 0)</f>
        <v>0</v>
      </c>
      <c r="V86">
        <f>IF(ISNUMBER(SEARCH("Switch", 'Form Responses 1'!G85)), 1, 0)</f>
        <v>0</v>
      </c>
      <c r="W86">
        <f>IF(ISNUMBER(SEARCH("PID", 'Form Responses 1'!G85)), -1, 0)</f>
        <v>0</v>
      </c>
      <c r="X86">
        <f t="shared" si="19"/>
        <v>2</v>
      </c>
      <c r="Y86" s="7">
        <f t="shared" si="20"/>
        <v>2</v>
      </c>
      <c r="Z86">
        <f>IF(ISNUMBER(SEARCH("16", 'Form Responses 1'!H85)), -1, 0)</f>
        <v>-1</v>
      </c>
      <c r="AA86">
        <f>IF(ISNUMBER(SEARCH("1.5", 'Form Responses 1'!H85)), 1, 0)</f>
        <v>1</v>
      </c>
      <c r="AB86">
        <f>IF(ISNUMBER(SEARCH("0.2", 'Form Responses 1'!H85)), -1, 0)</f>
        <v>0</v>
      </c>
      <c r="AC86">
        <f>IF(ISNUMBER(SEARCH("None", 'Form Responses 1'!H85)), -1, 0)</f>
        <v>0</v>
      </c>
      <c r="AD86">
        <f t="shared" si="21"/>
        <v>3</v>
      </c>
      <c r="AE86" s="7">
        <f t="shared" si="22"/>
        <v>3</v>
      </c>
      <c r="AF86">
        <f>IF(ISNUMBER(SEARCH("Small", 'Form Responses 1'!I85)), -1, 0)</f>
        <v>-1</v>
      </c>
      <c r="AG86">
        <f>IF(ISNUMBER(SEARCH("IMU", 'Form Responses 1'!I85)), 1, 0)</f>
        <v>1</v>
      </c>
      <c r="AH86">
        <f>IF(ISNUMBER(SEARCH("CAN", 'Form Responses 1'!I85)), 1, 0)</f>
        <v>0</v>
      </c>
      <c r="AI86">
        <f>IF(ISNUMBER(SEARCH("High", 'Form Responses 1'!I85)), -1, 0)</f>
        <v>0</v>
      </c>
      <c r="AJ86">
        <f>IF(ISNUMBER(SEARCH("Spoofing", 'Form Responses 1'!I85)), -1, 0)</f>
        <v>0</v>
      </c>
      <c r="AK86">
        <f t="shared" si="23"/>
        <v>3</v>
      </c>
      <c r="AL86" s="7">
        <f t="shared" si="24"/>
        <v>3</v>
      </c>
      <c r="AM86">
        <f>IF('Form Responses 1'!J85, 1, 0)</f>
        <v>1</v>
      </c>
      <c r="AN86" s="7">
        <f t="shared" si="25"/>
        <v>4</v>
      </c>
      <c r="AO86">
        <f>IF(ISNUMBER(SEARCH("Increase the integral gain", 'Form Responses 1'!K85)), 1, 0)</f>
        <v>1</v>
      </c>
      <c r="AP86">
        <f>IF(ISNUMBER(SEARCH("Increase the proportional gain", 'Form Responses 1'!K85)), 1, 0)</f>
        <v>0</v>
      </c>
      <c r="AQ86">
        <f>IF(ISNUMBER(SEARCH("increasing the integral gain", 'Form Responses 1'!K85)), 1, 0)</f>
        <v>0</v>
      </c>
      <c r="AR86">
        <f>IF(ISNUMBER(SEARCH("Decrease the proportional gain (Kp) and increase the derivative gain (Kd)", 'Form Responses 1'!K85)), 1, 0)</f>
        <v>0</v>
      </c>
      <c r="AS86">
        <f>IF(ISNUMBER(SEARCH("Decrease the proportional gain", 'Form Responses 1'!K85)), 1, 0)</f>
        <v>0</v>
      </c>
      <c r="AT86" s="7">
        <f t="shared" si="26"/>
        <v>4</v>
      </c>
      <c r="AU86">
        <f>IF(ISNUMBER(SEARCH("Measurement", 'Form Responses 1'!L85)), 1, 0)</f>
        <v>0</v>
      </c>
      <c r="AV86">
        <f>IF(ISNUMBER(SEARCH("All of the above",'Form Responses 1'!L85)),1,0)</f>
        <v>0</v>
      </c>
      <c r="AW86" s="7">
        <f t="shared" si="27"/>
        <v>0</v>
      </c>
      <c r="AX86">
        <f>IF(ISNUMBER(SEARCH("recorded sensor data to the controller", 'Form Responses 1'!M85)), 1, 0)</f>
        <v>1</v>
      </c>
      <c r="AY86">
        <f>IF(ISNUMBER(SEARCH("record sensor data from", 'Form Responses 1'!M85)), 1, 0)</f>
        <v>0</v>
      </c>
      <c r="AZ86">
        <f>IF(ISNUMBER(SEARCH("record actuator data from",'Form Responses 1'!M85)),1,0)</f>
        <v>0</v>
      </c>
      <c r="BA86">
        <f>IF(ISNUMBER(SEARCH("recorded actuator data to the controller", 'Form Responses 1'!M85)), 1, 0)</f>
        <v>0</v>
      </c>
      <c r="BB86" s="7">
        <f t="shared" si="28"/>
        <v>4</v>
      </c>
      <c r="BC86">
        <f>IF('Form Responses 1'!N85, 0, 1)</f>
        <v>1</v>
      </c>
      <c r="BD86" s="7">
        <f t="shared" si="29"/>
        <v>4</v>
      </c>
    </row>
    <row r="87" spans="1:56" x14ac:dyDescent="0.2">
      <c r="A87" s="4">
        <v>85</v>
      </c>
      <c r="B87">
        <f>IF(ISNUMBER(SEARCH("Line 4", 'Form Responses 1'!E86)), -1, 0)</f>
        <v>0</v>
      </c>
      <c r="C87">
        <f>IF(ISNUMBER(SEARCH("Line 5", 'Form Responses 1'!E86)), -1, 0)</f>
        <v>0</v>
      </c>
      <c r="D87">
        <f>IF(ISNUMBER(SEARCH("Line 8", 'Form Responses 1'!E86)), 1, 0)</f>
        <v>1</v>
      </c>
      <c r="E87">
        <f>IF(ISNUMBER(SEARCH("Line 13", 'Form Responses 1'!E86)), 1, 0)</f>
        <v>0</v>
      </c>
      <c r="F87">
        <f>IF(ISNUMBER(SEARCH("Line 14", 'Form Responses 1'!E86)), -1, 0)</f>
        <v>0</v>
      </c>
      <c r="G87">
        <f>IF(ISNUMBER(SEARCH("Line 15", 'Form Responses 1'!E86)), 1, 0)</f>
        <v>0</v>
      </c>
      <c r="H87">
        <f>IF(ISNUMBER(SEARCH("Line 16", 'Form Responses 1'!E86)), -1, 0)</f>
        <v>0</v>
      </c>
      <c r="I87">
        <f>IF(ISNUMBER(SEARCH("Line 17", 'Form Responses 1'!E86)), 1, 0)</f>
        <v>0</v>
      </c>
      <c r="J87">
        <f>IF(ISNUMBER(SEARCH("Line 19", 'Form Responses 1'!E86)), 1, 0)</f>
        <v>0</v>
      </c>
      <c r="K87">
        <f t="shared" si="15"/>
        <v>1</v>
      </c>
      <c r="L87" s="8">
        <f t="shared" si="16"/>
        <v>1</v>
      </c>
      <c r="M87">
        <f>IF(ISNUMBER(SEARCH("Transmit data", 'Form Responses 1'!F86)), 1, 0)</f>
        <v>1</v>
      </c>
      <c r="N87">
        <f>IF(ISNUMBER(SEARCH("Alter", 'Form Responses 1'!F86)), -1, 0)</f>
        <v>0</v>
      </c>
      <c r="O87">
        <f>IF(ISNUMBER(SEARCH("Change", 'Form Responses 1'!F86)), -1, 0)</f>
        <v>0</v>
      </c>
      <c r="P87">
        <f>IF(ISNUMBER(SEARCH("Remove", 'Form Responses 1'!F86)), -1, 0)</f>
        <v>0</v>
      </c>
      <c r="Q87">
        <f>IF(ISNUMBER(SEARCH("unintelligible", 'Form Responses 1'!F86)), -1, 0)</f>
        <v>-1</v>
      </c>
      <c r="R87">
        <f t="shared" si="17"/>
        <v>3.25</v>
      </c>
      <c r="S87" s="7">
        <f t="shared" si="18"/>
        <v>3.25</v>
      </c>
      <c r="T87">
        <f>IF(ISNUMBER(SEARCH("sensors", 'Form Responses 1'!G86)), 1, 0)</f>
        <v>0</v>
      </c>
      <c r="U87">
        <f>IF(ISNUMBER(SEARCH("actuators", 'Form Responses 1'!G86)), -1, 0)</f>
        <v>0</v>
      </c>
      <c r="V87">
        <f>IF(ISNUMBER(SEARCH("Switch", 'Form Responses 1'!G86)), 1, 0)</f>
        <v>0</v>
      </c>
      <c r="W87">
        <f>IF(ISNUMBER(SEARCH("PID", 'Form Responses 1'!G86)), -1, 0)</f>
        <v>-1</v>
      </c>
      <c r="X87">
        <f t="shared" si="19"/>
        <v>-1</v>
      </c>
      <c r="Y87" s="7">
        <f t="shared" si="20"/>
        <v>0</v>
      </c>
      <c r="Z87">
        <f>IF(ISNUMBER(SEARCH("16", 'Form Responses 1'!H86)), -1, 0)</f>
        <v>0</v>
      </c>
      <c r="AA87">
        <f>IF(ISNUMBER(SEARCH("1.5", 'Form Responses 1'!H86)), 1, 0)</f>
        <v>1</v>
      </c>
      <c r="AB87">
        <f>IF(ISNUMBER(SEARCH("0.2", 'Form Responses 1'!H86)), -1, 0)</f>
        <v>0</v>
      </c>
      <c r="AC87">
        <f>IF(ISNUMBER(SEARCH("None", 'Form Responses 1'!H86)), -1, 0)</f>
        <v>0</v>
      </c>
      <c r="AD87">
        <f t="shared" si="21"/>
        <v>4</v>
      </c>
      <c r="AE87" s="7">
        <f t="shared" si="22"/>
        <v>4</v>
      </c>
      <c r="AF87">
        <f>IF(ISNUMBER(SEARCH("Small", 'Form Responses 1'!I86)), -1, 0)</f>
        <v>0</v>
      </c>
      <c r="AG87">
        <f>IF(ISNUMBER(SEARCH("IMU", 'Form Responses 1'!I86)), 1, 0)</f>
        <v>0</v>
      </c>
      <c r="AH87">
        <f>IF(ISNUMBER(SEARCH("CAN", 'Form Responses 1'!I86)), 1, 0)</f>
        <v>1</v>
      </c>
      <c r="AI87">
        <f>IF(ISNUMBER(SEARCH("High", 'Form Responses 1'!I86)), -1, 0)</f>
        <v>0</v>
      </c>
      <c r="AJ87">
        <f>IF(ISNUMBER(SEARCH("Spoofing", 'Form Responses 1'!I86)), -1, 0)</f>
        <v>-1</v>
      </c>
      <c r="AK87">
        <f t="shared" si="23"/>
        <v>1</v>
      </c>
      <c r="AL87" s="7">
        <f t="shared" si="24"/>
        <v>1</v>
      </c>
      <c r="AM87">
        <f>IF('Form Responses 1'!J86, 1, 0)</f>
        <v>1</v>
      </c>
      <c r="AN87" s="7">
        <f t="shared" si="25"/>
        <v>4</v>
      </c>
      <c r="AO87">
        <f>IF(ISNUMBER(SEARCH("Increase the integral gain", 'Form Responses 1'!K86)), 1, 0)</f>
        <v>1</v>
      </c>
      <c r="AP87">
        <f>IF(ISNUMBER(SEARCH("Increase the proportional gain", 'Form Responses 1'!K86)), 1, 0)</f>
        <v>0</v>
      </c>
      <c r="AQ87">
        <f>IF(ISNUMBER(SEARCH("increasing the integral gain", 'Form Responses 1'!K86)), 1, 0)</f>
        <v>0</v>
      </c>
      <c r="AR87">
        <f>IF(ISNUMBER(SEARCH("Decrease the proportional gain (Kp) and increase the derivative gain (Kd)", 'Form Responses 1'!K86)), 1, 0)</f>
        <v>0</v>
      </c>
      <c r="AS87">
        <f>IF(ISNUMBER(SEARCH("Decrease the proportional gain", 'Form Responses 1'!K86)), 1, 0)</f>
        <v>0</v>
      </c>
      <c r="AT87" s="7">
        <f t="shared" si="26"/>
        <v>4</v>
      </c>
      <c r="AU87">
        <f>IF(ISNUMBER(SEARCH("Measurement", 'Form Responses 1'!L86)), 1, 0)</f>
        <v>0</v>
      </c>
      <c r="AV87">
        <f>IF(ISNUMBER(SEARCH("All of the above",'Form Responses 1'!L86)),1,0)</f>
        <v>1</v>
      </c>
      <c r="AW87" s="7">
        <f t="shared" si="27"/>
        <v>2</v>
      </c>
      <c r="AX87">
        <f>IF(ISNUMBER(SEARCH("recorded sensor data to the controller", 'Form Responses 1'!M86)), 1, 0)</f>
        <v>1</v>
      </c>
      <c r="AY87">
        <f>IF(ISNUMBER(SEARCH("record sensor data from", 'Form Responses 1'!M86)), 1, 0)</f>
        <v>0</v>
      </c>
      <c r="AZ87">
        <f>IF(ISNUMBER(SEARCH("record actuator data from",'Form Responses 1'!M86)),1,0)</f>
        <v>0</v>
      </c>
      <c r="BA87">
        <f>IF(ISNUMBER(SEARCH("recorded actuator data to the controller", 'Form Responses 1'!M86)), 1, 0)</f>
        <v>0</v>
      </c>
      <c r="BB87" s="7">
        <f t="shared" si="28"/>
        <v>4</v>
      </c>
      <c r="BC87">
        <f>IF('Form Responses 1'!N86, 0, 1)</f>
        <v>1</v>
      </c>
      <c r="BD87" s="7">
        <f t="shared" si="29"/>
        <v>4</v>
      </c>
    </row>
    <row r="88" spans="1:56" x14ac:dyDescent="0.2">
      <c r="L88" s="8"/>
    </row>
    <row r="89" spans="1:56" x14ac:dyDescent="0.2">
      <c r="A89" s="4" t="s">
        <v>206</v>
      </c>
      <c r="B89">
        <f>SUM(B3:B88)</f>
        <v>-20</v>
      </c>
      <c r="C89">
        <f t="shared" ref="C89:J89" si="30">SUM(C3:C88)</f>
        <v>-18</v>
      </c>
      <c r="D89">
        <f t="shared" si="30"/>
        <v>27</v>
      </c>
      <c r="E89">
        <f t="shared" si="30"/>
        <v>23</v>
      </c>
      <c r="F89">
        <f t="shared" si="30"/>
        <v>-15</v>
      </c>
      <c r="G89">
        <f t="shared" si="30"/>
        <v>40</v>
      </c>
      <c r="H89">
        <f t="shared" si="30"/>
        <v>-13</v>
      </c>
      <c r="I89">
        <f t="shared" si="30"/>
        <v>36</v>
      </c>
      <c r="J89">
        <f t="shared" si="30"/>
        <v>26</v>
      </c>
      <c r="K89" s="5"/>
      <c r="L89" s="8"/>
      <c r="M89">
        <f>SUM(M3:M88)</f>
        <v>75</v>
      </c>
      <c r="N89">
        <f>SUM(N3:N88)</f>
        <v>-15</v>
      </c>
      <c r="O89">
        <f t="shared" ref="O89:Q89" si="31">SUM(O3:O88)</f>
        <v>-24</v>
      </c>
      <c r="P89">
        <f t="shared" si="31"/>
        <v>-13</v>
      </c>
      <c r="Q89">
        <f t="shared" si="31"/>
        <v>-59</v>
      </c>
      <c r="T89">
        <f>SUM(T3:T88)</f>
        <v>67</v>
      </c>
      <c r="U89">
        <f t="shared" ref="U89:W89" si="32">SUM(U3:U88)</f>
        <v>-34</v>
      </c>
      <c r="V89">
        <f t="shared" si="32"/>
        <v>51</v>
      </c>
      <c r="W89">
        <f t="shared" si="32"/>
        <v>-35</v>
      </c>
      <c r="Z89">
        <f>SUM(Z3:Z88)</f>
        <v>-52</v>
      </c>
      <c r="AA89">
        <f t="shared" ref="AA89:AC89" si="33">SUM(AA3:AA88)</f>
        <v>63</v>
      </c>
      <c r="AB89">
        <f t="shared" si="33"/>
        <v>-12</v>
      </c>
      <c r="AC89">
        <f t="shared" si="33"/>
        <v>-9</v>
      </c>
      <c r="AF89">
        <f t="shared" ref="AF89" si="34">SUM(AF3:AF88)</f>
        <v>-52</v>
      </c>
      <c r="AG89">
        <f t="shared" ref="AG89" si="35">SUM(AG3:AG88)</f>
        <v>57</v>
      </c>
      <c r="AH89">
        <f t="shared" ref="AH89" si="36">SUM(AH3:AH88)</f>
        <v>72</v>
      </c>
      <c r="AI89">
        <f t="shared" ref="AI89" si="37">SUM(AI3:AI88)</f>
        <v>-17</v>
      </c>
      <c r="AJ89">
        <f t="shared" ref="AJ89" si="38">SUM(AJ3:AJ88)</f>
        <v>-30</v>
      </c>
      <c r="AM89">
        <f t="shared" ref="AM89" si="39">SUM(AM3:AM88)</f>
        <v>80</v>
      </c>
      <c r="AO89">
        <f t="shared" ref="AO89:AS89" si="40">SUM(AO3:AO88)</f>
        <v>44</v>
      </c>
      <c r="AP89">
        <f t="shared" si="40"/>
        <v>27</v>
      </c>
      <c r="AQ89">
        <f t="shared" si="40"/>
        <v>23</v>
      </c>
      <c r="AR89">
        <f t="shared" si="40"/>
        <v>12</v>
      </c>
      <c r="AS89">
        <f t="shared" si="40"/>
        <v>14</v>
      </c>
      <c r="AU89">
        <f t="shared" ref="AU89:AV89" si="41">SUM(AU3:AU88)</f>
        <v>9</v>
      </c>
      <c r="AV89">
        <f t="shared" si="41"/>
        <v>41</v>
      </c>
      <c r="AX89">
        <f t="shared" ref="AX89:BA89" si="42">SUM(AX3:AX88)</f>
        <v>57</v>
      </c>
      <c r="AY89">
        <f t="shared" si="42"/>
        <v>4</v>
      </c>
      <c r="AZ89">
        <f t="shared" si="42"/>
        <v>3</v>
      </c>
      <c r="BA89">
        <f t="shared" si="42"/>
        <v>7</v>
      </c>
      <c r="BC89">
        <f t="shared" ref="BC89" si="43">SUM(BC3:BC88)</f>
        <v>59</v>
      </c>
    </row>
    <row r="90" spans="1:56" x14ac:dyDescent="0.2">
      <c r="A90" s="6" t="s">
        <v>199</v>
      </c>
      <c r="K90" s="5">
        <f>AVERAGE(K3:K88)</f>
        <v>1.0117647058823529</v>
      </c>
      <c r="L90" s="8">
        <f>AVERAGE(L3:L88)</f>
        <v>1.6705882352941177</v>
      </c>
      <c r="R90" s="5">
        <f>AVERAGE(R3:R88)</f>
        <v>2.5499999999999998</v>
      </c>
      <c r="S90" s="8">
        <f>AVERAGE(S3:S88)</f>
        <v>2.7088235294117649</v>
      </c>
      <c r="X90" s="5">
        <f>AVERAGE(X3:X88)</f>
        <v>1.9647058823529411</v>
      </c>
      <c r="Y90" s="8">
        <f>AVERAGE(Y3:Y88)</f>
        <v>2.0823529411764707</v>
      </c>
      <c r="AD90" s="5">
        <f>AVERAGE(AD3:AD88)</f>
        <v>2.2823529411764705</v>
      </c>
      <c r="AE90" s="8">
        <f>AVERAGE(AE3:AE88)</f>
        <v>2.5058823529411764</v>
      </c>
      <c r="AK90" s="5">
        <f t="shared" ref="AK90:AT90" si="44">AVERAGE(AK3:AK88)</f>
        <v>3.0941176470588236</v>
      </c>
      <c r="AL90" s="8">
        <f t="shared" si="44"/>
        <v>2.9058823529411764</v>
      </c>
      <c r="AM90" s="5">
        <f t="shared" si="44"/>
        <v>0.94117647058823528</v>
      </c>
      <c r="AN90" s="8">
        <f t="shared" si="44"/>
        <v>3.7647058823529411</v>
      </c>
      <c r="AO90" s="5">
        <f t="shared" si="44"/>
        <v>0.51764705882352946</v>
      </c>
      <c r="AP90" s="5"/>
      <c r="AQ90" s="5"/>
      <c r="AR90" s="5"/>
      <c r="AS90" s="5"/>
      <c r="AT90" s="8">
        <f t="shared" si="44"/>
        <v>3.0458823529411769</v>
      </c>
      <c r="AW90" s="8">
        <f>AVERAGE(AW3:AW88)</f>
        <v>1.388235294117647</v>
      </c>
      <c r="BB90" s="8">
        <f>AVERAGE(BB3:BB88)</f>
        <v>2.8470588235294119</v>
      </c>
      <c r="BD90" s="8">
        <f>AVERAGE(BD3:BD88)</f>
        <v>2.776470588235294</v>
      </c>
    </row>
    <row r="91" spans="1:56" x14ac:dyDescent="0.2">
      <c r="A91" s="6" t="s">
        <v>200</v>
      </c>
      <c r="K91" s="5">
        <f>STDEV(K3:K88)</f>
        <v>1.2487528792765208</v>
      </c>
      <c r="L91" s="8">
        <f>STDEV(L3:L88)</f>
        <v>1.2477430605289053</v>
      </c>
      <c r="R91" s="5">
        <f>STDEV(R3:R88)</f>
        <v>1.5434192097880788</v>
      </c>
      <c r="S91" s="8">
        <f>STDEV(S3:S88)</f>
        <v>1.1383775126663993</v>
      </c>
      <c r="X91" s="5">
        <f>STDEV(X3:X88)</f>
        <v>1.6068829543970067</v>
      </c>
      <c r="Y91" s="8">
        <f>STDEV(Y3:Y88)</f>
        <v>1.3905442982437315</v>
      </c>
      <c r="AD91" s="5">
        <f>STDEV(AD3:AD88)</f>
        <v>1.7769138890750096</v>
      </c>
      <c r="AE91" s="8">
        <f>STDEV(AE3:AE88)</f>
        <v>1.2967315084634972</v>
      </c>
      <c r="AK91" s="5">
        <f t="shared" ref="AK91:AT91" si="45">STDEV(AK3:AK88)</f>
        <v>1.4689122101856507</v>
      </c>
      <c r="AL91" s="8">
        <f t="shared" si="45"/>
        <v>1.2112914144648688</v>
      </c>
      <c r="AM91" s="5">
        <f t="shared" si="45"/>
        <v>0.23669053416557537</v>
      </c>
      <c r="AN91" s="8">
        <f t="shared" si="45"/>
        <v>0.94676213666230147</v>
      </c>
      <c r="AO91" s="5">
        <f t="shared" si="45"/>
        <v>0.50265402060042286</v>
      </c>
      <c r="AP91" s="5"/>
      <c r="AQ91" s="5"/>
      <c r="AR91" s="5"/>
      <c r="AS91" s="5"/>
      <c r="AT91" s="8">
        <f t="shared" si="45"/>
        <v>1.0413536224293716</v>
      </c>
      <c r="AW91" s="8">
        <f>STDEV(AW3:AW88)</f>
        <v>1.3101628183719218</v>
      </c>
      <c r="BB91" s="8">
        <f>STDEV(BB3:BB88)</f>
        <v>1.7286512933838469</v>
      </c>
      <c r="BD91" s="8">
        <f>STDEV(BD3:BD88)</f>
        <v>1.854059064324975</v>
      </c>
    </row>
    <row r="92" spans="1:56" x14ac:dyDescent="0.2">
      <c r="L92" s="7"/>
    </row>
  </sheetData>
  <mergeCells count="11">
    <mergeCell ref="AF1:AL1"/>
    <mergeCell ref="A1:A2"/>
    <mergeCell ref="B1:L1"/>
    <mergeCell ref="M1:S1"/>
    <mergeCell ref="T1:Y1"/>
    <mergeCell ref="Z1:AE1"/>
    <mergeCell ref="AM1:AN1"/>
    <mergeCell ref="AO1:AT1"/>
    <mergeCell ref="AU1:AW1"/>
    <mergeCell ref="AX1:BB1"/>
    <mergeCell ref="BC1:BD1"/>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tabSelected="1" zoomScale="115" zoomScaleNormal="115" workbookViewId="0">
      <selection activeCell="H8" sqref="H8"/>
    </sheetView>
  </sheetViews>
  <sheetFormatPr defaultRowHeight="12.75" x14ac:dyDescent="0.2"/>
  <sheetData>
    <row r="1" spans="1:21" x14ac:dyDescent="0.2">
      <c r="A1" s="16"/>
      <c r="B1" s="36" t="s">
        <v>187</v>
      </c>
      <c r="C1" s="37"/>
      <c r="D1" s="34" t="s">
        <v>188</v>
      </c>
      <c r="E1" s="35"/>
      <c r="F1" s="36" t="s">
        <v>189</v>
      </c>
      <c r="G1" s="37"/>
      <c r="H1" s="32" t="s">
        <v>190</v>
      </c>
      <c r="I1" s="33"/>
      <c r="J1" s="32" t="s">
        <v>191</v>
      </c>
      <c r="K1" s="33"/>
      <c r="L1" s="32" t="s">
        <v>192</v>
      </c>
      <c r="M1" s="33"/>
      <c r="N1" s="32" t="s">
        <v>193</v>
      </c>
      <c r="O1" s="33"/>
      <c r="P1" s="34" t="s">
        <v>194</v>
      </c>
      <c r="Q1" s="35"/>
      <c r="R1" s="32" t="s">
        <v>195</v>
      </c>
      <c r="S1" s="33"/>
      <c r="T1" s="32" t="s">
        <v>196</v>
      </c>
      <c r="U1" s="33"/>
    </row>
    <row r="2" spans="1:21" x14ac:dyDescent="0.2">
      <c r="A2" s="16"/>
      <c r="B2" s="26" t="s">
        <v>266</v>
      </c>
      <c r="C2" s="27" t="s">
        <v>200</v>
      </c>
      <c r="D2" s="22" t="s">
        <v>266</v>
      </c>
      <c r="E2" s="23" t="s">
        <v>200</v>
      </c>
      <c r="F2" s="26" t="s">
        <v>266</v>
      </c>
      <c r="G2" s="27" t="s">
        <v>200</v>
      </c>
      <c r="H2" s="17" t="s">
        <v>266</v>
      </c>
      <c r="I2" s="18" t="s">
        <v>200</v>
      </c>
      <c r="J2" s="17" t="s">
        <v>266</v>
      </c>
      <c r="K2" s="18" t="s">
        <v>200</v>
      </c>
      <c r="L2" s="17" t="s">
        <v>266</v>
      </c>
      <c r="M2" s="18" t="s">
        <v>200</v>
      </c>
      <c r="N2" s="17" t="s">
        <v>266</v>
      </c>
      <c r="O2" s="18" t="s">
        <v>200</v>
      </c>
      <c r="P2" s="22" t="s">
        <v>266</v>
      </c>
      <c r="Q2" s="23" t="s">
        <v>200</v>
      </c>
      <c r="R2" s="17" t="s">
        <v>266</v>
      </c>
      <c r="S2" s="18" t="s">
        <v>200</v>
      </c>
      <c r="T2" s="17" t="s">
        <v>266</v>
      </c>
      <c r="U2" s="18" t="s">
        <v>200</v>
      </c>
    </row>
    <row r="3" spans="1:21" x14ac:dyDescent="0.2">
      <c r="A3" s="18" t="s">
        <v>264</v>
      </c>
      <c r="B3" s="28">
        <f>'[1]Evaluate Results'!$L$90</f>
        <v>1.558139534883721</v>
      </c>
      <c r="C3" s="29">
        <f>'[1]Evaluate Results'!$L$91</f>
        <v>1.3685943941121033</v>
      </c>
      <c r="D3" s="24">
        <f>'[1]Evaluate Results'!$S$90</f>
        <v>2.26453488372093</v>
      </c>
      <c r="E3" s="25">
        <f>'[1]Evaluate Results'!$S$91</f>
        <v>1.5244838331685708</v>
      </c>
      <c r="F3" s="28">
        <f>'[1]Evaluate Results'!$Y$90</f>
        <v>2.058139534883721</v>
      </c>
      <c r="G3" s="29">
        <f>'[1]Evaluate Results'!$Y$91</f>
        <v>1.4088347388808342</v>
      </c>
      <c r="H3" s="19">
        <f>'[1]Evaluate Results'!$AE$90</f>
        <v>2.1046511627906979</v>
      </c>
      <c r="I3" s="20">
        <f>'[1]Evaluate Results'!$AE$91</f>
        <v>1.3977214210988653</v>
      </c>
      <c r="J3" s="19">
        <f>'[1]Evaluate Results'!$AL$90</f>
        <v>2.5116279069767442</v>
      </c>
      <c r="K3" s="20">
        <f>'[1]Evaluate Results'!$AL$91</f>
        <v>1.4851752603768917</v>
      </c>
      <c r="L3" s="19">
        <f>'[1]Evaluate Results'!$AN$90</f>
        <v>3.6744186046511627</v>
      </c>
      <c r="M3" s="20">
        <f>'[1]Evaluate Results'!$AN$91</f>
        <v>1.1001803110519046</v>
      </c>
      <c r="N3" s="19">
        <f>'[1]Evaluate Results'!$AT$90</f>
        <v>3.067441860465117</v>
      </c>
      <c r="O3" s="20">
        <f>'[1]Evaluate Results'!$AT$91</f>
        <v>1.0084865609609504</v>
      </c>
      <c r="P3" s="24">
        <f>'[1]Evaluate Results'!$AW$90</f>
        <v>1.3953488372093024</v>
      </c>
      <c r="Q3" s="25">
        <f>'[1]Evaluate Results'!$AW$91</f>
        <v>1.0658227395655915</v>
      </c>
      <c r="R3" s="19">
        <f>'[1]Evaluate Results'!$BB$90</f>
        <v>2.2558139534883721</v>
      </c>
      <c r="S3" s="20">
        <f>'[1]Evaluate Results'!$BB$91</f>
        <v>1.9353433895739833</v>
      </c>
      <c r="T3" s="19">
        <f>'[1]Evaluate Results'!$BD$90</f>
        <v>1.8139534883720929</v>
      </c>
      <c r="U3" s="20">
        <f>'[1]Evaluate Results'!$BD$91</f>
        <v>2.0030073149376091</v>
      </c>
    </row>
    <row r="4" spans="1:21" x14ac:dyDescent="0.2">
      <c r="A4" s="18" t="s">
        <v>265</v>
      </c>
      <c r="B4" s="28">
        <f>'Evaluate Results'!L90</f>
        <v>1.6705882352941177</v>
      </c>
      <c r="C4" s="29">
        <f>'Evaluate Results'!L91</f>
        <v>1.2477430605289053</v>
      </c>
      <c r="D4" s="24">
        <f>'Evaluate Results'!S90</f>
        <v>2.7088235294117649</v>
      </c>
      <c r="E4" s="25">
        <f>'Evaluate Results'!S91</f>
        <v>1.1383775126663993</v>
      </c>
      <c r="F4" s="28">
        <f>'Evaluate Results'!Y90</f>
        <v>2.0823529411764707</v>
      </c>
      <c r="G4" s="29">
        <f>'Evaluate Results'!Y91</f>
        <v>1.3905442982437315</v>
      </c>
      <c r="H4" s="19">
        <f>'Evaluate Results'!AE90</f>
        <v>2.5058823529411764</v>
      </c>
      <c r="I4" s="20">
        <f>'Evaluate Results'!AE91</f>
        <v>1.2967315084634972</v>
      </c>
      <c r="J4" s="19">
        <f>'Evaluate Results'!AL90</f>
        <v>2.9058823529411764</v>
      </c>
      <c r="K4" s="20">
        <f>'Evaluate Results'!AL91</f>
        <v>1.2112914144648688</v>
      </c>
      <c r="L4" s="19">
        <f>'Evaluate Results'!AN90</f>
        <v>3.7647058823529411</v>
      </c>
      <c r="M4" s="20">
        <f>'Evaluate Results'!AN91</f>
        <v>0.94676213666230147</v>
      </c>
      <c r="N4" s="19">
        <f>'Evaluate Results'!AT90</f>
        <v>3.0458823529411769</v>
      </c>
      <c r="O4" s="20">
        <f>'Evaluate Results'!AT91</f>
        <v>1.0413536224293716</v>
      </c>
      <c r="P4" s="24">
        <f>'Evaluate Results'!AW90</f>
        <v>1.388235294117647</v>
      </c>
      <c r="Q4" s="25">
        <f>'Evaluate Results'!AW91</f>
        <v>1.3101628183719218</v>
      </c>
      <c r="R4" s="19">
        <f>'Evaluate Results'!BB90</f>
        <v>2.8470588235294119</v>
      </c>
      <c r="S4" s="20">
        <f>'Evaluate Results'!BB91</f>
        <v>1.7286512933838469</v>
      </c>
      <c r="T4" s="19">
        <f>'Evaluate Results'!BD90</f>
        <v>2.776470588235294</v>
      </c>
      <c r="U4" s="20">
        <f>'Evaluate Results'!BD91</f>
        <v>1.854059064324975</v>
      </c>
    </row>
    <row r="5" spans="1:21" x14ac:dyDescent="0.2">
      <c r="H5" t="s">
        <v>278</v>
      </c>
      <c r="J5" t="s">
        <v>279</v>
      </c>
      <c r="L5" t="s">
        <v>279</v>
      </c>
      <c r="N5" t="s">
        <v>276</v>
      </c>
      <c r="R5" t="s">
        <v>275</v>
      </c>
      <c r="T5" t="s">
        <v>277</v>
      </c>
    </row>
    <row r="8" spans="1:21" x14ac:dyDescent="0.2">
      <c r="H8">
        <v>1.81</v>
      </c>
    </row>
  </sheetData>
  <mergeCells count="10">
    <mergeCell ref="N1:O1"/>
    <mergeCell ref="P1:Q1"/>
    <mergeCell ref="R1:S1"/>
    <mergeCell ref="T1:U1"/>
    <mergeCell ref="B1:C1"/>
    <mergeCell ref="D1:E1"/>
    <mergeCell ref="F1:G1"/>
    <mergeCell ref="H1:I1"/>
    <mergeCell ref="J1:K1"/>
    <mergeCell ref="L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Evaluate Results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Rodriguez-Seda, Erick J CIV USNA Annapolis</cp:lastModifiedBy>
  <dcterms:modified xsi:type="dcterms:W3CDTF">2019-06-19T19:20:40Z</dcterms:modified>
</cp:coreProperties>
</file>